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24226"/>
  <mc:AlternateContent xmlns:mc="http://schemas.openxmlformats.org/markup-compatibility/2006">
    <mc:Choice Requires="x15">
      <x15ac:absPath xmlns:x15ac="http://schemas.microsoft.com/office/spreadsheetml/2010/11/ac" url="https://uaermv-my.sharepoint.com/personal/nelson_ovalle_umv_gov_co/Documents/Contrato 410 de 2022/Pago 2/1. implementación MIPG/Versiones ajustadas/"/>
    </mc:Choice>
  </mc:AlternateContent>
  <xr:revisionPtr revIDLastSave="23" documentId="13_ncr:1_{2D5A592A-3316-46B6-A69C-3B88D5EC6CEE}" xr6:coauthVersionLast="47" xr6:coauthVersionMax="47" xr10:uidLastSave="{7902306C-FAB1-4F86-8CD7-460E6A37B1F2}"/>
  <bookViews>
    <workbookView xWindow="-108" yWindow="-108" windowWidth="23256" windowHeight="12576" tabRatio="933"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 r:id="rId18"/>
    <externalReference r:id="rId19"/>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66" i="1" l="1"/>
  <c r="V66" i="1"/>
  <c r="AC66" i="1" s="1"/>
  <c r="P66" i="1"/>
  <c r="Y65" i="1"/>
  <c r="V65" i="1"/>
  <c r="P65" i="1"/>
  <c r="Y64" i="1"/>
  <c r="V64" i="1"/>
  <c r="AG65" i="1" s="1"/>
  <c r="AF65" i="1" s="1"/>
  <c r="P64" i="1"/>
  <c r="AC63" i="1"/>
  <c r="AD63" i="1" s="1"/>
  <c r="Y63" i="1"/>
  <c r="V63" i="1"/>
  <c r="P63" i="1"/>
  <c r="Y62" i="1"/>
  <c r="V62" i="1"/>
  <c r="P62" i="1"/>
  <c r="Y61" i="1"/>
  <c r="V61" i="1"/>
  <c r="AC62" i="1" s="1"/>
  <c r="P61" i="1"/>
  <c r="Q61" i="1" s="1"/>
  <c r="S61" i="1" s="1"/>
  <c r="N61" i="1"/>
  <c r="M61" i="1"/>
  <c r="Y60" i="1"/>
  <c r="V60" i="1"/>
  <c r="P60" i="1"/>
  <c r="Y59" i="1"/>
  <c r="V59" i="1"/>
  <c r="AC60" i="1" s="1"/>
  <c r="P59" i="1"/>
  <c r="Y58" i="1"/>
  <c r="V58" i="1"/>
  <c r="AG59" i="1" s="1"/>
  <c r="AF59" i="1" s="1"/>
  <c r="P58" i="1"/>
  <c r="Y57" i="1"/>
  <c r="V57" i="1"/>
  <c r="AC58" i="1" s="1"/>
  <c r="P57" i="1"/>
  <c r="Y56" i="1"/>
  <c r="V56" i="1"/>
  <c r="P56" i="1"/>
  <c r="Y55" i="1"/>
  <c r="V55" i="1"/>
  <c r="AG56" i="1" s="1"/>
  <c r="AF56" i="1" s="1"/>
  <c r="P55" i="1"/>
  <c r="Q55" i="1" s="1"/>
  <c r="R55" i="1" s="1"/>
  <c r="M55" i="1"/>
  <c r="Y54" i="1"/>
  <c r="V54" i="1"/>
  <c r="P54" i="1"/>
  <c r="Y53" i="1"/>
  <c r="V53" i="1"/>
  <c r="AC54" i="1" s="1"/>
  <c r="P53" i="1"/>
  <c r="Y52" i="1"/>
  <c r="V52" i="1"/>
  <c r="P52" i="1"/>
  <c r="Y51" i="1"/>
  <c r="V51" i="1"/>
  <c r="AG52" i="1" s="1"/>
  <c r="AF52" i="1" s="1"/>
  <c r="P51" i="1"/>
  <c r="Y50" i="1"/>
  <c r="V50" i="1"/>
  <c r="P50" i="1"/>
  <c r="Y49" i="1"/>
  <c r="V49" i="1"/>
  <c r="P49" i="1"/>
  <c r="Q49" i="1" s="1"/>
  <c r="R49" i="1" s="1"/>
  <c r="N49" i="1"/>
  <c r="AC49" i="1" s="1"/>
  <c r="M49" i="1"/>
  <c r="Y48" i="1"/>
  <c r="V48" i="1"/>
  <c r="AC48" i="1" s="1"/>
  <c r="AD48" i="1" s="1"/>
  <c r="P48" i="1"/>
  <c r="Y47" i="1"/>
  <c r="V47" i="1"/>
  <c r="P47" i="1"/>
  <c r="Y46" i="1"/>
  <c r="V46" i="1"/>
  <c r="P46" i="1"/>
  <c r="Y45" i="1"/>
  <c r="V45" i="1"/>
  <c r="P45" i="1"/>
  <c r="Y44" i="1"/>
  <c r="V44" i="1"/>
  <c r="P44" i="1"/>
  <c r="Y43" i="1"/>
  <c r="V43" i="1"/>
  <c r="P43" i="1"/>
  <c r="Q43" i="1" s="1"/>
  <c r="M43" i="1"/>
  <c r="N43" i="1" s="1"/>
  <c r="Y42" i="1"/>
  <c r="V42" i="1"/>
  <c r="AC42" i="1" s="1"/>
  <c r="P42" i="1"/>
  <c r="AG41" i="1"/>
  <c r="AF41" i="1" s="1"/>
  <c r="Y41" i="1"/>
  <c r="V41" i="1"/>
  <c r="P41" i="1"/>
  <c r="Y40" i="1"/>
  <c r="V40" i="1"/>
  <c r="AC41" i="1" s="1"/>
  <c r="P40" i="1"/>
  <c r="Y39" i="1"/>
  <c r="V39" i="1"/>
  <c r="AC40" i="1" s="1"/>
  <c r="P39" i="1"/>
  <c r="Y38" i="1"/>
  <c r="V38" i="1"/>
  <c r="P38" i="1"/>
  <c r="Y37" i="1"/>
  <c r="V37" i="1"/>
  <c r="AG38" i="1" s="1"/>
  <c r="AF38" i="1" s="1"/>
  <c r="P37" i="1"/>
  <c r="Q37" i="1" s="1"/>
  <c r="R37" i="1" s="1"/>
  <c r="M37" i="1"/>
  <c r="N37" i="1" s="1"/>
  <c r="AC37" i="1" s="1"/>
  <c r="Y36" i="1"/>
  <c r="V36" i="1"/>
  <c r="P36" i="1"/>
  <c r="Y35" i="1"/>
  <c r="V35" i="1"/>
  <c r="P35" i="1"/>
  <c r="Y34" i="1"/>
  <c r="V34" i="1"/>
  <c r="AG35" i="1" s="1"/>
  <c r="AF35" i="1" s="1"/>
  <c r="P34" i="1"/>
  <c r="AC33" i="1"/>
  <c r="AD33" i="1" s="1"/>
  <c r="Y33" i="1"/>
  <c r="V33" i="1"/>
  <c r="AG34" i="1" s="1"/>
  <c r="AF34" i="1" s="1"/>
  <c r="P33" i="1"/>
  <c r="Y32" i="1"/>
  <c r="V32" i="1"/>
  <c r="AG33" i="1" s="1"/>
  <c r="AF33" i="1" s="1"/>
  <c r="P32" i="1"/>
  <c r="Y31" i="1"/>
  <c r="V31" i="1"/>
  <c r="AC31" i="1" s="1"/>
  <c r="P31" i="1"/>
  <c r="Q31" i="1" s="1"/>
  <c r="R31" i="1" s="1"/>
  <c r="N31" i="1"/>
  <c r="M31" i="1"/>
  <c r="AG30" i="1"/>
  <c r="AF30" i="1" s="1"/>
  <c r="Y30" i="1"/>
  <c r="V30" i="1"/>
  <c r="P30" i="1"/>
  <c r="Y29" i="1"/>
  <c r="V29" i="1"/>
  <c r="AC30" i="1" s="1"/>
  <c r="AE30" i="1" s="1"/>
  <c r="P29" i="1"/>
  <c r="Y28" i="1"/>
  <c r="V28" i="1"/>
  <c r="AG29" i="1" s="1"/>
  <c r="AF29" i="1" s="1"/>
  <c r="P28" i="1"/>
  <c r="Y27" i="1"/>
  <c r="V27" i="1"/>
  <c r="AC28" i="1" s="1"/>
  <c r="P27" i="1"/>
  <c r="Y26" i="1"/>
  <c r="V26" i="1"/>
  <c r="AC27" i="1" s="1"/>
  <c r="P26" i="1"/>
  <c r="Y25" i="1"/>
  <c r="V25" i="1"/>
  <c r="P25" i="1"/>
  <c r="Q25" i="1" s="1"/>
  <c r="M25" i="1"/>
  <c r="N25" i="1" s="1"/>
  <c r="Y24" i="1"/>
  <c r="V24" i="1"/>
  <c r="P24" i="1"/>
  <c r="AG23" i="1"/>
  <c r="AF23" i="1" s="1"/>
  <c r="Y23" i="1"/>
  <c r="V23" i="1"/>
  <c r="AC24" i="1" s="1"/>
  <c r="P23" i="1"/>
  <c r="Y22" i="1"/>
  <c r="V22" i="1"/>
  <c r="P22" i="1"/>
  <c r="Y21" i="1"/>
  <c r="V21" i="1"/>
  <c r="AG22" i="1" s="1"/>
  <c r="AF22" i="1" s="1"/>
  <c r="P21" i="1"/>
  <c r="Y20" i="1"/>
  <c r="V20" i="1"/>
  <c r="P20" i="1"/>
  <c r="Y19" i="1"/>
  <c r="V19" i="1"/>
  <c r="P19" i="1"/>
  <c r="Q19" i="1" s="1"/>
  <c r="R19" i="1" s="1"/>
  <c r="M19" i="1"/>
  <c r="Y18" i="1"/>
  <c r="V18" i="1"/>
  <c r="P18" i="1"/>
  <c r="AC17" i="1"/>
  <c r="AD17" i="1" s="1"/>
  <c r="Y17" i="1"/>
  <c r="V17" i="1"/>
  <c r="P17" i="1"/>
  <c r="Y16" i="1"/>
  <c r="V16" i="1"/>
  <c r="AG17" i="1" s="1"/>
  <c r="AF17" i="1" s="1"/>
  <c r="P16" i="1"/>
  <c r="Y15" i="1"/>
  <c r="V15" i="1"/>
  <c r="AG16" i="1" s="1"/>
  <c r="AF16" i="1" s="1"/>
  <c r="P15" i="1"/>
  <c r="Y14" i="1"/>
  <c r="V14" i="1"/>
  <c r="P14" i="1"/>
  <c r="Y13" i="1"/>
  <c r="V13" i="1"/>
  <c r="P13" i="1"/>
  <c r="Q13" i="1" s="1"/>
  <c r="R13" i="1" s="1"/>
  <c r="N13" i="1"/>
  <c r="AC13" i="1" s="1"/>
  <c r="M13" i="1"/>
  <c r="S19" i="1" l="1"/>
  <c r="AE60" i="1"/>
  <c r="AD60" i="1"/>
  <c r="AE62" i="1"/>
  <c r="AD62" i="1"/>
  <c r="AH62" i="1" s="1"/>
  <c r="AC16" i="1"/>
  <c r="AD16" i="1" s="1"/>
  <c r="AC15" i="1"/>
  <c r="AG18" i="1"/>
  <c r="AF18" i="1" s="1"/>
  <c r="AG42" i="1"/>
  <c r="AF42" i="1" s="1"/>
  <c r="AG57" i="1"/>
  <c r="AF57" i="1" s="1"/>
  <c r="AG58" i="1"/>
  <c r="AF58" i="1" s="1"/>
  <c r="AC61" i="1"/>
  <c r="AG64" i="1"/>
  <c r="AF64" i="1" s="1"/>
  <c r="AE63" i="1"/>
  <c r="AC64" i="1"/>
  <c r="AE64" i="1" s="1"/>
  <c r="AC65" i="1"/>
  <c r="AD65" i="1" s="1"/>
  <c r="AH65" i="1" s="1"/>
  <c r="AC23" i="1"/>
  <c r="AE23" i="1" s="1"/>
  <c r="AG31" i="1"/>
  <c r="AF31" i="1" s="1"/>
  <c r="AG36" i="1"/>
  <c r="AF36" i="1" s="1"/>
  <c r="AG53" i="1"/>
  <c r="AF53" i="1" s="1"/>
  <c r="AG54" i="1"/>
  <c r="AF54" i="1" s="1"/>
  <c r="AG63" i="1"/>
  <c r="AF63" i="1" s="1"/>
  <c r="AC59" i="1"/>
  <c r="AG62" i="1"/>
  <c r="AF62" i="1" s="1"/>
  <c r="AG66" i="1"/>
  <c r="AF66" i="1" s="1"/>
  <c r="AG13" i="1"/>
  <c r="AG15" i="1"/>
  <c r="AF15" i="1" s="1"/>
  <c r="AG24" i="1"/>
  <c r="AF24" i="1" s="1"/>
  <c r="AG27" i="1"/>
  <c r="AF27" i="1" s="1"/>
  <c r="AG28" i="1"/>
  <c r="AF28" i="1" s="1"/>
  <c r="AC29" i="1"/>
  <c r="AC34" i="1"/>
  <c r="AD34" i="1" s="1"/>
  <c r="AH34" i="1" s="1"/>
  <c r="AG39" i="1"/>
  <c r="AF39" i="1" s="1"/>
  <c r="AG40" i="1"/>
  <c r="AF40" i="1" s="1"/>
  <c r="AG48" i="1"/>
  <c r="AF48" i="1" s="1"/>
  <c r="AC57" i="1"/>
  <c r="AD57" i="1" s="1"/>
  <c r="AH57" i="1" s="1"/>
  <c r="AG61" i="1"/>
  <c r="AF61" i="1" s="1"/>
  <c r="AH33" i="1"/>
  <c r="S43" i="1"/>
  <c r="R43" i="1"/>
  <c r="AG43" i="1" s="1"/>
  <c r="AF43" i="1" s="1"/>
  <c r="AH48" i="1"/>
  <c r="AD31" i="1"/>
  <c r="AH31" i="1" s="1"/>
  <c r="AE31" i="1"/>
  <c r="AC32" i="1" s="1"/>
  <c r="AE41" i="1"/>
  <c r="AD41" i="1"/>
  <c r="AH41" i="1" s="1"/>
  <c r="AG50" i="1"/>
  <c r="AF50" i="1" s="1"/>
  <c r="AE13" i="1"/>
  <c r="AC14" i="1" s="1"/>
  <c r="AD13" i="1"/>
  <c r="AD28" i="1"/>
  <c r="AE28" i="1"/>
  <c r="AD42" i="1"/>
  <c r="AH42" i="1" s="1"/>
  <c r="AE42" i="1"/>
  <c r="S55" i="1"/>
  <c r="AE58" i="1"/>
  <c r="AD58" i="1"/>
  <c r="AH58" i="1" s="1"/>
  <c r="R25" i="1"/>
  <c r="AG26" i="1" s="1"/>
  <c r="AF26" i="1" s="1"/>
  <c r="S25" i="1"/>
  <c r="AH63" i="1"/>
  <c r="AE54" i="1"/>
  <c r="AD54" i="1"/>
  <c r="AG20" i="1"/>
  <c r="AF20" i="1" s="1"/>
  <c r="AD37" i="1"/>
  <c r="AE37" i="1"/>
  <c r="S49" i="1"/>
  <c r="AF13" i="1"/>
  <c r="AG14" i="1"/>
  <c r="AF14" i="1" s="1"/>
  <c r="S31" i="1"/>
  <c r="AE40" i="1"/>
  <c r="AD40" i="1"/>
  <c r="AH40" i="1" s="1"/>
  <c r="AE49" i="1"/>
  <c r="AC50" i="1" s="1"/>
  <c r="AD49" i="1"/>
  <c r="AE24" i="1"/>
  <c r="AD24" i="1"/>
  <c r="AH16" i="1"/>
  <c r="AD59" i="1"/>
  <c r="AH59" i="1" s="1"/>
  <c r="AE59" i="1"/>
  <c r="AH17" i="1"/>
  <c r="AE27" i="1"/>
  <c r="AD27" i="1"/>
  <c r="AE57" i="1"/>
  <c r="AE66" i="1"/>
  <c r="AD66" i="1"/>
  <c r="AG49" i="1"/>
  <c r="AF49" i="1" s="1"/>
  <c r="R61" i="1"/>
  <c r="S13" i="1"/>
  <c r="AE16" i="1"/>
  <c r="AC55" i="1"/>
  <c r="AE17" i="1"/>
  <c r="AC22" i="1"/>
  <c r="AC25" i="1"/>
  <c r="AE34" i="1"/>
  <c r="AC36" i="1"/>
  <c r="AC39" i="1"/>
  <c r="AE48" i="1"/>
  <c r="AC53" i="1"/>
  <c r="N55" i="1"/>
  <c r="AC56" i="1"/>
  <c r="AG60" i="1"/>
  <c r="AF60" i="1" s="1"/>
  <c r="AH60" i="1" s="1"/>
  <c r="AE65" i="1"/>
  <c r="N19" i="1"/>
  <c r="AC19" i="1" s="1"/>
  <c r="AC52" i="1"/>
  <c r="AG19" i="1"/>
  <c r="AF19" i="1" s="1"/>
  <c r="AC43" i="1"/>
  <c r="AC18" i="1"/>
  <c r="AE33" i="1"/>
  <c r="AG37" i="1"/>
  <c r="S37" i="1"/>
  <c r="AG55" i="1"/>
  <c r="AF55" i="1" s="1"/>
  <c r="AD30" i="1"/>
  <c r="AH30" i="1" s="1"/>
  <c r="AC35" i="1"/>
  <c r="AC38" i="1"/>
  <c r="W8" i="1"/>
  <c r="W7" i="1"/>
  <c r="W6" i="1"/>
  <c r="AH24" i="1" l="1"/>
  <c r="AH28" i="1"/>
  <c r="AH66" i="1"/>
  <c r="AD23" i="1"/>
  <c r="AH23" i="1" s="1"/>
  <c r="AE61" i="1"/>
  <c r="AD61" i="1"/>
  <c r="AH61" i="1" s="1"/>
  <c r="AH27" i="1"/>
  <c r="AE29" i="1"/>
  <c r="AD29" i="1"/>
  <c r="AH29" i="1" s="1"/>
  <c r="AD15" i="1"/>
  <c r="AH15" i="1" s="1"/>
  <c r="AE15" i="1"/>
  <c r="AD64" i="1"/>
  <c r="AH64" i="1" s="1"/>
  <c r="AG51" i="1"/>
  <c r="AF51" i="1" s="1"/>
  <c r="AH54" i="1"/>
  <c r="AH49" i="1"/>
  <c r="AD14" i="1"/>
  <c r="AH14" i="1" s="1"/>
  <c r="AE14" i="1"/>
  <c r="AE35" i="1"/>
  <c r="AD35" i="1"/>
  <c r="AH35" i="1" s="1"/>
  <c r="AE56" i="1"/>
  <c r="AD56" i="1"/>
  <c r="AH56" i="1" s="1"/>
  <c r="AE50" i="1"/>
  <c r="AC51" i="1" s="1"/>
  <c r="AD50" i="1"/>
  <c r="AH50" i="1" s="1"/>
  <c r="AE53" i="1"/>
  <c r="AD53" i="1"/>
  <c r="AH53" i="1" s="1"/>
  <c r="AE22" i="1"/>
  <c r="AD22" i="1"/>
  <c r="AH22" i="1" s="1"/>
  <c r="AF37" i="1"/>
  <c r="AG44" i="1"/>
  <c r="AE52" i="1"/>
  <c r="AD52" i="1"/>
  <c r="AH52" i="1" s="1"/>
  <c r="AE55" i="1"/>
  <c r="AD55" i="1"/>
  <c r="AH55" i="1" s="1"/>
  <c r="AG25" i="1"/>
  <c r="AE18" i="1"/>
  <c r="AD18" i="1"/>
  <c r="AH18" i="1" s="1"/>
  <c r="AE43" i="1"/>
  <c r="AC44" i="1" s="1"/>
  <c r="AD43" i="1"/>
  <c r="AH43" i="1" s="1"/>
  <c r="AE32" i="1"/>
  <c r="AD32" i="1"/>
  <c r="AE38" i="1"/>
  <c r="AD38" i="1"/>
  <c r="AH38" i="1" s="1"/>
  <c r="AE25" i="1"/>
  <c r="AC26" i="1" s="1"/>
  <c r="AD25" i="1"/>
  <c r="AD19" i="1"/>
  <c r="AH19" i="1" s="1"/>
  <c r="AE19" i="1"/>
  <c r="AC20" i="1" s="1"/>
  <c r="AE39" i="1"/>
  <c r="AD39" i="1"/>
  <c r="AH39" i="1" s="1"/>
  <c r="AG21" i="1"/>
  <c r="AF21" i="1" s="1"/>
  <c r="AE36" i="1"/>
  <c r="AD36" i="1"/>
  <c r="AH36" i="1" s="1"/>
  <c r="AH37" i="1"/>
  <c r="AH13" i="1"/>
  <c r="E24" i="22"/>
  <c r="E8" i="13"/>
  <c r="E7" i="13"/>
  <c r="E6" i="13"/>
  <c r="E5" i="13"/>
  <c r="P69" i="1"/>
  <c r="P72" i="1"/>
  <c r="P68" i="1"/>
  <c r="P71" i="1"/>
  <c r="P70" i="1"/>
  <c r="AD51" i="1" l="1"/>
  <c r="AH51" i="1" s="1"/>
  <c r="AE51" i="1"/>
  <c r="AE26" i="1"/>
  <c r="AD26" i="1"/>
  <c r="AH26" i="1" s="1"/>
  <c r="AF25" i="1"/>
  <c r="AH25" i="1" s="1"/>
  <c r="AG32" i="1"/>
  <c r="AF32" i="1" s="1"/>
  <c r="AH32" i="1" s="1"/>
  <c r="AD20" i="1"/>
  <c r="AH20" i="1" s="1"/>
  <c r="AE20" i="1"/>
  <c r="AC21" i="1" s="1"/>
  <c r="AE44" i="1"/>
  <c r="AC45" i="1" s="1"/>
  <c r="AD44" i="1"/>
  <c r="AG45" i="1"/>
  <c r="AF44" i="1"/>
  <c r="F222" i="13"/>
  <c r="F212" i="13"/>
  <c r="F213" i="13"/>
  <c r="F214" i="13"/>
  <c r="F215" i="13"/>
  <c r="F216" i="13"/>
  <c r="F217" i="13"/>
  <c r="F218" i="13"/>
  <c r="F219" i="13"/>
  <c r="F220" i="13"/>
  <c r="F221" i="13"/>
  <c r="F211" i="13"/>
  <c r="B222" i="13" a="1"/>
  <c r="AE21" i="1" l="1"/>
  <c r="AD21" i="1"/>
  <c r="AH21" i="1" s="1"/>
  <c r="AF45" i="1"/>
  <c r="AG46" i="1"/>
  <c r="AH44" i="1"/>
  <c r="AD45" i="1"/>
  <c r="AE45" i="1"/>
  <c r="AC46" i="1" s="1"/>
  <c r="B222" i="13"/>
  <c r="AH45" i="1" l="1"/>
  <c r="AD46" i="1"/>
  <c r="AE46" i="1"/>
  <c r="AC47" i="1" s="1"/>
  <c r="AG47" i="1"/>
  <c r="AF47" i="1" s="1"/>
  <c r="AF46"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H46" i="1" l="1"/>
  <c r="AE47" i="1"/>
  <c r="AD47" i="1"/>
  <c r="AH47" i="1" s="1"/>
  <c r="Y72" i="1"/>
  <c r="V72" i="1"/>
  <c r="Y71" i="1"/>
  <c r="V71" i="1"/>
  <c r="AG72" i="1" s="1"/>
  <c r="Y70" i="1"/>
  <c r="V70" i="1"/>
  <c r="Y69" i="1"/>
  <c r="V69" i="1"/>
  <c r="Y68" i="1"/>
  <c r="V68" i="1"/>
  <c r="Y67" i="1"/>
  <c r="V67" i="1"/>
  <c r="M67" i="1"/>
  <c r="N67" i="1" s="1"/>
  <c r="AG71" i="1" l="1"/>
  <c r="AG69" i="1"/>
  <c r="AG68" i="1"/>
  <c r="AG67" i="1"/>
  <c r="AG70" i="1"/>
  <c r="AC67" i="1"/>
  <c r="AD67" i="1" l="1"/>
  <c r="AE67" i="1"/>
  <c r="AC68" i="1" s="1"/>
  <c r="AD68" i="1" s="1"/>
  <c r="AE68" i="1" l="1"/>
  <c r="AC69"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D69" i="1" l="1"/>
  <c r="AE69" i="1"/>
  <c r="AC70" i="1" s="1"/>
  <c r="AE70" i="1" l="1"/>
  <c r="AD70" i="1"/>
  <c r="AC71" i="1" l="1"/>
  <c r="AC72" i="1"/>
  <c r="AD72" i="1" l="1"/>
  <c r="AE72" i="1"/>
  <c r="AD71" i="1"/>
  <c r="AE71" i="1"/>
  <c r="P67" i="1" l="1"/>
  <c r="Q67"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AJ42" i="18"/>
  <c r="AJ18" i="18"/>
  <c r="AD26" i="18"/>
  <c r="L10" i="18"/>
  <c r="AD10" i="18"/>
  <c r="X18" i="18"/>
  <c r="AD42" i="18"/>
  <c r="L18" i="18"/>
  <c r="R10" i="18"/>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F67" i="1" l="1"/>
  <c r="J40" i="19" l="1"/>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F68" i="1" l="1"/>
  <c r="K45" i="19" s="1"/>
  <c r="S12" i="19"/>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Y52" i="19"/>
  <c r="S22" i="19"/>
  <c r="AK52" i="19"/>
  <c r="M22" i="19"/>
  <c r="AK32" i="19"/>
  <c r="AE22" i="19"/>
  <c r="AE4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R18"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F72"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X8" i="19"/>
  <c r="L48" i="19"/>
  <c r="AD48" i="19"/>
  <c r="AD38" i="19"/>
  <c r="X18" i="19"/>
  <c r="R38" i="19"/>
  <c r="R8" i="19"/>
  <c r="L38" i="19"/>
  <c r="R28" i="19"/>
  <c r="AJ38" i="19"/>
  <c r="AD18" i="19"/>
  <c r="L28" i="19"/>
  <c r="AJ18" i="19"/>
  <c r="X28" i="19"/>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<sst xmlns="http://schemas.openxmlformats.org/spreadsheetml/2006/main" count="877" uniqueCount="517">
  <si>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</si>
  <si>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</si>
  <si>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</si>
  <si>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</si>
  <si>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</si>
  <si>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</si>
  <si>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</si>
  <si>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</si>
  <si>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</si>
  <si>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</si>
  <si>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</si>
  <si>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</si>
  <si>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</si>
  <si>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</si>
  <si>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</si>
  <si>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</si>
  <si>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</si>
  <si>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</si>
  <si>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</si>
  <si>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</si>
  <si>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</si>
  <si>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</si>
  <si>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</si>
  <si>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</si>
  <si>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</si>
  <si>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</si>
  <si>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</si>
  <si>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</si>
  <si>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</si>
  <si>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</si>
  <si>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</si>
  <si>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</si>
  <si>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</si>
  <si>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</si>
  <si>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</si>
  <si>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</si>
  <si>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</si>
  <si>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</si>
  <si>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</si>
  <si>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</si>
  <si>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</si>
  <si>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</si>
  <si>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</si>
  <si>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</si>
  <si>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</si>
  <si>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</si>
  <si>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</si>
  <si>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</si>
  <si>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</si>
  <si>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</si>
  <si>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</si>
  <si>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</si>
  <si>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</si>
  <si>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</si>
  <si>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</si>
  <si>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</si>
  <si>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</si>
  <si>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</si>
  <si>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</si>
  <si>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</si>
  <si>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</si>
  <si>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</si>
  <si>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</si>
  <si>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</si>
  <si>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</si>
  <si>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</si>
  <si>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</si>
  <si>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</si>
  <si>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</si>
  <si>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</si>
  <si>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</si>
  <si>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</si>
  <si>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</si>
  <si>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</si>
  <si>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</si>
  <si>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</si>
  <si>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</si>
  <si>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</si>
  <si>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</si>
  <si>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</si>
  <si>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</si>
  <si>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</si>
  <si>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</si>
  <si>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</si>
  <si>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</si>
  <si>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</si>
  <si>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</si>
  <si>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</si>
  <si>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</si>
  <si>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</si>
  <si>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</si>
  <si>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</si>
  <si>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</si>
  <si>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</si>
  <si>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</si>
  <si>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</si>
  <si>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</si>
  <si>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</si>
  <si>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</si>
  <si>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</si>
  <si>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</si>
  <si>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</si>
  <si>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</si>
  <si>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</si>
  <si>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</si>
  <si>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</si>
  <si>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</si>
  <si>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</si>
  <si>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</si>
  <si>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</si>
  <si>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</si>
  <si>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</si>
  <si>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</si>
  <si>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</si>
  <si>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</si>
  <si>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</si>
  <si>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</si>
  <si>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</si>
  <si>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</si>
  <si>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</si>
  <si>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</si>
  <si>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</si>
  <si>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</si>
  <si>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</si>
  <si>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</si>
  <si>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</si>
  <si>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</si>
  <si>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</si>
  <si>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</si>
  <si>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</si>
  <si>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</si>
  <si>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</si>
  <si>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</si>
  <si>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</si>
  <si>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</si>
  <si>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</si>
  <si>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</si>
  <si>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</si>
  <si>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</si>
  <si>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</si>
  <si>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</si>
  <si>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</si>
  <si>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</si>
  <si>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</si>
  <si>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</si>
  <si>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</si>
  <si>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</si>
  <si>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</si>
  <si>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</si>
  <si>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</si>
  <si>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</si>
  <si>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</si>
  <si>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</si>
  <si>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</si>
  <si>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</si>
  <si>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</si>
  <si>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</si>
  <si>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</si>
  <si>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</si>
  <si>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</si>
  <si>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</si>
  <si>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</si>
  <si>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</si>
  <si>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</si>
  <si>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</si>
  <si>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</si>
  <si>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</si>
  <si>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</si>
  <si>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</si>
  <si>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</si>
  <si>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</si>
  <si>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</si>
  <si>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</si>
  <si>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</si>
  <si>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</si>
  <si>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</si>
  <si>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</si>
  <si>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</si>
  <si>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</si>
  <si>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</si>
  <si>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</si>
  <si>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</si>
  <si>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</si>
  <si>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</si>
  <si>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</si>
  <si>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</si>
  <si>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</si>
  <si>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</si>
  <si>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</si>
  <si>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</si>
  <si>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</si>
  <si>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</si>
  <si>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</si>
  <si>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</si>
  <si>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</si>
  <si>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</si>
  <si>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</si>
  <si>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</si>
  <si>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</si>
  <si>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</si>
  <si>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</si>
  <si>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</si>
  <si>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</si>
  <si>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</si>
  <si>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</si>
  <si>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</si>
  <si>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</si>
  <si>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</si>
  <si>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</si>
  <si>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</si>
  <si>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</si>
  <si>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</si>
  <si>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</si>
  <si>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</si>
  <si>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</si>
  <si>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</si>
  <si>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</si>
  <si>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</si>
  <si>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</si>
  <si>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</si>
  <si>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</si>
  <si>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</si>
  <si>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</si>
  <si>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</si>
  <si>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</si>
  <si>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</si>
  <si>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</si>
  <si>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</si>
  <si>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</si>
  <si>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</si>
  <si>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</si>
  <si>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</si>
  <si>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</si>
  <si>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</si>
  <si>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</si>
  <si>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</si>
  <si>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</si>
  <si>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</si>
  <si>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</si>
  <si>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</si>
  <si>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</si>
  <si>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</si>
  <si>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</si>
  <si>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</si>
  <si>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</si>
  <si>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</si>
  <si>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</si>
  <si>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</si>
  <si>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</si>
  <si>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</si>
  <si>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</si>
  <si>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</si>
  <si>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</si>
  <si>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</si>
  <si>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</si>
  <si>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</si>
  <si>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</si>
  <si>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</si>
  <si>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</si>
  <si>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</si>
  <si>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</si>
  <si>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</si>
  <si>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</si>
  <si>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</si>
  <si>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</si>
  <si>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</si>
  <si>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</si>
  <si>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</si>
  <si>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</si>
  <si>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</si>
  <si>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</si>
  <si>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</si>
  <si>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</si>
  <si>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</si>
  <si>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</si>
  <si>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</si>
  <si>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</si>
  <si>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</si>
  <si>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</si>
  <si>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</si>
  <si>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</si>
  <si>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</si>
  <si>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</si>
  <si>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</si>
  <si>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</si>
  <si>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</si>
  <si>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</si>
  <si>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</si>
  <si>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</si>
  <si>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</si>
  <si>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</si>
  <si>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</si>
  <si>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</si>
  <si>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</si>
  <si>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</si>
  <si>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</si>
  <si>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</si>
  <si>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</si>
  <si>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</si>
  <si>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</si>
  <si>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</si>
  <si>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</si>
  <si>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</si>
  <si>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</si>
  <si>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</si>
  <si>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</si>
  <si>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</si>
  <si>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</si>
  <si>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</si>
  <si>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</si>
  <si>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</si>
  <si>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</si>
  <si>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</si>
  <si>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</si>
  <si>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</si>
  <si>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</si>
  <si>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</si>
  <si>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</si>
  <si>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</si>
  <si>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</si>
  <si>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</si>
  <si>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</si>
  <si>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</si>
  <si>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</si>
  <si>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</si>
  <si>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</si>
  <si>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</si>
  <si>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</si>
  <si>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</si>
  <si>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</si>
  <si>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</si>
  <si>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</si>
  <si>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</si>
  <si>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</si>
  <si>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</si>
  <si>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</si>
  <si>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</si>
  <si>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</si>
  <si>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</si>
  <si>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</si>
  <si>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</si>
  <si>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</si>
  <si>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</si>
  <si>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</si>
  <si>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</si>
  <si>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</si>
  <si>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</si>
  <si>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</si>
  <si>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</si>
  <si>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</si>
  <si>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</si>
  <si>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</si>
  <si>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</si>
  <si>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</si>
  <si>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</si>
  <si>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</si>
  <si>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</si>
  <si>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</si>
  <si>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</si>
  <si>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</si>
  <si>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</si>
  <si>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</si>
  <si>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</si>
  <si>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</si>
  <si>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</si>
  <si>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</si>
  <si>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</si>
  <si>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</si>
  <si>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</si>
  <si>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</si>
  <si>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</si>
  <si>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</si>
  <si>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</si>
  <si>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</si>
  <si>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</si>
  <si>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</si>
  <si>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</si>
  <si>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</si>
  <si>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</si>
  <si>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</si>
  <si>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</si>
  <si>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</si>
  <si>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</si>
  <si>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</si>
  <si>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</si>
  <si>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</si>
  <si>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</si>
  <si>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</si>
  <si>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</si>
  <si>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</si>
  <si>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</si>
  <si>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</si>
  <si>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</si>
  <si>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</si>
  <si>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</si>
  <si>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Secretaría General</t>
  </si>
  <si>
    <t>FORTALEZAS: 
- El objetivo, el alcance y la descripción del proceso GSIT es clara determina de manera especifica y acertada quienes son sus proveedores, socios, las actividades, sus entradas y salidas.
- Cuenta con una estructura definida de roles que suplen todas las necesidades del proceso.
- Al disponer de una planeación estratégica de tecnologías de la información (PETI) se estructuran las diferentes acciones desde tecnología para soportar la operación de la UAERMV y alcanzar sus objetivos institucionales. 
- Todos los colaboradores del proceso tienen conocimiento de la documentación existente y de los sistemas aplicados en el proceso. 
- Existe un repositorio de información con una estructura y parámetros adecuados para la conservación de la información.
- Se realizan reuniones semanales para realizar seguimiento a las desviaciones que se pueden presentar en el día a día de la operación.
- La estructura con que cuenta la Entidad permitió el trabajo en casa y teletrabajo. 
- Los procesos estaban diseñados para realizar el trabajo en casa, por lo que no se vio afectado por la pandemia.
OPORTUNIDADES:
- Existen buenas prácticas para gestionar la capacidad y disponibilidad como COBIT 5</t>
  </si>
  <si>
    <t>DEBILIDADES:
- El nivel de resistencia al cambio de los diferentes grupos de interés que afecta el cumplimiento del objetivo del proceso. 
- 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-La ausencia del factor criticidad dentro del cálculo de los ANS dificulta su mejora en la gestión.
AMENAZAS:
- El tener servicios que aunque son de TI, son gestionados por otros procesos, limita la gestión de resultados del proceso.
- Limitaciones en la articulación de este proceso con gestión de recursos físicos.</t>
  </si>
  <si>
    <t>FORTALEZAS:
- Contamos con un aplicativo GLPI que permite realizar solicitudes al instante.
- Los Analistas responsables de la mesa de ayuda tienen como valor fundamental el servicio al cliente.
- Se creo una estrategia que consiste en tener presencia en todas las sedes el mayor tiempo posible para que los colaboradores se sientan respaldados por el proceso.
- Se estructuraron y centralizaron todas las redes y comunicaciones de la infraestructura tecnológica.
- Programación constante de transferencias de conocimiento sobre las herramientas tecnológicas de la entidad.
-Este proceso está articulado con el de Estrategia y Gobierno de TI, permitiendo desplegar la cadena de valor de TI.
OPORTUNIDADES:
-Socialización masiva del uso para el uso de la mesa de ayuda, este año se propuso una campaña pero no se implementó completamente.
-Fortalecimiento de la articulación con los procesos de gestión de recursos físicos y Gestión documental.
-Ampliación de las funcionalidades de la aplicación de la mesa de ayuda para brindar mayor precisión y oportunidad en los servicios prestados.</t>
  </si>
  <si>
    <t>DEBILIDADES:
- Debilidad en el uso de la herramienta de la mesa de ayuda como parte de la cultura organizacional de la UAERMV.
AMENAZAS: 
- Los demás procesos son reactivos a las solicitudes realizadas por el proceso.
- Los colaboradores no leen la información transmitida por el proceso.
- La resistencia al cambio de los colaboradores al implementar una nueva solución informática.
- Los colaboradores no tienen mucho conocimiento sobre las herramientas de tecnológica.
- Limitaciones en la articulación de este proceso con gestión de recursos físicos puede generar problemas en la operación del proceso.</t>
  </si>
  <si>
    <t>FORTALEZAS:
- Políticas de seguridad de la información en implementación y seguimiento.
- Procedimientos donde se da el paso a paso para los servicios de GSIT.
- Cuenta con manuales para los aplicativos que maneja la entidad.
-  Para cada procedimiento, documento, logro o implantación se envían campañas publicitarias.
- El programa de uso y apropiación se encuentra en implementación.
OPORTUNIDADES:</t>
  </si>
  <si>
    <t>DEBILIDADES:
- Socialización de los servicios de TI frente a la entidad.
AMENAZAS:
- Aunque se realizan campañas publicitarias por todos los medios con que cuenta la Entidad algunos colaboradores no conocen las políticas, ni los manuales, ni los procedimientos.</t>
  </si>
  <si>
    <t>FORTALEZAS:
- Los procedimientos del proceso son claros y se encuentran documentados. 
- Los tiempos de respuesta y solución de las solicitudes y/o requerimiento están definidos.
- Se cuenta con un catalogo de servicios de TI, en continua actualización.
OPORTUNIDADES:
- Fortalecer los procedimientos incluyendo nuevos controles.
- Automatización de los formatos involucrados.
- Inclusión de nuevos procedimientos para fortalecer la gestión de TI tomando como base marcos de referencia tales como ITIL y COBIT5.</t>
  </si>
  <si>
    <t>FORTALEZAS:
- Existe una línea de autorizaciones clara y efectiva.
- El líder directivo siempre esta dispuesto a aprender sobre el tema y apoya las decisiones que toma el líder técnico.
- El líder técnico y el líder de infraestructura tiene claro la visión de TI y las actividades que se requieren para cumplirlo.
OPORTUNIDADES:
- Involucramiento del líder de este proceso en las reuniones del comité directivo de la entidad para fortalecer las decisiones en el marco tecnológico.
- Brindar formaciones a los integrantes del equipo de este proceso.
- Lograr convenios con MinTics para fortalecer las capacidades del talento humano involucrado en el proceso.</t>
  </si>
  <si>
    <t>FORTALEZAS:
- Las divulgaciones se hacen de manera oportuna y clara. 
- Para las divulgaciones se crean campañas publicitarias donde por lo general se realizan de manera extensiva por el correo electrónico, las pantallas y adicionalmente se hacen de manera presencial esto para garantizar el impacto a la mayor cantidad de colaboradores posibles.
-Las herramientas de trabajo en cada y teletrabajo ya estaban implementadas, solo se requirió un proceso de apropiación.
OPORTUNIDADES:
- Generar mediciones de la satisfacción adicionales y acciones de mejora.
- Fortalecimiento de las comunicaciones entre este proceso, gestión de recursos físicos, gestión contractual, entre otros.
- Fortalecimiento de las comunicaciones entre EGTI y GSIT mediante la definición y adopción de la gestión del cambio y definición de acciones estratégicas.</t>
  </si>
  <si>
    <t xml:space="preserve">DEBILIDADES:
- Las limitaciones en la comunicación con gestión de recursos físicos.
AMENAZAS: 
- Los procesos por lo general no están atentos a este tipo de actividades.
</t>
  </si>
  <si>
    <t>FORTALEZAS
- Los activos de información están identificados, clasificados, valorados, controlados y se realiza el seguimiento pertinente. 
OPORTUNIDADES
- MINTIC ofrece guías para realizar la identificación, clasificación, valoración y  control de los activos de información.</t>
  </si>
  <si>
    <t>DEBILIDADES
- Actualización permanente de los activos de información
- Incorporación de la gestión de activos de información como una buena practica dentro de la cultura organizacional de la UAERM.
- Empoderamiento de TI en la gestión de activos de la información con la OAP.
- Debilidades en el trabajo cooperativo con las diferentes dependencias de la UAERMV.
AMENAZAS
- Incertidumbre en la inclusión de todos los activos de información dentro de los artefactos de seguridad .</t>
  </si>
  <si>
    <t>Ofrecer servicios de Tecnología de la  Información de calidad y oportunos, proporcionando soporte tecnológico y  soluciones efectivas a los requerimientos de los  procesos de la UAERMV .</t>
  </si>
  <si>
    <t>El proceso toma como punto de partida las diferentes necesidades de soporte tecnológico de la UAERMV, materializadas mediante solicitudes de servicio, se desarrolla a través de diferentes atenciones a la solicitudes y se finaliza al dar cierre a dichas solicitudes.</t>
  </si>
  <si>
    <t>Carencias en la asignación de permisos a los usuarios para ingresar al centro de computo.
Firmware desactualizado</t>
  </si>
  <si>
    <t>Equipo Biométrico DataCenter</t>
  </si>
  <si>
    <t>Analista Soporte Nivel II</t>
  </si>
  <si>
    <t>Bimensual</t>
  </si>
  <si>
    <t>Actualización de los usuarios autorizados y versión del dispositivo biométrico datacenter</t>
  </si>
  <si>
    <t>Pérdida de disponibilidad servicios de Directorio Activo</t>
  </si>
  <si>
    <t>1. Indisponibilidad de los servicios de red.
2. Daño físico de los equipos y redes de IT.
3. Hurto de equipos de propiedad o bajo custodia de la Entidad.</t>
  </si>
  <si>
    <t>Especialista Servidores</t>
  </si>
  <si>
    <t>Mensual</t>
  </si>
  <si>
    <t>Verificación Funcionamiento de Directorio Activo y Plataforma de Monitoreo</t>
  </si>
  <si>
    <t>Especialistas Servidores</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</si>
  <si>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y por consiguiente el ingreso de personal no autorizado al centro de datos para la solución del inconveniente, es decir, personal que no cuente con vinculación vigente (contrato) con la entidad, ocasionando posible pérdida de información.</t>
  </si>
  <si>
    <t>AMENAZAS:
- Sólo se cuenta con un colaborador de planta, lo que genera un riesgo de continuidad del proceso ante los cambios del entorno.</t>
  </si>
  <si>
    <t>1. UMVSVRDC01
Servidor AD Principal.
2. OCI-SRV-AD</t>
  </si>
  <si>
    <t>Pérdida de la disponibilidad de las herramientas de Office 365</t>
  </si>
  <si>
    <t>Office 365</t>
  </si>
  <si>
    <t>Cada 15 días</t>
  </si>
  <si>
    <t>Informar vía correo electrónico al Líder de infraestructura la novedad de retiro correspondiente del personal que administra plataformas tecnológicas.</t>
  </si>
  <si>
    <t>Correo Electrónico</t>
  </si>
  <si>
    <t>Supervisor de Contrato</t>
  </si>
  <si>
    <t>Trimestral</t>
  </si>
  <si>
    <t>Pérdida de la disponibilidad de acceso a los recursos de la red suministrados por el AD.</t>
  </si>
  <si>
    <t xml:space="preserve">1. UMVSVRDC03 
Servidor Respaldo AD Sede Operativa
2. UMVSVRDC04
Servidor Respaldo AD Sede Producción </t>
  </si>
  <si>
    <t>Especialista Nivel II</t>
  </si>
  <si>
    <t>Formulario de Estado de Servicios Tecnológicos</t>
  </si>
  <si>
    <t>Quincenal</t>
  </si>
  <si>
    <t>Migrar los roles FSMO al controlador AD alterno</t>
  </si>
  <si>
    <t>Especialistas de Servidores</t>
  </si>
  <si>
    <t>Fallas de conexión a la Base de Datos debido a problemas de conectividad ocasionados por degradación de IaaS y PaaS que almacenan el servicio GLPI.
Degradación del Sistema Operativo debido a las necesidades de capacidades de la herramienta.</t>
  </si>
  <si>
    <t>Posibilidad de Afectación Reputacional por Falla en el ingreso al aplicativo GLPI e Incumplimiento en los Acuerdo de Niveles de Servicio ocasionados por Fallas de conexión a la Base de Datos debido a problemas de conectividad ocasionados por degradación de IaaS y PaaS que almacenan el servicio GLPI y por la degradación del Sistema Operativo debido a las necesidades de capacidades de la herramienta.</t>
  </si>
  <si>
    <t xml:space="preserve">Mal funcionamiento del software </t>
  </si>
  <si>
    <t>Verificar funcionamiento de la copia de seguridad realizada</t>
  </si>
  <si>
    <t>Especialista Gestor Herramienta GLPI</t>
  </si>
  <si>
    <t>Especialista Gestor Herramienta GLPI (BD)
/
 Especialistas Servidores (Maquina Virtual)</t>
  </si>
  <si>
    <t>Perdida de la Disponibilidad por Falla en el ingreso de los servicios de red y aplicaciones misionales y de apoyo</t>
  </si>
  <si>
    <t>Equipos de Seguridad Perimetral</t>
  </si>
  <si>
    <t xml:space="preserve">Fallas del equipo 
Mal funcionamiento del software 
Incumplimiento en el mantenimiento del sistema de información. </t>
  </si>
  <si>
    <t>Especialista Seguridad Informática</t>
  </si>
  <si>
    <t>Formato de Ejecución de Mantenimientos a Sistemas Eléctricos.</t>
  </si>
  <si>
    <t>Semestral</t>
  </si>
  <si>
    <t>Solicitar a proveedor el cambio del dispositivo afectado.</t>
  </si>
  <si>
    <t>Correo Electrónico Gerente de Sede.</t>
  </si>
  <si>
    <t>Especialista Seguridad Informática 
/
 Líder Infraestructura</t>
  </si>
  <si>
    <t>Especialistas en Servidores</t>
  </si>
  <si>
    <t>Reporte del Estado de los Servicios de Oracle Cloud</t>
  </si>
  <si>
    <t>Ticket Oracle Cloud
/
Formato Control de Cambios</t>
  </si>
  <si>
    <t>Especialistas Servidores
/
Líder de Infraestructura</t>
  </si>
  <si>
    <t>Reporte de Listado de Backup disponibles en Plataforma Oracle Cloud.</t>
  </si>
  <si>
    <t>1. GLPI
2. CI_GLPI_Test</t>
  </si>
  <si>
    <t>1. OCI-FILESRV
2. SpiceWork</t>
  </si>
  <si>
    <t>Realizar seguimiento a las actualizaciones del Sistema operativo del Servidor disponibles en plataforma Microsoft.</t>
  </si>
  <si>
    <t>Realizar monitoreo de la ejecución de las tareas de backup programadas en Oracle Cloud.</t>
  </si>
  <si>
    <t>Realizar monitoreo del Estado de los Servicios Oracle Cloud</t>
  </si>
  <si>
    <t>Realizar monitoreo del Funcionamiento del AD</t>
  </si>
  <si>
    <t>Realizar reporte del Estado de Disponibilidad del Servicio AD</t>
  </si>
  <si>
    <t>Realizar monitoreo trimestral de usuarios con privilegios</t>
  </si>
  <si>
    <t xml:space="preserve">Realizar monitoreo sobre cada 15 días sobre el Funcionamiento de Office 365 </t>
  </si>
  <si>
    <t>Realizar monitoreo Mensual del Funcionamiento del AD</t>
  </si>
  <si>
    <t>Realizar monitoreo Mensual del funcionamiento de la plataforma Pandora.</t>
  </si>
  <si>
    <t>Realizar monitoreo Mensual del servidor del AD</t>
  </si>
  <si>
    <t>Realizar monitoreo Bimensual de las notas de versión del dispositivo Biométrico datacenter.</t>
  </si>
  <si>
    <t xml:space="preserve">DEBILIDADES:
- Ausencia de procedimientos relacionados con gestión de la capacidad y disponibilidad.
- Ausencia de equipos para soportar la gestión de la disponibilidad.
- Ausencia de un procedimiento de gestión de proveedores de TI.
AMENAZAS:
- El proceso de Talento Humano no realiza proceso de inducción y reinducción donde presenten los servicios del proceso.
- El Procedimiento Gestión Credenciales y Novedades requiere una fuerte articulación con procesos tales como: gestión del talento humano, Gestión contractual y gestión jurídica. de no lograrse este no se desarrollará apropiadamente. </t>
  </si>
  <si>
    <t>ANÁLISIS</t>
  </si>
  <si>
    <t>Pérdida de información por ingreso de personal no autorizado al centro de cómputo</t>
  </si>
  <si>
    <t xml:space="preserve">
Posibilidad de Afectación Reputacional por pérdida de información por ingreso de personal no autorizado al centro de cómputo debido a Carencias en la asignación de permisos a los usuarios para ingresar al centro de computo y Firmware desactualizado</t>
  </si>
  <si>
    <t>Mal funcionamiento del software</t>
  </si>
  <si>
    <t>Los Analistas de Mesa de ayuda designados por el Líder de Infraestructura, cada año o cuando ingrese o egrese un funcionario público y/o contratista con permisos de ingreso, deben verificar que el formato GSIT-FM-010-V2 Formato Gestión de Credenciales de Acceso y Novedades cumpla con los permisos correspondientes, para realizar el proceso de depuración de los usuarios con acceso al centro de cómputo; en caso de requerir el acceso a un tercero, debe solicitarse el permiso vía correo electrónico al Líder de Infraestructura el cual notificará a los Analistas, una vez se ingrese al centro de computo debe diligenciarse el formato GSIT-FM-003-V1 Bitácora Ingreso-Salida Centro Computo;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realizó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Líder de Infraestructura para que realiza los respectivos tramites ante el proveedor para su correctos solicitud de permisos</t>
  </si>
  <si>
    <t>Realizar monitoreo bimensual acceso autorizado al DC del biométrico datacenter.</t>
  </si>
  <si>
    <t>Bitácora de Infraestructura</t>
  </si>
  <si>
    <t>Los Analistas de Mesa de Ayuda, Cuatrimestral deben verificar las notas de la versión del firmware actual de los equipos biométricos de las sedes Administrativa y Operativa, comparándolas con las existentes en el sitio web oficial del fabricante, mediante el diligenciamiento de la bitácora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actualización del dispositivo. 
La evidencia de esta actividad es el diligenciamiento de la bitácora de Seguimiento de Infraestructura, las notas de la versión, correo electrónico  y el plan de actualización cuando aplique.</t>
  </si>
  <si>
    <t>Daños Físicos en los equipos que se pueden presentar por Falta de mantenimiento físico preventivo, desgaste natural de los componentes electrónicos, Fallos en el circuito eléctrico 
Corrupción o deterioro del sistema operativo que pueden ocasionando daños en la Configuración del servidor o en las base de datos del directorio activo.</t>
  </si>
  <si>
    <t xml:space="preserve">
Posibilidad de Afectación de pérdida Reputacional  y económico por Pérdida de disponibilidad servicios del Directorio Activo debido a Daños Físicos en los equipos que se pueden presentar por Falta de mantenimiento físico preventivo, desgaste natural de los componentes electrónicos, Fallos en el circuito eléctrico y por Corrupción o deterioro del sistema operativo que pueden ocasiones daños en la Configuración del servidor o en las base de datos del directorio activo.</t>
  </si>
  <si>
    <t xml:space="preserve">     El riesgo afecta la imagen de la entidad internamente, de conocimiento general, nivel interno, de junta directiva y accionistas y/o de proveedores</t>
  </si>
  <si>
    <t>El Líder del grupo de infraestructura designado por la Secretaria General junto con el grupo de infraestructura cada  cuatro meses debe revisar el cumplimiento al plan de mantenimiento anual donde se incluye el mantenimiento a los servidores físicos, diligenciando la bitácora de infraestructura, en caso que no se cumpla el plan de mantenimiento este se escalara al líder de infraestructura vía correo electrónico, quien dará las instrucciones a seguir a fin de garantizar el correcto funcionamiento de los servidores, como evidencia de esta actividad quedara el registro en la bitácora de infraestructura, los correos electrónicos cuando aplique, el informe de mantenimiento, el plan de mantenimiento.</t>
  </si>
  <si>
    <t>El especialista de servidores debe revisar semanalmente el estado de los controladores de dominio por medio de la herramienta tecnológica de monitoreo  la evidencia de este control esta definida en los informes semanales del proceso.
En caso de alerta de la herramienta se informa al líder de infraestructura vía correo electrónico y se inicia prueba de conectividad y soporte en sitio.
Como evidencia de esta actividad quedará los informes semanales del proceso y correo electrónico cuando aplique.</t>
  </si>
  <si>
    <t>Los especialistas de Servidores designados por la Secretaria General, trimestralmente deberán verificar el funcionamiento del servidor de directorio activo  realizando un mantenimiento lógico preventivo (desfragmentación de disco, limpieza de archivos temporales, verificación e instalación de actualizaciones), diligenciando la Bitácora de infraestructura, en caso que el mantenimiento evidencie un mal funcionamiento en los servicios, se procederá a realizar un backup del directorio activo y se escala vía correo electrónico al líder de infraestructura la novedad, como evidencia de esta actividad quedan el registro en la bitácora de infraestructura, el backup del directorio activo y correo electrónico cuando aplique.</t>
  </si>
  <si>
    <t xml:space="preserve">Fallos internos en la plataforma del proveedor (Microsoft) que afectan los servicios prestados por el proveedor.
Accesos no autorizados con privilegios de administrador, que modifiquen las configuraciones de la herramienta y ocasionen indisponibilidad del servicio.
</t>
  </si>
  <si>
    <t xml:space="preserve">
Posibilidad de afectación Reputacional  y económico por
Pérdida de la disponibilidad de las herramientas de Office 365
que se pueden presentar por Fallos internos en la plataforma del proveedor (Microsoft) que afectan los servicios prestados por el proveedor y por accesos no autorizados con privilegios de administrador, que modifiquen las configuraciones de la herramienta y ocasionen indisponibilidad del servicio.</t>
  </si>
  <si>
    <t>Incumplimiento al Mantenimiento de la infraestructura cloud.</t>
  </si>
  <si>
    <t>Los especialistas de servidores mensualmente deben verificar que los servicios prestados por el proveedor Microsoft se encuentren disponibles diligenciando la bitácora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</si>
  <si>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 xml:space="preserve">El líder del grupo de infraestructura designado por la Secretaria General, junto con el equipo de infraestructura, cada cuatro meses debe realizar el proceso de verificación y depuración de los usuarios que tienen acceso a las plataformas Oracle Cloud Infrastructure y Office 365, de acuerdo a la fecha de finalización de contrato cotejando con el directorio activo, En el caso de encontrar usuarios retirados de la compañía pero con acceso vigente a las plataformas se deberá eliminar inmediatamente la cuenta de usuario; de este proceso resultará la bitácora de seguimiento de infraestructura donde se especifica los roles y perfiles de los colaboradores y el rango de tiempo en los cuales tendrán acceso, esto con el fin de garantizar la seguridad en el acceso en las plataformas. </t>
  </si>
  <si>
    <t>Fallas en la prestación de servicio de Internet debido a daños ocasionados en la infraestructura física.
Degradación del servicio AD, debido a fallas en el sistema operativo que impiden el logueo de los usuarios
Fallas en la prestación del servicio eléctrico debido a daños ocasionado en la infraestructura física</t>
  </si>
  <si>
    <t>Posibilidad de Afectación Económica y Reputacional, por Pérdida de la disponibilidad de accesos a los recursos de la red, suministrados por el AD, ocasionados por Fallas en la prestación de servicio de Internet por parte del proveedor, debido a daños ocasionados en la infraestructura física, debido a Fallas físicas en los switch de borde, debido a daños en los componentes electrónicos que impiden la conectividad entre los dispositivos y debido a Fallas en la prestación del servicio eléctrico debido a daños ocasionado en la infraestructura física</t>
  </si>
  <si>
    <t>Incumplimiento al Mantenimiento de la infraestructura tecnológica de la entidad por parte del proveedor FAMOC.</t>
  </si>
  <si>
    <t xml:space="preserve">     El riesgo afecta la imagen de  la entidad con efecto publicitario sostenido a nivel de sector administrativo, nivel departamental o municipal</t>
  </si>
  <si>
    <t>El especialista Nivel II diariamente debe verificar el estado de disponibilidad de los AD de las Sedes, a través del diligenciamiento del Formulario de Estado de Servicios Tecnológicos. En caso de presentarse, indisponibilidad del servicio, se notifica al equipo de infraestructura vía correo electrónico quienes verificarán la causa del inconveniente por medio de un diagnóstico, a través del diligenciamiento del Formulario de Estado de Servicios Tecnológicos y del formato de Control de Cambios en caso de ser necesario.
Como evidencia de esta actividad, resultará Formulario de Estado de Servicios Tecnológicos. Correo electrónico y Formato de Control de Cambios en caso de ser necesario.</t>
  </si>
  <si>
    <t>Bitácora de Infraestructura
/
Formato Control de Cambios</t>
  </si>
  <si>
    <t>Perdida de la Disponibilidad por Falla en el ingreso al aplicativo GLPI e Incumplimiento en los Acuerdo de Niveles de Servicio</t>
  </si>
  <si>
    <t>El especialista Gestor Herramienta GLPI designado por la Secretaria General, semanalmente debe verificar que se este realizando la copia de seguridad de la base de datos (mySql) de la herramienta GLPI desde la consola de mysql diligenciando la bitácora de infraestructura, en caso de evidenciar que no se este realizando la copia se deberá realizar un backup de manera manual y escalar al líder de infraestructura mediante correo electrónico quien dará las instrucciones a seguir a fin de garantizar el correcto funcionamiento de los servidores, como evidencia de esta actividad se tomara el screenshot de la consola y de la ruta donde se almacenan los backup.</t>
  </si>
  <si>
    <t>Restaurar BD y/o imagen de Maquina Virtual del Servicio GLPI</t>
  </si>
  <si>
    <t>Los especialistas en servidores designados por la Secretaria General a través de la plataforma de administración de Oracle cloud Mensualmente deben verificar que se estén ejecutándolas tareas de copias de seguridad de la maquina virtual (S.O) y sus discos adjuntos de acuerdo a las políticas de backup establecidas en  la plataforma diligenciando la bitácora de infraestructura,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</si>
  <si>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 xml:space="preserve">
Fallas en la prestación del servicio eléctrico debido a daños ocasionado en la infraestructura física.
Deterioro del software y/o hardware debido a la falta de mantenimiento de los dispositivos y/o por actualizaciones de su firmware.
</t>
  </si>
  <si>
    <t>Posibilidad de afectación Económica y Reputacional, por Pérdida de la disponibilidad debido a la Falla en el ingreso de los servicios de red y aplicaciones misionales y de apoyo, ocasionados por las Fallas en la prestación del servicio eléctrico presentado por daños en la infraestructura física y por el Deterioro del software y/o hardware debido a la falta de mantenimiento de los dispositivos y/o por actualizaciones de firmware.</t>
  </si>
  <si>
    <t>El especialista de seguridad informática, cada vez que ocurra el evento se debe revisar los logs de los equipos de seguridad perimetral para verificar que los apagados no controlados no causaron daños en estos, diligenciando la bitácora "Seguimiento de estado de equipos de seguridad perimetral".
En caso de presentarse alguna alerta de apagado no controlado y/o daño de los equipos de seguridad perimetral, se debe notificar vía correo electrónico al líder de infraestructura para que realice el escalamiento pertinente.
Las evidencia de esta actividad es el diligenciamiento de la bitácora "Seguimiento de estado de equipos de seguridad perimetral", los logs de los equipos de seguridad perimetral y los correos de notificación de escalamiento del evento cuando aplique.</t>
  </si>
  <si>
    <t>Realizar seguimiento el mantenimiento del sistema eléctrico del centro de datos donde se almacenan los dispositivos de seguridad perimetral</t>
  </si>
  <si>
    <t>El especialista de seguridad informática, cada cuatro meses (4) meses debe verificar las notas de la versión del firmware actual de los equipos de seguridad perimetral comparándolas con las existentes en el sitio web oficial del fabricante mediante el diligenciamiento de la bitácora "seguimiento de actualización de firmware de equipos perimetrales",  en caso de existir nuevas versiones se realizará el plan de trabajo para la actualización del dispositivo. 
La evidencia de esta actividad es el diligenciamiento de la bitácora "seguimiento de actualización de firmware de equipos perimetrales", las notas de la versión y el plan de actualización cuando se ejecute.</t>
  </si>
  <si>
    <t xml:space="preserve">El líder técnico de grupo de infraestructura tecnológica designado por la Secretaria General, cada vez que se realice un cambio en la infraestructura tecnológica debe validar lo dispuesto en EGTI-DI-006 Política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</si>
  <si>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informática cada seis (6) meses debe verificar el End of Support (EoS) en la pagina web del fabricante determinando el estado de este, diligenciando la bitácora  "Seguimiento de estado de equipos de seguridad perimetral"; y cada vez que se deba realizar una compra de un elemento de la infraestructura tecnológica, deberá realizar una ficha técnica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vía correo electrónico, para su respectivo escalamiento, por otra parte, en caso que el elemento de infraestructura requerido supere el presupuesto disponible, se debe incluir en el plan de adquisiciones de la próxima vigencia. 
La evidencia de la actividad del EoS es el diligenciamiento de la bitácora "Seguimiento de estado de equipos de seguridad perimetral" y notificaciones vía correos electrónicos cuando aplique.
La evidencia de la actividad adquisición de elementos de infraestructura es la ficha técnica del elemento y el plan de adquisiciones cuando aplique.</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</si>
  <si>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según lo programado, se escala al Líder de Infraestructura vía correo electrónico la no ejecución, quien tomará las acciones correspondientes.
Evidencia: Hoja de Vida de Equipos Activos de Red, Plan de Mantenimiento, correo electrónico cuando aplique.</t>
  </si>
  <si>
    <t>Pérdida de la disponibilidad de los documentos de las áreas operativas.</t>
  </si>
  <si>
    <t>Falla en la conectividad de red, debido a inconvenientes internos por parte del proveedor (ORACLE).
Degradación del sistema operativo del servidor debido a actualizaciones no testeadas previamente.</t>
  </si>
  <si>
    <t>Posibilidad de Afectación Económica y Reputacional por Pérdida de la disponibilidad de los documentos de las áreas operativas, ocasionados por Falla en la conectividad de red, debido a inconvenientes internos por parte del proveedor (ORACLE) y/o por degradación del sistema operativo del servidor debido a actualizaciones no testeadas previamente.</t>
  </si>
  <si>
    <t>Los especialistas de servidores mensualmente deben verificar que los servicios prestados por el proveedor Oracle se encuentren disponibles diligenciando la bitácora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Bitácora de Seguimiento de Infraestructura, Solicitud de Servicio cuando aplique y correo electrónico cuando aplique.</t>
  </si>
  <si>
    <t>Escalar el caso a Oracle por perdida de disponibilidad en los servicios
/
Restablecer última copia de seguridad del servidor</t>
  </si>
  <si>
    <t>Los especialistas en servidores designados por la Secretaria General, mensualmente  deben verificar que se estén realizando las copias de seguridad de las maquinas que están en la plataforma Oracle cloud mediante el diligenciamiento de la bitácora de infraestructura , en caso de evidenciar que no se ejecuto el backup programado, se deberá realizar inmediatamente la copia y el escalamiento correspondiente al proveedor de servicio mediante la plataforma service request, como evidencia de esta actividad se tiene bitácora de infraestructura, el escalamiento al proveedor del servicio cuando aplique.</t>
  </si>
  <si>
    <t>Los especialistas en servidores, mensualmente deben verificar las actualizaciones disponibles del sistemas operativo del servidor en la plataforma Microsoft a través del  diligenciamiento de la Bitácora de Infraestructura de las pruebas en el servidor WSUS. En caso de presentar inconsistencias en la actualización, se escalará al Líder de Infraestructura el inconveniente quien dará las instrucciones correspondientes.
Evidencia: Bitácora de Infraestructura, Correo electrónico cuando aplique.</t>
  </si>
  <si>
    <t>ACCIÓN DE CONTINGENCIA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</si>
</sst>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89"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601">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4" fillId="0" borderId="85" xfId="0" applyFont="1" applyBorder="1"/>
    <xf numFmtId="0" fontId="70" fillId="0" borderId="85" xfId="0" applyFont="1" applyBorder="1"/>
    <xf numFmtId="0" fontId="59" fillId="0" borderId="86" xfId="0" applyFont="1" applyBorder="1"/>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62" fillId="0" borderId="34" xfId="0" applyFont="1" applyBorder="1" applyAlignment="1">
      <alignment horizontal="left" vertical="center" wrapText="1"/>
    </xf>
    <xf numFmtId="0" fontId="61" fillId="0" borderId="119" xfId="0" applyFont="1" applyBorder="1" applyAlignment="1">
      <alignment horizontal="left" vertical="center" wrapText="1"/>
    </xf>
    <xf numFmtId="0" fontId="64" fillId="0" borderId="85" xfId="0" applyFont="1" applyBorder="1" applyAlignment="1">
      <alignment vertical="center" wrapText="1"/>
    </xf>
    <xf numFmtId="0" fontId="82" fillId="0" borderId="90" xfId="0" applyFont="1" applyBorder="1" applyAlignment="1">
      <alignment horizontal="center" vertical="center"/>
    </xf>
    <xf numFmtId="0" fontId="82" fillId="0" borderId="90" xfId="0" applyFont="1" applyBorder="1" applyAlignment="1" applyProtection="1">
      <alignment horizontal="justify" vertical="center" wrapText="1"/>
      <protection locked="0"/>
    </xf>
    <xf numFmtId="0" fontId="82" fillId="0" borderId="90" xfId="0" applyFont="1" applyBorder="1" applyAlignment="1" applyProtection="1">
      <alignment horizontal="center" vertical="center"/>
      <protection hidden="1"/>
    </xf>
    <xf numFmtId="0" fontId="82" fillId="0" borderId="90" xfId="0" applyFont="1" applyBorder="1" applyAlignment="1" applyProtection="1">
      <alignment horizontal="center" vertical="center" textRotation="90"/>
      <protection locked="0"/>
    </xf>
    <xf numFmtId="9" fontId="82" fillId="0" borderId="90" xfId="0" applyNumberFormat="1" applyFont="1" applyBorder="1" applyAlignment="1" applyProtection="1">
      <alignment horizontal="center" vertical="center"/>
      <protection hidden="1"/>
    </xf>
    <xf numFmtId="165" fontId="82" fillId="0" borderId="90" xfId="1" applyNumberFormat="1" applyFont="1" applyBorder="1" applyAlignment="1">
      <alignment horizontal="center" vertical="center"/>
    </xf>
    <xf numFmtId="0" fontId="83" fillId="0" borderId="90" xfId="0" applyFont="1" applyBorder="1" applyAlignment="1" applyProtection="1">
      <alignment horizontal="center" vertical="center" textRotation="90" wrapText="1"/>
      <protection hidden="1"/>
    </xf>
    <xf numFmtId="0" fontId="83" fillId="0" borderId="90" xfId="0" applyFont="1" applyBorder="1" applyAlignment="1" applyProtection="1">
      <alignment horizontal="center" vertical="center" textRotation="90"/>
      <protection hidden="1"/>
    </xf>
    <xf numFmtId="0" fontId="82" fillId="0" borderId="90" xfId="0" applyFont="1" applyBorder="1" applyAlignment="1" applyProtection="1">
      <alignment horizontal="center" vertical="center" textRotation="90" wrapText="1"/>
      <protection locked="0"/>
    </xf>
    <xf numFmtId="0" fontId="82" fillId="0" borderId="90" xfId="0" applyFont="1" applyBorder="1" applyAlignment="1" applyProtection="1">
      <alignment horizontal="center" vertical="center" wrapText="1"/>
      <protection locked="0"/>
    </xf>
    <xf numFmtId="14" fontId="82" fillId="0" borderId="90" xfId="0" applyNumberFormat="1" applyFont="1" applyBorder="1" applyAlignment="1" applyProtection="1">
      <alignment horizontal="center" vertical="center"/>
      <protection locked="0"/>
    </xf>
    <xf numFmtId="0" fontId="82" fillId="0" borderId="0" xfId="0" applyFont="1" applyAlignment="1">
      <alignment vertical="center"/>
    </xf>
    <xf numFmtId="0" fontId="82" fillId="0" borderId="90" xfId="0" applyFont="1" applyBorder="1" applyAlignment="1" applyProtection="1">
      <alignment horizontal="justify" vertical="top" wrapText="1"/>
      <protection locked="0"/>
    </xf>
    <xf numFmtId="0" fontId="82" fillId="0" borderId="90" xfId="0" applyFont="1" applyBorder="1" applyAlignment="1" applyProtection="1">
      <alignment horizontal="justify" vertical="center"/>
      <protection locked="0"/>
    </xf>
    <xf numFmtId="0" fontId="82" fillId="0" borderId="90" xfId="0" applyFont="1" applyBorder="1" applyAlignment="1" applyProtection="1">
      <alignment horizontal="center" vertical="center"/>
      <protection locked="0"/>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left"/>
    </xf>
    <xf numFmtId="0" fontId="73" fillId="0" borderId="0" xfId="0" applyFont="1" applyBorder="1" applyAlignment="1">
      <alignment horizontal="left"/>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2" fillId="3" borderId="68" xfId="0" applyFont="1" applyFill="1" applyBorder="1" applyAlignment="1">
      <alignment horizontal="left" vertical="center" wrapText="1"/>
    </xf>
    <xf numFmtId="0" fontId="62" fillId="3" borderId="72" xfId="0" applyFont="1" applyFill="1" applyBorder="1" applyAlignment="1">
      <alignment horizontal="left" vertical="center" wrapText="1"/>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2" fillId="0" borderId="105" xfId="0" applyFont="1" applyBorder="1" applyAlignment="1" applyProtection="1">
      <alignment horizontal="center" vertical="center" wrapText="1"/>
      <protection locked="0"/>
    </xf>
    <xf numFmtId="0" fontId="82" fillId="0" borderId="90" xfId="0" applyFont="1" applyFill="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protection locked="0"/>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Border="1" applyAlignment="1" applyProtection="1">
      <alignment horizontal="center" vertical="center" wrapText="1"/>
      <protection locked="0"/>
    </xf>
    <xf numFmtId="9" fontId="82" fillId="0" borderId="90" xfId="0" applyNumberFormat="1" applyFont="1" applyBorder="1" applyAlignment="1" applyProtection="1">
      <alignment horizontal="center" vertical="center" wrapText="1"/>
      <protection hidden="1"/>
    </xf>
    <xf numFmtId="0" fontId="83" fillId="0" borderId="90" xfId="0" applyFont="1" applyBorder="1" applyAlignment="1" applyProtection="1">
      <alignment horizontal="center" vertical="center" wrapText="1"/>
      <protection hidden="1"/>
    </xf>
    <xf numFmtId="0" fontId="83" fillId="0" borderId="90" xfId="0" applyFont="1" applyBorder="1" applyAlignment="1" applyProtection="1">
      <alignment horizontal="center" vertical="center"/>
      <protection hidden="1"/>
    </xf>
    <xf numFmtId="0" fontId="82" fillId="0" borderId="91" xfId="0" applyFont="1" applyBorder="1" applyAlignment="1" applyProtection="1">
      <alignment horizontal="center" vertical="center"/>
      <protection locked="0"/>
    </xf>
    <xf numFmtId="0" fontId="82" fillId="0" borderId="105" xfId="0" applyFont="1" applyBorder="1" applyAlignment="1" applyProtection="1">
      <alignment horizontal="center" vertical="center"/>
      <protection locked="0"/>
    </xf>
    <xf numFmtId="0" fontId="82" fillId="0" borderId="92" xfId="0" applyFont="1" applyBorder="1" applyAlignment="1" applyProtection="1">
      <alignment horizontal="center" vertical="center"/>
      <protection locked="0"/>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3" fillId="0" borderId="90" xfId="0" applyFont="1" applyBorder="1" applyAlignment="1">
      <alignment horizontal="center" vertical="center"/>
    </xf>
    <xf numFmtId="0" fontId="83" fillId="16" borderId="90" xfId="0" applyFont="1" applyFill="1" applyBorder="1" applyAlignment="1">
      <alignment horizontal="center" vertical="center" textRotation="90"/>
    </xf>
    <xf numFmtId="0" fontId="82" fillId="0" borderId="90" xfId="0" applyFont="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3" fillId="0" borderId="90" xfId="0" applyFont="1" applyFill="1" applyBorder="1" applyAlignment="1">
      <alignment horizontal="center" vertical="center"/>
    </xf>
    <xf numFmtId="0" fontId="83" fillId="0" borderId="90" xfId="0" applyFont="1" applyFill="1" applyBorder="1" applyAlignment="1" applyProtection="1">
      <alignment horizontal="center" vertical="center" wrapText="1"/>
      <protection hidden="1"/>
    </xf>
    <xf numFmtId="9" fontId="82" fillId="0" borderId="90" xfId="0" applyNumberFormat="1" applyFont="1" applyFill="1" applyBorder="1" applyAlignment="1" applyProtection="1">
      <alignment horizontal="center" vertical="center" wrapText="1"/>
      <protection hidden="1"/>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protection hidden="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02"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110"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82" fillId="0" borderId="90" xfId="0" applyFont="1" applyFill="1" applyBorder="1" applyAlignment="1" applyProtection="1">
      <alignment horizontal="justify" vertical="center"/>
      <protection locked="0"/>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5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4</xdr:col>
      <xdr:colOff>7834312</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de%20Riesgos%20GSI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ery%20Garcia\Downloads\Mapa%20de%20Riesgos%20G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DOFA "/>
      <sheetName val="Revisión DOFA"/>
      <sheetName val="Mapa riesgos"/>
      <sheetName val="Matriz Calor Inherente"/>
      <sheetName val="Matriz Calor Residual"/>
      <sheetName val="Tabla probabilidad"/>
      <sheetName val="Tabla Impacto"/>
      <sheetName val="Impacto Corrupción "/>
      <sheetName val="Tipo de riesgos"/>
      <sheetName val="Amenazas"/>
      <sheetName val="Ejemplos de riesgos"/>
      <sheetName val="Tabla Valoración controles"/>
      <sheetName val="Opciones Tratamiento"/>
      <sheetName val="Hoja1"/>
    </sheetNames>
    <sheetDataSet>
      <sheetData sheetId="0"/>
      <sheetData sheetId="1"/>
      <sheetData sheetId="2"/>
      <sheetData sheetId="3"/>
      <sheetData sheetId="4"/>
      <sheetData sheetId="5"/>
      <sheetData sheetId="6"/>
      <sheetData sheetId="7">
        <row r="12">
          <cell r="C12" t="str">
            <v xml:space="preserve">     Afectación menor a 130 SMLMV .</v>
          </cell>
          <cell r="D12" t="str">
            <v xml:space="preserve">     El riesgo afecta la imagen de alguna área de la organización</v>
          </cell>
        </row>
        <row r="13">
          <cell r="C13" t="str">
            <v xml:space="preserve">     Entre 130 y 650 SMLMV </v>
          </cell>
          <cell r="D13" t="str">
            <v xml:space="preserve">     El riesgo afecta la imagen de la entidad internamente, de conocimiento general, nivel interno, de junta dircetiva y accionistas y/o de provedores</v>
          </cell>
        </row>
        <row r="14">
          <cell r="C14" t="str">
            <v xml:space="preserve">     Entre 650 y 1300 SMLMV </v>
          </cell>
          <cell r="D14" t="str">
            <v xml:space="preserve">     El riesgo afecta la imagen de la entidad con algunos usuarios de relevancia frente al logro de los objetivos</v>
          </cell>
        </row>
        <row r="15">
          <cell r="C15" t="str">
            <v xml:space="preserve">     Entre 1300 y 6500 SMLMV </v>
          </cell>
          <cell r="D15" t="str">
            <v xml:space="preserve">     El riesgo afecta la imagen de de la entidad con efecto publicitario sostenido a nivel de sector administrativo, nivel departamental o municipal</v>
          </cell>
        </row>
        <row r="16">
          <cell r="C16" t="str">
            <v xml:space="preserve">     Mayor a 6500 SMLMV </v>
          </cell>
          <cell r="D16" t="str">
            <v xml:space="preserve">     El riesgo afecta la imagen de la entidad a nivel nacional, con efecto publicitarios sostenible a nivel país</v>
          </cell>
        </row>
        <row r="222">
          <cell r="B222" t="str">
            <v>Criterios</v>
          </cell>
        </row>
        <row r="223">
          <cell r="B223" t="str">
            <v>Afectación Económica o presupuestal</v>
          </cell>
        </row>
        <row r="224">
          <cell r="B224" t="str">
            <v>Pérdida Reputacional</v>
          </cell>
          <cell r="F224" t="str">
            <v>❌</v>
          </cell>
        </row>
      </sheetData>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nazas"/>
      <sheetName val="Tipo de riesgos"/>
      <sheetName val="Opciones Tratamiento"/>
      <sheetName val="Tabla Impacto"/>
      <sheetName val="Tabla Valoración controles"/>
    </sheetNames>
    <sheetDataSet>
      <sheetData sheetId="0" refreshError="1"/>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74" t="s">
        <v>0</v>
      </c>
      <c r="C2" s="275"/>
      <c r="D2" s="275"/>
      <c r="E2" s="275"/>
      <c r="F2" s="275"/>
      <c r="G2" s="275"/>
      <c r="H2" s="276"/>
    </row>
    <row r="3" spans="2:8" x14ac:dyDescent="0.3">
      <c r="B3" s="67"/>
      <c r="C3" s="68"/>
      <c r="D3" s="68"/>
      <c r="E3" s="68"/>
      <c r="F3" s="68"/>
      <c r="G3" s="68"/>
      <c r="H3" s="69"/>
    </row>
    <row r="4" spans="2:8" ht="63" customHeight="1" x14ac:dyDescent="0.3">
      <c r="B4" s="277" t="s">
        <v>1</v>
      </c>
      <c r="C4" s="278"/>
      <c r="D4" s="278"/>
      <c r="E4" s="278"/>
      <c r="F4" s="278"/>
      <c r="G4" s="278"/>
      <c r="H4" s="279"/>
    </row>
    <row r="5" spans="2:8" ht="63" customHeight="1" x14ac:dyDescent="0.3">
      <c r="B5" s="280"/>
      <c r="C5" s="281"/>
      <c r="D5" s="281"/>
      <c r="E5" s="281"/>
      <c r="F5" s="281"/>
      <c r="G5" s="281"/>
      <c r="H5" s="282"/>
    </row>
    <row r="6" spans="2:8" x14ac:dyDescent="0.3">
      <c r="B6" s="283" t="s">
        <v>2</v>
      </c>
      <c r="C6" s="284"/>
      <c r="D6" s="284"/>
      <c r="E6" s="284"/>
      <c r="F6" s="284"/>
      <c r="G6" s="284"/>
      <c r="H6" s="285"/>
    </row>
    <row r="7" spans="2:8" ht="95.25" customHeight="1" x14ac:dyDescent="0.3">
      <c r="B7" s="293" t="s">
        <v>3</v>
      </c>
      <c r="C7" s="294"/>
      <c r="D7" s="294"/>
      <c r="E7" s="294"/>
      <c r="F7" s="294"/>
      <c r="G7" s="294"/>
      <c r="H7" s="295"/>
    </row>
    <row r="8" spans="2:8" x14ac:dyDescent="0.3">
      <c r="B8" s="101"/>
      <c r="C8" s="102"/>
      <c r="D8" s="102"/>
      <c r="E8" s="102"/>
      <c r="F8" s="102"/>
      <c r="G8" s="102"/>
      <c r="H8" s="103"/>
    </row>
    <row r="9" spans="2:8" ht="16.5" customHeight="1" x14ac:dyDescent="0.3">
      <c r="B9" s="286" t="s">
        <v>4</v>
      </c>
      <c r="C9" s="287"/>
      <c r="D9" s="287"/>
      <c r="E9" s="287"/>
      <c r="F9" s="287"/>
      <c r="G9" s="287"/>
      <c r="H9" s="288"/>
    </row>
    <row r="10" spans="2:8" ht="44.25" customHeight="1" x14ac:dyDescent="0.3">
      <c r="B10" s="286"/>
      <c r="C10" s="287"/>
      <c r="D10" s="287"/>
      <c r="E10" s="287"/>
      <c r="F10" s="287"/>
      <c r="G10" s="287"/>
      <c r="H10" s="288"/>
    </row>
    <row r="11" spans="2:8" ht="15" thickBot="1" x14ac:dyDescent="0.35">
      <c r="B11" s="90"/>
      <c r="C11" s="93"/>
      <c r="D11" s="98"/>
      <c r="E11" s="99"/>
      <c r="F11" s="99"/>
      <c r="G11" s="100"/>
      <c r="H11" s="94"/>
    </row>
    <row r="12" spans="2:8" ht="15" thickTop="1" x14ac:dyDescent="0.3">
      <c r="B12" s="90"/>
      <c r="C12" s="289" t="s">
        <v>5</v>
      </c>
      <c r="D12" s="290"/>
      <c r="E12" s="291" t="s">
        <v>6</v>
      </c>
      <c r="F12" s="292"/>
      <c r="G12" s="93"/>
      <c r="H12" s="94"/>
    </row>
    <row r="13" spans="2:8" ht="35.25" customHeight="1" x14ac:dyDescent="0.3">
      <c r="B13" s="90"/>
      <c r="C13" s="296" t="s">
        <v>7</v>
      </c>
      <c r="D13" s="297"/>
      <c r="E13" s="298" t="s">
        <v>8</v>
      </c>
      <c r="F13" s="299"/>
      <c r="G13" s="93"/>
      <c r="H13" s="94"/>
    </row>
    <row r="14" spans="2:8" ht="17.25" customHeight="1" x14ac:dyDescent="0.3">
      <c r="B14" s="90"/>
      <c r="C14" s="296" t="s">
        <v>9</v>
      </c>
      <c r="D14" s="297"/>
      <c r="E14" s="298" t="s">
        <v>10</v>
      </c>
      <c r="F14" s="299"/>
      <c r="G14" s="93"/>
      <c r="H14" s="94"/>
    </row>
    <row r="15" spans="2:8" ht="19.5" customHeight="1" x14ac:dyDescent="0.3">
      <c r="B15" s="90"/>
      <c r="C15" s="296" t="s">
        <v>11</v>
      </c>
      <c r="D15" s="297"/>
      <c r="E15" s="298" t="s">
        <v>12</v>
      </c>
      <c r="F15" s="299"/>
      <c r="G15" s="93"/>
      <c r="H15" s="94"/>
    </row>
    <row r="16" spans="2:8" ht="69.75" customHeight="1" x14ac:dyDescent="0.3">
      <c r="B16" s="90"/>
      <c r="C16" s="296" t="s">
        <v>13</v>
      </c>
      <c r="D16" s="297"/>
      <c r="E16" s="298" t="s">
        <v>14</v>
      </c>
      <c r="F16" s="299"/>
      <c r="G16" s="93"/>
      <c r="H16" s="94"/>
    </row>
    <row r="17" spans="2:8" ht="34.5" customHeight="1" x14ac:dyDescent="0.3">
      <c r="B17" s="90"/>
      <c r="C17" s="300" t="s">
        <v>15</v>
      </c>
      <c r="D17" s="301"/>
      <c r="E17" s="302" t="s">
        <v>16</v>
      </c>
      <c r="F17" s="303"/>
      <c r="G17" s="93"/>
      <c r="H17" s="94"/>
    </row>
    <row r="18" spans="2:8" ht="27.75" customHeight="1" x14ac:dyDescent="0.3">
      <c r="B18" s="90"/>
      <c r="C18" s="300" t="s">
        <v>17</v>
      </c>
      <c r="D18" s="301"/>
      <c r="E18" s="302" t="s">
        <v>18</v>
      </c>
      <c r="F18" s="303"/>
      <c r="G18" s="93"/>
      <c r="H18" s="94"/>
    </row>
    <row r="19" spans="2:8" ht="28.5" customHeight="1" x14ac:dyDescent="0.3">
      <c r="B19" s="90"/>
      <c r="C19" s="300" t="s">
        <v>19</v>
      </c>
      <c r="D19" s="301"/>
      <c r="E19" s="302" t="s">
        <v>20</v>
      </c>
      <c r="F19" s="303"/>
      <c r="G19" s="93"/>
      <c r="H19" s="94"/>
    </row>
    <row r="20" spans="2:8" ht="72.75" customHeight="1" x14ac:dyDescent="0.3">
      <c r="B20" s="90"/>
      <c r="C20" s="300" t="s">
        <v>21</v>
      </c>
      <c r="D20" s="301"/>
      <c r="E20" s="302" t="s">
        <v>22</v>
      </c>
      <c r="F20" s="303"/>
      <c r="G20" s="93"/>
      <c r="H20" s="94"/>
    </row>
    <row r="21" spans="2:8" ht="64.5" customHeight="1" x14ac:dyDescent="0.3">
      <c r="B21" s="90"/>
      <c r="C21" s="300" t="s">
        <v>23</v>
      </c>
      <c r="D21" s="301"/>
      <c r="E21" s="302" t="s">
        <v>24</v>
      </c>
      <c r="F21" s="303"/>
      <c r="G21" s="93"/>
      <c r="H21" s="94"/>
    </row>
    <row r="22" spans="2:8" ht="71.25" customHeight="1" x14ac:dyDescent="0.3">
      <c r="B22" s="90"/>
      <c r="C22" s="300" t="s">
        <v>25</v>
      </c>
      <c r="D22" s="301"/>
      <c r="E22" s="302" t="s">
        <v>26</v>
      </c>
      <c r="F22" s="303"/>
      <c r="G22" s="93"/>
      <c r="H22" s="94"/>
    </row>
    <row r="23" spans="2:8" ht="55.5" customHeight="1" x14ac:dyDescent="0.3">
      <c r="B23" s="90"/>
      <c r="C23" s="307" t="s">
        <v>27</v>
      </c>
      <c r="D23" s="308"/>
      <c r="E23" s="302" t="s">
        <v>28</v>
      </c>
      <c r="F23" s="303"/>
      <c r="G23" s="93"/>
      <c r="H23" s="94"/>
    </row>
    <row r="24" spans="2:8" ht="42" customHeight="1" x14ac:dyDescent="0.3">
      <c r="B24" s="90"/>
      <c r="C24" s="307" t="s">
        <v>29</v>
      </c>
      <c r="D24" s="308"/>
      <c r="E24" s="302" t="s">
        <v>30</v>
      </c>
      <c r="F24" s="303"/>
      <c r="G24" s="93"/>
      <c r="H24" s="94"/>
    </row>
    <row r="25" spans="2:8" ht="59.25" customHeight="1" x14ac:dyDescent="0.3">
      <c r="B25" s="90"/>
      <c r="C25" s="307" t="s">
        <v>31</v>
      </c>
      <c r="D25" s="308"/>
      <c r="E25" s="302" t="s">
        <v>32</v>
      </c>
      <c r="F25" s="303"/>
      <c r="G25" s="93"/>
      <c r="H25" s="94"/>
    </row>
    <row r="26" spans="2:8" ht="23.25" customHeight="1" x14ac:dyDescent="0.3">
      <c r="B26" s="90"/>
      <c r="C26" s="307" t="s">
        <v>33</v>
      </c>
      <c r="D26" s="308"/>
      <c r="E26" s="302" t="s">
        <v>34</v>
      </c>
      <c r="F26" s="303"/>
      <c r="G26" s="93"/>
      <c r="H26" s="94"/>
    </row>
    <row r="27" spans="2:8" ht="30.75" customHeight="1" x14ac:dyDescent="0.3">
      <c r="B27" s="90"/>
      <c r="C27" s="307" t="s">
        <v>35</v>
      </c>
      <c r="D27" s="308"/>
      <c r="E27" s="302" t="s">
        <v>36</v>
      </c>
      <c r="F27" s="303"/>
      <c r="G27" s="93"/>
      <c r="H27" s="94"/>
    </row>
    <row r="28" spans="2:8" ht="35.25" customHeight="1" x14ac:dyDescent="0.3">
      <c r="B28" s="90"/>
      <c r="C28" s="307" t="s">
        <v>37</v>
      </c>
      <c r="D28" s="308"/>
      <c r="E28" s="302" t="s">
        <v>38</v>
      </c>
      <c r="F28" s="303"/>
      <c r="G28" s="93"/>
      <c r="H28" s="94"/>
    </row>
    <row r="29" spans="2:8" ht="33" customHeight="1" x14ac:dyDescent="0.3">
      <c r="B29" s="90"/>
      <c r="C29" s="307" t="s">
        <v>37</v>
      </c>
      <c r="D29" s="308"/>
      <c r="E29" s="302" t="s">
        <v>38</v>
      </c>
      <c r="F29" s="303"/>
      <c r="G29" s="93"/>
      <c r="H29" s="94"/>
    </row>
    <row r="30" spans="2:8" ht="30" customHeight="1" x14ac:dyDescent="0.3">
      <c r="B30" s="90"/>
      <c r="C30" s="307" t="s">
        <v>39</v>
      </c>
      <c r="D30" s="308"/>
      <c r="E30" s="302" t="s">
        <v>40</v>
      </c>
      <c r="F30" s="303"/>
      <c r="G30" s="93"/>
      <c r="H30" s="94"/>
    </row>
    <row r="31" spans="2:8" ht="35.25" customHeight="1" x14ac:dyDescent="0.3">
      <c r="B31" s="90"/>
      <c r="C31" s="307" t="s">
        <v>41</v>
      </c>
      <c r="D31" s="308"/>
      <c r="E31" s="302" t="s">
        <v>42</v>
      </c>
      <c r="F31" s="303"/>
      <c r="G31" s="93"/>
      <c r="H31" s="94"/>
    </row>
    <row r="32" spans="2:8" ht="31.5" customHeight="1" x14ac:dyDescent="0.3">
      <c r="B32" s="90"/>
      <c r="C32" s="307" t="s">
        <v>43</v>
      </c>
      <c r="D32" s="308"/>
      <c r="E32" s="302" t="s">
        <v>44</v>
      </c>
      <c r="F32" s="303"/>
      <c r="G32" s="93"/>
      <c r="H32" s="94"/>
    </row>
    <row r="33" spans="2:8" ht="35.25" customHeight="1" x14ac:dyDescent="0.3">
      <c r="B33" s="90"/>
      <c r="C33" s="307" t="s">
        <v>45</v>
      </c>
      <c r="D33" s="308"/>
      <c r="E33" s="302" t="s">
        <v>46</v>
      </c>
      <c r="F33" s="303"/>
      <c r="G33" s="93"/>
      <c r="H33" s="94"/>
    </row>
    <row r="34" spans="2:8" ht="59.25" customHeight="1" x14ac:dyDescent="0.3">
      <c r="B34" s="90"/>
      <c r="C34" s="307" t="s">
        <v>47</v>
      </c>
      <c r="D34" s="308"/>
      <c r="E34" s="302" t="s">
        <v>48</v>
      </c>
      <c r="F34" s="303"/>
      <c r="G34" s="93"/>
      <c r="H34" s="94"/>
    </row>
    <row r="35" spans="2:8" ht="29.25" customHeight="1" x14ac:dyDescent="0.3">
      <c r="B35" s="90"/>
      <c r="C35" s="307" t="s">
        <v>49</v>
      </c>
      <c r="D35" s="308"/>
      <c r="E35" s="302" t="s">
        <v>50</v>
      </c>
      <c r="F35" s="303"/>
      <c r="G35" s="93"/>
      <c r="H35" s="94"/>
    </row>
    <row r="36" spans="2:8" ht="82.5" customHeight="1" x14ac:dyDescent="0.3">
      <c r="B36" s="90"/>
      <c r="C36" s="307" t="s">
        <v>51</v>
      </c>
      <c r="D36" s="308"/>
      <c r="E36" s="302" t="s">
        <v>52</v>
      </c>
      <c r="F36" s="303"/>
      <c r="G36" s="93"/>
      <c r="H36" s="94"/>
    </row>
    <row r="37" spans="2:8" ht="46.5" customHeight="1" x14ac:dyDescent="0.3">
      <c r="B37" s="90"/>
      <c r="C37" s="307" t="s">
        <v>53</v>
      </c>
      <c r="D37" s="308"/>
      <c r="E37" s="302" t="s">
        <v>54</v>
      </c>
      <c r="F37" s="303"/>
      <c r="G37" s="93"/>
      <c r="H37" s="94"/>
    </row>
    <row r="38" spans="2:8" ht="6.75" customHeight="1" thickBot="1" x14ac:dyDescent="0.35">
      <c r="B38" s="90"/>
      <c r="C38" s="309"/>
      <c r="D38" s="310"/>
      <c r="E38" s="311"/>
      <c r="F38" s="312"/>
      <c r="G38" s="93"/>
      <c r="H38" s="94"/>
    </row>
    <row r="39" spans="2:8" ht="15" thickTop="1" x14ac:dyDescent="0.3">
      <c r="B39" s="90"/>
      <c r="C39" s="91"/>
      <c r="D39" s="91"/>
      <c r="E39" s="92"/>
      <c r="F39" s="92"/>
      <c r="G39" s="93"/>
      <c r="H39" s="94"/>
    </row>
    <row r="40" spans="2:8" ht="21" customHeight="1" x14ac:dyDescent="0.3">
      <c r="B40" s="304" t="s">
        <v>55</v>
      </c>
      <c r="C40" s="305"/>
      <c r="D40" s="305"/>
      <c r="E40" s="305"/>
      <c r="F40" s="305"/>
      <c r="G40" s="305"/>
      <c r="H40" s="306"/>
    </row>
    <row r="41" spans="2:8" ht="20.25" customHeight="1" x14ac:dyDescent="0.3">
      <c r="B41" s="304" t="s">
        <v>56</v>
      </c>
      <c r="C41" s="305"/>
      <c r="D41" s="305"/>
      <c r="E41" s="305"/>
      <c r="F41" s="305"/>
      <c r="G41" s="305"/>
      <c r="H41" s="306"/>
    </row>
    <row r="42" spans="2:8" ht="20.25" customHeight="1" x14ac:dyDescent="0.3">
      <c r="B42" s="304" t="s">
        <v>57</v>
      </c>
      <c r="C42" s="305"/>
      <c r="D42" s="305"/>
      <c r="E42" s="305"/>
      <c r="F42" s="305"/>
      <c r="G42" s="305"/>
      <c r="H42" s="306"/>
    </row>
    <row r="43" spans="2:8" ht="20.25" customHeight="1" x14ac:dyDescent="0.3">
      <c r="B43" s="304" t="s">
        <v>58</v>
      </c>
      <c r="C43" s="305"/>
      <c r="D43" s="305"/>
      <c r="E43" s="305"/>
      <c r="F43" s="305"/>
      <c r="G43" s="305"/>
      <c r="H43" s="306"/>
    </row>
    <row r="44" spans="2:8" x14ac:dyDescent="0.3">
      <c r="B44" s="304" t="s">
        <v>59</v>
      </c>
      <c r="C44" s="305"/>
      <c r="D44" s="305"/>
      <c r="E44" s="305"/>
      <c r="F44" s="305"/>
      <c r="G44" s="305"/>
      <c r="H44" s="306"/>
    </row>
    <row r="45" spans="2:8" ht="15" thickBot="1" x14ac:dyDescent="0.35">
      <c r="B45" s="95"/>
      <c r="C45" s="96"/>
      <c r="D45" s="96"/>
      <c r="E45" s="96"/>
      <c r="F45" s="96"/>
      <c r="G45" s="96"/>
      <c r="H45" s="97"/>
    </row>
    <row r="300" spans="3:3" ht="31.2" x14ac:dyDescent="0.3">
      <c r="C300" s="170" t="s">
        <v>60</v>
      </c>
    </row>
    <row r="301" spans="3:3" ht="46.8" x14ac:dyDescent="0.3">
      <c r="C301" s="170" t="s">
        <v>61</v>
      </c>
    </row>
    <row r="302" spans="3:3" ht="31.2" x14ac:dyDescent="0.3">
      <c r="C302" s="171" t="s">
        <v>62</v>
      </c>
    </row>
    <row r="303" spans="3:3" ht="31.2" x14ac:dyDescent="0.3">
      <c r="C303" s="170" t="s">
        <v>63</v>
      </c>
    </row>
    <row r="304" spans="3:3" ht="46.8" x14ac:dyDescent="0.3">
      <c r="C304" s="170" t="s">
        <v>394</v>
      </c>
    </row>
    <row r="305" spans="3:3" ht="31.2" x14ac:dyDescent="0.3">
      <c r="C305" s="170" t="s">
        <v>64</v>
      </c>
    </row>
    <row r="306" spans="3:3" ht="46.8" x14ac:dyDescent="0.3">
      <c r="C306" s="171" t="s">
        <v>65</v>
      </c>
    </row>
    <row r="307" spans="3:3" ht="31.2" x14ac:dyDescent="0.3">
      <c r="C307" s="170" t="s">
        <v>66</v>
      </c>
    </row>
    <row r="308" spans="3:3" ht="15.6" x14ac:dyDescent="0.3">
      <c r="C308" s="170" t="s">
        <v>67</v>
      </c>
    </row>
    <row r="309" spans="3:3" ht="15.6" x14ac:dyDescent="0.3">
      <c r="C309" s="170" t="s">
        <v>68</v>
      </c>
    </row>
    <row r="310" spans="3:3" ht="31.2" x14ac:dyDescent="0.3">
      <c r="C310" s="170" t="s">
        <v>69</v>
      </c>
    </row>
    <row r="311" spans="3:3" ht="31.2" x14ac:dyDescent="0.3">
      <c r="C311" s="170" t="s">
        <v>70</v>
      </c>
    </row>
    <row r="312" spans="3:3" ht="15.6" x14ac:dyDescent="0.3">
      <c r="C312" s="170" t="s">
        <v>71</v>
      </c>
    </row>
    <row r="313" spans="3:3" ht="15.6" x14ac:dyDescent="0.3">
      <c r="C313" s="170" t="s">
        <v>72</v>
      </c>
    </row>
    <row r="314" spans="3:3" ht="15.6" x14ac:dyDescent="0.3">
      <c r="C314" s="170" t="s">
        <v>73</v>
      </c>
    </row>
    <row r="315" spans="3:3" ht="31.2" x14ac:dyDescent="0.3">
      <c r="C315" s="170" t="s">
        <v>74</v>
      </c>
    </row>
    <row r="316" spans="3:3" ht="31.2" x14ac:dyDescent="0.3">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78" t="s">
        <v>152</v>
      </c>
      <c r="C3" s="155" t="s">
        <v>271</v>
      </c>
      <c r="D3" s="153" t="s">
        <v>272</v>
      </c>
      <c r="AX3" t="s">
        <v>152</v>
      </c>
    </row>
    <row r="4" spans="2:50" ht="34.799999999999997" thickBot="1" x14ac:dyDescent="0.35">
      <c r="B4" s="579"/>
      <c r="C4" s="156" t="s">
        <v>273</v>
      </c>
      <c r="D4" s="154" t="s">
        <v>274</v>
      </c>
      <c r="AX4" t="s">
        <v>163</v>
      </c>
    </row>
    <row r="5" spans="2:50" ht="34.799999999999997" thickBot="1" x14ac:dyDescent="0.35">
      <c r="B5" s="579"/>
      <c r="C5" s="156" t="s">
        <v>275</v>
      </c>
      <c r="D5" s="154" t="s">
        <v>276</v>
      </c>
      <c r="AX5" t="s">
        <v>165</v>
      </c>
    </row>
    <row r="6" spans="2:50" ht="23.4" thickBot="1" x14ac:dyDescent="0.35">
      <c r="B6" s="580"/>
      <c r="C6" s="156" t="s">
        <v>277</v>
      </c>
      <c r="D6" s="154" t="s">
        <v>278</v>
      </c>
    </row>
    <row r="7" spans="2:50" ht="34.799999999999997" thickBot="1" x14ac:dyDescent="0.35">
      <c r="B7" s="578" t="s">
        <v>163</v>
      </c>
      <c r="C7" s="156" t="s">
        <v>279</v>
      </c>
      <c r="D7" s="154" t="s">
        <v>280</v>
      </c>
    </row>
    <row r="8" spans="2:50" ht="91.8" thickBot="1" x14ac:dyDescent="0.35">
      <c r="B8" s="579"/>
      <c r="C8" s="156" t="s">
        <v>281</v>
      </c>
      <c r="D8" s="154" t="s">
        <v>282</v>
      </c>
    </row>
    <row r="9" spans="2:50" ht="46.2" thickBot="1" x14ac:dyDescent="0.35">
      <c r="B9" s="580"/>
      <c r="C9" s="156" t="s">
        <v>283</v>
      </c>
      <c r="D9" s="154" t="s">
        <v>284</v>
      </c>
    </row>
    <row r="10" spans="2:50" x14ac:dyDescent="0.3">
      <c r="B10" s="578" t="s">
        <v>165</v>
      </c>
      <c r="C10" s="157"/>
      <c r="D10" s="581" t="s">
        <v>285</v>
      </c>
    </row>
    <row r="11" spans="2:50" x14ac:dyDescent="0.3">
      <c r="B11" s="579"/>
      <c r="C11" s="157" t="s">
        <v>166</v>
      </c>
      <c r="D11" s="582"/>
    </row>
    <row r="12" spans="2:50" ht="15" thickBot="1" x14ac:dyDescent="0.35">
      <c r="B12" s="579"/>
      <c r="C12" s="156"/>
      <c r="D12" s="583"/>
    </row>
    <row r="13" spans="2:50" ht="22.5" customHeight="1" x14ac:dyDescent="0.3">
      <c r="B13" s="579"/>
      <c r="C13" s="157"/>
      <c r="D13" s="581" t="s">
        <v>286</v>
      </c>
    </row>
    <row r="14" spans="2:50" ht="22.5" customHeight="1" x14ac:dyDescent="0.3">
      <c r="B14" s="579"/>
      <c r="C14" s="157" t="s">
        <v>287</v>
      </c>
      <c r="D14" s="582"/>
    </row>
    <row r="15" spans="2:50" ht="22.5" customHeight="1" thickBot="1" x14ac:dyDescent="0.35">
      <c r="B15" s="579"/>
      <c r="C15" s="156"/>
      <c r="D15" s="583"/>
    </row>
    <row r="16" spans="2:50" ht="25.5" customHeight="1" x14ac:dyDescent="0.3">
      <c r="B16" s="579"/>
      <c r="C16" s="157"/>
      <c r="D16" s="581" t="s">
        <v>288</v>
      </c>
    </row>
    <row r="17" spans="2:4" ht="25.5" customHeight="1" x14ac:dyDescent="0.3">
      <c r="B17" s="579"/>
      <c r="C17" s="157" t="s">
        <v>170</v>
      </c>
      <c r="D17" s="582"/>
    </row>
    <row r="18" spans="2:4" ht="25.5" customHeight="1" thickBot="1" x14ac:dyDescent="0.35">
      <c r="B18" s="580"/>
      <c r="C18" s="156"/>
      <c r="D18" s="583"/>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80" t="s">
        <v>289</v>
      </c>
    </row>
    <row r="2" spans="3:6" ht="15" thickBot="1" x14ac:dyDescent="0.35">
      <c r="C2" s="177" t="s">
        <v>290</v>
      </c>
      <c r="E2" s="181" t="s">
        <v>291</v>
      </c>
      <c r="F2" s="182" t="s">
        <v>292</v>
      </c>
    </row>
    <row r="3" spans="3:6" ht="15" thickBot="1" x14ac:dyDescent="0.35">
      <c r="C3" s="178" t="s">
        <v>293</v>
      </c>
      <c r="E3" s="587" t="s">
        <v>294</v>
      </c>
      <c r="F3" s="162" t="s">
        <v>295</v>
      </c>
    </row>
    <row r="4" spans="3:6" ht="15" thickBot="1" x14ac:dyDescent="0.35">
      <c r="C4" s="178" t="s">
        <v>167</v>
      </c>
      <c r="E4" s="585"/>
      <c r="F4" s="162" t="s">
        <v>296</v>
      </c>
    </row>
    <row r="5" spans="3:6" ht="15" thickBot="1" x14ac:dyDescent="0.35">
      <c r="C5" s="178" t="s">
        <v>297</v>
      </c>
      <c r="E5" s="585"/>
      <c r="F5" s="162" t="s">
        <v>298</v>
      </c>
    </row>
    <row r="6" spans="3:6" ht="15" thickBot="1" x14ac:dyDescent="0.35">
      <c r="C6" s="178" t="s">
        <v>299</v>
      </c>
      <c r="E6" s="585"/>
      <c r="F6" s="162" t="s">
        <v>300</v>
      </c>
    </row>
    <row r="7" spans="3:6" ht="15" thickBot="1" x14ac:dyDescent="0.35">
      <c r="C7" s="179" t="s">
        <v>301</v>
      </c>
      <c r="E7" s="585"/>
      <c r="F7" s="162" t="s">
        <v>302</v>
      </c>
    </row>
    <row r="8" spans="3:6" ht="15" thickBot="1" x14ac:dyDescent="0.35">
      <c r="C8" s="178" t="s">
        <v>303</v>
      </c>
      <c r="E8" s="586"/>
      <c r="F8" s="162" t="s">
        <v>304</v>
      </c>
    </row>
    <row r="9" spans="3:6" ht="15" thickBot="1" x14ac:dyDescent="0.35">
      <c r="C9" s="178" t="s">
        <v>305</v>
      </c>
      <c r="E9" s="584" t="s">
        <v>306</v>
      </c>
      <c r="F9" s="162" t="s">
        <v>307</v>
      </c>
    </row>
    <row r="10" spans="3:6" ht="15" thickBot="1" x14ac:dyDescent="0.35">
      <c r="C10" s="178" t="s">
        <v>308</v>
      </c>
      <c r="E10" s="585"/>
      <c r="F10" s="162" t="s">
        <v>309</v>
      </c>
    </row>
    <row r="11" spans="3:6" ht="15" thickBot="1" x14ac:dyDescent="0.35">
      <c r="E11" s="585"/>
      <c r="F11" s="162" t="s">
        <v>310</v>
      </c>
    </row>
    <row r="12" spans="3:6" ht="15" thickBot="1" x14ac:dyDescent="0.35">
      <c r="E12" s="585"/>
      <c r="F12" s="162" t="s">
        <v>311</v>
      </c>
    </row>
    <row r="13" spans="3:6" ht="15" thickBot="1" x14ac:dyDescent="0.35">
      <c r="E13" s="586"/>
      <c r="F13" s="162" t="s">
        <v>312</v>
      </c>
    </row>
    <row r="14" spans="3:6" ht="23.4" thickBot="1" x14ac:dyDescent="0.35">
      <c r="E14" s="584" t="s">
        <v>313</v>
      </c>
      <c r="F14" s="162" t="s">
        <v>314</v>
      </c>
    </row>
    <row r="15" spans="3:6" ht="15" thickBot="1" x14ac:dyDescent="0.35">
      <c r="E15" s="585"/>
      <c r="F15" s="162" t="s">
        <v>315</v>
      </c>
    </row>
    <row r="16" spans="3:6" ht="15" thickBot="1" x14ac:dyDescent="0.35">
      <c r="E16" s="586"/>
      <c r="F16" s="162" t="s">
        <v>316</v>
      </c>
    </row>
    <row r="17" spans="5:6" ht="15" thickBot="1" x14ac:dyDescent="0.35">
      <c r="E17" s="584" t="s">
        <v>317</v>
      </c>
      <c r="F17" s="162" t="s">
        <v>318</v>
      </c>
    </row>
    <row r="18" spans="5:6" ht="15" thickBot="1" x14ac:dyDescent="0.35">
      <c r="E18" s="585"/>
      <c r="F18" s="162" t="s">
        <v>319</v>
      </c>
    </row>
    <row r="19" spans="5:6" ht="15" thickBot="1" x14ac:dyDescent="0.35">
      <c r="E19" s="586"/>
      <c r="F19" s="162" t="s">
        <v>320</v>
      </c>
    </row>
    <row r="20" spans="5:6" ht="23.4" thickBot="1" x14ac:dyDescent="0.35">
      <c r="E20" s="584" t="s">
        <v>321</v>
      </c>
      <c r="F20" s="162" t="s">
        <v>322</v>
      </c>
    </row>
    <row r="21" spans="5:6" ht="15" thickBot="1" x14ac:dyDescent="0.35">
      <c r="E21" s="585"/>
      <c r="F21" s="162" t="s">
        <v>323</v>
      </c>
    </row>
    <row r="22" spans="5:6" ht="15" thickBot="1" x14ac:dyDescent="0.35">
      <c r="E22" s="585"/>
      <c r="F22" s="162" t="s">
        <v>324</v>
      </c>
    </row>
    <row r="23" spans="5:6" ht="15" thickBot="1" x14ac:dyDescent="0.35">
      <c r="E23" s="585"/>
      <c r="F23" s="162" t="s">
        <v>325</v>
      </c>
    </row>
    <row r="24" spans="5:6" ht="15" thickBot="1" x14ac:dyDescent="0.35">
      <c r="E24" s="585"/>
      <c r="F24" s="162" t="s">
        <v>326</v>
      </c>
    </row>
    <row r="25" spans="5:6" ht="23.4" thickBot="1" x14ac:dyDescent="0.35">
      <c r="E25" s="585"/>
      <c r="F25" s="162" t="s">
        <v>327</v>
      </c>
    </row>
    <row r="26" spans="5:6" ht="15" thickBot="1" x14ac:dyDescent="0.35">
      <c r="E26" s="585"/>
      <c r="F26" s="162" t="s">
        <v>328</v>
      </c>
    </row>
    <row r="27" spans="5:6" ht="23.4" thickBot="1" x14ac:dyDescent="0.35">
      <c r="E27" s="585"/>
      <c r="F27" s="162" t="s">
        <v>329</v>
      </c>
    </row>
    <row r="28" spans="5:6" ht="15" thickBot="1" x14ac:dyDescent="0.35">
      <c r="E28" s="585"/>
      <c r="F28" s="162" t="s">
        <v>330</v>
      </c>
    </row>
    <row r="29" spans="5:6" ht="15" thickBot="1" x14ac:dyDescent="0.35">
      <c r="E29" s="585"/>
      <c r="F29" s="162" t="s">
        <v>331</v>
      </c>
    </row>
    <row r="30" spans="5:6" ht="15" thickBot="1" x14ac:dyDescent="0.35">
      <c r="E30" s="586"/>
      <c r="F30" s="162" t="s">
        <v>332</v>
      </c>
    </row>
    <row r="31" spans="5:6" ht="15" thickBot="1" x14ac:dyDescent="0.35">
      <c r="E31" s="584" t="s">
        <v>171</v>
      </c>
      <c r="F31" s="162" t="s">
        <v>333</v>
      </c>
    </row>
    <row r="32" spans="5:6" ht="15" thickBot="1" x14ac:dyDescent="0.35">
      <c r="E32" s="585"/>
      <c r="F32" s="162" t="s">
        <v>334</v>
      </c>
    </row>
    <row r="33" spans="5:6" ht="15" thickBot="1" x14ac:dyDescent="0.35">
      <c r="E33" s="585"/>
      <c r="F33" s="162" t="s">
        <v>335</v>
      </c>
    </row>
    <row r="34" spans="5:6" ht="15" thickBot="1" x14ac:dyDescent="0.35">
      <c r="E34" s="585"/>
      <c r="F34" s="162" t="s">
        <v>336</v>
      </c>
    </row>
    <row r="35" spans="5:6" ht="23.4" thickBot="1" x14ac:dyDescent="0.35">
      <c r="E35" s="586"/>
      <c r="F35" s="162" t="s">
        <v>337</v>
      </c>
    </row>
    <row r="36" spans="5:6" ht="15" thickBot="1" x14ac:dyDescent="0.35">
      <c r="E36" s="584" t="s">
        <v>168</v>
      </c>
      <c r="F36" s="162" t="s">
        <v>169</v>
      </c>
    </row>
    <row r="37" spans="5:6" ht="15" thickBot="1" x14ac:dyDescent="0.35">
      <c r="E37" s="585"/>
      <c r="F37" s="162" t="s">
        <v>338</v>
      </c>
    </row>
    <row r="38" spans="5:6" ht="15" thickBot="1" x14ac:dyDescent="0.35">
      <c r="E38" s="585"/>
      <c r="F38" s="162" t="s">
        <v>339</v>
      </c>
    </row>
    <row r="39" spans="5:6" ht="15" thickBot="1" x14ac:dyDescent="0.35">
      <c r="E39" s="585"/>
      <c r="F39" s="162" t="s">
        <v>340</v>
      </c>
    </row>
    <row r="40" spans="5:6" ht="15" thickBot="1" x14ac:dyDescent="0.35">
      <c r="E40" s="586"/>
      <c r="F40" s="162" t="s">
        <v>341</v>
      </c>
    </row>
    <row r="41" spans="5:6" ht="15" thickBot="1" x14ac:dyDescent="0.35">
      <c r="E41" s="584" t="s">
        <v>342</v>
      </c>
      <c r="F41" s="162" t="s">
        <v>343</v>
      </c>
    </row>
    <row r="42" spans="5:6" ht="15" thickBot="1" x14ac:dyDescent="0.35">
      <c r="E42" s="585"/>
      <c r="F42" s="162" t="s">
        <v>344</v>
      </c>
    </row>
    <row r="43" spans="5:6" ht="15" thickBot="1" x14ac:dyDescent="0.35">
      <c r="E43" s="585"/>
      <c r="F43" s="162" t="s">
        <v>345</v>
      </c>
    </row>
    <row r="44" spans="5:6" ht="15" thickBot="1" x14ac:dyDescent="0.35">
      <c r="E44" s="585"/>
      <c r="F44" s="162" t="s">
        <v>346</v>
      </c>
    </row>
    <row r="45" spans="5:6" ht="23.4" thickBot="1" x14ac:dyDescent="0.35">
      <c r="E45" s="586"/>
      <c r="F45" s="162" t="s">
        <v>347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88" t="s">
        <v>348</v>
      </c>
      <c r="C1" s="589"/>
      <c r="D1" s="589"/>
      <c r="E1" s="589"/>
      <c r="F1" s="590"/>
    </row>
    <row r="2" spans="2:6" ht="16.2" thickBot="1" x14ac:dyDescent="0.35">
      <c r="B2" s="72"/>
      <c r="C2" s="72"/>
      <c r="D2" s="72"/>
      <c r="E2" s="72"/>
      <c r="F2" s="72"/>
    </row>
    <row r="3" spans="2:6" ht="16.2" thickBot="1" x14ac:dyDescent="0.35">
      <c r="B3" s="592" t="s">
        <v>349</v>
      </c>
      <c r="C3" s="593"/>
      <c r="D3" s="593"/>
      <c r="E3" s="84" t="s">
        <v>350</v>
      </c>
      <c r="F3" s="85" t="s">
        <v>351</v>
      </c>
    </row>
    <row r="4" spans="2:6" ht="31.2" x14ac:dyDescent="0.3">
      <c r="B4" s="594" t="s">
        <v>352</v>
      </c>
      <c r="C4" s="596" t="s">
        <v>145</v>
      </c>
      <c r="D4" s="73" t="s">
        <v>155</v>
      </c>
      <c r="E4" s="74" t="s">
        <v>353</v>
      </c>
      <c r="F4" s="75">
        <v>0.25</v>
      </c>
    </row>
    <row r="5" spans="2:6" ht="46.8" x14ac:dyDescent="0.3">
      <c r="B5" s="595"/>
      <c r="C5" s="597"/>
      <c r="D5" s="76" t="s">
        <v>157</v>
      </c>
      <c r="E5" s="77" t="s">
        <v>354</v>
      </c>
      <c r="F5" s="78">
        <v>0.15</v>
      </c>
    </row>
    <row r="6" spans="2:6" ht="46.8" x14ac:dyDescent="0.3">
      <c r="B6" s="595"/>
      <c r="C6" s="597"/>
      <c r="D6" s="76" t="s">
        <v>355</v>
      </c>
      <c r="E6" s="77" t="s">
        <v>356</v>
      </c>
      <c r="F6" s="78">
        <v>0.1</v>
      </c>
    </row>
    <row r="7" spans="2:6" ht="62.4" x14ac:dyDescent="0.3">
      <c r="B7" s="595"/>
      <c r="C7" s="597" t="s">
        <v>146</v>
      </c>
      <c r="D7" s="76" t="s">
        <v>357</v>
      </c>
      <c r="E7" s="77" t="s">
        <v>358</v>
      </c>
      <c r="F7" s="78">
        <v>0.25</v>
      </c>
    </row>
    <row r="8" spans="2:6" ht="31.2" x14ac:dyDescent="0.3">
      <c r="B8" s="595"/>
      <c r="C8" s="597"/>
      <c r="D8" s="76" t="s">
        <v>156</v>
      </c>
      <c r="E8" s="77" t="s">
        <v>359</v>
      </c>
      <c r="F8" s="78">
        <v>0.15</v>
      </c>
    </row>
    <row r="9" spans="2:6" ht="46.8" x14ac:dyDescent="0.3">
      <c r="B9" s="595" t="s">
        <v>360</v>
      </c>
      <c r="C9" s="597" t="s">
        <v>148</v>
      </c>
      <c r="D9" s="76" t="s">
        <v>159</v>
      </c>
      <c r="E9" s="77" t="s">
        <v>361</v>
      </c>
      <c r="F9" s="79" t="s">
        <v>362</v>
      </c>
    </row>
    <row r="10" spans="2:6" ht="46.8" x14ac:dyDescent="0.3">
      <c r="B10" s="595"/>
      <c r="C10" s="597"/>
      <c r="D10" s="76" t="s">
        <v>363</v>
      </c>
      <c r="E10" s="77" t="s">
        <v>364</v>
      </c>
      <c r="F10" s="79" t="s">
        <v>362</v>
      </c>
    </row>
    <row r="11" spans="2:6" ht="46.8" x14ac:dyDescent="0.3">
      <c r="B11" s="595"/>
      <c r="C11" s="597" t="s">
        <v>149</v>
      </c>
      <c r="D11" s="76" t="s">
        <v>160</v>
      </c>
      <c r="E11" s="77" t="s">
        <v>365</v>
      </c>
      <c r="F11" s="79" t="s">
        <v>362</v>
      </c>
    </row>
    <row r="12" spans="2:6" ht="46.8" x14ac:dyDescent="0.3">
      <c r="B12" s="595"/>
      <c r="C12" s="597"/>
      <c r="D12" s="76" t="s">
        <v>366</v>
      </c>
      <c r="E12" s="77" t="s">
        <v>367</v>
      </c>
      <c r="F12" s="79" t="s">
        <v>362</v>
      </c>
    </row>
    <row r="13" spans="2:6" ht="31.2" x14ac:dyDescent="0.3">
      <c r="B13" s="595"/>
      <c r="C13" s="597" t="s">
        <v>150</v>
      </c>
      <c r="D13" s="76" t="s">
        <v>161</v>
      </c>
      <c r="E13" s="77" t="s">
        <v>368</v>
      </c>
      <c r="F13" s="79" t="s">
        <v>362</v>
      </c>
    </row>
    <row r="14" spans="2:6" ht="16.2" thickBot="1" x14ac:dyDescent="0.35">
      <c r="B14" s="598"/>
      <c r="C14" s="599"/>
      <c r="D14" s="80" t="s">
        <v>369</v>
      </c>
      <c r="E14" s="81" t="s">
        <v>370</v>
      </c>
      <c r="F14" s="82" t="s">
        <v>362</v>
      </c>
    </row>
    <row r="15" spans="2:6" ht="49.5" customHeight="1" x14ac:dyDescent="0.3">
      <c r="B15" s="591" t="s">
        <v>371</v>
      </c>
      <c r="C15" s="591"/>
      <c r="D15" s="591"/>
      <c r="E15" s="591"/>
      <c r="F15" s="591"/>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4140625" defaultRowHeight="14.4" x14ac:dyDescent="0.3"/>
  <cols>
    <col min="6" max="6" width="17.109375" customWidth="1"/>
    <col min="7" max="7" width="29.33203125" customWidth="1"/>
  </cols>
  <sheetData>
    <row r="2" spans="2:5" x14ac:dyDescent="0.3">
      <c r="B2" t="s">
        <v>372</v>
      </c>
      <c r="E2" t="s">
        <v>172</v>
      </c>
    </row>
    <row r="3" spans="2:5" x14ac:dyDescent="0.3">
      <c r="B3" t="s">
        <v>373</v>
      </c>
      <c r="E3" t="s">
        <v>162</v>
      </c>
    </row>
    <row r="4" spans="2:5" x14ac:dyDescent="0.3">
      <c r="B4" t="s">
        <v>374</v>
      </c>
      <c r="E4" t="s">
        <v>151</v>
      </c>
    </row>
    <row r="5" spans="2:5" x14ac:dyDescent="0.3">
      <c r="B5" t="s">
        <v>158</v>
      </c>
    </row>
    <row r="8" spans="2:5" x14ac:dyDescent="0.3">
      <c r="B8" t="s">
        <v>375</v>
      </c>
    </row>
    <row r="9" spans="2:5" x14ac:dyDescent="0.3">
      <c r="B9" t="s">
        <v>376</v>
      </c>
    </row>
    <row r="10" spans="2:5" x14ac:dyDescent="0.3">
      <c r="B10" t="s">
        <v>377</v>
      </c>
    </row>
    <row r="13" spans="2:5" x14ac:dyDescent="0.3">
      <c r="B13" t="s">
        <v>378</v>
      </c>
    </row>
    <row r="14" spans="2:5" x14ac:dyDescent="0.3">
      <c r="B14" t="s">
        <v>153</v>
      </c>
    </row>
    <row r="15" spans="2:5" x14ac:dyDescent="0.3">
      <c r="B15" t="s">
        <v>379</v>
      </c>
    </row>
    <row r="16" spans="2:5" x14ac:dyDescent="0.3">
      <c r="B16" t="s">
        <v>380</v>
      </c>
    </row>
    <row r="17" spans="2:7" x14ac:dyDescent="0.3">
      <c r="B17" t="s">
        <v>164</v>
      </c>
    </row>
    <row r="18" spans="2:7" x14ac:dyDescent="0.3">
      <c r="B18" t="s">
        <v>283</v>
      </c>
    </row>
    <row r="19" spans="2:7" x14ac:dyDescent="0.3">
      <c r="B19" t="s">
        <v>381</v>
      </c>
    </row>
    <row r="20" spans="2:7" x14ac:dyDescent="0.3">
      <c r="B20" t="s">
        <v>382</v>
      </c>
    </row>
    <row r="21" spans="2:7" x14ac:dyDescent="0.3">
      <c r="B21" t="s">
        <v>287</v>
      </c>
    </row>
    <row r="22" spans="2:7" x14ac:dyDescent="0.3">
      <c r="B22" t="s">
        <v>166</v>
      </c>
    </row>
    <row r="23" spans="2:7" x14ac:dyDescent="0.3">
      <c r="B23" t="s">
        <v>170</v>
      </c>
    </row>
    <row r="27" spans="2:7" ht="15" thickBot="1" x14ac:dyDescent="0.35"/>
    <row r="28" spans="2:7" ht="15" thickBot="1" x14ac:dyDescent="0.35">
      <c r="B28" t="s">
        <v>294</v>
      </c>
      <c r="F28" s="160" t="s">
        <v>291</v>
      </c>
      <c r="G28" s="161" t="s">
        <v>292</v>
      </c>
    </row>
    <row r="29" spans="2:7" ht="15" thickBot="1" x14ac:dyDescent="0.35">
      <c r="B29" t="s">
        <v>306</v>
      </c>
      <c r="F29" s="587" t="s">
        <v>294</v>
      </c>
      <c r="G29" s="162" t="s">
        <v>295</v>
      </c>
    </row>
    <row r="30" spans="2:7" ht="15" thickBot="1" x14ac:dyDescent="0.35">
      <c r="B30" t="s">
        <v>313</v>
      </c>
      <c r="F30" s="585"/>
      <c r="G30" s="162" t="s">
        <v>296</v>
      </c>
    </row>
    <row r="31" spans="2:7" ht="15" thickBot="1" x14ac:dyDescent="0.35">
      <c r="B31" t="s">
        <v>317</v>
      </c>
      <c r="F31" s="585"/>
      <c r="G31" s="162" t="s">
        <v>298</v>
      </c>
    </row>
    <row r="32" spans="2:7" ht="15" thickBot="1" x14ac:dyDescent="0.35">
      <c r="B32" t="s">
        <v>321</v>
      </c>
      <c r="F32" s="585"/>
      <c r="G32" s="162" t="s">
        <v>300</v>
      </c>
    </row>
    <row r="33" spans="2:7" ht="15" thickBot="1" x14ac:dyDescent="0.35">
      <c r="B33" t="s">
        <v>171</v>
      </c>
      <c r="F33" s="585"/>
      <c r="G33" s="162" t="s">
        <v>302</v>
      </c>
    </row>
    <row r="34" spans="2:7" ht="15" thickBot="1" x14ac:dyDescent="0.35">
      <c r="B34" t="s">
        <v>168</v>
      </c>
      <c r="F34" s="586"/>
      <c r="G34" s="162" t="s">
        <v>304</v>
      </c>
    </row>
    <row r="35" spans="2:7" ht="15" thickBot="1" x14ac:dyDescent="0.35">
      <c r="B35" t="s">
        <v>342</v>
      </c>
      <c r="F35" s="584" t="s">
        <v>306</v>
      </c>
      <c r="G35" s="162" t="s">
        <v>307</v>
      </c>
    </row>
    <row r="36" spans="2:7" ht="15" thickBot="1" x14ac:dyDescent="0.35">
      <c r="F36" s="585"/>
      <c r="G36" s="162" t="s">
        <v>309</v>
      </c>
    </row>
    <row r="37" spans="2:7" ht="15" thickBot="1" x14ac:dyDescent="0.35">
      <c r="F37" s="585"/>
      <c r="G37" s="162" t="s">
        <v>310</v>
      </c>
    </row>
    <row r="38" spans="2:7" ht="21.75" customHeight="1" thickBot="1" x14ac:dyDescent="0.35">
      <c r="F38" s="585"/>
      <c r="G38" s="162" t="s">
        <v>311</v>
      </c>
    </row>
    <row r="39" spans="2:7" ht="15" thickBot="1" x14ac:dyDescent="0.35">
      <c r="F39" s="586"/>
      <c r="G39" s="162" t="s">
        <v>312</v>
      </c>
    </row>
    <row r="40" spans="2:7" ht="45.75" customHeight="1" thickBot="1" x14ac:dyDescent="0.35">
      <c r="F40" s="584" t="s">
        <v>313</v>
      </c>
      <c r="G40" s="162" t="s">
        <v>314</v>
      </c>
    </row>
    <row r="41" spans="2:7" ht="15" thickBot="1" x14ac:dyDescent="0.35">
      <c r="F41" s="585"/>
      <c r="G41" s="162" t="s">
        <v>315</v>
      </c>
    </row>
    <row r="42" spans="2:7" ht="30" customHeight="1" thickBot="1" x14ac:dyDescent="0.35">
      <c r="F42" s="586"/>
      <c r="G42" s="162" t="s">
        <v>316</v>
      </c>
    </row>
    <row r="43" spans="2:7" ht="15" thickBot="1" x14ac:dyDescent="0.35">
      <c r="F43" s="584" t="s">
        <v>317</v>
      </c>
      <c r="G43" s="162" t="s">
        <v>318</v>
      </c>
    </row>
    <row r="44" spans="2:7" ht="15" thickBot="1" x14ac:dyDescent="0.35">
      <c r="F44" s="585"/>
      <c r="G44" s="162" t="s">
        <v>319</v>
      </c>
    </row>
    <row r="45" spans="2:7" ht="15" thickBot="1" x14ac:dyDescent="0.35">
      <c r="F45" s="586"/>
      <c r="G45" s="162" t="s">
        <v>320</v>
      </c>
    </row>
    <row r="46" spans="2:7" ht="23.4" thickBot="1" x14ac:dyDescent="0.35">
      <c r="F46" s="584" t="s">
        <v>321</v>
      </c>
      <c r="G46" s="162" t="s">
        <v>322</v>
      </c>
    </row>
    <row r="47" spans="2:7" ht="15" thickBot="1" x14ac:dyDescent="0.35">
      <c r="F47" s="585"/>
      <c r="G47" s="162" t="s">
        <v>323</v>
      </c>
    </row>
    <row r="48" spans="2:7" ht="15" thickBot="1" x14ac:dyDescent="0.35">
      <c r="F48" s="585"/>
      <c r="G48" s="162" t="s">
        <v>324</v>
      </c>
    </row>
    <row r="49" spans="6:7" ht="15" thickBot="1" x14ac:dyDescent="0.35">
      <c r="F49" s="585"/>
      <c r="G49" s="162" t="s">
        <v>325</v>
      </c>
    </row>
    <row r="50" spans="6:7" ht="15" thickBot="1" x14ac:dyDescent="0.35">
      <c r="F50" s="585"/>
      <c r="G50" s="162" t="s">
        <v>326</v>
      </c>
    </row>
    <row r="51" spans="6:7" ht="23.4" thickBot="1" x14ac:dyDescent="0.35">
      <c r="F51" s="585"/>
      <c r="G51" s="162" t="s">
        <v>327</v>
      </c>
    </row>
    <row r="52" spans="6:7" ht="15" thickBot="1" x14ac:dyDescent="0.35">
      <c r="F52" s="585"/>
      <c r="G52" s="162" t="s">
        <v>328</v>
      </c>
    </row>
    <row r="53" spans="6:7" ht="23.4" thickBot="1" x14ac:dyDescent="0.35">
      <c r="F53" s="585"/>
      <c r="G53" s="162" t="s">
        <v>329</v>
      </c>
    </row>
    <row r="54" spans="6:7" ht="15" thickBot="1" x14ac:dyDescent="0.35">
      <c r="F54" s="585"/>
      <c r="G54" s="162" t="s">
        <v>330</v>
      </c>
    </row>
    <row r="55" spans="6:7" ht="15" thickBot="1" x14ac:dyDescent="0.35">
      <c r="F55" s="585"/>
      <c r="G55" s="162" t="s">
        <v>331</v>
      </c>
    </row>
    <row r="56" spans="6:7" ht="15" thickBot="1" x14ac:dyDescent="0.35">
      <c r="F56" s="586"/>
      <c r="G56" s="162" t="s">
        <v>332</v>
      </c>
    </row>
    <row r="57" spans="6:7" ht="15" thickBot="1" x14ac:dyDescent="0.35">
      <c r="F57" s="584" t="s">
        <v>171</v>
      </c>
      <c r="G57" s="162" t="s">
        <v>333</v>
      </c>
    </row>
    <row r="58" spans="6:7" ht="15" thickBot="1" x14ac:dyDescent="0.35">
      <c r="F58" s="585"/>
      <c r="G58" s="162" t="s">
        <v>334</v>
      </c>
    </row>
    <row r="59" spans="6:7" ht="15" thickBot="1" x14ac:dyDescent="0.35">
      <c r="F59" s="585"/>
      <c r="G59" s="162" t="s">
        <v>335</v>
      </c>
    </row>
    <row r="60" spans="6:7" ht="15" thickBot="1" x14ac:dyDescent="0.35">
      <c r="F60" s="585"/>
      <c r="G60" s="162" t="s">
        <v>336</v>
      </c>
    </row>
    <row r="61" spans="6:7" ht="23.4" thickBot="1" x14ac:dyDescent="0.35">
      <c r="F61" s="586"/>
      <c r="G61" s="162" t="s">
        <v>337</v>
      </c>
    </row>
    <row r="62" spans="6:7" ht="15" thickBot="1" x14ac:dyDescent="0.35">
      <c r="F62" s="584" t="s">
        <v>168</v>
      </c>
      <c r="G62" s="162" t="s">
        <v>169</v>
      </c>
    </row>
    <row r="63" spans="6:7" ht="15" thickBot="1" x14ac:dyDescent="0.35">
      <c r="F63" s="585"/>
      <c r="G63" s="162" t="s">
        <v>338</v>
      </c>
    </row>
    <row r="64" spans="6:7" ht="15" thickBot="1" x14ac:dyDescent="0.35">
      <c r="F64" s="585"/>
      <c r="G64" s="162" t="s">
        <v>339</v>
      </c>
    </row>
    <row r="65" spans="6:7" ht="15" thickBot="1" x14ac:dyDescent="0.35">
      <c r="F65" s="585"/>
      <c r="G65" s="162" t="s">
        <v>340</v>
      </c>
    </row>
    <row r="66" spans="6:7" ht="15" thickBot="1" x14ac:dyDescent="0.35">
      <c r="F66" s="586"/>
      <c r="G66" s="162" t="s">
        <v>341</v>
      </c>
    </row>
    <row r="67" spans="6:7" ht="15" thickBot="1" x14ac:dyDescent="0.35">
      <c r="F67" s="584" t="s">
        <v>342</v>
      </c>
      <c r="G67" s="162" t="s">
        <v>343</v>
      </c>
    </row>
    <row r="68" spans="6:7" ht="15" thickBot="1" x14ac:dyDescent="0.35">
      <c r="F68" s="585"/>
      <c r="G68" s="162" t="s">
        <v>344</v>
      </c>
    </row>
    <row r="69" spans="6:7" ht="15" thickBot="1" x14ac:dyDescent="0.35">
      <c r="F69" s="585"/>
      <c r="G69" s="162" t="s">
        <v>345</v>
      </c>
    </row>
    <row r="70" spans="6:7" ht="15" thickBot="1" x14ac:dyDescent="0.35">
      <c r="F70" s="585"/>
      <c r="G70" s="162" t="s">
        <v>346</v>
      </c>
    </row>
    <row r="71" spans="6:7" ht="23.4" thickBot="1" x14ac:dyDescent="0.35">
      <c r="F71" s="586"/>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155</v>
      </c>
    </row>
    <row r="4" spans="1:1" x14ac:dyDescent="0.3">
      <c r="A4" s="2" t="s">
        <v>157</v>
      </c>
    </row>
    <row r="5" spans="1:1" x14ac:dyDescent="0.3">
      <c r="A5" s="2" t="s">
        <v>355</v>
      </c>
    </row>
    <row r="6" spans="1:1" x14ac:dyDescent="0.3">
      <c r="A6" s="2" t="s">
        <v>357</v>
      </c>
    </row>
    <row r="7" spans="1:1" x14ac:dyDescent="0.3">
      <c r="A7" s="2" t="s">
        <v>156</v>
      </c>
    </row>
    <row r="8" spans="1:1" x14ac:dyDescent="0.3">
      <c r="A8" s="2" t="s">
        <v>159</v>
      </c>
    </row>
    <row r="9" spans="1:1" x14ac:dyDescent="0.3">
      <c r="A9" s="2" t="s">
        <v>363</v>
      </c>
    </row>
    <row r="10" spans="1:1" x14ac:dyDescent="0.3">
      <c r="A10" s="2" t="s">
        <v>160</v>
      </c>
    </row>
    <row r="11" spans="1:1" x14ac:dyDescent="0.3">
      <c r="A11" s="2" t="s">
        <v>366</v>
      </c>
    </row>
    <row r="12" spans="1:1" x14ac:dyDescent="0.3">
      <c r="A12" s="2" t="s">
        <v>383</v>
      </c>
    </row>
    <row r="13" spans="1:1" x14ac:dyDescent="0.3">
      <c r="A13" s="2" t="s">
        <v>384</v>
      </c>
    </row>
    <row r="14" spans="1:1" x14ac:dyDescent="0.3">
      <c r="A14" s="2" t="s">
        <v>385</v>
      </c>
    </row>
    <row r="16" spans="1:1" x14ac:dyDescent="0.3">
      <c r="A16" s="2" t="s">
        <v>386</v>
      </c>
    </row>
    <row r="17" spans="1:1" x14ac:dyDescent="0.3">
      <c r="A17" s="2" t="s">
        <v>372</v>
      </c>
    </row>
    <row r="18" spans="1:1" x14ac:dyDescent="0.3">
      <c r="A18" s="2" t="s">
        <v>373</v>
      </c>
    </row>
    <row r="20" spans="1:1" x14ac:dyDescent="0.3">
      <c r="A20" s="2" t="s">
        <v>376</v>
      </c>
    </row>
    <row r="21" spans="1:1" x14ac:dyDescent="0.3">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40" zoomScaleNormal="40" zoomScaleSheetLayoutView="30" zoomScalePageLayoutView="60" workbookViewId="0">
      <selection activeCell="F9" sqref="F9:F10"/>
    </sheetView>
  </sheetViews>
  <sheetFormatPr baseColWidth="10" defaultColWidth="11.44140625" defaultRowHeight="26.4" x14ac:dyDescent="0.45"/>
  <cols>
    <col min="1" max="1" width="5.33203125" style="119" customWidth="1"/>
    <col min="2" max="2" width="7.44140625" style="120" customWidth="1"/>
    <col min="3" max="3" width="25.6640625" style="121" customWidth="1"/>
    <col min="4" max="4" width="133.109375" style="147" customWidth="1"/>
    <col min="5" max="5" width="138.6640625" style="121" customWidth="1"/>
    <col min="6" max="6" width="109.44140625" style="119" customWidth="1"/>
    <col min="7" max="16384" width="11.44140625" style="119"/>
  </cols>
  <sheetData>
    <row r="1" spans="1:13" ht="20.25" customHeight="1" x14ac:dyDescent="0.45"/>
    <row r="2" spans="1:13" ht="63.75" customHeight="1" x14ac:dyDescent="0.4">
      <c r="B2" s="314"/>
      <c r="C2" s="314"/>
      <c r="D2" s="315" t="s">
        <v>76</v>
      </c>
      <c r="E2" s="315"/>
      <c r="F2" s="315"/>
      <c r="G2" s="129"/>
      <c r="H2" s="129"/>
      <c r="I2" s="129"/>
      <c r="J2" s="129"/>
      <c r="K2" s="129"/>
      <c r="L2" s="129"/>
      <c r="M2" s="129"/>
    </row>
    <row r="3" spans="1:13" ht="30.75" customHeight="1" x14ac:dyDescent="0.4">
      <c r="B3" s="314"/>
      <c r="C3" s="314"/>
      <c r="D3" s="172" t="s">
        <v>77</v>
      </c>
      <c r="E3" s="317" t="s">
        <v>389</v>
      </c>
      <c r="F3" s="317"/>
      <c r="G3" s="129"/>
      <c r="H3" s="129"/>
      <c r="I3" s="129"/>
      <c r="J3" s="129"/>
      <c r="K3" s="129"/>
      <c r="L3" s="129"/>
    </row>
    <row r="4" spans="1:13" ht="30.75" customHeight="1" x14ac:dyDescent="0.4">
      <c r="B4" s="314"/>
      <c r="C4" s="314"/>
      <c r="D4" s="316" t="s">
        <v>390</v>
      </c>
      <c r="E4" s="316"/>
      <c r="F4" s="316"/>
      <c r="G4" s="129"/>
      <c r="H4" s="129"/>
      <c r="I4" s="129"/>
      <c r="J4" s="129"/>
      <c r="K4" s="129"/>
      <c r="L4" s="129"/>
    </row>
    <row r="5" spans="1:13" ht="10.5" customHeight="1" x14ac:dyDescent="0.4">
      <c r="B5" s="129"/>
      <c r="C5" s="129"/>
      <c r="D5" s="129"/>
      <c r="E5" s="129"/>
      <c r="F5" s="129"/>
      <c r="G5" s="129"/>
      <c r="H5" s="129"/>
      <c r="I5" s="129"/>
      <c r="J5" s="129"/>
      <c r="K5" s="129"/>
      <c r="L5" s="129"/>
    </row>
    <row r="6" spans="1:13" ht="24" customHeight="1" x14ac:dyDescent="0.4">
      <c r="B6" s="313" t="s">
        <v>78</v>
      </c>
      <c r="C6" s="313"/>
      <c r="D6" s="318" t="s">
        <v>65</v>
      </c>
      <c r="E6" s="319"/>
      <c r="F6" s="319"/>
      <c r="G6" s="129"/>
      <c r="H6" s="129"/>
      <c r="I6" s="129"/>
      <c r="J6" s="129"/>
      <c r="K6" s="129"/>
      <c r="L6" s="129"/>
    </row>
    <row r="7" spans="1:13" ht="24" customHeight="1" x14ac:dyDescent="0.4">
      <c r="B7" s="313" t="s">
        <v>79</v>
      </c>
      <c r="C7" s="313"/>
      <c r="D7" s="320" t="s">
        <v>395</v>
      </c>
      <c r="E7" s="321"/>
      <c r="F7" s="321"/>
      <c r="G7" s="129"/>
      <c r="H7" s="129"/>
      <c r="I7" s="129"/>
      <c r="J7" s="129"/>
      <c r="K7" s="129"/>
      <c r="L7" s="129"/>
    </row>
    <row r="8" spans="1:13" ht="10.5" customHeight="1" thickBot="1" x14ac:dyDescent="0.5">
      <c r="D8" s="122"/>
      <c r="E8" s="123"/>
      <c r="F8" s="129"/>
      <c r="G8" s="129"/>
      <c r="H8" s="129"/>
      <c r="I8" s="129"/>
      <c r="J8" s="129"/>
      <c r="K8" s="129"/>
      <c r="L8" s="129"/>
    </row>
    <row r="9" spans="1:13" ht="69.75" customHeight="1" thickBot="1" x14ac:dyDescent="0.45">
      <c r="A9" s="124"/>
      <c r="B9" s="326" t="s">
        <v>387</v>
      </c>
      <c r="C9" s="327"/>
      <c r="D9" s="327"/>
      <c r="E9" s="328"/>
      <c r="F9" s="324" t="s">
        <v>472</v>
      </c>
      <c r="G9" s="129"/>
      <c r="H9" s="129"/>
      <c r="I9" s="129"/>
      <c r="J9" s="129"/>
      <c r="K9" s="129"/>
      <c r="L9" s="129"/>
    </row>
    <row r="10" spans="1:13" s="129" customFormat="1" ht="50.25" customHeight="1" thickBot="1" x14ac:dyDescent="0.45">
      <c r="A10" s="125"/>
      <c r="B10" s="329" t="s">
        <v>81</v>
      </c>
      <c r="C10" s="191" t="s">
        <v>82</v>
      </c>
      <c r="D10" s="192" t="s">
        <v>83</v>
      </c>
      <c r="E10" s="193" t="s">
        <v>84</v>
      </c>
      <c r="F10" s="325"/>
    </row>
    <row r="11" spans="1:13" s="129" customFormat="1" ht="408.75" customHeight="1" thickBot="1" x14ac:dyDescent="0.45">
      <c r="A11" s="125"/>
      <c r="B11" s="330"/>
      <c r="C11" s="130" t="s">
        <v>85</v>
      </c>
      <c r="D11" s="331" t="s">
        <v>396</v>
      </c>
      <c r="E11" s="331" t="s">
        <v>397</v>
      </c>
      <c r="F11" s="256" t="s">
        <v>421</v>
      </c>
    </row>
    <row r="12" spans="1:13" s="129" customFormat="1" ht="234.75" customHeight="1" thickBot="1" x14ac:dyDescent="0.45">
      <c r="A12" s="125"/>
      <c r="B12" s="330"/>
      <c r="C12" s="173" t="s">
        <v>86</v>
      </c>
      <c r="D12" s="332"/>
      <c r="E12" s="332"/>
      <c r="F12" s="167"/>
    </row>
    <row r="13" spans="1:13" s="129" customFormat="1" ht="408" customHeight="1" thickBot="1" x14ac:dyDescent="0.45">
      <c r="A13" s="125"/>
      <c r="B13" s="330"/>
      <c r="C13" s="174" t="s">
        <v>87</v>
      </c>
      <c r="D13" s="135" t="s">
        <v>398</v>
      </c>
      <c r="E13" s="135" t="s">
        <v>399</v>
      </c>
      <c r="F13" s="167"/>
    </row>
    <row r="14" spans="1:13" s="129" customFormat="1" ht="240" customHeight="1" thickBot="1" x14ac:dyDescent="0.45">
      <c r="A14" s="125"/>
      <c r="B14" s="330"/>
      <c r="C14" s="175" t="s">
        <v>88</v>
      </c>
      <c r="D14" s="133" t="s">
        <v>400</v>
      </c>
      <c r="E14" s="133" t="s">
        <v>401</v>
      </c>
      <c r="F14" s="207"/>
    </row>
    <row r="15" spans="1:13" s="129" customFormat="1" ht="242.25" customHeight="1" thickBot="1" x14ac:dyDescent="0.45">
      <c r="A15" s="125"/>
      <c r="B15" s="330"/>
      <c r="C15" s="176" t="s">
        <v>89</v>
      </c>
      <c r="D15" s="135" t="s">
        <v>402</v>
      </c>
      <c r="E15" s="210" t="s">
        <v>471</v>
      </c>
      <c r="F15" s="207"/>
    </row>
    <row r="16" spans="1:13" s="129" customFormat="1" ht="343.8" thickBot="1" x14ac:dyDescent="0.45">
      <c r="A16" s="125"/>
      <c r="B16" s="330"/>
      <c r="C16" s="175" t="s">
        <v>90</v>
      </c>
      <c r="D16" s="133" t="s">
        <v>403</v>
      </c>
      <c r="E16" s="194" t="s">
        <v>422</v>
      </c>
      <c r="F16" s="256"/>
    </row>
    <row r="17" spans="1:6" s="141" customFormat="1" ht="330" customHeight="1" thickBot="1" x14ac:dyDescent="0.5">
      <c r="A17" s="139"/>
      <c r="B17" s="330"/>
      <c r="C17" s="205" t="s">
        <v>91</v>
      </c>
      <c r="D17" s="133" t="s">
        <v>404</v>
      </c>
      <c r="E17" s="135" t="s">
        <v>405</v>
      </c>
      <c r="F17" s="208"/>
    </row>
    <row r="18" spans="1:6" ht="168" customHeight="1" thickBot="1" x14ac:dyDescent="0.35">
      <c r="B18" s="330"/>
      <c r="C18" s="206" t="s">
        <v>388</v>
      </c>
      <c r="D18" s="254" t="s">
        <v>406</v>
      </c>
      <c r="E18" s="255" t="s">
        <v>407</v>
      </c>
      <c r="F18" s="209"/>
    </row>
    <row r="19" spans="1:6" x14ac:dyDescent="0.45">
      <c r="B19" s="195"/>
      <c r="C19" s="196"/>
      <c r="D19" s="197"/>
      <c r="E19" s="196"/>
    </row>
    <row r="20" spans="1:6" ht="24.6" x14ac:dyDescent="0.3">
      <c r="B20" s="322"/>
      <c r="C20" s="322"/>
      <c r="D20" s="322"/>
      <c r="E20" s="322"/>
    </row>
    <row r="21" spans="1:6" ht="27" x14ac:dyDescent="0.3">
      <c r="B21" s="323"/>
      <c r="C21" s="198"/>
      <c r="D21" s="198"/>
      <c r="E21" s="198"/>
    </row>
    <row r="22" spans="1:6" x14ac:dyDescent="0.3">
      <c r="B22" s="323"/>
      <c r="C22" s="199"/>
      <c r="D22" s="200"/>
      <c r="E22" s="200"/>
    </row>
    <row r="23" spans="1:6" x14ac:dyDescent="0.3">
      <c r="B23" s="323"/>
      <c r="C23" s="199"/>
      <c r="D23" s="201"/>
      <c r="E23" s="201"/>
    </row>
    <row r="24" spans="1:6" x14ac:dyDescent="0.3">
      <c r="B24" s="323"/>
      <c r="C24" s="199"/>
      <c r="D24" s="201"/>
      <c r="E24" s="201"/>
    </row>
    <row r="25" spans="1:6" x14ac:dyDescent="0.3">
      <c r="B25" s="323"/>
      <c r="C25" s="199"/>
      <c r="D25" s="201"/>
      <c r="E25" s="201"/>
    </row>
    <row r="26" spans="1:6" x14ac:dyDescent="0.3">
      <c r="B26" s="323"/>
      <c r="C26" s="199"/>
      <c r="D26" s="201"/>
      <c r="E26" s="200"/>
    </row>
    <row r="27" spans="1:6" x14ac:dyDescent="0.3">
      <c r="B27" s="323"/>
      <c r="C27" s="199"/>
      <c r="D27" s="201"/>
      <c r="E27" s="200"/>
    </row>
    <row r="28" spans="1:6" x14ac:dyDescent="0.3">
      <c r="B28" s="323"/>
      <c r="C28" s="202"/>
      <c r="D28" s="201"/>
      <c r="E28" s="201"/>
    </row>
    <row r="29" spans="1:6" ht="28.2" x14ac:dyDescent="0.45">
      <c r="B29" s="323"/>
      <c r="C29" s="203"/>
      <c r="D29" s="204"/>
      <c r="E29" s="204"/>
    </row>
    <row r="30" spans="1:6" x14ac:dyDescent="0.45">
      <c r="B30" s="195"/>
      <c r="C30" s="196"/>
      <c r="D30" s="197"/>
      <c r="E30" s="196"/>
    </row>
    <row r="31" spans="1:6" x14ac:dyDescent="0.45">
      <c r="B31" s="195"/>
      <c r="C31" s="196"/>
      <c r="D31" s="197"/>
      <c r="E31" s="196"/>
    </row>
  </sheetData>
  <mergeCells count="15">
    <mergeCell ref="B20:E20"/>
    <mergeCell ref="B21:B29"/>
    <mergeCell ref="F9:F10"/>
    <mergeCell ref="B9:E9"/>
    <mergeCell ref="B10:B18"/>
    <mergeCell ref="D11:D12"/>
    <mergeCell ref="E11:E12"/>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33" t="s">
        <v>80</v>
      </c>
      <c r="C2" s="333"/>
      <c r="D2" s="333"/>
      <c r="E2" s="334"/>
      <c r="F2" s="338" t="s">
        <v>92</v>
      </c>
    </row>
    <row r="3" spans="1:6" s="129" customFormat="1" ht="40.5" customHeight="1" thickBot="1" x14ac:dyDescent="0.45">
      <c r="A3" s="125"/>
      <c r="B3" s="335" t="s">
        <v>93</v>
      </c>
      <c r="C3" s="126" t="s">
        <v>82</v>
      </c>
      <c r="D3" s="127" t="s">
        <v>83</v>
      </c>
      <c r="E3" s="128" t="s">
        <v>84</v>
      </c>
      <c r="F3" s="339"/>
    </row>
    <row r="4" spans="1:6" s="129" customFormat="1" ht="228.75" customHeight="1" thickBot="1" x14ac:dyDescent="0.45">
      <c r="A4" s="125"/>
      <c r="B4" s="336"/>
      <c r="C4" s="130" t="s">
        <v>85</v>
      </c>
      <c r="D4" s="131" t="s">
        <v>94</v>
      </c>
      <c r="E4" s="163" t="s">
        <v>95</v>
      </c>
      <c r="F4" s="168" t="s">
        <v>96</v>
      </c>
    </row>
    <row r="5" spans="1:6" s="129" customFormat="1" ht="238.2" thickBot="1" x14ac:dyDescent="0.45">
      <c r="A5" s="125"/>
      <c r="B5" s="336"/>
      <c r="C5" s="132" t="s">
        <v>86</v>
      </c>
      <c r="D5" s="133" t="s">
        <v>97</v>
      </c>
      <c r="E5" s="164" t="s">
        <v>98</v>
      </c>
      <c r="F5" s="167" t="s">
        <v>99</v>
      </c>
    </row>
    <row r="6" spans="1:6" s="129" customFormat="1" ht="213.6" thickBot="1" x14ac:dyDescent="0.45">
      <c r="A6" s="125"/>
      <c r="B6" s="336"/>
      <c r="C6" s="134" t="s">
        <v>87</v>
      </c>
      <c r="D6" s="135" t="s">
        <v>100</v>
      </c>
      <c r="E6" s="165" t="s">
        <v>101</v>
      </c>
      <c r="F6" s="167"/>
    </row>
    <row r="7" spans="1:6" s="129" customFormat="1" ht="154.5" customHeight="1" thickBot="1" x14ac:dyDescent="0.45">
      <c r="A7" s="125"/>
      <c r="B7" s="336"/>
      <c r="C7" s="136" t="s">
        <v>88</v>
      </c>
      <c r="D7" s="137"/>
      <c r="E7" s="164"/>
      <c r="F7" s="167"/>
    </row>
    <row r="8" spans="1:6" s="129" customFormat="1" ht="180" thickBot="1" x14ac:dyDescent="0.45">
      <c r="A8" s="125"/>
      <c r="B8" s="336"/>
      <c r="C8" s="138" t="s">
        <v>89</v>
      </c>
      <c r="D8" s="135" t="s">
        <v>102</v>
      </c>
      <c r="E8" s="166" t="s">
        <v>103</v>
      </c>
      <c r="F8" s="167"/>
    </row>
    <row r="9" spans="1:6" s="129" customFormat="1" ht="174.6" thickBot="1" x14ac:dyDescent="0.45">
      <c r="A9" s="125"/>
      <c r="B9" s="336"/>
      <c r="C9" s="136" t="s">
        <v>90</v>
      </c>
      <c r="D9" s="133" t="s">
        <v>104</v>
      </c>
      <c r="E9" s="166" t="s">
        <v>105</v>
      </c>
      <c r="F9" s="167"/>
    </row>
    <row r="10" spans="1:6" s="141" customFormat="1" ht="241.2" thickBot="1" x14ac:dyDescent="0.5">
      <c r="A10" s="139"/>
      <c r="B10" s="336"/>
      <c r="C10" s="140" t="s">
        <v>91</v>
      </c>
      <c r="D10" s="133" t="s">
        <v>106</v>
      </c>
      <c r="E10" s="165" t="s">
        <v>107</v>
      </c>
      <c r="F10" s="169"/>
    </row>
    <row r="11" spans="1:6" s="141" customFormat="1" ht="28.8" thickBot="1" x14ac:dyDescent="0.5">
      <c r="A11" s="139"/>
      <c r="B11" s="337"/>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topLeftCell="L32" zoomScale="70" zoomScaleNormal="70" zoomScaleSheetLayoutView="30" zoomScalePageLayoutView="60" workbookViewId="0">
      <selection activeCell="U38" sqref="U38"/>
    </sheetView>
  </sheetViews>
  <sheetFormatPr baseColWidth="10" defaultColWidth="11.44140625" defaultRowHeight="15" x14ac:dyDescent="0.25"/>
  <cols>
    <col min="1" max="1" width="6.5546875" style="251" customWidth="1"/>
    <col min="2" max="2" width="16" style="251" customWidth="1"/>
    <col min="3" max="3" width="19.109375" style="251" customWidth="1"/>
    <col min="4" max="4" width="54.6640625" style="251" customWidth="1"/>
    <col min="5" max="5" width="70.88671875" style="233" customWidth="1"/>
    <col min="6" max="6" width="15.109375" style="233" customWidth="1"/>
    <col min="7" max="8" width="16.6640625" style="252" customWidth="1"/>
    <col min="9" max="9" width="19.33203125" style="252" customWidth="1"/>
    <col min="10" max="11" width="16.6640625" style="252" customWidth="1"/>
    <col min="12" max="12" width="16.6640625" style="233" customWidth="1"/>
    <col min="13" max="13" width="20.44140625" style="233" customWidth="1"/>
    <col min="14" max="14" width="10" style="233" customWidth="1"/>
    <col min="15" max="15" width="35.88671875" style="233" customWidth="1"/>
    <col min="16" max="16" width="30.5546875" style="233" hidden="1" customWidth="1"/>
    <col min="17" max="17" width="17.5546875" style="233" customWidth="1"/>
    <col min="18" max="18" width="8.44140625" style="233" customWidth="1"/>
    <col min="19" max="19" width="16" style="233" customWidth="1"/>
    <col min="20" max="20" width="11.33203125" style="233" customWidth="1"/>
    <col min="21" max="21" width="70.33203125" style="233" customWidth="1"/>
    <col min="22" max="22" width="19" style="233" hidden="1" customWidth="1"/>
    <col min="23" max="23" width="6.88671875" style="233" customWidth="1"/>
    <col min="24" max="24" width="5" style="233" customWidth="1"/>
    <col min="25" max="25" width="5.5546875" style="233" hidden="1" customWidth="1"/>
    <col min="26" max="26" width="7.109375" style="233" customWidth="1"/>
    <col min="27" max="27" width="6.6640625" style="233" customWidth="1"/>
    <col min="28" max="28" width="7.5546875" style="233" customWidth="1"/>
    <col min="29" max="29" width="38.33203125" style="233" hidden="1" customWidth="1"/>
    <col min="30" max="34" width="10.88671875" style="233" customWidth="1"/>
    <col min="35" max="35" width="10.88671875" style="250" customWidth="1"/>
    <col min="36" max="36" width="23" style="233" customWidth="1"/>
    <col min="37" max="38" width="18.88671875" style="233" customWidth="1"/>
    <col min="39" max="39" width="22.44140625" style="233" customWidth="1"/>
    <col min="40" max="41" width="16.44140625" style="233" customWidth="1"/>
    <col min="42" max="42" width="26.109375" style="233" customWidth="1"/>
    <col min="43" max="16384" width="11.44140625" style="233"/>
  </cols>
  <sheetData>
    <row r="1" spans="1:273" s="225" customFormat="1" ht="24" customHeight="1" x14ac:dyDescent="0.35">
      <c r="A1" s="410"/>
      <c r="B1" s="411"/>
      <c r="C1" s="412"/>
      <c r="D1" s="419" t="s">
        <v>108</v>
      </c>
      <c r="E1" s="387"/>
      <c r="F1" s="387"/>
      <c r="G1" s="387"/>
      <c r="H1" s="387"/>
      <c r="I1" s="387"/>
      <c r="J1" s="387"/>
      <c r="K1" s="387"/>
      <c r="L1" s="387"/>
      <c r="M1" s="387"/>
      <c r="N1" s="387"/>
      <c r="O1" s="387"/>
      <c r="P1" s="387"/>
      <c r="Q1" s="387"/>
      <c r="R1" s="387"/>
      <c r="S1" s="388"/>
      <c r="T1" s="223"/>
      <c r="U1" s="386" t="s">
        <v>108</v>
      </c>
      <c r="V1" s="387"/>
      <c r="W1" s="387"/>
      <c r="X1" s="387"/>
      <c r="Y1" s="387"/>
      <c r="Z1" s="387"/>
      <c r="AA1" s="387"/>
      <c r="AB1" s="387"/>
      <c r="AC1" s="387"/>
      <c r="AD1" s="387"/>
      <c r="AE1" s="387"/>
      <c r="AF1" s="387"/>
      <c r="AG1" s="387"/>
      <c r="AH1" s="387"/>
      <c r="AI1" s="387"/>
      <c r="AJ1" s="387"/>
      <c r="AK1" s="387"/>
      <c r="AL1" s="387"/>
      <c r="AM1" s="387"/>
      <c r="AN1" s="387"/>
      <c r="AO1" s="387"/>
      <c r="AP1" s="388"/>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row>
    <row r="2" spans="1:273" s="225" customFormat="1" ht="24" customHeight="1" thickBot="1" x14ac:dyDescent="0.4">
      <c r="A2" s="413"/>
      <c r="B2" s="414"/>
      <c r="C2" s="415"/>
      <c r="D2" s="420"/>
      <c r="E2" s="390"/>
      <c r="F2" s="390"/>
      <c r="G2" s="390"/>
      <c r="H2" s="390"/>
      <c r="I2" s="390"/>
      <c r="J2" s="390"/>
      <c r="K2" s="390"/>
      <c r="L2" s="390"/>
      <c r="M2" s="390"/>
      <c r="N2" s="390"/>
      <c r="O2" s="390"/>
      <c r="P2" s="390"/>
      <c r="Q2" s="390"/>
      <c r="R2" s="390"/>
      <c r="S2" s="391"/>
      <c r="T2" s="223"/>
      <c r="U2" s="389"/>
      <c r="V2" s="390"/>
      <c r="W2" s="390"/>
      <c r="X2" s="390"/>
      <c r="Y2" s="390"/>
      <c r="Z2" s="390"/>
      <c r="AA2" s="390"/>
      <c r="AB2" s="390"/>
      <c r="AC2" s="390"/>
      <c r="AD2" s="390"/>
      <c r="AE2" s="390"/>
      <c r="AF2" s="390"/>
      <c r="AG2" s="390"/>
      <c r="AH2" s="390"/>
      <c r="AI2" s="390"/>
      <c r="AJ2" s="390"/>
      <c r="AK2" s="390"/>
      <c r="AL2" s="390"/>
      <c r="AM2" s="390"/>
      <c r="AN2" s="390"/>
      <c r="AO2" s="390"/>
      <c r="AP2" s="391"/>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row>
    <row r="3" spans="1:273" s="225" customFormat="1" ht="24" customHeight="1" x14ac:dyDescent="0.35">
      <c r="A3" s="413"/>
      <c r="B3" s="414"/>
      <c r="C3" s="415"/>
      <c r="D3" s="421" t="s">
        <v>109</v>
      </c>
      <c r="E3" s="422"/>
      <c r="F3" s="422"/>
      <c r="G3" s="422"/>
      <c r="H3" s="422"/>
      <c r="I3" s="422"/>
      <c r="J3" s="422"/>
      <c r="K3" s="422"/>
      <c r="L3" s="422" t="s">
        <v>110</v>
      </c>
      <c r="M3" s="422"/>
      <c r="N3" s="422"/>
      <c r="O3" s="422"/>
      <c r="P3" s="422"/>
      <c r="Q3" s="422"/>
      <c r="R3" s="422"/>
      <c r="S3" s="423"/>
      <c r="T3" s="223"/>
      <c r="U3" s="392" t="s">
        <v>111</v>
      </c>
      <c r="V3" s="393"/>
      <c r="W3" s="393"/>
      <c r="X3" s="393"/>
      <c r="Y3" s="393"/>
      <c r="Z3" s="393"/>
      <c r="AA3" s="393"/>
      <c r="AB3" s="393"/>
      <c r="AC3" s="393"/>
      <c r="AD3" s="393"/>
      <c r="AE3" s="393"/>
      <c r="AF3" s="393"/>
      <c r="AG3" s="393"/>
      <c r="AH3" s="393"/>
      <c r="AI3" s="393"/>
      <c r="AJ3" s="393" t="s">
        <v>110</v>
      </c>
      <c r="AK3" s="393"/>
      <c r="AL3" s="393"/>
      <c r="AM3" s="393"/>
      <c r="AN3" s="393"/>
      <c r="AO3" s="393"/>
      <c r="AP3" s="397"/>
      <c r="AQ3" s="226"/>
      <c r="AR3" s="227"/>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row>
    <row r="4" spans="1:273" s="225" customFormat="1" ht="24" customHeight="1" thickBot="1" x14ac:dyDescent="0.4">
      <c r="A4" s="416"/>
      <c r="B4" s="417"/>
      <c r="C4" s="418"/>
      <c r="D4" s="424" t="s">
        <v>390</v>
      </c>
      <c r="E4" s="395"/>
      <c r="F4" s="395"/>
      <c r="G4" s="395"/>
      <c r="H4" s="395"/>
      <c r="I4" s="395"/>
      <c r="J4" s="395"/>
      <c r="K4" s="395"/>
      <c r="L4" s="395"/>
      <c r="M4" s="395"/>
      <c r="N4" s="395"/>
      <c r="O4" s="395"/>
      <c r="P4" s="395"/>
      <c r="Q4" s="395"/>
      <c r="R4" s="395"/>
      <c r="S4" s="396"/>
      <c r="T4" s="223"/>
      <c r="U4" s="394" t="s">
        <v>393</v>
      </c>
      <c r="V4" s="395"/>
      <c r="W4" s="395"/>
      <c r="X4" s="395"/>
      <c r="Y4" s="395"/>
      <c r="Z4" s="395"/>
      <c r="AA4" s="395"/>
      <c r="AB4" s="395"/>
      <c r="AC4" s="395"/>
      <c r="AD4" s="395"/>
      <c r="AE4" s="395"/>
      <c r="AF4" s="395"/>
      <c r="AG4" s="395"/>
      <c r="AH4" s="395"/>
      <c r="AI4" s="395"/>
      <c r="AJ4" s="395"/>
      <c r="AK4" s="395"/>
      <c r="AL4" s="395"/>
      <c r="AM4" s="395"/>
      <c r="AN4" s="395"/>
      <c r="AO4" s="395"/>
      <c r="AP4" s="396"/>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row>
    <row r="5" spans="1:273" ht="15.6" thickBot="1" x14ac:dyDescent="0.3">
      <c r="A5" s="228"/>
      <c r="B5" s="229"/>
      <c r="C5" s="228"/>
      <c r="D5" s="228"/>
      <c r="E5" s="230"/>
      <c r="F5" s="230"/>
      <c r="G5" s="231"/>
      <c r="H5" s="231"/>
      <c r="I5" s="231"/>
      <c r="J5" s="231"/>
      <c r="K5" s="231"/>
      <c r="L5" s="230"/>
      <c r="M5" s="230"/>
      <c r="N5" s="230"/>
      <c r="O5" s="230"/>
      <c r="P5" s="230"/>
      <c r="Q5" s="230"/>
      <c r="R5" s="230"/>
      <c r="S5" s="230"/>
      <c r="T5" s="230"/>
      <c r="U5" s="230"/>
      <c r="V5" s="230"/>
      <c r="W5" s="230"/>
      <c r="X5" s="230"/>
      <c r="Y5" s="230"/>
      <c r="Z5" s="230"/>
      <c r="AA5" s="230"/>
      <c r="AB5" s="230"/>
      <c r="AC5" s="230"/>
      <c r="AD5" s="230"/>
      <c r="AE5" s="230"/>
      <c r="AF5" s="230"/>
      <c r="AG5" s="230"/>
      <c r="AH5" s="230"/>
      <c r="AI5" s="232"/>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row>
    <row r="6" spans="1:273" ht="27.75" customHeight="1" x14ac:dyDescent="0.25">
      <c r="A6" s="398" t="s">
        <v>112</v>
      </c>
      <c r="B6" s="399"/>
      <c r="C6" s="371" t="s">
        <v>65</v>
      </c>
      <c r="D6" s="372"/>
      <c r="E6" s="372"/>
      <c r="F6" s="372"/>
      <c r="G6" s="372"/>
      <c r="H6" s="372"/>
      <c r="I6" s="372"/>
      <c r="J6" s="372"/>
      <c r="K6" s="372"/>
      <c r="L6" s="372"/>
      <c r="M6" s="372"/>
      <c r="N6" s="372"/>
      <c r="O6" s="372"/>
      <c r="P6" s="372"/>
      <c r="Q6" s="372"/>
      <c r="R6" s="372"/>
      <c r="S6" s="373"/>
      <c r="T6" s="374" t="s">
        <v>112</v>
      </c>
      <c r="U6" s="375"/>
      <c r="V6" s="376"/>
      <c r="W6" s="377" t="str">
        <f>C6</f>
        <v>7. Gestión de servicios e infraestructura tecnológica</v>
      </c>
      <c r="X6" s="378"/>
      <c r="Y6" s="378"/>
      <c r="Z6" s="378"/>
      <c r="AA6" s="378"/>
      <c r="AB6" s="378"/>
      <c r="AC6" s="378"/>
      <c r="AD6" s="378"/>
      <c r="AE6" s="378"/>
      <c r="AF6" s="378"/>
      <c r="AG6" s="378"/>
      <c r="AH6" s="378"/>
      <c r="AI6" s="378"/>
      <c r="AJ6" s="378"/>
      <c r="AK6" s="378"/>
      <c r="AL6" s="378"/>
      <c r="AM6" s="378"/>
      <c r="AN6" s="378"/>
      <c r="AO6" s="378"/>
      <c r="AP6" s="379"/>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row>
    <row r="7" spans="1:273" ht="36.75" customHeight="1" x14ac:dyDescent="0.3">
      <c r="A7" s="400" t="s">
        <v>113</v>
      </c>
      <c r="B7" s="401"/>
      <c r="C7" s="404" t="s">
        <v>408</v>
      </c>
      <c r="D7" s="405"/>
      <c r="E7" s="405"/>
      <c r="F7" s="405"/>
      <c r="G7" s="405"/>
      <c r="H7" s="405"/>
      <c r="I7" s="405"/>
      <c r="J7" s="405"/>
      <c r="K7" s="405"/>
      <c r="L7" s="405"/>
      <c r="M7" s="405"/>
      <c r="N7" s="405"/>
      <c r="O7" s="405"/>
      <c r="P7" s="405"/>
      <c r="Q7" s="405"/>
      <c r="R7" s="405"/>
      <c r="S7" s="406"/>
      <c r="T7" s="234" t="s">
        <v>113</v>
      </c>
      <c r="U7" s="235"/>
      <c r="V7" s="236"/>
      <c r="W7" s="380" t="str">
        <f>C7</f>
        <v>Ofrecer servicios de Tecnología de la  Información de calidad y oportunos, proporcionando soporte tecnológico y  soluciones efectivas a los requerimientos de los  procesos de la UAERMV .</v>
      </c>
      <c r="X7" s="381"/>
      <c r="Y7" s="381"/>
      <c r="Z7" s="381"/>
      <c r="AA7" s="381"/>
      <c r="AB7" s="381"/>
      <c r="AC7" s="381"/>
      <c r="AD7" s="381"/>
      <c r="AE7" s="381"/>
      <c r="AF7" s="381"/>
      <c r="AG7" s="381"/>
      <c r="AH7" s="381"/>
      <c r="AI7" s="381"/>
      <c r="AJ7" s="381"/>
      <c r="AK7" s="381"/>
      <c r="AL7" s="381"/>
      <c r="AM7" s="381"/>
      <c r="AN7" s="381"/>
      <c r="AO7" s="381"/>
      <c r="AP7" s="382"/>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row>
    <row r="8" spans="1:273" ht="30" customHeight="1" thickBot="1" x14ac:dyDescent="0.35">
      <c r="A8" s="402" t="s">
        <v>114</v>
      </c>
      <c r="B8" s="403"/>
      <c r="C8" s="407" t="s">
        <v>409</v>
      </c>
      <c r="D8" s="408"/>
      <c r="E8" s="408"/>
      <c r="F8" s="408"/>
      <c r="G8" s="408"/>
      <c r="H8" s="408"/>
      <c r="I8" s="408"/>
      <c r="J8" s="408"/>
      <c r="K8" s="408"/>
      <c r="L8" s="408"/>
      <c r="M8" s="408"/>
      <c r="N8" s="408"/>
      <c r="O8" s="408"/>
      <c r="P8" s="408"/>
      <c r="Q8" s="408"/>
      <c r="R8" s="408"/>
      <c r="S8" s="409"/>
      <c r="T8" s="237" t="s">
        <v>114</v>
      </c>
      <c r="U8" s="238"/>
      <c r="V8" s="239"/>
      <c r="W8" s="383" t="str">
        <f>C8</f>
        <v>El proceso toma como punto de partida las diferentes necesidades de soporte tecnológico de la UAERMV, materializadas mediante solicitudes de servicio, se desarrolla a través de diferentes atenciones a la solicitudes y se finaliza al dar cierre a dichas solicitudes.</v>
      </c>
      <c r="X8" s="384"/>
      <c r="Y8" s="384"/>
      <c r="Z8" s="384"/>
      <c r="AA8" s="384"/>
      <c r="AB8" s="384"/>
      <c r="AC8" s="384"/>
      <c r="AD8" s="384"/>
      <c r="AE8" s="384"/>
      <c r="AF8" s="384"/>
      <c r="AG8" s="384"/>
      <c r="AH8" s="384"/>
      <c r="AI8" s="384"/>
      <c r="AJ8" s="384"/>
      <c r="AK8" s="384"/>
      <c r="AL8" s="384"/>
      <c r="AM8" s="384"/>
      <c r="AN8" s="384"/>
      <c r="AO8" s="384"/>
      <c r="AP8" s="385"/>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row>
    <row r="9" spans="1:273" ht="12" customHeight="1" x14ac:dyDescent="0.3">
      <c r="A9" s="240"/>
      <c r="B9" s="240"/>
      <c r="C9" s="241"/>
      <c r="D9" s="241"/>
      <c r="E9" s="241"/>
      <c r="F9" s="241"/>
      <c r="G9" s="241"/>
      <c r="H9" s="241"/>
      <c r="I9" s="241"/>
      <c r="J9" s="241"/>
      <c r="K9" s="241"/>
      <c r="L9" s="241"/>
      <c r="M9" s="241"/>
      <c r="N9" s="241"/>
      <c r="O9" s="241"/>
      <c r="P9" s="241"/>
      <c r="Q9" s="241"/>
      <c r="R9" s="241"/>
      <c r="S9" s="241"/>
      <c r="T9" s="242"/>
      <c r="U9" s="242"/>
      <c r="V9" s="242"/>
      <c r="W9" s="243"/>
      <c r="X9" s="243"/>
      <c r="Y9" s="243"/>
      <c r="Z9" s="243"/>
      <c r="AA9" s="243"/>
      <c r="AB9" s="243"/>
      <c r="AC9" s="243"/>
      <c r="AD9" s="243"/>
      <c r="AE9" s="243"/>
      <c r="AF9" s="243"/>
      <c r="AG9" s="243"/>
      <c r="AH9" s="243"/>
      <c r="AI9" s="243"/>
      <c r="AJ9" s="243"/>
      <c r="AK9" s="243"/>
      <c r="AL9" s="243"/>
      <c r="AM9" s="243"/>
      <c r="AN9" s="243"/>
      <c r="AO9" s="243"/>
      <c r="AP9" s="243"/>
    </row>
    <row r="10" spans="1:273" ht="39" customHeight="1" x14ac:dyDescent="0.25">
      <c r="A10" s="356" t="s">
        <v>115</v>
      </c>
      <c r="B10" s="356"/>
      <c r="C10" s="356"/>
      <c r="D10" s="356"/>
      <c r="E10" s="356"/>
      <c r="F10" s="356"/>
      <c r="G10" s="356"/>
      <c r="H10" s="356"/>
      <c r="I10" s="356"/>
      <c r="J10" s="356"/>
      <c r="K10" s="356"/>
      <c r="L10" s="356"/>
      <c r="M10" s="356" t="s">
        <v>116</v>
      </c>
      <c r="N10" s="356"/>
      <c r="O10" s="356"/>
      <c r="P10" s="356"/>
      <c r="Q10" s="356"/>
      <c r="R10" s="356"/>
      <c r="S10" s="356"/>
      <c r="T10" s="356" t="s">
        <v>117</v>
      </c>
      <c r="U10" s="356"/>
      <c r="V10" s="356"/>
      <c r="W10" s="356"/>
      <c r="X10" s="356"/>
      <c r="Y10" s="356"/>
      <c r="Z10" s="356"/>
      <c r="AA10" s="356"/>
      <c r="AB10" s="356"/>
      <c r="AC10" s="356" t="s">
        <v>118</v>
      </c>
      <c r="AD10" s="356"/>
      <c r="AE10" s="356"/>
      <c r="AF10" s="356"/>
      <c r="AG10" s="356"/>
      <c r="AH10" s="356"/>
      <c r="AI10" s="356"/>
      <c r="AJ10" s="356" t="s">
        <v>119</v>
      </c>
      <c r="AK10" s="356"/>
      <c r="AL10" s="356"/>
      <c r="AM10" s="356"/>
      <c r="AN10" s="356" t="s">
        <v>516</v>
      </c>
      <c r="AO10" s="356"/>
      <c r="AP10" s="356"/>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row>
    <row r="11" spans="1:273" ht="26.25" customHeight="1" x14ac:dyDescent="0.25">
      <c r="A11" s="362" t="s">
        <v>120</v>
      </c>
      <c r="B11" s="347" t="s">
        <v>15</v>
      </c>
      <c r="C11" s="348" t="s">
        <v>17</v>
      </c>
      <c r="D11" s="348" t="s">
        <v>19</v>
      </c>
      <c r="E11" s="347" t="s">
        <v>21</v>
      </c>
      <c r="F11" s="348" t="s">
        <v>121</v>
      </c>
      <c r="G11" s="357" t="s">
        <v>23</v>
      </c>
      <c r="H11" s="359" t="s">
        <v>122</v>
      </c>
      <c r="I11" s="357" t="s">
        <v>123</v>
      </c>
      <c r="J11" s="357" t="s">
        <v>124</v>
      </c>
      <c r="K11" s="357" t="s">
        <v>125</v>
      </c>
      <c r="L11" s="348" t="s">
        <v>126</v>
      </c>
      <c r="M11" s="348" t="s">
        <v>127</v>
      </c>
      <c r="N11" s="347" t="s">
        <v>128</v>
      </c>
      <c r="O11" s="348" t="s">
        <v>129</v>
      </c>
      <c r="P11" s="348" t="s">
        <v>130</v>
      </c>
      <c r="Q11" s="348" t="s">
        <v>131</v>
      </c>
      <c r="R11" s="347" t="s">
        <v>128</v>
      </c>
      <c r="S11" s="348" t="s">
        <v>29</v>
      </c>
      <c r="T11" s="358" t="s">
        <v>132</v>
      </c>
      <c r="U11" s="348" t="s">
        <v>31</v>
      </c>
      <c r="V11" s="348" t="s">
        <v>33</v>
      </c>
      <c r="W11" s="348" t="s">
        <v>133</v>
      </c>
      <c r="X11" s="348"/>
      <c r="Y11" s="348"/>
      <c r="Z11" s="348"/>
      <c r="AA11" s="348"/>
      <c r="AB11" s="348"/>
      <c r="AC11" s="358" t="s">
        <v>134</v>
      </c>
      <c r="AD11" s="358" t="s">
        <v>135</v>
      </c>
      <c r="AE11" s="358" t="s">
        <v>128</v>
      </c>
      <c r="AF11" s="358" t="s">
        <v>136</v>
      </c>
      <c r="AG11" s="358" t="s">
        <v>128</v>
      </c>
      <c r="AH11" s="358" t="s">
        <v>137</v>
      </c>
      <c r="AI11" s="358" t="s">
        <v>49</v>
      </c>
      <c r="AJ11" s="348" t="s">
        <v>138</v>
      </c>
      <c r="AK11" s="348" t="s">
        <v>139</v>
      </c>
      <c r="AL11" s="348" t="s">
        <v>140</v>
      </c>
      <c r="AM11" s="348" t="s">
        <v>141</v>
      </c>
      <c r="AN11" s="348" t="s">
        <v>142</v>
      </c>
      <c r="AO11" s="348" t="s">
        <v>143</v>
      </c>
      <c r="AP11" s="348" t="s">
        <v>144</v>
      </c>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row>
    <row r="12" spans="1:273" s="247" customFormat="1" ht="102" customHeight="1" x14ac:dyDescent="0.3">
      <c r="A12" s="362"/>
      <c r="B12" s="347"/>
      <c r="C12" s="348"/>
      <c r="D12" s="348"/>
      <c r="E12" s="347"/>
      <c r="F12" s="348"/>
      <c r="G12" s="357"/>
      <c r="H12" s="360"/>
      <c r="I12" s="357"/>
      <c r="J12" s="357"/>
      <c r="K12" s="357"/>
      <c r="L12" s="348"/>
      <c r="M12" s="348"/>
      <c r="N12" s="347"/>
      <c r="O12" s="348"/>
      <c r="P12" s="348"/>
      <c r="Q12" s="347"/>
      <c r="R12" s="347"/>
      <c r="S12" s="348"/>
      <c r="T12" s="358"/>
      <c r="U12" s="348"/>
      <c r="V12" s="348"/>
      <c r="W12" s="244" t="s">
        <v>145</v>
      </c>
      <c r="X12" s="244" t="s">
        <v>146</v>
      </c>
      <c r="Y12" s="244" t="s">
        <v>147</v>
      </c>
      <c r="Z12" s="244" t="s">
        <v>148</v>
      </c>
      <c r="AA12" s="244" t="s">
        <v>149</v>
      </c>
      <c r="AB12" s="244" t="s">
        <v>150</v>
      </c>
      <c r="AC12" s="358"/>
      <c r="AD12" s="358"/>
      <c r="AE12" s="358"/>
      <c r="AF12" s="358"/>
      <c r="AG12" s="358"/>
      <c r="AH12" s="358"/>
      <c r="AI12" s="358"/>
      <c r="AJ12" s="348"/>
      <c r="AK12" s="348"/>
      <c r="AL12" s="348"/>
      <c r="AM12" s="348"/>
      <c r="AN12" s="348"/>
      <c r="AO12" s="348"/>
      <c r="AP12" s="348"/>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c r="EI12" s="246"/>
      <c r="EJ12" s="246"/>
      <c r="EK12" s="246"/>
      <c r="EL12" s="246"/>
      <c r="EM12" s="246"/>
      <c r="EN12" s="246"/>
      <c r="EO12" s="246"/>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c r="FV12" s="246"/>
      <c r="FW12" s="246"/>
      <c r="FX12" s="246"/>
      <c r="FY12" s="246"/>
      <c r="FZ12" s="246"/>
      <c r="GA12" s="246"/>
      <c r="GB12" s="246"/>
      <c r="GC12" s="246"/>
      <c r="GD12" s="246"/>
      <c r="GE12" s="246"/>
      <c r="GF12" s="246"/>
      <c r="GG12" s="246"/>
      <c r="GH12" s="246"/>
      <c r="GI12" s="246"/>
      <c r="GJ12" s="246"/>
      <c r="GK12" s="246"/>
      <c r="GL12" s="246"/>
      <c r="GM12" s="246"/>
      <c r="GN12" s="246"/>
      <c r="GO12" s="246"/>
      <c r="GP12" s="246"/>
      <c r="GQ12" s="246"/>
      <c r="GR12" s="246"/>
      <c r="GS12" s="246"/>
      <c r="GT12" s="246"/>
      <c r="GU12" s="246"/>
      <c r="GV12" s="246"/>
      <c r="GW12" s="246"/>
      <c r="GX12" s="246"/>
      <c r="GY12" s="246"/>
      <c r="GZ12" s="246"/>
      <c r="HA12" s="246"/>
      <c r="HB12" s="246"/>
      <c r="HC12" s="246"/>
      <c r="HD12" s="246"/>
      <c r="HE12" s="246"/>
      <c r="HF12" s="246"/>
      <c r="HG12" s="246"/>
      <c r="HH12" s="246"/>
      <c r="HI12" s="246"/>
      <c r="HJ12" s="246"/>
      <c r="HK12" s="246"/>
      <c r="HL12" s="246"/>
      <c r="HM12" s="246"/>
      <c r="HN12" s="246"/>
      <c r="HO12" s="246"/>
      <c r="HP12" s="246"/>
      <c r="HQ12" s="246"/>
      <c r="HR12" s="246"/>
      <c r="HS12" s="246"/>
      <c r="HT12" s="246"/>
      <c r="HU12" s="246"/>
      <c r="HV12" s="246"/>
      <c r="HW12" s="246"/>
      <c r="HX12" s="246"/>
      <c r="HY12" s="246"/>
      <c r="HZ12" s="246"/>
      <c r="IA12" s="246"/>
      <c r="IB12" s="246"/>
      <c r="IC12" s="246"/>
      <c r="ID12" s="246"/>
      <c r="IE12" s="246"/>
      <c r="IF12" s="246"/>
      <c r="IG12" s="246"/>
      <c r="IH12" s="246"/>
      <c r="II12" s="246"/>
      <c r="IJ12" s="246"/>
      <c r="IK12" s="246"/>
      <c r="IL12" s="246"/>
      <c r="IM12" s="246"/>
      <c r="IN12" s="246"/>
      <c r="IO12" s="246"/>
      <c r="IP12" s="246"/>
      <c r="IQ12" s="246"/>
      <c r="IR12" s="246"/>
      <c r="IS12" s="246"/>
      <c r="IT12" s="246"/>
      <c r="IU12" s="246"/>
      <c r="IV12" s="246"/>
      <c r="IW12" s="246"/>
      <c r="IX12" s="246"/>
      <c r="IY12" s="246"/>
      <c r="IZ12" s="246"/>
      <c r="JA12" s="246"/>
      <c r="JB12" s="246"/>
      <c r="JC12" s="246"/>
      <c r="JD12" s="246"/>
      <c r="JE12" s="246"/>
      <c r="JF12" s="246"/>
      <c r="JG12" s="246"/>
      <c r="JH12" s="246"/>
      <c r="JI12" s="246"/>
      <c r="JJ12" s="246"/>
      <c r="JK12" s="246"/>
      <c r="JL12" s="246"/>
      <c r="JM12" s="246"/>
    </row>
    <row r="13" spans="1:273" s="268" customFormat="1" ht="360" x14ac:dyDescent="0.3">
      <c r="A13" s="361">
        <v>1</v>
      </c>
      <c r="B13" s="344" t="s">
        <v>151</v>
      </c>
      <c r="C13" s="344" t="s">
        <v>473</v>
      </c>
      <c r="D13" s="344" t="s">
        <v>410</v>
      </c>
      <c r="E13" s="344" t="s">
        <v>474</v>
      </c>
      <c r="F13" s="344" t="s">
        <v>165</v>
      </c>
      <c r="G13" s="344" t="s">
        <v>170</v>
      </c>
      <c r="H13" s="344" t="s">
        <v>305</v>
      </c>
      <c r="I13" s="344" t="s">
        <v>411</v>
      </c>
      <c r="J13" s="344" t="s">
        <v>171</v>
      </c>
      <c r="K13" s="344" t="s">
        <v>475</v>
      </c>
      <c r="L13" s="345">
        <v>500</v>
      </c>
      <c r="M13" s="351" t="str">
        <f>IF(L13&lt;=0,"",IF(L13&lt;=2,"Muy Baja",IF(L13&lt;=24,"Baja",IF(L13&lt;=500,"Media",IF(L13&lt;=5000,"Alta","Muy Alta")))))</f>
        <v>Media</v>
      </c>
      <c r="N13" s="350">
        <f>IF(M13="","",IF(M13="Muy Baja",0.2,IF(M13="Baja",0.4,IF(M13="Media",0.6,IF(M13="Alta",0.8,IF(M13="Muy Alta",1,))))))</f>
        <v>0.6</v>
      </c>
      <c r="O13" s="349" t="s">
        <v>154</v>
      </c>
      <c r="P13" s="350" t="str">
        <f>IF(NOT(ISERROR(MATCH(O13,'[3]Tabla Impacto'!$B$222:$B$224,0))),'[3]Tabla Impacto'!$F$224&amp;"Por favor no seleccionar los criterios de impacto(Afectación Económica o presupuestal y Pérdida Reputacional)",O13)</f>
        <v xml:space="preserve">     El riesgo afecta la imagen de la entidad con algunos usuarios de relevancia frente al logro de los objetivos</v>
      </c>
      <c r="Q13" s="351" t="str">
        <f>IF(OR(P13='[3]Tabla Impacto'!$C$12,P13='[3]Tabla Impacto'!$D$12),"Leve",IF(OR(P13='[3]Tabla Impacto'!$C$13,P13='[3]Tabla Impacto'!$D$13),"Menor",IF(OR(P13='[3]Tabla Impacto'!$C$14,P13='[3]Tabla Impacto'!$D$14),"Moderado",IF(OR(P13='[3]Tabla Impacto'!$C$15,P13='[3]Tabla Impacto'!$D$15),"Mayor",IF(OR(P13='[3]Tabla Impacto'!$C$16,P13='[3]Tabla Impacto'!$D$16),"Catastrófico","")))))</f>
        <v>Moderado</v>
      </c>
      <c r="R13" s="350">
        <f>IF(Q13="","",IF(Q13="Leve",0.2,IF(Q13="Menor",0.4,IF(Q13="Moderado",0.6,IF(Q13="Mayor",0.8,IF(Q13="Catastrófico",1,))))))</f>
        <v>0.6</v>
      </c>
      <c r="S13" s="352"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7">
        <v>1</v>
      </c>
      <c r="U13" s="258" t="s">
        <v>476</v>
      </c>
      <c r="V13" s="259" t="str">
        <f t="shared" ref="V13:V18" si="0">IF(OR(W13="Preventivo",W13="Detectivo"),"Probabilidad",IF(W13="Correctivo","Impacto",""))</f>
        <v>Probabilidad</v>
      </c>
      <c r="W13" s="260" t="s">
        <v>155</v>
      </c>
      <c r="X13" s="260" t="s">
        <v>156</v>
      </c>
      <c r="Y13" s="261" t="str">
        <f>IF(AND(W13="Preventivo",X13="Automático"),"50%",IF(AND(W13="Preventivo",X13="Manual"),"40%",IF(AND(W13="Detectivo",X13="Automático"),"40%",IF(AND(W13="Detectivo",X13="Manual"),"30%",IF(AND(W13="Correctivo",X13="Automático"),"35%",IF(AND(W13="Correctivo",X13="Manual"),"25%",""))))))</f>
        <v>40%</v>
      </c>
      <c r="Z13" s="260" t="s">
        <v>363</v>
      </c>
      <c r="AA13" s="260" t="s">
        <v>160</v>
      </c>
      <c r="AB13" s="260" t="s">
        <v>161</v>
      </c>
      <c r="AC13" s="262">
        <f>IFERROR(IF(V13="Probabilidad",(N13-(+N13*Y13)),IF(V13="Impacto",N13,"")),"")</f>
        <v>0.36</v>
      </c>
      <c r="AD13" s="263" t="str">
        <f>IFERROR(IF(AC13="","",IF(AC13&lt;=0.2,"Muy Baja",IF(AC13&lt;=0.4,"Baja",IF(AC13&lt;=0.6,"Media",IF(AC13&lt;=0.8,"Alta","Muy Alta"))))),"")</f>
        <v>Baja</v>
      </c>
      <c r="AE13" s="261">
        <f>+AC13</f>
        <v>0.36</v>
      </c>
      <c r="AF13" s="263" t="str">
        <f>IFERROR(IF(AG13="","",IF(AG13&lt;=0.2,"Leve",IF(AG13&lt;=0.4,"Menor",IF(AG13&lt;=0.6,"Moderado",IF(AG13&lt;=0.8,"Mayor","Catastrófico"))))),"")</f>
        <v>Moderado</v>
      </c>
      <c r="AG13" s="261">
        <f>IFERROR(IF(V13="Impacto",(R13-(+R13*Y13)),IF(V13="Probabilidad",R13,"")),"")</f>
        <v>0.6</v>
      </c>
      <c r="AH13" s="264"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65" t="s">
        <v>158</v>
      </c>
      <c r="AJ13" s="266" t="s">
        <v>477</v>
      </c>
      <c r="AK13" s="266" t="s">
        <v>412</v>
      </c>
      <c r="AL13" s="266" t="s">
        <v>478</v>
      </c>
      <c r="AM13" s="267" t="s">
        <v>413</v>
      </c>
      <c r="AN13" s="340" t="s">
        <v>414</v>
      </c>
      <c r="AO13" s="340" t="s">
        <v>478</v>
      </c>
      <c r="AP13" s="340" t="s">
        <v>412</v>
      </c>
    </row>
    <row r="14" spans="1:273" ht="180" x14ac:dyDescent="0.25">
      <c r="A14" s="361"/>
      <c r="B14" s="344"/>
      <c r="C14" s="344"/>
      <c r="D14" s="344"/>
      <c r="E14" s="344"/>
      <c r="F14" s="344"/>
      <c r="G14" s="344"/>
      <c r="H14" s="344"/>
      <c r="I14" s="344"/>
      <c r="J14" s="344"/>
      <c r="K14" s="344"/>
      <c r="L14" s="345"/>
      <c r="M14" s="351"/>
      <c r="N14" s="350"/>
      <c r="O14" s="349"/>
      <c r="P14" s="350">
        <f>IF(NOT(ISERROR(MATCH(O14,_xlfn.ANCHORARRAY(E25),0))),N27&amp;"Por favor no seleccionar los criterios de impacto",O14)</f>
        <v>0</v>
      </c>
      <c r="Q14" s="351"/>
      <c r="R14" s="350"/>
      <c r="S14" s="352"/>
      <c r="T14" s="257">
        <v>2</v>
      </c>
      <c r="U14" s="258" t="s">
        <v>479</v>
      </c>
      <c r="V14" s="259" t="str">
        <f t="shared" si="0"/>
        <v>Probabilidad</v>
      </c>
      <c r="W14" s="260" t="s">
        <v>157</v>
      </c>
      <c r="X14" s="260" t="s">
        <v>156</v>
      </c>
      <c r="Y14" s="261" t="str">
        <f t="shared" ref="Y14:Y18" si="1">IF(AND(W14="Preventivo",X14="Automático"),"50%",IF(AND(W14="Preventivo",X14="Manual"),"40%",IF(AND(W14="Detectivo",X14="Automático"),"40%",IF(AND(W14="Detectivo",X14="Manual"),"30%",IF(AND(W14="Correctivo",X14="Automático"),"35%",IF(AND(W14="Correctivo",X14="Manual"),"25%",""))))))</f>
        <v>30%</v>
      </c>
      <c r="Z14" s="260" t="s">
        <v>363</v>
      </c>
      <c r="AA14" s="260" t="s">
        <v>366</v>
      </c>
      <c r="AB14" s="260" t="s">
        <v>161</v>
      </c>
      <c r="AC14" s="262">
        <f>IFERROR(IF(AND(V13="Probabilidad",V14="Probabilidad"),(AE13-(+AE13*Y14)),IF(V14="Probabilidad",(N13-(+N13*Y14)),IF(V14="Impacto",AE13,""))),"")</f>
        <v>0.252</v>
      </c>
      <c r="AD14" s="263" t="str">
        <f t="shared" ref="AD14:AD66" si="2">IFERROR(IF(AC14="","",IF(AC14&lt;=0.2,"Muy Baja",IF(AC14&lt;=0.4,"Baja",IF(AC14&lt;=0.6,"Media",IF(AC14&lt;=0.8,"Alta","Muy Alta"))))),"")</f>
        <v>Baja</v>
      </c>
      <c r="AE14" s="261">
        <f t="shared" ref="AE14:AE18" si="3">+AC14</f>
        <v>0.252</v>
      </c>
      <c r="AF14" s="263" t="str">
        <f t="shared" ref="AF14:AF66" si="4">IFERROR(IF(AG14="","",IF(AG14&lt;=0.2,"Leve",IF(AG14&lt;=0.4,"Menor",IF(AG14&lt;=0.6,"Moderado",IF(AG14&lt;=0.8,"Mayor","Catastrófico"))))),"")</f>
        <v>Moderado</v>
      </c>
      <c r="AG14" s="261">
        <f>IFERROR(IF(AND(V13="Impacto",V14="Impacto"),(AG13-(+AG13*Y14)),IF(V14="Impacto",($R$13-(+$R$13*Y14)),IF(V14="Probabilidad",AG13,""))),"")</f>
        <v>0.6</v>
      </c>
      <c r="AH14" s="264"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65" t="s">
        <v>158</v>
      </c>
      <c r="AJ14" s="266" t="s">
        <v>470</v>
      </c>
      <c r="AK14" s="266" t="s">
        <v>412</v>
      </c>
      <c r="AL14" s="266" t="s">
        <v>478</v>
      </c>
      <c r="AM14" s="267" t="s">
        <v>413</v>
      </c>
      <c r="AN14" s="341"/>
      <c r="AO14" s="341"/>
      <c r="AP14" s="341"/>
    </row>
    <row r="15" spans="1:273" ht="37.5" customHeight="1" x14ac:dyDescent="0.25">
      <c r="A15" s="361"/>
      <c r="B15" s="344"/>
      <c r="C15" s="344"/>
      <c r="D15" s="344"/>
      <c r="E15" s="344"/>
      <c r="F15" s="344"/>
      <c r="G15" s="344"/>
      <c r="H15" s="344"/>
      <c r="I15" s="344"/>
      <c r="J15" s="344"/>
      <c r="K15" s="344"/>
      <c r="L15" s="345"/>
      <c r="M15" s="351"/>
      <c r="N15" s="350"/>
      <c r="O15" s="349"/>
      <c r="P15" s="350">
        <f>IF(NOT(ISERROR(MATCH(O15,_xlfn.ANCHORARRAY(E26),0))),N28&amp;"Por favor no seleccionar los criterios de impacto",O15)</f>
        <v>0</v>
      </c>
      <c r="Q15" s="351"/>
      <c r="R15" s="350"/>
      <c r="S15" s="352"/>
      <c r="T15" s="248">
        <v>3</v>
      </c>
      <c r="U15" s="600"/>
      <c r="V15" s="213" t="str">
        <f t="shared" si="0"/>
        <v/>
      </c>
      <c r="W15" s="214"/>
      <c r="X15" s="214"/>
      <c r="Y15" s="215" t="str">
        <f t="shared" si="1"/>
        <v/>
      </c>
      <c r="Z15" s="214"/>
      <c r="AA15" s="214"/>
      <c r="AB15" s="214"/>
      <c r="AC15" s="216" t="str">
        <f>IFERROR(IF(AND(V14="Probabilidad",V15="Probabilidad"),(AE14-(+AE14*Y15)),IF(AND(V14="Impacto",V15="Probabilidad"),(AE13-(+AE13*Y15)),IF(V15="Impacto",AE14,""))),"")</f>
        <v/>
      </c>
      <c r="AD15" s="217" t="str">
        <f t="shared" si="2"/>
        <v/>
      </c>
      <c r="AE15" s="215" t="str">
        <f t="shared" si="3"/>
        <v/>
      </c>
      <c r="AF15" s="217" t="str">
        <f t="shared" si="4"/>
        <v/>
      </c>
      <c r="AG15" s="215" t="str">
        <f>IFERROR(IF(AND(V14="Impacto",V15="Impacto"),(AG14-(+AG14*Y15)),IF(AND(V14="Probabilidad",V15="Impacto"),(AG13-(+AG13*Y15)),IF(V15="Probabilidad",AG14,""))),"")</f>
        <v/>
      </c>
      <c r="AH15" s="218" t="str">
        <f t="shared" si="5"/>
        <v/>
      </c>
      <c r="AI15" s="219"/>
      <c r="AJ15" s="272"/>
      <c r="AK15" s="273"/>
      <c r="AL15" s="273"/>
      <c r="AM15" s="221"/>
      <c r="AN15" s="221"/>
      <c r="AO15" s="221"/>
      <c r="AP15" s="221"/>
    </row>
    <row r="16" spans="1:273" ht="37.5" customHeight="1" x14ac:dyDescent="0.25">
      <c r="A16" s="361"/>
      <c r="B16" s="344"/>
      <c r="C16" s="344"/>
      <c r="D16" s="344"/>
      <c r="E16" s="344"/>
      <c r="F16" s="344"/>
      <c r="G16" s="344"/>
      <c r="H16" s="344"/>
      <c r="I16" s="344"/>
      <c r="J16" s="344"/>
      <c r="K16" s="344"/>
      <c r="L16" s="345"/>
      <c r="M16" s="351"/>
      <c r="N16" s="350"/>
      <c r="O16" s="349"/>
      <c r="P16" s="350">
        <f>IF(NOT(ISERROR(MATCH(O16,_xlfn.ANCHORARRAY(E27),0))),N29&amp;"Por favor no seleccionar los criterios de impacto",O16)</f>
        <v>0</v>
      </c>
      <c r="Q16" s="351"/>
      <c r="R16" s="350"/>
      <c r="S16" s="352"/>
      <c r="T16" s="248">
        <v>4</v>
      </c>
      <c r="U16" s="212"/>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72"/>
      <c r="AK16" s="273"/>
      <c r="AL16" s="273"/>
      <c r="AM16" s="221"/>
      <c r="AN16" s="221"/>
      <c r="AO16" s="221"/>
      <c r="AP16" s="221"/>
    </row>
    <row r="17" spans="1:42" ht="37.5" customHeight="1" x14ac:dyDescent="0.25">
      <c r="A17" s="361"/>
      <c r="B17" s="344"/>
      <c r="C17" s="344"/>
      <c r="D17" s="344"/>
      <c r="E17" s="344"/>
      <c r="F17" s="344"/>
      <c r="G17" s="344"/>
      <c r="H17" s="344"/>
      <c r="I17" s="344"/>
      <c r="J17" s="344"/>
      <c r="K17" s="344"/>
      <c r="L17" s="345"/>
      <c r="M17" s="351"/>
      <c r="N17" s="350"/>
      <c r="O17" s="349"/>
      <c r="P17" s="350">
        <f>IF(NOT(ISERROR(MATCH(O17,_xlfn.ANCHORARRAY(E28),0))),N30&amp;"Por favor no seleccionar los criterios de impacto",O17)</f>
        <v>0</v>
      </c>
      <c r="Q17" s="351"/>
      <c r="R17" s="350"/>
      <c r="S17" s="352"/>
      <c r="T17" s="248">
        <v>5</v>
      </c>
      <c r="U17" s="212"/>
      <c r="V17" s="213" t="str">
        <f t="shared" si="0"/>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72"/>
      <c r="AK17" s="273"/>
      <c r="AL17" s="273"/>
      <c r="AM17" s="221"/>
      <c r="AN17" s="221"/>
      <c r="AO17" s="221"/>
      <c r="AP17" s="221"/>
    </row>
    <row r="18" spans="1:42" ht="37.5" customHeight="1" x14ac:dyDescent="0.25">
      <c r="A18" s="361"/>
      <c r="B18" s="344"/>
      <c r="C18" s="344"/>
      <c r="D18" s="344"/>
      <c r="E18" s="344"/>
      <c r="F18" s="344"/>
      <c r="G18" s="344"/>
      <c r="H18" s="344"/>
      <c r="I18" s="344"/>
      <c r="J18" s="344"/>
      <c r="K18" s="344"/>
      <c r="L18" s="345"/>
      <c r="M18" s="351"/>
      <c r="N18" s="350"/>
      <c r="O18" s="349"/>
      <c r="P18" s="350">
        <f>IF(NOT(ISERROR(MATCH(O18,_xlfn.ANCHORARRAY(E29),0))),N31&amp;"Por favor no seleccionar los criterios de impacto",O18)</f>
        <v>0</v>
      </c>
      <c r="Q18" s="351"/>
      <c r="R18" s="350"/>
      <c r="S18" s="352"/>
      <c r="T18" s="248">
        <v>6</v>
      </c>
      <c r="U18" s="212"/>
      <c r="V18" s="213" t="str">
        <f t="shared" si="0"/>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72"/>
      <c r="AK18" s="273"/>
      <c r="AL18" s="273"/>
      <c r="AM18" s="221"/>
      <c r="AN18" s="221"/>
      <c r="AO18" s="221"/>
      <c r="AP18" s="221"/>
    </row>
    <row r="19" spans="1:42" ht="80.25" customHeight="1" x14ac:dyDescent="0.25">
      <c r="A19" s="361">
        <v>2</v>
      </c>
      <c r="B19" s="344" t="s">
        <v>151</v>
      </c>
      <c r="C19" s="344" t="s">
        <v>415</v>
      </c>
      <c r="D19" s="344" t="s">
        <v>480</v>
      </c>
      <c r="E19" s="344" t="s">
        <v>481</v>
      </c>
      <c r="F19" s="344" t="s">
        <v>165</v>
      </c>
      <c r="G19" s="344" t="s">
        <v>170</v>
      </c>
      <c r="H19" s="344" t="s">
        <v>305</v>
      </c>
      <c r="I19" s="344" t="s">
        <v>423</v>
      </c>
      <c r="J19" s="344" t="s">
        <v>171</v>
      </c>
      <c r="K19" s="344" t="s">
        <v>416</v>
      </c>
      <c r="L19" s="345">
        <v>5000</v>
      </c>
      <c r="M19" s="351" t="str">
        <f>IF(L19&lt;=0,"",IF(L19&lt;=2,"Muy Baja",IF(L19&lt;=24,"Baja",IF(L19&lt;=500,"Media",IF(L19&lt;=5000,"Alta","Muy Alta")))))</f>
        <v>Alta</v>
      </c>
      <c r="N19" s="350">
        <f>IF(M19="","",IF(M19="Muy Baja",0.2,IF(M19="Baja",0.4,IF(M19="Media",0.6,IF(M19="Alta",0.8,IF(M19="Muy Alta",1,))))))</f>
        <v>0.8</v>
      </c>
      <c r="O19" s="349" t="s">
        <v>482</v>
      </c>
      <c r="P19" s="350" t="str">
        <f>IF(NOT(ISERROR(MATCH(O19,'[3]Tabla Impacto'!$B$222:$B$224,0))),'[3]Tabla Impacto'!$F$224&amp;"Por favor no seleccionar los criterios de impacto(Afectación Económica o presupuestal y Pérdida Reputacional)",O19)</f>
        <v xml:space="preserve">     El riesgo afecta la imagen de la entidad internamente, de conocimiento general, nivel interno, de junta directiva y accionistas y/o de proveedores</v>
      </c>
      <c r="Q19" s="351" t="str">
        <f>IF(OR(P19='[3]Tabla Impacto'!$C$12,P19='[3]Tabla Impacto'!$D$12),"Leve",IF(OR(P19='[3]Tabla Impacto'!$C$13,P19='[3]Tabla Impacto'!$D$13),"Menor",IF(OR(P19='[3]Tabla Impacto'!$C$14,P19='[3]Tabla Impacto'!$D$14),"Moderado",IF(OR(P19='[3]Tabla Impacto'!$C$15,P19='[3]Tabla Impacto'!$D$15),"Mayor",IF(OR(P19='[3]Tabla Impacto'!$C$16,P19='[3]Tabla Impacto'!$D$16),"Catastrófico","")))))</f>
        <v/>
      </c>
      <c r="R19" s="350" t="str">
        <f>IF(Q19="","",IF(Q19="Leve",0.2,IF(Q19="Menor",0.4,IF(Q19="Moderado",0.6,IF(Q19="Mayor",0.8,IF(Q19="Catastrófico",1,))))))</f>
        <v/>
      </c>
      <c r="S19" s="352"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
      </c>
      <c r="T19" s="257">
        <v>1</v>
      </c>
      <c r="U19" s="269" t="s">
        <v>483</v>
      </c>
      <c r="V19" s="259" t="str">
        <f>IF(OR(W19="Preventivo",W19="Detectivo"),"Probabilidad",IF(W19="Correctivo","Impacto",""))</f>
        <v>Probabilidad</v>
      </c>
      <c r="W19" s="260" t="s">
        <v>155</v>
      </c>
      <c r="X19" s="260" t="s">
        <v>156</v>
      </c>
      <c r="Y19" s="261" t="str">
        <f>IF(AND(W19="Preventivo",X19="Automático"),"50%",IF(AND(W19="Preventivo",X19="Manual"),"40%",IF(AND(W19="Detectivo",X19="Automático"),"40%",IF(AND(W19="Detectivo",X19="Manual"),"30%",IF(AND(W19="Correctivo",X19="Automático"),"35%",IF(AND(W19="Correctivo",X19="Manual"),"25%",""))))))</f>
        <v>40%</v>
      </c>
      <c r="Z19" s="260" t="s">
        <v>159</v>
      </c>
      <c r="AA19" s="260" t="s">
        <v>160</v>
      </c>
      <c r="AB19" s="260" t="s">
        <v>161</v>
      </c>
      <c r="AC19" s="262">
        <f>IFERROR(IF(V19="Probabilidad",(N19-(+N19*Y19)),IF(V19="Impacto",N19,"")),"")</f>
        <v>0.48</v>
      </c>
      <c r="AD19" s="263" t="str">
        <f>IFERROR(IF(AC19="","",IF(AC19&lt;=0.2,"Muy Baja",IF(AC19&lt;=0.4,"Baja",IF(AC19&lt;=0.6,"Media",IF(AC19&lt;=0.8,"Alta","Muy Alta"))))),"")</f>
        <v>Media</v>
      </c>
      <c r="AE19" s="261">
        <f>+AC19</f>
        <v>0.48</v>
      </c>
      <c r="AF19" s="263" t="str">
        <f>IFERROR(IF(AG19="","",IF(AG19&lt;=0.2,"Leve",IF(AG19&lt;=0.4,"Menor",IF(AG19&lt;=0.6,"Moderado",IF(AG19&lt;=0.8,"Mayor","Catastrófico"))))),"")</f>
        <v/>
      </c>
      <c r="AG19" s="261" t="str">
        <f>IFERROR(IF(V19="Impacto",(R19-(+R19*Y19)),IF(V19="Probabilidad",R19,"")),"")</f>
        <v/>
      </c>
      <c r="AH19" s="264"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
      </c>
      <c r="AI19" s="265" t="s">
        <v>158</v>
      </c>
      <c r="AJ19" s="266" t="s">
        <v>469</v>
      </c>
      <c r="AK19" s="266" t="s">
        <v>417</v>
      </c>
      <c r="AL19" s="266" t="s">
        <v>478</v>
      </c>
      <c r="AM19" s="267" t="s">
        <v>418</v>
      </c>
      <c r="AN19" s="340" t="s">
        <v>419</v>
      </c>
      <c r="AO19" s="340" t="s">
        <v>478</v>
      </c>
      <c r="AP19" s="340" t="s">
        <v>420</v>
      </c>
    </row>
    <row r="20" spans="1:42" ht="150" x14ac:dyDescent="0.25">
      <c r="A20" s="361"/>
      <c r="B20" s="344"/>
      <c r="C20" s="344"/>
      <c r="D20" s="344"/>
      <c r="E20" s="344"/>
      <c r="F20" s="344"/>
      <c r="G20" s="344"/>
      <c r="H20" s="344"/>
      <c r="I20" s="344"/>
      <c r="J20" s="344"/>
      <c r="K20" s="344"/>
      <c r="L20" s="345"/>
      <c r="M20" s="351"/>
      <c r="N20" s="350"/>
      <c r="O20" s="349"/>
      <c r="P20" s="350">
        <f>IF(NOT(ISERROR(MATCH(O20,_xlfn.ANCHORARRAY(E31),0))),N33&amp;"Por favor no seleccionar los criterios de impacto",O20)</f>
        <v>0</v>
      </c>
      <c r="Q20" s="351"/>
      <c r="R20" s="350"/>
      <c r="S20" s="352"/>
      <c r="T20" s="257">
        <v>2</v>
      </c>
      <c r="U20" s="258" t="s">
        <v>484</v>
      </c>
      <c r="V20" s="259" t="str">
        <f>IF(OR(W20="Preventivo",W20="Detectivo"),"Probabilidad",IF(W20="Correctivo","Impacto",""))</f>
        <v>Probabilidad</v>
      </c>
      <c r="W20" s="260" t="s">
        <v>157</v>
      </c>
      <c r="X20" s="260" t="s">
        <v>156</v>
      </c>
      <c r="Y20" s="261" t="str">
        <f t="shared" ref="Y20:Y24" si="8">IF(AND(W20="Preventivo",X20="Automático"),"50%",IF(AND(W20="Preventivo",X20="Manual"),"40%",IF(AND(W20="Detectivo",X20="Automático"),"40%",IF(AND(W20="Detectivo",X20="Manual"),"30%",IF(AND(W20="Correctivo",X20="Automático"),"35%",IF(AND(W20="Correctivo",X20="Manual"),"25%",""))))))</f>
        <v>30%</v>
      </c>
      <c r="Z20" s="260" t="s">
        <v>363</v>
      </c>
      <c r="AA20" s="260" t="s">
        <v>160</v>
      </c>
      <c r="AB20" s="260" t="s">
        <v>161</v>
      </c>
      <c r="AC20" s="262">
        <f>IFERROR(IF(AND(V19="Probabilidad",V20="Probabilidad"),(AE19-(+AE19*Y20)),IF(V20="Probabilidad",(N19-(+N19*Y20)),IF(V20="Impacto",AE19,""))),"")</f>
        <v>0.33599999999999997</v>
      </c>
      <c r="AD20" s="263" t="str">
        <f t="shared" si="2"/>
        <v>Baja</v>
      </c>
      <c r="AE20" s="261">
        <f t="shared" ref="AE20:AE24" si="9">+AC20</f>
        <v>0.33599999999999997</v>
      </c>
      <c r="AF20" s="263" t="str">
        <f t="shared" si="4"/>
        <v>Moderado</v>
      </c>
      <c r="AG20" s="261">
        <f>IFERROR(IF(AND(V19="Impacto",V20="Impacto"),(AG13-(+AG13*Y20)),IF(V20="Impacto",($R$19-(+$R$19*Y20)),IF(V20="Probabilidad",AG13,""))),"")</f>
        <v>0.6</v>
      </c>
      <c r="AH20" s="264" t="str">
        <f t="shared" ref="AH20:AH21" si="10">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65" t="s">
        <v>158</v>
      </c>
      <c r="AJ20" s="266" t="s">
        <v>468</v>
      </c>
      <c r="AK20" s="266" t="s">
        <v>417</v>
      </c>
      <c r="AL20" s="266" t="s">
        <v>478</v>
      </c>
      <c r="AM20" s="267" t="s">
        <v>418</v>
      </c>
      <c r="AN20" s="342"/>
      <c r="AO20" s="342"/>
      <c r="AP20" s="342"/>
    </row>
    <row r="21" spans="1:42" ht="180" x14ac:dyDescent="0.25">
      <c r="A21" s="361"/>
      <c r="B21" s="344"/>
      <c r="C21" s="344"/>
      <c r="D21" s="344"/>
      <c r="E21" s="344"/>
      <c r="F21" s="344"/>
      <c r="G21" s="344"/>
      <c r="H21" s="344"/>
      <c r="I21" s="344"/>
      <c r="J21" s="344"/>
      <c r="K21" s="344"/>
      <c r="L21" s="345"/>
      <c r="M21" s="351"/>
      <c r="N21" s="350"/>
      <c r="O21" s="349"/>
      <c r="P21" s="350">
        <f>IF(NOT(ISERROR(MATCH(O21,_xlfn.ANCHORARRAY(E32),0))),N34&amp;"Por favor no seleccionar los criterios de impacto",O21)</f>
        <v>0</v>
      </c>
      <c r="Q21" s="351"/>
      <c r="R21" s="350"/>
      <c r="S21" s="352"/>
      <c r="T21" s="257">
        <v>3</v>
      </c>
      <c r="U21" s="270" t="s">
        <v>485</v>
      </c>
      <c r="V21" s="259" t="str">
        <f>IF(OR(W21="Preventivo",W21="Detectivo"),"Probabilidad",IF(W21="Correctivo","Impacto",""))</f>
        <v>Probabilidad</v>
      </c>
      <c r="W21" s="260" t="s">
        <v>157</v>
      </c>
      <c r="X21" s="260" t="s">
        <v>156</v>
      </c>
      <c r="Y21" s="261" t="str">
        <f t="shared" si="8"/>
        <v>30%</v>
      </c>
      <c r="Z21" s="260" t="s">
        <v>363</v>
      </c>
      <c r="AA21" s="260" t="s">
        <v>160</v>
      </c>
      <c r="AB21" s="260" t="s">
        <v>161</v>
      </c>
      <c r="AC21" s="262">
        <f>IFERROR(IF(AND(V20="Probabilidad",V21="Probabilidad"),(AE20-(+AE20*Y21)),IF(AND(V20="Impacto",V21="Probabilidad"),(AE19-(+AE19*Y21)),IF(V21="Impacto",AE20,""))),"")</f>
        <v>0.23519999999999996</v>
      </c>
      <c r="AD21" s="263" t="str">
        <f t="shared" si="2"/>
        <v>Baja</v>
      </c>
      <c r="AE21" s="261">
        <f t="shared" si="9"/>
        <v>0.23519999999999996</v>
      </c>
      <c r="AF21" s="263" t="str">
        <f t="shared" si="4"/>
        <v>Moderado</v>
      </c>
      <c r="AG21" s="261">
        <f>IFERROR(IF(AND(V20="Impacto",V21="Impacto"),(AG20-(+AG20*Y21)),IF(AND(V20="Probabilidad",V21="Impacto"),(AG19-(+AG19*Y21)),IF(V21="Probabilidad",AG20,""))),"")</f>
        <v>0.6</v>
      </c>
      <c r="AH21" s="264" t="str">
        <f t="shared" si="10"/>
        <v>Moderado</v>
      </c>
      <c r="AI21" s="265" t="s">
        <v>158</v>
      </c>
      <c r="AJ21" s="266" t="s">
        <v>467</v>
      </c>
      <c r="AK21" s="266" t="s">
        <v>417</v>
      </c>
      <c r="AL21" s="266" t="s">
        <v>478</v>
      </c>
      <c r="AM21" s="267" t="s">
        <v>418</v>
      </c>
      <c r="AN21" s="341"/>
      <c r="AO21" s="341"/>
      <c r="AP21" s="341"/>
    </row>
    <row r="22" spans="1:42" ht="37.5" customHeight="1" x14ac:dyDescent="0.25">
      <c r="A22" s="361"/>
      <c r="B22" s="344"/>
      <c r="C22" s="344"/>
      <c r="D22" s="344"/>
      <c r="E22" s="344"/>
      <c r="F22" s="344"/>
      <c r="G22" s="344"/>
      <c r="H22" s="344"/>
      <c r="I22" s="344"/>
      <c r="J22" s="344"/>
      <c r="K22" s="344"/>
      <c r="L22" s="345"/>
      <c r="M22" s="351"/>
      <c r="N22" s="350"/>
      <c r="O22" s="349"/>
      <c r="P22" s="350">
        <f>IF(NOT(ISERROR(MATCH(O22,_xlfn.ANCHORARRAY(E33),0))),N35&amp;"Por favor no seleccionar los criterios de impacto",O22)</f>
        <v>0</v>
      </c>
      <c r="Q22" s="351"/>
      <c r="R22" s="350"/>
      <c r="S22" s="352"/>
      <c r="T22" s="248">
        <v>4</v>
      </c>
      <c r="U22" s="212"/>
      <c r="V22" s="213" t="str">
        <f t="shared" ref="V22:V24" si="11">IF(OR(W22="Preventivo",W22="Detectivo"),"Probabilidad",IF(W22="Correctivo","Impacto",""))</f>
        <v/>
      </c>
      <c r="W22" s="214"/>
      <c r="X22" s="214"/>
      <c r="Y22" s="215" t="str">
        <f t="shared" si="8"/>
        <v/>
      </c>
      <c r="Z22" s="214"/>
      <c r="AA22" s="214"/>
      <c r="AB22" s="214"/>
      <c r="AC22" s="216" t="str">
        <f t="shared" ref="AC22:AC24" si="12">IFERROR(IF(AND(V21="Probabilidad",V22="Probabilidad"),(AE21-(+AE21*Y22)),IF(AND(V21="Impacto",V22="Probabilidad"),(AE20-(+AE20*Y22)),IF(V22="Impacto",AE21,""))),"")</f>
        <v/>
      </c>
      <c r="AD22" s="217" t="str">
        <f t="shared" si="2"/>
        <v/>
      </c>
      <c r="AE22" s="215" t="str">
        <f t="shared" si="9"/>
        <v/>
      </c>
      <c r="AF22" s="217" t="str">
        <f t="shared" si="4"/>
        <v/>
      </c>
      <c r="AG22" s="215" t="str">
        <f t="shared" ref="AG22:AG24" si="13">IFERROR(IF(AND(V21="Impacto",V22="Impacto"),(AG21-(+AG21*Y22)),IF(AND(V21="Probabilidad",V22="Impacto"),(AG20-(+AG20*Y22)),IF(V22="Probabilidad",AG21,""))),"")</f>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c r="AJ22" s="272"/>
      <c r="AK22" s="273"/>
      <c r="AL22" s="273"/>
      <c r="AM22" s="221"/>
      <c r="AN22" s="221"/>
      <c r="AO22" s="221"/>
      <c r="AP22" s="221"/>
    </row>
    <row r="23" spans="1:42" ht="37.5" customHeight="1" x14ac:dyDescent="0.25">
      <c r="A23" s="361"/>
      <c r="B23" s="344"/>
      <c r="C23" s="344"/>
      <c r="D23" s="344"/>
      <c r="E23" s="344"/>
      <c r="F23" s="344"/>
      <c r="G23" s="344"/>
      <c r="H23" s="344"/>
      <c r="I23" s="344"/>
      <c r="J23" s="344"/>
      <c r="K23" s="344"/>
      <c r="L23" s="345"/>
      <c r="M23" s="351"/>
      <c r="N23" s="350"/>
      <c r="O23" s="349"/>
      <c r="P23" s="350">
        <f>IF(NOT(ISERROR(MATCH(O23,_xlfn.ANCHORARRAY(E34),0))),N36&amp;"Por favor no seleccionar los criterios de impacto",O23)</f>
        <v>0</v>
      </c>
      <c r="Q23" s="351"/>
      <c r="R23" s="350"/>
      <c r="S23" s="352"/>
      <c r="T23" s="248">
        <v>5</v>
      </c>
      <c r="U23" s="212"/>
      <c r="V23" s="213" t="str">
        <f t="shared" si="11"/>
        <v/>
      </c>
      <c r="W23" s="214"/>
      <c r="X23" s="214"/>
      <c r="Y23" s="215" t="str">
        <f t="shared" si="8"/>
        <v/>
      </c>
      <c r="Z23" s="214"/>
      <c r="AA23" s="214"/>
      <c r="AB23" s="214"/>
      <c r="AC23" s="216" t="str">
        <f t="shared" si="12"/>
        <v/>
      </c>
      <c r="AD23" s="217" t="str">
        <f t="shared" si="2"/>
        <v/>
      </c>
      <c r="AE23" s="215" t="str">
        <f t="shared" si="9"/>
        <v/>
      </c>
      <c r="AF23" s="217" t="str">
        <f t="shared" si="4"/>
        <v/>
      </c>
      <c r="AG23" s="215" t="str">
        <f t="shared" si="13"/>
        <v/>
      </c>
      <c r="AH23" s="218" t="str">
        <f t="shared" ref="AH23:AH24" si="14">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72"/>
      <c r="AK23" s="273"/>
      <c r="AL23" s="273"/>
      <c r="AM23" s="221"/>
      <c r="AN23" s="221"/>
      <c r="AO23" s="221"/>
      <c r="AP23" s="221"/>
    </row>
    <row r="24" spans="1:42" ht="37.5" customHeight="1" x14ac:dyDescent="0.25">
      <c r="A24" s="361"/>
      <c r="B24" s="344"/>
      <c r="C24" s="344"/>
      <c r="D24" s="344"/>
      <c r="E24" s="344"/>
      <c r="F24" s="344"/>
      <c r="G24" s="344"/>
      <c r="H24" s="344"/>
      <c r="I24" s="344"/>
      <c r="J24" s="344"/>
      <c r="K24" s="344"/>
      <c r="L24" s="345"/>
      <c r="M24" s="351"/>
      <c r="N24" s="350"/>
      <c r="O24" s="349"/>
      <c r="P24" s="350">
        <f>IF(NOT(ISERROR(MATCH(O24,_xlfn.ANCHORARRAY(E35),0))),#REF!&amp;"Por favor no seleccionar los criterios de impacto",O24)</f>
        <v>0</v>
      </c>
      <c r="Q24" s="351"/>
      <c r="R24" s="350"/>
      <c r="S24" s="352"/>
      <c r="T24" s="248">
        <v>6</v>
      </c>
      <c r="U24" s="212"/>
      <c r="V24" s="213" t="str">
        <f t="shared" si="11"/>
        <v/>
      </c>
      <c r="W24" s="214"/>
      <c r="X24" s="214"/>
      <c r="Y24" s="215" t="str">
        <f t="shared" si="8"/>
        <v/>
      </c>
      <c r="Z24" s="214"/>
      <c r="AA24" s="214"/>
      <c r="AB24" s="214"/>
      <c r="AC24" s="216" t="str">
        <f t="shared" si="12"/>
        <v/>
      </c>
      <c r="AD24" s="217" t="str">
        <f t="shared" si="2"/>
        <v/>
      </c>
      <c r="AE24" s="215" t="str">
        <f t="shared" si="9"/>
        <v/>
      </c>
      <c r="AF24" s="217" t="str">
        <f t="shared" si="4"/>
        <v/>
      </c>
      <c r="AG24" s="215" t="str">
        <f t="shared" si="13"/>
        <v/>
      </c>
      <c r="AH24" s="218" t="str">
        <f t="shared" si="14"/>
        <v/>
      </c>
      <c r="AI24" s="219"/>
      <c r="AJ24" s="272"/>
      <c r="AK24" s="273"/>
      <c r="AL24" s="273"/>
      <c r="AM24" s="221"/>
      <c r="AN24" s="221"/>
      <c r="AO24" s="221"/>
      <c r="AP24" s="221"/>
    </row>
    <row r="25" spans="1:42" ht="90.75" customHeight="1" x14ac:dyDescent="0.25">
      <c r="A25" s="361">
        <v>3</v>
      </c>
      <c r="B25" s="344" t="s">
        <v>151</v>
      </c>
      <c r="C25" s="344" t="s">
        <v>424</v>
      </c>
      <c r="D25" s="344" t="s">
        <v>486</v>
      </c>
      <c r="E25" s="344" t="s">
        <v>487</v>
      </c>
      <c r="F25" s="344" t="s">
        <v>165</v>
      </c>
      <c r="G25" s="344" t="s">
        <v>170</v>
      </c>
      <c r="H25" s="344" t="s">
        <v>305</v>
      </c>
      <c r="I25" s="344" t="s">
        <v>425</v>
      </c>
      <c r="J25" s="344" t="s">
        <v>171</v>
      </c>
      <c r="K25" s="344" t="s">
        <v>488</v>
      </c>
      <c r="L25" s="345">
        <v>5001</v>
      </c>
      <c r="M25" s="351" t="str">
        <f>IF(L25&lt;=0,"",IF(L25&lt;=2,"Muy Baja",IF(L25&lt;=24,"Baja",IF(L25&lt;=500,"Media",IF(L25&lt;=5000,"Alta","Muy Alta")))))</f>
        <v>Muy Alta</v>
      </c>
      <c r="N25" s="350">
        <f>IF(M25="","",IF(M25="Muy Baja",0.2,IF(M25="Baja",0.4,IF(M25="Media",0.6,IF(M25="Alta",0.8,IF(M25="Muy Alta",1,))))))</f>
        <v>1</v>
      </c>
      <c r="O25" s="349" t="s">
        <v>154</v>
      </c>
      <c r="P25" s="350" t="str">
        <f>IF(NOT(ISERROR(MATCH(O25,'[3]Tabla Impacto'!$B$222:$B$224,0))),'[3]Tabla Impacto'!$F$224&amp;"Por favor no seleccionar los criterios de impacto(Afectación Económica o presupuestal y Pérdida Reputacional)",O25)</f>
        <v xml:space="preserve">     El riesgo afecta la imagen de la entidad con algunos usuarios de relevancia frente al logro de los objetivos</v>
      </c>
      <c r="Q25" s="351" t="str">
        <f>IF(OR(P25='[3]Tabla Impacto'!$C$12,P25='[3]Tabla Impacto'!$D$12),"Leve",IF(OR(P25='[3]Tabla Impacto'!$C$13,P25='[3]Tabla Impacto'!$D$13),"Menor",IF(OR(P25='[3]Tabla Impacto'!$C$14,P25='[3]Tabla Impacto'!$D$14),"Moderado",IF(OR(P25='[3]Tabla Impacto'!$C$15,P25='[3]Tabla Impacto'!$D$15),"Mayor",IF(OR(P25='[3]Tabla Impacto'!$C$16,P25='[3]Tabla Impacto'!$D$16),"Catastrófico","")))))</f>
        <v>Moderado</v>
      </c>
      <c r="R25" s="350">
        <f>IF(Q25="","",IF(Q25="Leve",0.2,IF(Q25="Menor",0.4,IF(Q25="Moderado",0.6,IF(Q25="Mayor",0.8,IF(Q25="Catastrófico",1,))))))</f>
        <v>0.6</v>
      </c>
      <c r="S25" s="352"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Alto</v>
      </c>
      <c r="T25" s="257">
        <v>1</v>
      </c>
      <c r="U25" s="258" t="s">
        <v>489</v>
      </c>
      <c r="V25" s="259" t="str">
        <f>IF(OR(W25="Preventivo",W25="Detectivo"),"Probabilidad",IF(W25="Correctivo","Impacto",""))</f>
        <v>Probabilidad</v>
      </c>
      <c r="W25" s="260" t="s">
        <v>157</v>
      </c>
      <c r="X25" s="260" t="s">
        <v>156</v>
      </c>
      <c r="Y25" s="261" t="str">
        <f>IF(AND(W25="Preventivo",X25="Automático"),"50%",IF(AND(W25="Preventivo",X25="Manual"),"40%",IF(AND(W25="Detectivo",X25="Automático"),"40%",IF(AND(W25="Detectivo",X25="Manual"),"30%",IF(AND(W25="Correctivo",X25="Automático"),"35%",IF(AND(W25="Correctivo",X25="Manual"),"25%",""))))))</f>
        <v>30%</v>
      </c>
      <c r="Z25" s="260" t="s">
        <v>363</v>
      </c>
      <c r="AA25" s="260" t="s">
        <v>160</v>
      </c>
      <c r="AB25" s="260" t="s">
        <v>161</v>
      </c>
      <c r="AC25" s="262">
        <f>IFERROR(IF(V25="Probabilidad",(N25-(+N25*Y25)),IF(V25="Impacto",N25,"")),"")</f>
        <v>0.7</v>
      </c>
      <c r="AD25" s="263" t="str">
        <f>IFERROR(IF(AC25="","",IF(AC25&lt;=0.2,"Muy Baja",IF(AC25&lt;=0.4,"Baja",IF(AC25&lt;=0.6,"Media",IF(AC25&lt;=0.8,"Alta","Muy Alta"))))),"")</f>
        <v>Alta</v>
      </c>
      <c r="AE25" s="261">
        <f>+AC25</f>
        <v>0.7</v>
      </c>
      <c r="AF25" s="263" t="str">
        <f>IFERROR(IF(AG25="","",IF(AG25&lt;=0.2,"Leve",IF(AG25&lt;=0.4,"Menor",IF(AG25&lt;=0.6,"Moderado",IF(AG25&lt;=0.8,"Mayor","Catastrófico"))))),"")</f>
        <v>Moderado</v>
      </c>
      <c r="AG25" s="261">
        <f>IFERROR(IF(V25="Impacto",(R25-(+R25*Y25)),IF(V25="Probabilidad",R25,"")),"")</f>
        <v>0.6</v>
      </c>
      <c r="AH25" s="264"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Alto</v>
      </c>
      <c r="AI25" s="265" t="s">
        <v>158</v>
      </c>
      <c r="AJ25" s="266" t="s">
        <v>466</v>
      </c>
      <c r="AK25" s="266" t="s">
        <v>417</v>
      </c>
      <c r="AL25" s="266" t="s">
        <v>478</v>
      </c>
      <c r="AM25" s="267" t="s">
        <v>426</v>
      </c>
      <c r="AN25" s="340" t="s">
        <v>427</v>
      </c>
      <c r="AO25" s="340" t="s">
        <v>428</v>
      </c>
      <c r="AP25" s="353" t="s">
        <v>429</v>
      </c>
    </row>
    <row r="26" spans="1:42" ht="115.5" customHeight="1" x14ac:dyDescent="0.25">
      <c r="A26" s="361"/>
      <c r="B26" s="344"/>
      <c r="C26" s="344"/>
      <c r="D26" s="344"/>
      <c r="E26" s="344"/>
      <c r="F26" s="344"/>
      <c r="G26" s="344"/>
      <c r="H26" s="344"/>
      <c r="I26" s="344"/>
      <c r="J26" s="344"/>
      <c r="K26" s="344"/>
      <c r="L26" s="345"/>
      <c r="M26" s="351"/>
      <c r="N26" s="350"/>
      <c r="O26" s="349"/>
      <c r="P26" s="350">
        <f>IF(NOT(ISERROR(MATCH(O26,_xlfn.ANCHORARRAY(#REF!),0))),#REF!&amp;"Por favor no seleccionar los criterios de impacto",O26)</f>
        <v>0</v>
      </c>
      <c r="Q26" s="351"/>
      <c r="R26" s="350"/>
      <c r="S26" s="352"/>
      <c r="T26" s="257">
        <v>2</v>
      </c>
      <c r="U26" s="258" t="s">
        <v>490</v>
      </c>
      <c r="V26" s="259" t="str">
        <f>IF(OR(W26="Preventivo",W26="Detectivo"),"Probabilidad",IF(W26="Correctivo","Impacto",""))</f>
        <v>Impacto</v>
      </c>
      <c r="W26" s="260" t="s">
        <v>355</v>
      </c>
      <c r="X26" s="260" t="s">
        <v>156</v>
      </c>
      <c r="Y26" s="261" t="str">
        <f t="shared" ref="Y26:Y30" si="15">IF(AND(W26="Preventivo",X26="Automático"),"50%",IF(AND(W26="Preventivo",X26="Manual"),"40%",IF(AND(W26="Detectivo",X26="Automático"),"40%",IF(AND(W26="Detectivo",X26="Manual"),"30%",IF(AND(W26="Correctivo",X26="Automático"),"35%",IF(AND(W26="Correctivo",X26="Manual"),"25%",""))))))</f>
        <v>25%</v>
      </c>
      <c r="Z26" s="260" t="s">
        <v>363</v>
      </c>
      <c r="AA26" s="260" t="s">
        <v>160</v>
      </c>
      <c r="AB26" s="260" t="s">
        <v>161</v>
      </c>
      <c r="AC26" s="262">
        <f>IFERROR(IF(AND(V25="Probabilidad",V26="Probabilidad"),(AE25-(+AE25*Y26)),IF(V26="Probabilidad",(N25-(+N25*Y26)),IF(V26="Impacto",AE25,""))),"")</f>
        <v>0.7</v>
      </c>
      <c r="AD26" s="263" t="str">
        <f t="shared" si="2"/>
        <v>Alta</v>
      </c>
      <c r="AE26" s="261">
        <f t="shared" ref="AE26:AE30" si="16">+AC26</f>
        <v>0.7</v>
      </c>
      <c r="AF26" s="263" t="str">
        <f t="shared" si="4"/>
        <v>Moderado</v>
      </c>
      <c r="AG26" s="261">
        <f>IFERROR(IF(AND(V25="Impacto",V26="Impacto"),(AG19-(+AG19*Y26)),IF(V26="Impacto",($R$25-(+$R$25*Y26)),IF(V26="Probabilidad",AG19,""))),"")</f>
        <v>0.44999999999999996</v>
      </c>
      <c r="AH26" s="264" t="str">
        <f t="shared" ref="AH26:AH27" si="17">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Alto</v>
      </c>
      <c r="AI26" s="265" t="s">
        <v>158</v>
      </c>
      <c r="AJ26" s="266" t="s">
        <v>465</v>
      </c>
      <c r="AK26" s="266" t="s">
        <v>417</v>
      </c>
      <c r="AL26" s="266" t="s">
        <v>478</v>
      </c>
      <c r="AM26" s="267" t="s">
        <v>430</v>
      </c>
      <c r="AN26" s="342"/>
      <c r="AO26" s="342"/>
      <c r="AP26" s="354"/>
    </row>
    <row r="27" spans="1:42" ht="37.5" customHeight="1" x14ac:dyDescent="0.25">
      <c r="A27" s="361"/>
      <c r="B27" s="344"/>
      <c r="C27" s="344"/>
      <c r="D27" s="344"/>
      <c r="E27" s="344"/>
      <c r="F27" s="344"/>
      <c r="G27" s="344"/>
      <c r="H27" s="344"/>
      <c r="I27" s="344"/>
      <c r="J27" s="344"/>
      <c r="K27" s="344"/>
      <c r="L27" s="345"/>
      <c r="M27" s="351"/>
      <c r="N27" s="350"/>
      <c r="O27" s="349"/>
      <c r="P27" s="350">
        <f>IF(NOT(ISERROR(MATCH(O27,_xlfn.ANCHORARRAY(#REF!),0))),#REF!&amp;"Por favor no seleccionar los criterios de impacto",O27)</f>
        <v>0</v>
      </c>
      <c r="Q27" s="351"/>
      <c r="R27" s="350"/>
      <c r="S27" s="352"/>
      <c r="T27" s="257">
        <v>3</v>
      </c>
      <c r="U27" s="258"/>
      <c r="V27" s="259" t="str">
        <f>IF(OR(W27="Preventivo",W27="Detectivo"),"Probabilidad",IF(W27="Correctivo","Impacto",""))</f>
        <v/>
      </c>
      <c r="W27" s="260"/>
      <c r="X27" s="260"/>
      <c r="Y27" s="261" t="str">
        <f t="shared" si="15"/>
        <v/>
      </c>
      <c r="Z27" s="260"/>
      <c r="AA27" s="260"/>
      <c r="AB27" s="260"/>
      <c r="AC27" s="262" t="str">
        <f>IFERROR(IF(AND(V26="Probabilidad",V27="Probabilidad"),(AE26-(+AE26*Y27)),IF(AND(V26="Impacto",V27="Probabilidad"),(AE25-(+AE25*Y27)),IF(V27="Impacto",AE26,""))),"")</f>
        <v/>
      </c>
      <c r="AD27" s="263" t="str">
        <f t="shared" si="2"/>
        <v/>
      </c>
      <c r="AE27" s="261" t="str">
        <f t="shared" si="16"/>
        <v/>
      </c>
      <c r="AF27" s="263" t="str">
        <f t="shared" si="4"/>
        <v/>
      </c>
      <c r="AG27" s="261" t="str">
        <f>IFERROR(IF(AND(V26="Impacto",V27="Impacto"),(AG26-(+AG26*Y27)),IF(AND(V26="Probabilidad",V27="Impacto"),(AG25-(+AG25*Y27)),IF(V27="Probabilidad",AG26,""))),"")</f>
        <v/>
      </c>
      <c r="AH27" s="264" t="str">
        <f t="shared" si="17"/>
        <v/>
      </c>
      <c r="AI27" s="265"/>
      <c r="AJ27" s="266"/>
      <c r="AK27" s="271"/>
      <c r="AL27" s="271"/>
      <c r="AM27" s="267"/>
      <c r="AN27" s="342"/>
      <c r="AO27" s="342"/>
      <c r="AP27" s="354"/>
    </row>
    <row r="28" spans="1:42" ht="37.5" customHeight="1" x14ac:dyDescent="0.25">
      <c r="A28" s="361"/>
      <c r="B28" s="344"/>
      <c r="C28" s="344"/>
      <c r="D28" s="344"/>
      <c r="E28" s="344"/>
      <c r="F28" s="344"/>
      <c r="G28" s="344"/>
      <c r="H28" s="344"/>
      <c r="I28" s="344"/>
      <c r="J28" s="344"/>
      <c r="K28" s="344"/>
      <c r="L28" s="345"/>
      <c r="M28" s="351"/>
      <c r="N28" s="350"/>
      <c r="O28" s="349"/>
      <c r="P28" s="350">
        <f>IF(NOT(ISERROR(MATCH(O28,_xlfn.ANCHORARRAY(#REF!),0))),#REF!&amp;"Por favor no seleccionar los criterios de impacto",O28)</f>
        <v>0</v>
      </c>
      <c r="Q28" s="351"/>
      <c r="R28" s="350"/>
      <c r="S28" s="352"/>
      <c r="T28" s="257">
        <v>4</v>
      </c>
      <c r="U28" s="258"/>
      <c r="V28" s="259" t="str">
        <f t="shared" ref="V28:V30" si="18">IF(OR(W28="Preventivo",W28="Detectivo"),"Probabilidad",IF(W28="Correctivo","Impacto",""))</f>
        <v/>
      </c>
      <c r="W28" s="260"/>
      <c r="X28" s="260"/>
      <c r="Y28" s="261" t="str">
        <f t="shared" si="15"/>
        <v/>
      </c>
      <c r="Z28" s="260"/>
      <c r="AA28" s="260"/>
      <c r="AB28" s="260"/>
      <c r="AC28" s="262" t="str">
        <f t="shared" ref="AC28:AC30" si="19">IFERROR(IF(AND(V27="Probabilidad",V28="Probabilidad"),(AE27-(+AE27*Y28)),IF(AND(V27="Impacto",V28="Probabilidad"),(AE26-(+AE26*Y28)),IF(V28="Impacto",AE27,""))),"")</f>
        <v/>
      </c>
      <c r="AD28" s="263" t="str">
        <f t="shared" si="2"/>
        <v/>
      </c>
      <c r="AE28" s="261" t="str">
        <f t="shared" si="16"/>
        <v/>
      </c>
      <c r="AF28" s="263" t="str">
        <f t="shared" si="4"/>
        <v/>
      </c>
      <c r="AG28" s="261" t="str">
        <f t="shared" ref="AG28:AG30" si="20">IFERROR(IF(AND(V27="Impacto",V28="Impacto"),(AG27-(+AG27*Y28)),IF(AND(V27="Probabilidad",V28="Impacto"),(AG26-(+AG26*Y28)),IF(V28="Probabilidad",AG27,""))),"")</f>
        <v/>
      </c>
      <c r="AH28" s="264"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65"/>
      <c r="AJ28" s="266"/>
      <c r="AK28" s="271"/>
      <c r="AL28" s="271"/>
      <c r="AM28" s="267"/>
      <c r="AN28" s="342"/>
      <c r="AO28" s="342"/>
      <c r="AP28" s="354"/>
    </row>
    <row r="29" spans="1:42" ht="37.5" customHeight="1" x14ac:dyDescent="0.25">
      <c r="A29" s="361"/>
      <c r="B29" s="344"/>
      <c r="C29" s="344"/>
      <c r="D29" s="344"/>
      <c r="E29" s="344"/>
      <c r="F29" s="344"/>
      <c r="G29" s="344"/>
      <c r="H29" s="344"/>
      <c r="I29" s="344"/>
      <c r="J29" s="344"/>
      <c r="K29" s="344"/>
      <c r="L29" s="345"/>
      <c r="M29" s="351"/>
      <c r="N29" s="350"/>
      <c r="O29" s="349"/>
      <c r="P29" s="350">
        <f>IF(NOT(ISERROR(MATCH(O29,_xlfn.ANCHORARRAY(#REF!),0))),#REF!&amp;"Por favor no seleccionar los criterios de impacto",O29)</f>
        <v>0</v>
      </c>
      <c r="Q29" s="351"/>
      <c r="R29" s="350"/>
      <c r="S29" s="352"/>
      <c r="T29" s="257">
        <v>5</v>
      </c>
      <c r="U29" s="258"/>
      <c r="V29" s="259" t="str">
        <f t="shared" si="18"/>
        <v/>
      </c>
      <c r="W29" s="260"/>
      <c r="X29" s="260"/>
      <c r="Y29" s="261" t="str">
        <f t="shared" si="15"/>
        <v/>
      </c>
      <c r="Z29" s="260"/>
      <c r="AA29" s="260"/>
      <c r="AB29" s="260"/>
      <c r="AC29" s="262" t="str">
        <f t="shared" si="19"/>
        <v/>
      </c>
      <c r="AD29" s="263" t="str">
        <f t="shared" si="2"/>
        <v/>
      </c>
      <c r="AE29" s="261" t="str">
        <f t="shared" si="16"/>
        <v/>
      </c>
      <c r="AF29" s="263" t="str">
        <f t="shared" si="4"/>
        <v/>
      </c>
      <c r="AG29" s="261" t="str">
        <f t="shared" si="20"/>
        <v/>
      </c>
      <c r="AH29" s="264" t="str">
        <f t="shared" ref="AH29:AH30" si="21">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65"/>
      <c r="AJ29" s="266"/>
      <c r="AK29" s="271"/>
      <c r="AL29" s="271"/>
      <c r="AM29" s="267"/>
      <c r="AN29" s="342"/>
      <c r="AO29" s="342"/>
      <c r="AP29" s="354"/>
    </row>
    <row r="30" spans="1:42" ht="37.5" customHeight="1" x14ac:dyDescent="0.25">
      <c r="A30" s="361"/>
      <c r="B30" s="344"/>
      <c r="C30" s="344"/>
      <c r="D30" s="344"/>
      <c r="E30" s="344"/>
      <c r="F30" s="344"/>
      <c r="G30" s="344"/>
      <c r="H30" s="344"/>
      <c r="I30" s="344"/>
      <c r="J30" s="344"/>
      <c r="K30" s="344"/>
      <c r="L30" s="345"/>
      <c r="M30" s="351"/>
      <c r="N30" s="350"/>
      <c r="O30" s="349"/>
      <c r="P30" s="350">
        <f>IF(NOT(ISERROR(MATCH(O30,_xlfn.ANCHORARRAY(#REF!),0))),N37&amp;"Por favor no seleccionar los criterios de impacto",O30)</f>
        <v>0</v>
      </c>
      <c r="Q30" s="351"/>
      <c r="R30" s="350"/>
      <c r="S30" s="352"/>
      <c r="T30" s="257">
        <v>6</v>
      </c>
      <c r="U30" s="258"/>
      <c r="V30" s="259" t="str">
        <f t="shared" si="18"/>
        <v/>
      </c>
      <c r="W30" s="260"/>
      <c r="X30" s="260"/>
      <c r="Y30" s="261" t="str">
        <f t="shared" si="15"/>
        <v/>
      </c>
      <c r="Z30" s="260"/>
      <c r="AA30" s="260"/>
      <c r="AB30" s="260"/>
      <c r="AC30" s="262" t="str">
        <f t="shared" si="19"/>
        <v/>
      </c>
      <c r="AD30" s="263" t="str">
        <f t="shared" si="2"/>
        <v/>
      </c>
      <c r="AE30" s="261" t="str">
        <f t="shared" si="16"/>
        <v/>
      </c>
      <c r="AF30" s="263" t="str">
        <f t="shared" si="4"/>
        <v/>
      </c>
      <c r="AG30" s="261" t="str">
        <f t="shared" si="20"/>
        <v/>
      </c>
      <c r="AH30" s="264" t="str">
        <f t="shared" si="21"/>
        <v/>
      </c>
      <c r="AI30" s="265"/>
      <c r="AJ30" s="266"/>
      <c r="AK30" s="271"/>
      <c r="AL30" s="271"/>
      <c r="AM30" s="267"/>
      <c r="AN30" s="341"/>
      <c r="AO30" s="341"/>
      <c r="AP30" s="355"/>
    </row>
    <row r="31" spans="1:42" ht="117.75" customHeight="1" x14ac:dyDescent="0.25">
      <c r="A31" s="361">
        <v>4</v>
      </c>
      <c r="B31" s="344" t="s">
        <v>151</v>
      </c>
      <c r="C31" s="344" t="s">
        <v>431</v>
      </c>
      <c r="D31" s="344" t="s">
        <v>491</v>
      </c>
      <c r="E31" s="344" t="s">
        <v>492</v>
      </c>
      <c r="F31" s="344" t="s">
        <v>165</v>
      </c>
      <c r="G31" s="344" t="s">
        <v>170</v>
      </c>
      <c r="H31" s="344" t="s">
        <v>305</v>
      </c>
      <c r="I31" s="344" t="s">
        <v>432</v>
      </c>
      <c r="J31" s="344" t="s">
        <v>171</v>
      </c>
      <c r="K31" s="344" t="s">
        <v>493</v>
      </c>
      <c r="L31" s="345">
        <v>5001</v>
      </c>
      <c r="M31" s="351" t="str">
        <f>IF(L31&lt;=0,"",IF(L31&lt;=2,"Muy Baja",IF(L31&lt;=24,"Baja",IF(L31&lt;=500,"Media",IF(L31&lt;=5000,"Alta","Muy Alta")))))</f>
        <v>Muy Alta</v>
      </c>
      <c r="N31" s="350">
        <f>IF(M31="","",IF(M31="Muy Baja",0.2,IF(M31="Baja",0.4,IF(M31="Media",0.6,IF(M31="Alta",0.8,IF(M31="Muy Alta",1,))))))</f>
        <v>1</v>
      </c>
      <c r="O31" s="349" t="s">
        <v>494</v>
      </c>
      <c r="P31" s="350" t="str">
        <f>IF(NOT(ISERROR(MATCH(O31,'[3]Tabla Impacto'!$B$222:$B$224,0))),'[3]Tabla Impacto'!$F$224&amp;"Por favor no seleccionar los criterios de impacto(Afectación Económica o presupuestal y Pérdida Reputacional)",O31)</f>
        <v xml:space="preserve">     El riesgo afecta la imagen de  la entidad con efecto publicitario sostenido a nivel de sector administrativo, nivel departamental o municipal</v>
      </c>
      <c r="Q31" s="351" t="str">
        <f>IF(OR(P31='[3]Tabla Impacto'!$C$12,P31='[3]Tabla Impacto'!$D$12),"Leve",IF(OR(P31='[3]Tabla Impacto'!$C$13,P31='[3]Tabla Impacto'!$D$13),"Menor",IF(OR(P31='[3]Tabla Impacto'!$C$14,P31='[3]Tabla Impacto'!$D$14),"Moderado",IF(OR(P31='[3]Tabla Impacto'!$C$15,P31='[3]Tabla Impacto'!$D$15),"Mayor",IF(OR(P31='[3]Tabla Impacto'!$C$16,P31='[3]Tabla Impacto'!$D$16),"Catastrófico","")))))</f>
        <v/>
      </c>
      <c r="R31" s="350" t="str">
        <f>IF(Q31="","",IF(Q31="Leve",0.2,IF(Q31="Menor",0.4,IF(Q31="Moderado",0.6,IF(Q31="Mayor",0.8,IF(Q31="Catastrófico",1,))))))</f>
        <v/>
      </c>
      <c r="S31" s="352"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57">
        <v>1</v>
      </c>
      <c r="U31" s="258" t="s">
        <v>495</v>
      </c>
      <c r="V31" s="259" t="str">
        <f>IF(OR(W31="Preventivo",W31="Detectivo"),"Probabilidad",IF(W31="Correctivo","Impacto",""))</f>
        <v>Probabilidad</v>
      </c>
      <c r="W31" s="260" t="s">
        <v>157</v>
      </c>
      <c r="X31" s="260" t="s">
        <v>357</v>
      </c>
      <c r="Y31" s="261" t="str">
        <f>IF(AND(W31="Preventivo",X31="Automático"),"50%",IF(AND(W31="Preventivo",X31="Manual"),"40%",IF(AND(W31="Detectivo",X31="Automático"),"40%",IF(AND(W31="Detectivo",X31="Manual"),"30%",IF(AND(W31="Correctivo",X31="Automático"),"35%",IF(AND(W31="Correctivo",X31="Manual"),"25%",""))))))</f>
        <v>40%</v>
      </c>
      <c r="Z31" s="260" t="s">
        <v>363</v>
      </c>
      <c r="AA31" s="260" t="s">
        <v>160</v>
      </c>
      <c r="AB31" s="260" t="s">
        <v>161</v>
      </c>
      <c r="AC31" s="262">
        <f>IFERROR(IF(V31="Probabilidad",(N31-(+N31*Y31)),IF(V31="Impacto",N31,"")),"")</f>
        <v>0.6</v>
      </c>
      <c r="AD31" s="263" t="str">
        <f>IFERROR(IF(AC31="","",IF(AC31&lt;=0.2,"Muy Baja",IF(AC31&lt;=0.4,"Baja",IF(AC31&lt;=0.6,"Media",IF(AC31&lt;=0.8,"Alta","Muy Alta"))))),"")</f>
        <v>Media</v>
      </c>
      <c r="AE31" s="261">
        <f>+AC31</f>
        <v>0.6</v>
      </c>
      <c r="AF31" s="263" t="str">
        <f>IFERROR(IF(AG31="","",IF(AG31&lt;=0.2,"Leve",IF(AG31&lt;=0.4,"Menor",IF(AG31&lt;=0.6,"Moderado",IF(AG31&lt;=0.8,"Mayor","Catastrófico"))))),"")</f>
        <v/>
      </c>
      <c r="AG31" s="261" t="str">
        <f>IFERROR(IF(V31="Impacto",(R31-(+R31*Y31)),IF(V31="Probabilidad",R31,"")),"")</f>
        <v/>
      </c>
      <c r="AH31" s="264"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65" t="s">
        <v>158</v>
      </c>
      <c r="AJ31" s="266" t="s">
        <v>464</v>
      </c>
      <c r="AK31" s="266" t="s">
        <v>433</v>
      </c>
      <c r="AL31" s="266" t="s">
        <v>434</v>
      </c>
      <c r="AM31" s="267" t="s">
        <v>435</v>
      </c>
      <c r="AN31" s="344" t="s">
        <v>436</v>
      </c>
      <c r="AO31" s="344" t="s">
        <v>496</v>
      </c>
      <c r="AP31" s="345" t="s">
        <v>417</v>
      </c>
    </row>
    <row r="32" spans="1:42" ht="104.25" customHeight="1" x14ac:dyDescent="0.25">
      <c r="A32" s="361"/>
      <c r="B32" s="344"/>
      <c r="C32" s="344"/>
      <c r="D32" s="344"/>
      <c r="E32" s="344"/>
      <c r="F32" s="344"/>
      <c r="G32" s="344"/>
      <c r="H32" s="344"/>
      <c r="I32" s="344"/>
      <c r="J32" s="344"/>
      <c r="K32" s="344"/>
      <c r="L32" s="345"/>
      <c r="M32" s="351"/>
      <c r="N32" s="350"/>
      <c r="O32" s="349"/>
      <c r="P32" s="350">
        <f>IF(NOT(ISERROR(MATCH(O32,_xlfn.ANCHORARRAY(E37),0))),N39&amp;"Por favor no seleccionar los criterios de impacto",O32)</f>
        <v>0</v>
      </c>
      <c r="Q32" s="351"/>
      <c r="R32" s="350"/>
      <c r="S32" s="352"/>
      <c r="T32" s="257">
        <v>2</v>
      </c>
      <c r="U32" s="258" t="s">
        <v>485</v>
      </c>
      <c r="V32" s="259" t="str">
        <f>IF(OR(W32="Preventivo",W32="Detectivo"),"Probabilidad",IF(W32="Correctivo","Impacto",""))</f>
        <v>Probabilidad</v>
      </c>
      <c r="W32" s="260" t="s">
        <v>155</v>
      </c>
      <c r="X32" s="260" t="s">
        <v>156</v>
      </c>
      <c r="Y32" s="261" t="str">
        <f t="shared" ref="Y32:Y36" si="22">IF(AND(W32="Preventivo",X32="Automático"),"50%",IF(AND(W32="Preventivo",X32="Manual"),"40%",IF(AND(W32="Detectivo",X32="Automático"),"40%",IF(AND(W32="Detectivo",X32="Manual"),"30%",IF(AND(W32="Correctivo",X32="Automático"),"35%",IF(AND(W32="Correctivo",X32="Manual"),"25%",""))))))</f>
        <v>40%</v>
      </c>
      <c r="Z32" s="260" t="s">
        <v>363</v>
      </c>
      <c r="AA32" s="260" t="s">
        <v>160</v>
      </c>
      <c r="AB32" s="260" t="s">
        <v>161</v>
      </c>
      <c r="AC32" s="262">
        <f>IFERROR(IF(AND(V31="Probabilidad",V32="Probabilidad"),(AE31-(+AE31*Y32)),IF(V32="Probabilidad",(N31-(+N31*Y32)),IF(V32="Impacto",AE31,""))),"")</f>
        <v>0.36</v>
      </c>
      <c r="AD32" s="263" t="str">
        <f t="shared" si="2"/>
        <v>Baja</v>
      </c>
      <c r="AE32" s="261">
        <f t="shared" ref="AE32:AE36" si="23">+AC32</f>
        <v>0.36</v>
      </c>
      <c r="AF32" s="263" t="str">
        <f t="shared" si="4"/>
        <v>Moderado</v>
      </c>
      <c r="AG32" s="261">
        <f>IFERROR(IF(AND(V31="Impacto",V32="Impacto"),(AG25-(+AG25*Y32)),IF(V32="Impacto",($R$31-(+$R$31*Y32)),IF(V32="Probabilidad",AG25,""))),"")</f>
        <v>0.6</v>
      </c>
      <c r="AH32" s="264" t="str">
        <f t="shared" ref="AH32:AH33" si="24">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Moderado</v>
      </c>
      <c r="AI32" s="265" t="s">
        <v>158</v>
      </c>
      <c r="AJ32" s="266" t="s">
        <v>463</v>
      </c>
      <c r="AK32" s="266" t="s">
        <v>437</v>
      </c>
      <c r="AL32" s="266" t="s">
        <v>478</v>
      </c>
      <c r="AM32" s="267" t="s">
        <v>418</v>
      </c>
      <c r="AN32" s="344"/>
      <c r="AO32" s="344"/>
      <c r="AP32" s="345"/>
    </row>
    <row r="33" spans="1:42" ht="37.5" customHeight="1" x14ac:dyDescent="0.25">
      <c r="A33" s="361"/>
      <c r="B33" s="344"/>
      <c r="C33" s="344"/>
      <c r="D33" s="344"/>
      <c r="E33" s="344"/>
      <c r="F33" s="344"/>
      <c r="G33" s="344"/>
      <c r="H33" s="344"/>
      <c r="I33" s="344"/>
      <c r="J33" s="344"/>
      <c r="K33" s="344"/>
      <c r="L33" s="345"/>
      <c r="M33" s="351"/>
      <c r="N33" s="350"/>
      <c r="O33" s="349"/>
      <c r="P33" s="350">
        <f>IF(NOT(ISERROR(MATCH(O33,_xlfn.ANCHORARRAY(E38),0))),N40&amp;"Por favor no seleccionar los criterios de impacto",O33)</f>
        <v>0</v>
      </c>
      <c r="Q33" s="351"/>
      <c r="R33" s="350"/>
      <c r="S33" s="352"/>
      <c r="T33" s="257">
        <v>3</v>
      </c>
      <c r="U33" s="270"/>
      <c r="V33" s="259" t="str">
        <f>IF(OR(W33="Preventivo",W33="Detectivo"),"Probabilidad",IF(W33="Correctivo","Impacto",""))</f>
        <v/>
      </c>
      <c r="W33" s="260"/>
      <c r="X33" s="260"/>
      <c r="Y33" s="261" t="str">
        <f t="shared" si="22"/>
        <v/>
      </c>
      <c r="Z33" s="260"/>
      <c r="AA33" s="260"/>
      <c r="AB33" s="260"/>
      <c r="AC33" s="262" t="str">
        <f>IFERROR(IF(AND(V32="Probabilidad",V33="Probabilidad"),(AE32-(+AE32*Y33)),IF(AND(V32="Impacto",V33="Probabilidad"),(AE31-(+AE31*Y33)),IF(V33="Impacto",AE32,""))),"")</f>
        <v/>
      </c>
      <c r="AD33" s="263" t="str">
        <f t="shared" si="2"/>
        <v/>
      </c>
      <c r="AE33" s="261" t="str">
        <f t="shared" si="23"/>
        <v/>
      </c>
      <c r="AF33" s="263" t="str">
        <f t="shared" si="4"/>
        <v/>
      </c>
      <c r="AG33" s="261" t="str">
        <f>IFERROR(IF(AND(V32="Impacto",V33="Impacto"),(AG32-(+AG32*Y33)),IF(AND(V32="Probabilidad",V33="Impacto"),(AG31-(+AG31*Y33)),IF(V33="Probabilidad",AG32,""))),"")</f>
        <v/>
      </c>
      <c r="AH33" s="264" t="str">
        <f t="shared" si="24"/>
        <v/>
      </c>
      <c r="AI33" s="265"/>
      <c r="AJ33" s="266"/>
      <c r="AK33" s="271"/>
      <c r="AL33" s="271"/>
      <c r="AM33" s="267"/>
      <c r="AN33" s="344"/>
      <c r="AO33" s="344"/>
      <c r="AP33" s="345"/>
    </row>
    <row r="34" spans="1:42" ht="37.5" customHeight="1" x14ac:dyDescent="0.25">
      <c r="A34" s="361"/>
      <c r="B34" s="344"/>
      <c r="C34" s="344"/>
      <c r="D34" s="344"/>
      <c r="E34" s="344"/>
      <c r="F34" s="344"/>
      <c r="G34" s="344"/>
      <c r="H34" s="344"/>
      <c r="I34" s="344"/>
      <c r="J34" s="344"/>
      <c r="K34" s="344"/>
      <c r="L34" s="345"/>
      <c r="M34" s="351"/>
      <c r="N34" s="350"/>
      <c r="O34" s="349"/>
      <c r="P34" s="350">
        <f>IF(NOT(ISERROR(MATCH(O34,_xlfn.ANCHORARRAY(E39),0))),N41&amp;"Por favor no seleccionar los criterios de impacto",O34)</f>
        <v>0</v>
      </c>
      <c r="Q34" s="351"/>
      <c r="R34" s="350"/>
      <c r="S34" s="352"/>
      <c r="T34" s="257">
        <v>4</v>
      </c>
      <c r="U34" s="258"/>
      <c r="V34" s="259" t="str">
        <f t="shared" ref="V34:V36" si="25">IF(OR(W34="Preventivo",W34="Detectivo"),"Probabilidad",IF(W34="Correctivo","Impacto",""))</f>
        <v/>
      </c>
      <c r="W34" s="260"/>
      <c r="X34" s="260"/>
      <c r="Y34" s="261" t="str">
        <f t="shared" si="22"/>
        <v/>
      </c>
      <c r="Z34" s="260"/>
      <c r="AA34" s="260"/>
      <c r="AB34" s="260"/>
      <c r="AC34" s="262" t="str">
        <f t="shared" ref="AC34:AC36" si="26">IFERROR(IF(AND(V33="Probabilidad",V34="Probabilidad"),(AE33-(+AE33*Y34)),IF(AND(V33="Impacto",V34="Probabilidad"),(AE32-(+AE32*Y34)),IF(V34="Impacto",AE33,""))),"")</f>
        <v/>
      </c>
      <c r="AD34" s="263" t="str">
        <f t="shared" si="2"/>
        <v/>
      </c>
      <c r="AE34" s="261" t="str">
        <f t="shared" si="23"/>
        <v/>
      </c>
      <c r="AF34" s="263" t="str">
        <f t="shared" si="4"/>
        <v/>
      </c>
      <c r="AG34" s="261" t="str">
        <f t="shared" ref="AG34:AG36" si="27">IFERROR(IF(AND(V33="Impacto",V34="Impacto"),(AG33-(+AG33*Y34)),IF(AND(V33="Probabilidad",V34="Impacto"),(AG32-(+AG32*Y34)),IF(V34="Probabilidad",AG33,""))),"")</f>
        <v/>
      </c>
      <c r="AH34" s="264"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65"/>
      <c r="AJ34" s="266"/>
      <c r="AK34" s="271"/>
      <c r="AL34" s="271"/>
      <c r="AM34" s="267"/>
      <c r="AN34" s="344"/>
      <c r="AO34" s="344"/>
      <c r="AP34" s="345"/>
    </row>
    <row r="35" spans="1:42" ht="37.5" customHeight="1" x14ac:dyDescent="0.25">
      <c r="A35" s="361"/>
      <c r="B35" s="344"/>
      <c r="C35" s="344"/>
      <c r="D35" s="344"/>
      <c r="E35" s="344"/>
      <c r="F35" s="344"/>
      <c r="G35" s="344"/>
      <c r="H35" s="344"/>
      <c r="I35" s="344"/>
      <c r="J35" s="344"/>
      <c r="K35" s="344"/>
      <c r="L35" s="345"/>
      <c r="M35" s="351"/>
      <c r="N35" s="350"/>
      <c r="O35" s="349"/>
      <c r="P35" s="350">
        <f>IF(NOT(ISERROR(MATCH(O35,_xlfn.ANCHORARRAY(E40),0))),N42&amp;"Por favor no seleccionar los criterios de impacto",O35)</f>
        <v>0</v>
      </c>
      <c r="Q35" s="351"/>
      <c r="R35" s="350"/>
      <c r="S35" s="352"/>
      <c r="T35" s="257">
        <v>5</v>
      </c>
      <c r="U35" s="258"/>
      <c r="V35" s="259" t="str">
        <f t="shared" si="25"/>
        <v/>
      </c>
      <c r="W35" s="260"/>
      <c r="X35" s="260"/>
      <c r="Y35" s="261" t="str">
        <f t="shared" si="22"/>
        <v/>
      </c>
      <c r="Z35" s="260"/>
      <c r="AA35" s="260"/>
      <c r="AB35" s="260"/>
      <c r="AC35" s="262" t="str">
        <f t="shared" si="26"/>
        <v/>
      </c>
      <c r="AD35" s="263" t="str">
        <f>IFERROR(IF(AC35="","",IF(AC35&lt;=0.2,"Muy Baja",IF(AC35&lt;=0.4,"Baja",IF(AC35&lt;=0.6,"Media",IF(AC35&lt;=0.8,"Alta","Muy Alta"))))),"")</f>
        <v/>
      </c>
      <c r="AE35" s="261" t="str">
        <f t="shared" si="23"/>
        <v/>
      </c>
      <c r="AF35" s="263" t="str">
        <f t="shared" si="4"/>
        <v/>
      </c>
      <c r="AG35" s="261" t="str">
        <f t="shared" si="27"/>
        <v/>
      </c>
      <c r="AH35" s="264" t="str">
        <f t="shared" ref="AH35:AH36" si="28">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65"/>
      <c r="AJ35" s="266"/>
      <c r="AK35" s="271"/>
      <c r="AL35" s="271"/>
      <c r="AM35" s="267"/>
      <c r="AN35" s="344"/>
      <c r="AO35" s="344"/>
      <c r="AP35" s="345"/>
    </row>
    <row r="36" spans="1:42" ht="37.5" customHeight="1" x14ac:dyDescent="0.25">
      <c r="A36" s="361"/>
      <c r="B36" s="344"/>
      <c r="C36" s="344"/>
      <c r="D36" s="344"/>
      <c r="E36" s="344"/>
      <c r="F36" s="344"/>
      <c r="G36" s="344"/>
      <c r="H36" s="344"/>
      <c r="I36" s="344"/>
      <c r="J36" s="344"/>
      <c r="K36" s="344"/>
      <c r="L36" s="345"/>
      <c r="M36" s="351"/>
      <c r="N36" s="350"/>
      <c r="O36" s="349"/>
      <c r="P36" s="350">
        <f>IF(NOT(ISERROR(MATCH(O36,_xlfn.ANCHORARRAY(E41),0))),N43&amp;"Por favor no seleccionar los criterios de impacto",O36)</f>
        <v>0</v>
      </c>
      <c r="Q36" s="351"/>
      <c r="R36" s="350"/>
      <c r="S36" s="352"/>
      <c r="T36" s="257">
        <v>6</v>
      </c>
      <c r="U36" s="258"/>
      <c r="V36" s="259" t="str">
        <f t="shared" si="25"/>
        <v/>
      </c>
      <c r="W36" s="260"/>
      <c r="X36" s="260"/>
      <c r="Y36" s="261" t="str">
        <f t="shared" si="22"/>
        <v/>
      </c>
      <c r="Z36" s="260"/>
      <c r="AA36" s="260"/>
      <c r="AB36" s="260"/>
      <c r="AC36" s="262" t="str">
        <f t="shared" si="26"/>
        <v/>
      </c>
      <c r="AD36" s="263" t="str">
        <f t="shared" si="2"/>
        <v/>
      </c>
      <c r="AE36" s="261" t="str">
        <f t="shared" si="23"/>
        <v/>
      </c>
      <c r="AF36" s="263" t="str">
        <f t="shared" si="4"/>
        <v/>
      </c>
      <c r="AG36" s="261" t="str">
        <f t="shared" si="27"/>
        <v/>
      </c>
      <c r="AH36" s="264" t="str">
        <f t="shared" si="28"/>
        <v/>
      </c>
      <c r="AI36" s="265"/>
      <c r="AJ36" s="266"/>
      <c r="AK36" s="271"/>
      <c r="AL36" s="271"/>
      <c r="AM36" s="267"/>
      <c r="AN36" s="344"/>
      <c r="AO36" s="344"/>
      <c r="AP36" s="345"/>
    </row>
    <row r="37" spans="1:42" ht="96" customHeight="1" x14ac:dyDescent="0.25">
      <c r="A37" s="361">
        <v>5</v>
      </c>
      <c r="B37" s="344" t="s">
        <v>162</v>
      </c>
      <c r="C37" s="344" t="s">
        <v>497</v>
      </c>
      <c r="D37" s="344" t="s">
        <v>438</v>
      </c>
      <c r="E37" s="340" t="s">
        <v>439</v>
      </c>
      <c r="F37" s="344" t="s">
        <v>165</v>
      </c>
      <c r="G37" s="344" t="s">
        <v>170</v>
      </c>
      <c r="H37" s="344" t="s">
        <v>305</v>
      </c>
      <c r="I37" s="344" t="s">
        <v>458</v>
      </c>
      <c r="J37" s="344" t="s">
        <v>171</v>
      </c>
      <c r="K37" s="344" t="s">
        <v>440</v>
      </c>
      <c r="L37" s="345">
        <v>5001</v>
      </c>
      <c r="M37" s="351" t="str">
        <f>IF(L37&lt;=0,"",IF(L37&lt;=2,"Muy Baja",IF(L37&lt;=24,"Baja",IF(L37&lt;=500,"Media",IF(L37&lt;=5000,"Alta","Muy Alta")))))</f>
        <v>Muy Alta</v>
      </c>
      <c r="N37" s="350">
        <f>IF(M37="","",IF(M37="Muy Baja",0.2,IF(M37="Baja",0.4,IF(M37="Media",0.6,IF(M37="Alta",0.8,IF(M37="Muy Alta",1,))))))</f>
        <v>1</v>
      </c>
      <c r="O37" s="349" t="s">
        <v>227</v>
      </c>
      <c r="P37" s="350" t="str">
        <f>IF(NOT(ISERROR(MATCH(O37,'[3]Tabla Impacto'!$B$222:$B$224,0))),'[3]Tabla Impacto'!$F$224&amp;"Por favor no seleccionar los criterios de impacto(Afectación Económica o presupuestal y Pérdida Reputacional)",O37)</f>
        <v xml:space="preserve">     El riesgo afecta la imagen de alguna área de la organización</v>
      </c>
      <c r="Q37" s="351" t="str">
        <f>IF(OR(P37='[3]Tabla Impacto'!$C$12,P37='[3]Tabla Impacto'!$D$12),"Leve",IF(OR(P37='[3]Tabla Impacto'!$C$13,P37='[3]Tabla Impacto'!$D$13),"Menor",IF(OR(P37='[3]Tabla Impacto'!$C$14,P37='[3]Tabla Impacto'!$D$14),"Moderado",IF(OR(P37='[3]Tabla Impacto'!$C$15,P37='[3]Tabla Impacto'!$D$15),"Mayor",IF(OR(P37='[3]Tabla Impacto'!$C$16,P37='[3]Tabla Impacto'!$D$16),"Catastrófico","")))))</f>
        <v>Leve</v>
      </c>
      <c r="R37" s="350">
        <f>IF(Q37="","",IF(Q37="Leve",0.2,IF(Q37="Menor",0.4,IF(Q37="Moderado",0.6,IF(Q37="Mayor",0.8,IF(Q37="Catastrófico",1,))))))</f>
        <v>0.2</v>
      </c>
      <c r="S37" s="352"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Alto</v>
      </c>
      <c r="T37" s="257">
        <v>1</v>
      </c>
      <c r="U37" s="258" t="s">
        <v>498</v>
      </c>
      <c r="V37" s="259" t="str">
        <f>IF(OR(W37="Preventivo",W37="Detectivo"),"Probabilidad",IF(W37="Correctivo","Impacto",""))</f>
        <v>Probabilidad</v>
      </c>
      <c r="W37" s="260" t="s">
        <v>155</v>
      </c>
      <c r="X37" s="260" t="s">
        <v>156</v>
      </c>
      <c r="Y37" s="261" t="str">
        <f>IF(AND(W37="Preventivo",X37="Automático"),"50%",IF(AND(W37="Preventivo",X37="Manual"),"40%",IF(AND(W37="Detectivo",X37="Automático"),"40%",IF(AND(W37="Detectivo",X37="Manual"),"30%",IF(AND(W37="Correctivo",X37="Automático"),"35%",IF(AND(W37="Correctivo",X37="Manual"),"25%",""))))))</f>
        <v>40%</v>
      </c>
      <c r="Z37" s="260" t="s">
        <v>363</v>
      </c>
      <c r="AA37" s="260" t="s">
        <v>160</v>
      </c>
      <c r="AB37" s="260" t="s">
        <v>161</v>
      </c>
      <c r="AC37" s="262">
        <f>IFERROR(IF(V37="Probabilidad",(N37-(+N37*Y37)),IF(V37="Impacto",N37,"")),"")</f>
        <v>0.6</v>
      </c>
      <c r="AD37" s="263" t="str">
        <f>IFERROR(IF(AC37="","",IF(AC37&lt;=0.2,"Muy Baja",IF(AC37&lt;=0.4,"Baja",IF(AC37&lt;=0.6,"Media",IF(AC37&lt;=0.8,"Alta","Muy Alta"))))),"")</f>
        <v>Media</v>
      </c>
      <c r="AE37" s="261">
        <f>+AC37</f>
        <v>0.6</v>
      </c>
      <c r="AF37" s="263" t="str">
        <f>IFERROR(IF(AG37="","",IF(AG37&lt;=0.2,"Leve",IF(AG37&lt;=0.4,"Menor",IF(AG37&lt;=0.6,"Moderado",IF(AG37&lt;=0.8,"Mayor","Catastrófico"))))),"")</f>
        <v>Leve</v>
      </c>
      <c r="AG37" s="261">
        <f>IFERROR(IF(V37="Impacto",(R37-(+R37*Y37)),IF(V37="Probabilidad",R37,"")),"")</f>
        <v>0.2</v>
      </c>
      <c r="AH37" s="264"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Moderado</v>
      </c>
      <c r="AI37" s="260" t="s">
        <v>158</v>
      </c>
      <c r="AJ37" s="266" t="s">
        <v>441</v>
      </c>
      <c r="AK37" s="266" t="s">
        <v>442</v>
      </c>
      <c r="AL37" s="266" t="s">
        <v>478</v>
      </c>
      <c r="AM37" s="267" t="s">
        <v>418</v>
      </c>
      <c r="AN37" s="344" t="s">
        <v>499</v>
      </c>
      <c r="AO37" s="344" t="s">
        <v>478</v>
      </c>
      <c r="AP37" s="344" t="s">
        <v>443</v>
      </c>
    </row>
    <row r="38" spans="1:42" ht="118.5" customHeight="1" x14ac:dyDescent="0.25">
      <c r="A38" s="361"/>
      <c r="B38" s="344"/>
      <c r="C38" s="344"/>
      <c r="D38" s="344"/>
      <c r="E38" s="342"/>
      <c r="F38" s="344"/>
      <c r="G38" s="344"/>
      <c r="H38" s="344"/>
      <c r="I38" s="344"/>
      <c r="J38" s="344"/>
      <c r="K38" s="344"/>
      <c r="L38" s="345"/>
      <c r="M38" s="351"/>
      <c r="N38" s="350"/>
      <c r="O38" s="349"/>
      <c r="P38" s="350">
        <f t="shared" ref="P38:P42" si="29">IF(NOT(ISERROR(MATCH(O38,_xlfn.ANCHORARRAY(E49),0))),N51&amp;"Por favor no seleccionar los criterios de impacto",O38)</f>
        <v>0</v>
      </c>
      <c r="Q38" s="351"/>
      <c r="R38" s="350"/>
      <c r="S38" s="352"/>
      <c r="T38" s="257">
        <v>2</v>
      </c>
      <c r="U38" s="258" t="s">
        <v>500</v>
      </c>
      <c r="V38" s="259" t="str">
        <f>IF(OR(W38="Preventivo",W38="Detectivo"),"Probabilidad",IF(W38="Correctivo","Impacto",""))</f>
        <v>Probabilidad</v>
      </c>
      <c r="W38" s="260" t="s">
        <v>155</v>
      </c>
      <c r="X38" s="260" t="s">
        <v>357</v>
      </c>
      <c r="Y38" s="261" t="str">
        <f t="shared" ref="Y38:Y42" si="30">IF(AND(W38="Preventivo",X38="Automático"),"50%",IF(AND(W38="Preventivo",X38="Manual"),"40%",IF(AND(W38="Detectivo",X38="Automático"),"40%",IF(AND(W38="Detectivo",X38="Manual"),"30%",IF(AND(W38="Correctivo",X38="Automático"),"35%",IF(AND(W38="Correctivo",X38="Manual"),"25%",""))))))</f>
        <v>50%</v>
      </c>
      <c r="Z38" s="260" t="s">
        <v>159</v>
      </c>
      <c r="AA38" s="260" t="s">
        <v>160</v>
      </c>
      <c r="AB38" s="260" t="s">
        <v>161</v>
      </c>
      <c r="AC38" s="262">
        <f>IFERROR(IF(AND(V37="Probabilidad",V38="Probabilidad"),(AE37-(+AE37*Y38)),IF(V38="Probabilidad",(N37-(+N37*Y38)),IF(V38="Impacto",AE37,""))),"")</f>
        <v>0.3</v>
      </c>
      <c r="AD38" s="263" t="str">
        <f t="shared" si="2"/>
        <v>Baja</v>
      </c>
      <c r="AE38" s="261">
        <f t="shared" ref="AE38:AE42" si="31">+AC38</f>
        <v>0.3</v>
      </c>
      <c r="AF38" s="263" t="str">
        <f t="shared" si="4"/>
        <v/>
      </c>
      <c r="AG38" s="261" t="str">
        <f>IFERROR(IF(AND(V37="Impacto",V38="Impacto"),(#REF!-(+#REF!*Y38)),IF(V38="Impacto",($R$37-(+$R$37*Y38)),IF(V38="Probabilidad",#REF!,""))),"")</f>
        <v/>
      </c>
      <c r="AH38" s="264" t="str">
        <f t="shared" ref="AH38:AH39" si="32">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65"/>
      <c r="AJ38" s="266"/>
      <c r="AK38" s="271"/>
      <c r="AL38" s="271"/>
      <c r="AM38" s="267"/>
      <c r="AN38" s="344"/>
      <c r="AO38" s="344"/>
      <c r="AP38" s="344"/>
    </row>
    <row r="39" spans="1:42" ht="37.5" customHeight="1" x14ac:dyDescent="0.25">
      <c r="A39" s="361"/>
      <c r="B39" s="344"/>
      <c r="C39" s="344"/>
      <c r="D39" s="344"/>
      <c r="E39" s="342"/>
      <c r="F39" s="344"/>
      <c r="G39" s="344"/>
      <c r="H39" s="344"/>
      <c r="I39" s="344"/>
      <c r="J39" s="344"/>
      <c r="K39" s="344"/>
      <c r="L39" s="345"/>
      <c r="M39" s="351"/>
      <c r="N39" s="350"/>
      <c r="O39" s="349"/>
      <c r="P39" s="350">
        <f t="shared" si="29"/>
        <v>0</v>
      </c>
      <c r="Q39" s="351"/>
      <c r="R39" s="350"/>
      <c r="S39" s="352"/>
      <c r="T39" s="257">
        <v>3</v>
      </c>
      <c r="U39" s="270"/>
      <c r="V39" s="259" t="str">
        <f>IF(OR(W39="Preventivo",W39="Detectivo"),"Probabilidad",IF(W39="Correctivo","Impacto",""))</f>
        <v/>
      </c>
      <c r="W39" s="260"/>
      <c r="X39" s="260"/>
      <c r="Y39" s="261" t="str">
        <f t="shared" si="30"/>
        <v/>
      </c>
      <c r="Z39" s="260"/>
      <c r="AA39" s="260"/>
      <c r="AB39" s="260"/>
      <c r="AC39" s="262" t="str">
        <f>IFERROR(IF(AND(V38="Probabilidad",V39="Probabilidad"),(AE38-(+AE38*Y39)),IF(AND(V38="Impacto",V39="Probabilidad"),(AE37-(+AE37*Y39)),IF(V39="Impacto",AE38,""))),"")</f>
        <v/>
      </c>
      <c r="AD39" s="263" t="str">
        <f t="shared" si="2"/>
        <v/>
      </c>
      <c r="AE39" s="261" t="str">
        <f t="shared" si="31"/>
        <v/>
      </c>
      <c r="AF39" s="263" t="str">
        <f t="shared" si="4"/>
        <v/>
      </c>
      <c r="AG39" s="261" t="str">
        <f>IFERROR(IF(AND(V38="Impacto",V39="Impacto"),(AG38-(+AG38*Y39)),IF(AND(V38="Probabilidad",V39="Impacto"),(AG37-(+AG37*Y39)),IF(V39="Probabilidad",AG38,""))),"")</f>
        <v/>
      </c>
      <c r="AH39" s="264" t="str">
        <f t="shared" si="32"/>
        <v/>
      </c>
      <c r="AI39" s="265"/>
      <c r="AJ39" s="266"/>
      <c r="AK39" s="271"/>
      <c r="AL39" s="271"/>
      <c r="AM39" s="267"/>
      <c r="AN39" s="344"/>
      <c r="AO39" s="344"/>
      <c r="AP39" s="344"/>
    </row>
    <row r="40" spans="1:42" ht="37.5" customHeight="1" x14ac:dyDescent="0.25">
      <c r="A40" s="361"/>
      <c r="B40" s="344"/>
      <c r="C40" s="344"/>
      <c r="D40" s="344"/>
      <c r="E40" s="342"/>
      <c r="F40" s="344"/>
      <c r="G40" s="344"/>
      <c r="H40" s="344"/>
      <c r="I40" s="344"/>
      <c r="J40" s="344"/>
      <c r="K40" s="344"/>
      <c r="L40" s="345"/>
      <c r="M40" s="351"/>
      <c r="N40" s="350"/>
      <c r="O40" s="349"/>
      <c r="P40" s="350">
        <f t="shared" si="29"/>
        <v>0</v>
      </c>
      <c r="Q40" s="351"/>
      <c r="R40" s="350"/>
      <c r="S40" s="352"/>
      <c r="T40" s="257">
        <v>4</v>
      </c>
      <c r="U40" s="258"/>
      <c r="V40" s="259" t="str">
        <f t="shared" ref="V40:V42" si="33">IF(OR(W40="Preventivo",W40="Detectivo"),"Probabilidad",IF(W40="Correctivo","Impacto",""))</f>
        <v/>
      </c>
      <c r="W40" s="260"/>
      <c r="X40" s="260"/>
      <c r="Y40" s="261" t="str">
        <f t="shared" si="30"/>
        <v/>
      </c>
      <c r="Z40" s="260"/>
      <c r="AA40" s="260"/>
      <c r="AB40" s="260"/>
      <c r="AC40" s="262" t="str">
        <f t="shared" ref="AC40:AC42" si="34">IFERROR(IF(AND(V39="Probabilidad",V40="Probabilidad"),(AE39-(+AE39*Y40)),IF(AND(V39="Impacto",V40="Probabilidad"),(AE38-(+AE38*Y40)),IF(V40="Impacto",AE39,""))),"")</f>
        <v/>
      </c>
      <c r="AD40" s="263" t="str">
        <f t="shared" si="2"/>
        <v/>
      </c>
      <c r="AE40" s="261" t="str">
        <f t="shared" si="31"/>
        <v/>
      </c>
      <c r="AF40" s="263" t="str">
        <f t="shared" si="4"/>
        <v/>
      </c>
      <c r="AG40" s="261" t="str">
        <f t="shared" ref="AG40:AG42" si="35">IFERROR(IF(AND(V39="Impacto",V40="Impacto"),(AG39-(+AG39*Y40)),IF(AND(V39="Probabilidad",V40="Impacto"),(AG38-(+AG38*Y40)),IF(V40="Probabilidad",AG39,""))),"")</f>
        <v/>
      </c>
      <c r="AH40" s="264"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65"/>
      <c r="AJ40" s="266"/>
      <c r="AK40" s="271"/>
      <c r="AL40" s="271"/>
      <c r="AM40" s="267"/>
      <c r="AN40" s="344"/>
      <c r="AO40" s="344"/>
      <c r="AP40" s="344"/>
    </row>
    <row r="41" spans="1:42" ht="37.5" customHeight="1" x14ac:dyDescent="0.25">
      <c r="A41" s="361"/>
      <c r="B41" s="344"/>
      <c r="C41" s="344"/>
      <c r="D41" s="344"/>
      <c r="E41" s="342"/>
      <c r="F41" s="344"/>
      <c r="G41" s="344"/>
      <c r="H41" s="344"/>
      <c r="I41" s="344"/>
      <c r="J41" s="344"/>
      <c r="K41" s="344"/>
      <c r="L41" s="345"/>
      <c r="M41" s="351"/>
      <c r="N41" s="350"/>
      <c r="O41" s="349"/>
      <c r="P41" s="350">
        <f t="shared" si="29"/>
        <v>0</v>
      </c>
      <c r="Q41" s="351"/>
      <c r="R41" s="350"/>
      <c r="S41" s="352"/>
      <c r="T41" s="257">
        <v>5</v>
      </c>
      <c r="U41" s="258"/>
      <c r="V41" s="259" t="str">
        <f t="shared" si="33"/>
        <v/>
      </c>
      <c r="W41" s="260"/>
      <c r="X41" s="260"/>
      <c r="Y41" s="261" t="str">
        <f t="shared" si="30"/>
        <v/>
      </c>
      <c r="Z41" s="260"/>
      <c r="AA41" s="260"/>
      <c r="AB41" s="260"/>
      <c r="AC41" s="262" t="str">
        <f t="shared" si="34"/>
        <v/>
      </c>
      <c r="AD41" s="263" t="str">
        <f t="shared" si="2"/>
        <v/>
      </c>
      <c r="AE41" s="261" t="str">
        <f t="shared" si="31"/>
        <v/>
      </c>
      <c r="AF41" s="263" t="str">
        <f t="shared" si="4"/>
        <v/>
      </c>
      <c r="AG41" s="261" t="str">
        <f t="shared" si="35"/>
        <v/>
      </c>
      <c r="AH41" s="264" t="str">
        <f t="shared" ref="AH41" si="36">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65"/>
      <c r="AJ41" s="266"/>
      <c r="AK41" s="271"/>
      <c r="AL41" s="271"/>
      <c r="AM41" s="267"/>
      <c r="AN41" s="344"/>
      <c r="AO41" s="344"/>
      <c r="AP41" s="344"/>
    </row>
    <row r="42" spans="1:42" ht="37.5" customHeight="1" x14ac:dyDescent="0.25">
      <c r="A42" s="361"/>
      <c r="B42" s="344"/>
      <c r="C42" s="344"/>
      <c r="D42" s="344"/>
      <c r="E42" s="341"/>
      <c r="F42" s="344"/>
      <c r="G42" s="344"/>
      <c r="H42" s="344"/>
      <c r="I42" s="344"/>
      <c r="J42" s="344"/>
      <c r="K42" s="344"/>
      <c r="L42" s="345"/>
      <c r="M42" s="351"/>
      <c r="N42" s="350"/>
      <c r="O42" s="349"/>
      <c r="P42" s="350">
        <f t="shared" si="29"/>
        <v>0</v>
      </c>
      <c r="Q42" s="351"/>
      <c r="R42" s="350"/>
      <c r="S42" s="352"/>
      <c r="T42" s="257">
        <v>6</v>
      </c>
      <c r="U42" s="258"/>
      <c r="V42" s="259" t="str">
        <f t="shared" si="33"/>
        <v/>
      </c>
      <c r="W42" s="260"/>
      <c r="X42" s="260"/>
      <c r="Y42" s="261" t="str">
        <f t="shared" si="30"/>
        <v/>
      </c>
      <c r="Z42" s="260"/>
      <c r="AA42" s="260"/>
      <c r="AB42" s="260"/>
      <c r="AC42" s="262" t="str">
        <f t="shared" si="34"/>
        <v/>
      </c>
      <c r="AD42" s="263" t="str">
        <f t="shared" si="2"/>
        <v/>
      </c>
      <c r="AE42" s="261" t="str">
        <f t="shared" si="31"/>
        <v/>
      </c>
      <c r="AF42" s="263" t="str">
        <f>IFERROR(IF(AG42="","",IF(AG42&lt;=0.2,"Leve",IF(AG42&lt;=0.4,"Menor",IF(AG42&lt;=0.6,"Moderado",IF(AG42&lt;=0.8,"Mayor","Catastrófico"))))),"")</f>
        <v/>
      </c>
      <c r="AG42" s="261" t="str">
        <f t="shared" si="35"/>
        <v/>
      </c>
      <c r="AH42" s="264" t="str">
        <f>IFERROR(IF(OR(AND(AD42="Muy Baja",AF42="Leve"),AND(AD42="Muy Baja",AF42="Menor"),AND(AD42="Baja",AF42="Leve")),"Bajo",IF(OR(AND(AD42="Muy baja",AF42="Moderado"),AND(AD42="Baja",AF42="Menor"),AND(AD42="Baja",AF42="Moderado"),AND(AD42="Media",AF42="Leve"),AND(AD42="Media",AF42="Menor"),AND(AD42="Media",AF42="Moderado"),AND(AD42="Alta",AF42="Leve"),AND(AD42="Alta",AF42="Menor")),"Moderado",IF(OR(AND(AD42="Muy Baja",AF42="Mayor"),AND(AD42="Baja",AF42="Mayor"),AND(AD42="Media",AF42="Mayor"),AND(AD42="Alta",AF42="Moderado"),AND(AD42="Alta",AF42="Mayor"),AND(AD42="Muy Alta",AF42="Leve"),AND(AD42="Muy Alta",AF42="Menor"),AND(AD42="Muy Alta",AF42="Moderado"),AND(AD42="Muy Alta",AF42="Mayor")),"Alto",IF(OR(AND(AD42="Muy Baja",AF42="Catastrófico"),AND(AD42="Baja",AF42="Catastrófico"),AND(AD42="Media",AF42="Catastrófico"),AND(AD42="Alta",AF42="Catastrófico"),AND(AD42="Muy Alta",AF42="Catastrófico")),"Extremo","")))),"")</f>
        <v/>
      </c>
      <c r="AI42" s="265"/>
      <c r="AJ42" s="266"/>
      <c r="AK42" s="271"/>
      <c r="AL42" s="271"/>
      <c r="AM42" s="267"/>
      <c r="AN42" s="344"/>
      <c r="AO42" s="344"/>
      <c r="AP42" s="344"/>
    </row>
    <row r="43" spans="1:42" ht="112.5" customHeight="1" x14ac:dyDescent="0.25">
      <c r="A43" s="361">
        <v>6</v>
      </c>
      <c r="B43" s="344" t="s">
        <v>151</v>
      </c>
      <c r="C43" s="344" t="s">
        <v>444</v>
      </c>
      <c r="D43" s="363" t="s">
        <v>501</v>
      </c>
      <c r="E43" s="344" t="s">
        <v>502</v>
      </c>
      <c r="F43" s="344" t="s">
        <v>165</v>
      </c>
      <c r="G43" s="344" t="s">
        <v>170</v>
      </c>
      <c r="H43" s="344" t="s">
        <v>305</v>
      </c>
      <c r="I43" s="344" t="s">
        <v>445</v>
      </c>
      <c r="J43" s="344" t="s">
        <v>171</v>
      </c>
      <c r="K43" s="344" t="s">
        <v>446</v>
      </c>
      <c r="L43" s="345">
        <v>288</v>
      </c>
      <c r="M43" s="351" t="str">
        <f>IF(L43&lt;=0,"",IF(L43&lt;=2,"Muy Baja",IF(L43&lt;=24,"Baja",IF(L43&lt;=500,"Media",IF(L43&lt;=5000,"Alta","Muy Alta")))))</f>
        <v>Media</v>
      </c>
      <c r="N43" s="350">
        <f>IF(M43="","",IF(M43="Muy Baja",0.2,IF(M43="Baja",0.4,IF(M43="Media",0.6,IF(M43="Alta",0.8,IF(M43="Muy Alta",1,))))))</f>
        <v>0.6</v>
      </c>
      <c r="O43" s="349" t="s">
        <v>494</v>
      </c>
      <c r="P43" s="350" t="str">
        <f>IF(NOT(ISERROR(MATCH(O43,'[3]Tabla Impacto'!$B$222:$B$224,0))),'[3]Tabla Impacto'!$F$224&amp;"Por favor no seleccionar los criterios de impacto(Afectación Económica o presupuestal y Pérdida Reputacional)",O43)</f>
        <v xml:space="preserve">     El riesgo afecta la imagen de  la entidad con efecto publicitario sostenido a nivel de sector administrativo, nivel departamental o municipal</v>
      </c>
      <c r="Q43" s="351" t="str">
        <f>IF(OR(P43='[3]Tabla Impacto'!$C$12,P43='[3]Tabla Impacto'!$D$12),"Leve",IF(OR(P43='[3]Tabla Impacto'!$C$13,P43='[3]Tabla Impacto'!$D$13),"Menor",IF(OR(P43='[3]Tabla Impacto'!$C$14,P43='[3]Tabla Impacto'!$D$14),"Moderado",IF(OR(P43='[3]Tabla Impacto'!$C$15,P43='[3]Tabla Impacto'!$D$15),"Mayor",IF(OR(P43='[3]Tabla Impacto'!$C$16,P43='[3]Tabla Impacto'!$D$16),"Catastrófico","")))))</f>
        <v/>
      </c>
      <c r="R43" s="350" t="str">
        <f>IF(Q43="","",IF(Q43="Leve",0.2,IF(Q43="Menor",0.4,IF(Q43="Moderado",0.6,IF(Q43="Mayor",0.8,IF(Q43="Catastrófico",1,))))))</f>
        <v/>
      </c>
      <c r="S43" s="352"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7">
        <v>1</v>
      </c>
      <c r="U43" s="269" t="s">
        <v>503</v>
      </c>
      <c r="V43" s="259" t="str">
        <f>IF(OR(W43="Preventivo",W43="Detectivo"),"Probabilidad",IF(W43="Correctivo","Impacto",""))</f>
        <v>Probabilidad</v>
      </c>
      <c r="W43" s="260" t="s">
        <v>157</v>
      </c>
      <c r="X43" s="260" t="s">
        <v>156</v>
      </c>
      <c r="Y43" s="261" t="str">
        <f>IF(AND(W43="Preventivo",X43="Automático"),"50%",IF(AND(W43="Preventivo",X43="Manual"),"40%",IF(AND(W43="Detectivo",X43="Automático"),"40%",IF(AND(W43="Detectivo",X43="Manual"),"30%",IF(AND(W43="Correctivo",X43="Automático"),"35%",IF(AND(W43="Correctivo",X43="Manual"),"25%",""))))))</f>
        <v>30%</v>
      </c>
      <c r="Z43" s="260" t="s">
        <v>363</v>
      </c>
      <c r="AA43" s="260" t="s">
        <v>366</v>
      </c>
      <c r="AB43" s="260" t="s">
        <v>161</v>
      </c>
      <c r="AC43" s="262">
        <f>IFERROR(IF(V43="Probabilidad",(N43-(+N43*Y43)),IF(V43="Impacto",N43,"")),"")</f>
        <v>0.42</v>
      </c>
      <c r="AD43" s="263" t="str">
        <f>IFERROR(IF(AC43="","",IF(AC43&lt;=0.2,"Muy Baja",IF(AC43&lt;=0.4,"Baja",IF(AC43&lt;=0.6,"Media",IF(AC43&lt;=0.8,"Alta","Muy Alta"))))),"")</f>
        <v>Media</v>
      </c>
      <c r="AE43" s="261">
        <f>+AC43</f>
        <v>0.42</v>
      </c>
      <c r="AF43" s="263" t="str">
        <f>IFERROR(IF(AG43="","",IF(AG43&lt;=0.2,"Leve",IF(AG43&lt;=0.4,"Menor",IF(AG43&lt;=0.6,"Moderado",IF(AG43&lt;=0.8,"Mayor","Catastrófico"))))),"")</f>
        <v/>
      </c>
      <c r="AG43" s="261" t="str">
        <f>IFERROR(IF(V43="Impacto",(R43-(+R43*Y43)),IF(V43="Probabilidad",R43,"")),"")</f>
        <v/>
      </c>
      <c r="AH43" s="264"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65" t="s">
        <v>158</v>
      </c>
      <c r="AJ43" s="266" t="s">
        <v>504</v>
      </c>
      <c r="AK43" s="266" t="s">
        <v>447</v>
      </c>
      <c r="AL43" s="266" t="s">
        <v>448</v>
      </c>
      <c r="AM43" s="267" t="s">
        <v>449</v>
      </c>
      <c r="AN43" s="344" t="s">
        <v>450</v>
      </c>
      <c r="AO43" s="344" t="s">
        <v>451</v>
      </c>
      <c r="AP43" s="344" t="s">
        <v>452</v>
      </c>
    </row>
    <row r="44" spans="1:42" ht="102.75" customHeight="1" x14ac:dyDescent="0.25">
      <c r="A44" s="361"/>
      <c r="B44" s="344"/>
      <c r="C44" s="344"/>
      <c r="D44" s="363"/>
      <c r="E44" s="344"/>
      <c r="F44" s="344"/>
      <c r="G44" s="344"/>
      <c r="H44" s="344"/>
      <c r="I44" s="344"/>
      <c r="J44" s="344"/>
      <c r="K44" s="344"/>
      <c r="L44" s="345"/>
      <c r="M44" s="351"/>
      <c r="N44" s="350"/>
      <c r="O44" s="349"/>
      <c r="P44" s="350">
        <f t="shared" ref="P44:P48" si="37">IF(NOT(ISERROR(MATCH(O44,_xlfn.ANCHORARRAY(E55),0))),N57&amp;"Por favor no seleccionar los criterios de impacto",O44)</f>
        <v>0</v>
      </c>
      <c r="Q44" s="351"/>
      <c r="R44" s="350"/>
      <c r="S44" s="352"/>
      <c r="T44" s="257">
        <v>2</v>
      </c>
      <c r="U44" s="258" t="s">
        <v>505</v>
      </c>
      <c r="V44" s="259" t="str">
        <f>IF(OR(W44="Preventivo",W44="Detectivo"),"Probabilidad",IF(W44="Correctivo","Impacto",""))</f>
        <v>Probabilidad</v>
      </c>
      <c r="W44" s="260" t="s">
        <v>155</v>
      </c>
      <c r="X44" s="260" t="s">
        <v>156</v>
      </c>
      <c r="Y44" s="261" t="str">
        <f t="shared" ref="Y44:Y48" si="38">IF(AND(W44="Preventivo",X44="Automático"),"50%",IF(AND(W44="Preventivo",X44="Manual"),"40%",IF(AND(W44="Detectivo",X44="Automático"),"40%",IF(AND(W44="Detectivo",X44="Manual"),"30%",IF(AND(W44="Correctivo",X44="Automático"),"35%",IF(AND(W44="Correctivo",X44="Manual"),"25%",""))))))</f>
        <v>40%</v>
      </c>
      <c r="Z44" s="260" t="s">
        <v>363</v>
      </c>
      <c r="AA44" s="260" t="s">
        <v>160</v>
      </c>
      <c r="AB44" s="260" t="s">
        <v>161</v>
      </c>
      <c r="AC44" s="262">
        <f>IFERROR(IF(AND(V43="Probabilidad",V44="Probabilidad"),(AE43-(+AE43*Y44)),IF(V44="Probabilidad",(N43-(+N43*Y44)),IF(V44="Impacto",AE43,""))),"")</f>
        <v>0.252</v>
      </c>
      <c r="AD44" s="263" t="str">
        <f t="shared" si="2"/>
        <v>Baja</v>
      </c>
      <c r="AE44" s="261">
        <f t="shared" ref="AE44:AE48" si="39">+AC44</f>
        <v>0.252</v>
      </c>
      <c r="AF44" s="263" t="str">
        <f t="shared" si="4"/>
        <v>Leve</v>
      </c>
      <c r="AG44" s="261">
        <f>IFERROR(IF(AND(V43="Impacto",V44="Impacto"),(AG37-(+AG37*Y44)),IF(V44="Impacto",($R$43-(+$R$43*Y44)),IF(V44="Probabilidad",AG37,""))),"")</f>
        <v>0.2</v>
      </c>
      <c r="AH44" s="264" t="str">
        <f t="shared" ref="AH44:AH45" si="40">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Bajo</v>
      </c>
      <c r="AI44" s="265" t="s">
        <v>372</v>
      </c>
      <c r="AJ44" s="266"/>
      <c r="AK44" s="271"/>
      <c r="AL44" s="271"/>
      <c r="AM44" s="267"/>
      <c r="AN44" s="344"/>
      <c r="AO44" s="344"/>
      <c r="AP44" s="344"/>
    </row>
    <row r="45" spans="1:42" ht="89.25" customHeight="1" x14ac:dyDescent="0.25">
      <c r="A45" s="361"/>
      <c r="B45" s="344"/>
      <c r="C45" s="344"/>
      <c r="D45" s="363"/>
      <c r="E45" s="344"/>
      <c r="F45" s="344"/>
      <c r="G45" s="344"/>
      <c r="H45" s="344"/>
      <c r="I45" s="344"/>
      <c r="J45" s="344"/>
      <c r="K45" s="344"/>
      <c r="L45" s="345"/>
      <c r="M45" s="351"/>
      <c r="N45" s="350"/>
      <c r="O45" s="349"/>
      <c r="P45" s="350">
        <f t="shared" si="37"/>
        <v>0</v>
      </c>
      <c r="Q45" s="351"/>
      <c r="R45" s="350"/>
      <c r="S45" s="352"/>
      <c r="T45" s="257">
        <v>3</v>
      </c>
      <c r="U45" s="258" t="s">
        <v>506</v>
      </c>
      <c r="V45" s="259" t="str">
        <f>IF(OR(W45="Preventivo",W45="Detectivo"),"Probabilidad",IF(W45="Correctivo","Impacto",""))</f>
        <v>Probabilidad</v>
      </c>
      <c r="W45" s="260" t="s">
        <v>155</v>
      </c>
      <c r="X45" s="260" t="s">
        <v>156</v>
      </c>
      <c r="Y45" s="261" t="str">
        <f t="shared" si="38"/>
        <v>40%</v>
      </c>
      <c r="Z45" s="260" t="s">
        <v>159</v>
      </c>
      <c r="AA45" s="260" t="s">
        <v>366</v>
      </c>
      <c r="AB45" s="260" t="s">
        <v>161</v>
      </c>
      <c r="AC45" s="262">
        <f>IFERROR(IF(AND(V44="Probabilidad",V45="Probabilidad"),(AE44-(+AE44*Y45)),IF(AND(V44="Impacto",V45="Probabilidad"),(AE43-(+AE43*Y45)),IF(V45="Impacto",AE44,""))),"")</f>
        <v>0.1512</v>
      </c>
      <c r="AD45" s="263" t="str">
        <f t="shared" si="2"/>
        <v>Muy Baja</v>
      </c>
      <c r="AE45" s="261">
        <f t="shared" si="39"/>
        <v>0.1512</v>
      </c>
      <c r="AF45" s="263" t="str">
        <f t="shared" si="4"/>
        <v>Leve</v>
      </c>
      <c r="AG45" s="261">
        <f>IFERROR(IF(AND(V44="Impacto",V45="Impacto"),(AG44-(+AG44*Y45)),IF(AND(V44="Probabilidad",V45="Impacto"),(AG43-(+AG43*Y45)),IF(V45="Probabilidad",AG44,""))),"")</f>
        <v>0.2</v>
      </c>
      <c r="AH45" s="264" t="str">
        <f t="shared" si="40"/>
        <v>Bajo</v>
      </c>
      <c r="AI45" s="265" t="s">
        <v>372</v>
      </c>
      <c r="AJ45" s="266"/>
      <c r="AK45" s="271"/>
      <c r="AL45" s="271"/>
      <c r="AM45" s="267"/>
      <c r="AN45" s="344"/>
      <c r="AO45" s="344"/>
      <c r="AP45" s="344"/>
    </row>
    <row r="46" spans="1:42" ht="84.75" customHeight="1" x14ac:dyDescent="0.25">
      <c r="A46" s="361"/>
      <c r="B46" s="344"/>
      <c r="C46" s="344"/>
      <c r="D46" s="363"/>
      <c r="E46" s="344"/>
      <c r="F46" s="344"/>
      <c r="G46" s="344"/>
      <c r="H46" s="344"/>
      <c r="I46" s="344"/>
      <c r="J46" s="344"/>
      <c r="K46" s="344"/>
      <c r="L46" s="345"/>
      <c r="M46" s="351"/>
      <c r="N46" s="350"/>
      <c r="O46" s="349"/>
      <c r="P46" s="350">
        <f t="shared" si="37"/>
        <v>0</v>
      </c>
      <c r="Q46" s="351"/>
      <c r="R46" s="350"/>
      <c r="S46" s="352"/>
      <c r="T46" s="257">
        <v>4</v>
      </c>
      <c r="U46" s="258" t="s">
        <v>507</v>
      </c>
      <c r="V46" s="259" t="str">
        <f t="shared" ref="V46:V48" si="41">IF(OR(W46="Preventivo",W46="Detectivo"),"Probabilidad",IF(W46="Correctivo","Impacto",""))</f>
        <v>Probabilidad</v>
      </c>
      <c r="W46" s="260" t="s">
        <v>155</v>
      </c>
      <c r="X46" s="260" t="s">
        <v>156</v>
      </c>
      <c r="Y46" s="261" t="str">
        <f t="shared" si="38"/>
        <v>40%</v>
      </c>
      <c r="Z46" s="260" t="s">
        <v>363</v>
      </c>
      <c r="AA46" s="260" t="s">
        <v>160</v>
      </c>
      <c r="AB46" s="260" t="s">
        <v>161</v>
      </c>
      <c r="AC46" s="262">
        <f t="shared" ref="AC46:AC48" si="42">IFERROR(IF(AND(V45="Probabilidad",V46="Probabilidad"),(AE45-(+AE45*Y46)),IF(AND(V45="Impacto",V46="Probabilidad"),(AE44-(+AE44*Y46)),IF(V46="Impacto",AE45,""))),"")</f>
        <v>9.0719999999999995E-2</v>
      </c>
      <c r="AD46" s="263" t="str">
        <f t="shared" si="2"/>
        <v>Muy Baja</v>
      </c>
      <c r="AE46" s="261">
        <f t="shared" si="39"/>
        <v>9.0719999999999995E-2</v>
      </c>
      <c r="AF46" s="263" t="str">
        <f t="shared" si="4"/>
        <v>Leve</v>
      </c>
      <c r="AG46" s="261">
        <f t="shared" ref="AG46:AG48" si="43">IFERROR(IF(AND(V45="Impacto",V46="Impacto"),(AG45-(+AG45*Y46)),IF(AND(V45="Probabilidad",V46="Impacto"),(AG44-(+AG44*Y46)),IF(V46="Probabilidad",AG45,""))),"")</f>
        <v>0.2</v>
      </c>
      <c r="AH46" s="264"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Bajo</v>
      </c>
      <c r="AI46" s="265" t="s">
        <v>372</v>
      </c>
      <c r="AJ46" s="266"/>
      <c r="AK46" s="271"/>
      <c r="AL46" s="271"/>
      <c r="AM46" s="267"/>
      <c r="AN46" s="344"/>
      <c r="AO46" s="344"/>
      <c r="AP46" s="344"/>
    </row>
    <row r="47" spans="1:42" ht="81.75" customHeight="1" x14ac:dyDescent="0.25">
      <c r="A47" s="361"/>
      <c r="B47" s="344"/>
      <c r="C47" s="344"/>
      <c r="D47" s="363"/>
      <c r="E47" s="344"/>
      <c r="F47" s="344"/>
      <c r="G47" s="344"/>
      <c r="H47" s="344"/>
      <c r="I47" s="344"/>
      <c r="J47" s="344"/>
      <c r="K47" s="344"/>
      <c r="L47" s="345"/>
      <c r="M47" s="351"/>
      <c r="N47" s="350"/>
      <c r="O47" s="349"/>
      <c r="P47" s="350">
        <f t="shared" si="37"/>
        <v>0</v>
      </c>
      <c r="Q47" s="351"/>
      <c r="R47" s="350"/>
      <c r="S47" s="352"/>
      <c r="T47" s="257">
        <v>5</v>
      </c>
      <c r="U47" s="258" t="s">
        <v>508</v>
      </c>
      <c r="V47" s="259" t="str">
        <f t="shared" si="41"/>
        <v>Probabilidad</v>
      </c>
      <c r="W47" s="260" t="s">
        <v>155</v>
      </c>
      <c r="X47" s="260" t="s">
        <v>156</v>
      </c>
      <c r="Y47" s="261" t="str">
        <f t="shared" si="38"/>
        <v>40%</v>
      </c>
      <c r="Z47" s="260" t="s">
        <v>159</v>
      </c>
      <c r="AA47" s="260" t="s">
        <v>160</v>
      </c>
      <c r="AB47" s="260" t="s">
        <v>161</v>
      </c>
      <c r="AC47" s="262">
        <f t="shared" si="42"/>
        <v>5.4431999999999994E-2</v>
      </c>
      <c r="AD47" s="263" t="str">
        <f t="shared" si="2"/>
        <v>Muy Baja</v>
      </c>
      <c r="AE47" s="261">
        <f t="shared" si="39"/>
        <v>5.4431999999999994E-2</v>
      </c>
      <c r="AF47" s="263" t="str">
        <f t="shared" si="4"/>
        <v>Leve</v>
      </c>
      <c r="AG47" s="261">
        <f t="shared" si="43"/>
        <v>0.2</v>
      </c>
      <c r="AH47" s="264" t="str">
        <f t="shared" ref="AH47:AH48" si="44">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Bajo</v>
      </c>
      <c r="AI47" s="265" t="s">
        <v>372</v>
      </c>
      <c r="AJ47" s="266"/>
      <c r="AK47" s="271"/>
      <c r="AL47" s="271"/>
      <c r="AM47" s="267"/>
      <c r="AN47" s="344"/>
      <c r="AO47" s="344"/>
      <c r="AP47" s="344"/>
    </row>
    <row r="48" spans="1:42" ht="37.5" customHeight="1" x14ac:dyDescent="0.25">
      <c r="A48" s="361"/>
      <c r="B48" s="344"/>
      <c r="C48" s="344"/>
      <c r="D48" s="363"/>
      <c r="E48" s="344"/>
      <c r="F48" s="344"/>
      <c r="G48" s="344"/>
      <c r="H48" s="344"/>
      <c r="I48" s="344"/>
      <c r="J48" s="344"/>
      <c r="K48" s="344"/>
      <c r="L48" s="345"/>
      <c r="M48" s="351"/>
      <c r="N48" s="350"/>
      <c r="O48" s="349"/>
      <c r="P48" s="350">
        <f t="shared" si="37"/>
        <v>0</v>
      </c>
      <c r="Q48" s="351"/>
      <c r="R48" s="350"/>
      <c r="S48" s="352"/>
      <c r="T48" s="257">
        <v>6</v>
      </c>
      <c r="U48" s="258"/>
      <c r="V48" s="259" t="str">
        <f t="shared" si="41"/>
        <v/>
      </c>
      <c r="W48" s="260"/>
      <c r="X48" s="260"/>
      <c r="Y48" s="261" t="str">
        <f t="shared" si="38"/>
        <v/>
      </c>
      <c r="Z48" s="260"/>
      <c r="AA48" s="260"/>
      <c r="AB48" s="260"/>
      <c r="AC48" s="262" t="str">
        <f t="shared" si="42"/>
        <v/>
      </c>
      <c r="AD48" s="263" t="str">
        <f t="shared" si="2"/>
        <v/>
      </c>
      <c r="AE48" s="261" t="str">
        <f t="shared" si="39"/>
        <v/>
      </c>
      <c r="AF48" s="263" t="str">
        <f t="shared" si="4"/>
        <v/>
      </c>
      <c r="AG48" s="261" t="str">
        <f t="shared" si="43"/>
        <v/>
      </c>
      <c r="AH48" s="264" t="str">
        <f t="shared" si="44"/>
        <v/>
      </c>
      <c r="AI48" s="265"/>
      <c r="AJ48" s="266"/>
      <c r="AK48" s="271"/>
      <c r="AL48" s="271"/>
      <c r="AM48" s="267"/>
      <c r="AN48" s="344"/>
      <c r="AO48" s="344"/>
      <c r="AP48" s="344"/>
    </row>
    <row r="49" spans="1:42" ht="107.25" customHeight="1" x14ac:dyDescent="0.25">
      <c r="A49" s="361">
        <v>7</v>
      </c>
      <c r="B49" s="344" t="s">
        <v>151</v>
      </c>
      <c r="C49" s="344" t="s">
        <v>509</v>
      </c>
      <c r="D49" s="344" t="s">
        <v>510</v>
      </c>
      <c r="E49" s="344" t="s">
        <v>511</v>
      </c>
      <c r="F49" s="344" t="s">
        <v>165</v>
      </c>
      <c r="G49" s="344" t="s">
        <v>170</v>
      </c>
      <c r="H49" s="344" t="s">
        <v>305</v>
      </c>
      <c r="I49" s="344" t="s">
        <v>459</v>
      </c>
      <c r="J49" s="344" t="s">
        <v>171</v>
      </c>
      <c r="K49" s="344" t="s">
        <v>446</v>
      </c>
      <c r="L49" s="345">
        <v>5001</v>
      </c>
      <c r="M49" s="351" t="str">
        <f>IF(L49&lt;=0,"",IF(L49&lt;=2,"Muy Baja",IF(L49&lt;=24,"Baja",IF(L49&lt;=500,"Media",IF(L49&lt;=5000,"Alta","Muy Alta")))))</f>
        <v>Muy Alta</v>
      </c>
      <c r="N49" s="350">
        <f>IF(M49="","",IF(M49="Muy Baja",0.2,IF(M49="Baja",0.4,IF(M49="Media",0.6,IF(M49="Alta",0.8,IF(M49="Muy Alta",1,))))))</f>
        <v>1</v>
      </c>
      <c r="O49" s="349" t="s">
        <v>154</v>
      </c>
      <c r="P49" s="350" t="str">
        <f>IF(NOT(ISERROR(MATCH(O49,'[3]Tabla Impacto'!$B$222:$B$224,0))),'[3]Tabla Impacto'!$F$224&amp;"Por favor no seleccionar los criterios de impacto(Afectación Económica o presupuestal y Pérdida Reputacional)",O49)</f>
        <v xml:space="preserve">     El riesgo afecta la imagen de la entidad con algunos usuarios de relevancia frente al logro de los objetivos</v>
      </c>
      <c r="Q49" s="351" t="str">
        <f>IF(OR(P49='[3]Tabla Impacto'!$C$12,P49='[3]Tabla Impacto'!$D$12),"Leve",IF(OR(P49='[3]Tabla Impacto'!$C$13,P49='[3]Tabla Impacto'!$D$13),"Menor",IF(OR(P49='[3]Tabla Impacto'!$C$14,P49='[3]Tabla Impacto'!$D$14),"Moderado",IF(OR(P49='[3]Tabla Impacto'!$C$15,P49='[3]Tabla Impacto'!$D$15),"Mayor",IF(OR(P49='[3]Tabla Impacto'!$C$16,P49='[3]Tabla Impacto'!$D$16),"Catastrófico","")))))</f>
        <v>Moderado</v>
      </c>
      <c r="R49" s="350">
        <f>IF(Q49="","",IF(Q49="Leve",0.2,IF(Q49="Menor",0.4,IF(Q49="Moderado",0.6,IF(Q49="Mayor",0.8,IF(Q49="Catastrófico",1,))))))</f>
        <v>0.6</v>
      </c>
      <c r="S49" s="352"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Alto</v>
      </c>
      <c r="T49" s="257">
        <v>1</v>
      </c>
      <c r="U49" s="258" t="s">
        <v>512</v>
      </c>
      <c r="V49" s="259" t="str">
        <f>IF(OR(W49="Preventivo",W49="Detectivo"),"Probabilidad",IF(W49="Correctivo","Impacto",""))</f>
        <v>Probabilidad</v>
      </c>
      <c r="W49" s="260" t="s">
        <v>157</v>
      </c>
      <c r="X49" s="260" t="s">
        <v>156</v>
      </c>
      <c r="Y49" s="261" t="str">
        <f>IF(AND(W49="Preventivo",X49="Automático"),"50%",IF(AND(W49="Preventivo",X49="Manual"),"40%",IF(AND(W49="Detectivo",X49="Automático"),"40%",IF(AND(W49="Detectivo",X49="Manual"),"30%",IF(AND(W49="Correctivo",X49="Automático"),"35%",IF(AND(W49="Correctivo",X49="Manual"),"25%",""))))))</f>
        <v>30%</v>
      </c>
      <c r="Z49" s="260" t="s">
        <v>363</v>
      </c>
      <c r="AA49" s="260" t="s">
        <v>160</v>
      </c>
      <c r="AB49" s="260" t="s">
        <v>161</v>
      </c>
      <c r="AC49" s="262">
        <f>IFERROR(IF(V49="Probabilidad",(N49-(+N49*Y49)),IF(V49="Impacto",N49,"")),"")</f>
        <v>0.7</v>
      </c>
      <c r="AD49" s="263" t="str">
        <f>IFERROR(IF(AC49="","",IF(AC49&lt;=0.2,"Muy Baja",IF(AC49&lt;=0.4,"Baja",IF(AC49&lt;=0.6,"Media",IF(AC49&lt;=0.8,"Alta","Muy Alta"))))),"")</f>
        <v>Alta</v>
      </c>
      <c r="AE49" s="261">
        <f>+AC49</f>
        <v>0.7</v>
      </c>
      <c r="AF49" s="263" t="str">
        <f>IFERROR(IF(AG49="","",IF(AG49&lt;=0.2,"Leve",IF(AG49&lt;=0.4,"Menor",IF(AG49&lt;=0.6,"Moderado",IF(AG49&lt;=0.8,"Mayor","Catastrófico"))))),"")</f>
        <v>Moderado</v>
      </c>
      <c r="AG49" s="261">
        <f>IFERROR(IF(V49="Impacto",(R49-(+R49*Y49)),IF(V49="Probabilidad",R49,"")),"")</f>
        <v>0.6</v>
      </c>
      <c r="AH49" s="264"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Alto</v>
      </c>
      <c r="AI49" s="265" t="s">
        <v>158</v>
      </c>
      <c r="AJ49" s="266" t="s">
        <v>462</v>
      </c>
      <c r="AK49" s="266" t="s">
        <v>453</v>
      </c>
      <c r="AL49" s="266" t="s">
        <v>454</v>
      </c>
      <c r="AM49" s="267" t="s">
        <v>418</v>
      </c>
      <c r="AN49" s="344" t="s">
        <v>513</v>
      </c>
      <c r="AO49" s="344" t="s">
        <v>455</v>
      </c>
      <c r="AP49" s="344" t="s">
        <v>456</v>
      </c>
    </row>
    <row r="50" spans="1:42" ht="96" customHeight="1" x14ac:dyDescent="0.25">
      <c r="A50" s="361"/>
      <c r="B50" s="344"/>
      <c r="C50" s="344"/>
      <c r="D50" s="344"/>
      <c r="E50" s="344"/>
      <c r="F50" s="344"/>
      <c r="G50" s="344"/>
      <c r="H50" s="344"/>
      <c r="I50" s="344"/>
      <c r="J50" s="344"/>
      <c r="K50" s="344"/>
      <c r="L50" s="345"/>
      <c r="M50" s="351"/>
      <c r="N50" s="350"/>
      <c r="O50" s="349"/>
      <c r="P50" s="350">
        <f>IF(NOT(ISERROR(MATCH(O50,_xlfn.ANCHORARRAY(E61),0))),N63&amp;"Por favor no seleccionar los criterios de impacto",O50)</f>
        <v>0</v>
      </c>
      <c r="Q50" s="351"/>
      <c r="R50" s="350"/>
      <c r="S50" s="352"/>
      <c r="T50" s="257">
        <v>2</v>
      </c>
      <c r="U50" s="258" t="s">
        <v>514</v>
      </c>
      <c r="V50" s="259" t="str">
        <f>IF(OR(W50="Preventivo",W50="Detectivo"),"Probabilidad",IF(W50="Correctivo","Impacto",""))</f>
        <v>Probabilidad</v>
      </c>
      <c r="W50" s="260" t="s">
        <v>155</v>
      </c>
      <c r="X50" s="260" t="s">
        <v>357</v>
      </c>
      <c r="Y50" s="261" t="str">
        <f t="shared" ref="Y50:Y54" si="45">IF(AND(W50="Preventivo",X50="Automático"),"50%",IF(AND(W50="Preventivo",X50="Manual"),"40%",IF(AND(W50="Detectivo",X50="Automático"),"40%",IF(AND(W50="Detectivo",X50="Manual"),"30%",IF(AND(W50="Correctivo",X50="Automático"),"35%",IF(AND(W50="Correctivo",X50="Manual"),"25%",""))))))</f>
        <v>50%</v>
      </c>
      <c r="Z50" s="260" t="s">
        <v>159</v>
      </c>
      <c r="AA50" s="260" t="s">
        <v>160</v>
      </c>
      <c r="AB50" s="260" t="s">
        <v>161</v>
      </c>
      <c r="AC50" s="262">
        <f>IFERROR(IF(AND(V49="Probabilidad",V50="Probabilidad"),(AE49-(+AE49*Y50)),IF(V50="Probabilidad",(N49-(+N49*Y50)),IF(V50="Impacto",AE49,""))),"")</f>
        <v>0.35</v>
      </c>
      <c r="AD50" s="263" t="str">
        <f t="shared" si="2"/>
        <v>Baja</v>
      </c>
      <c r="AE50" s="261">
        <f t="shared" ref="AE50:AE54" si="46">+AC50</f>
        <v>0.35</v>
      </c>
      <c r="AF50" s="263" t="str">
        <f t="shared" si="4"/>
        <v/>
      </c>
      <c r="AG50" s="261" t="str">
        <f>IFERROR(IF(AND(V49="Impacto",V50="Impacto"),(AG43-(+AG43*Y50)),IF(V50="Impacto",($R$49-(+$R$49*Y50)),IF(V50="Probabilidad",AG43,""))),"")</f>
        <v/>
      </c>
      <c r="AH50" s="264" t="str">
        <f t="shared" ref="AH50:AH51" si="47">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65" t="s">
        <v>158</v>
      </c>
      <c r="AJ50" s="266" t="s">
        <v>461</v>
      </c>
      <c r="AK50" s="266" t="s">
        <v>453</v>
      </c>
      <c r="AL50" s="266" t="s">
        <v>457</v>
      </c>
      <c r="AM50" s="267" t="s">
        <v>418</v>
      </c>
      <c r="AN50" s="345"/>
      <c r="AO50" s="345"/>
      <c r="AP50" s="345"/>
    </row>
    <row r="51" spans="1:42" ht="109.8" customHeight="1" x14ac:dyDescent="0.25">
      <c r="A51" s="361"/>
      <c r="B51" s="344"/>
      <c r="C51" s="344"/>
      <c r="D51" s="344"/>
      <c r="E51" s="344"/>
      <c r="F51" s="344"/>
      <c r="G51" s="344"/>
      <c r="H51" s="344"/>
      <c r="I51" s="344"/>
      <c r="J51" s="344"/>
      <c r="K51" s="344"/>
      <c r="L51" s="345"/>
      <c r="M51" s="351"/>
      <c r="N51" s="350"/>
      <c r="O51" s="349"/>
      <c r="P51" s="350">
        <f>IF(NOT(ISERROR(MATCH(O51,_xlfn.ANCHORARRAY(E62),0))),N64&amp;"Por favor no seleccionar los criterios de impacto",O51)</f>
        <v>0</v>
      </c>
      <c r="Q51" s="351"/>
      <c r="R51" s="350"/>
      <c r="S51" s="352"/>
      <c r="T51" s="257">
        <v>3</v>
      </c>
      <c r="U51" s="258" t="s">
        <v>515</v>
      </c>
      <c r="V51" s="259" t="str">
        <f>IF(OR(W51="Preventivo",W51="Detectivo"),"Probabilidad",IF(W51="Correctivo","Impacto",""))</f>
        <v>Probabilidad</v>
      </c>
      <c r="W51" s="260" t="s">
        <v>157</v>
      </c>
      <c r="X51" s="260" t="s">
        <v>156</v>
      </c>
      <c r="Y51" s="261" t="str">
        <f t="shared" si="45"/>
        <v>30%</v>
      </c>
      <c r="Z51" s="260" t="s">
        <v>363</v>
      </c>
      <c r="AA51" s="260" t="s">
        <v>160</v>
      </c>
      <c r="AB51" s="260" t="s">
        <v>161</v>
      </c>
      <c r="AC51" s="262">
        <f>IFERROR(IF(AND(V50="Probabilidad",V51="Probabilidad"),(AE50-(+AE50*Y51)),IF(AND(V50="Impacto",V51="Probabilidad"),(AE49-(+AE49*Y51)),IF(V51="Impacto",AE50,""))),"")</f>
        <v>0.245</v>
      </c>
      <c r="AD51" s="263" t="str">
        <f t="shared" si="2"/>
        <v>Baja</v>
      </c>
      <c r="AE51" s="261">
        <f t="shared" si="46"/>
        <v>0.245</v>
      </c>
      <c r="AF51" s="263" t="str">
        <f t="shared" si="4"/>
        <v/>
      </c>
      <c r="AG51" s="261" t="str">
        <f>IFERROR(IF(AND(V50="Impacto",V51="Impacto"),(AG50-(+AG50*Y51)),IF(AND(V50="Probabilidad",V51="Impacto"),(AG49-(+AG49*Y51)),IF(V51="Probabilidad",AG50,""))),"")</f>
        <v/>
      </c>
      <c r="AH51" s="264" t="str">
        <f t="shared" si="47"/>
        <v/>
      </c>
      <c r="AI51" s="265" t="s">
        <v>158</v>
      </c>
      <c r="AJ51" s="266" t="s">
        <v>460</v>
      </c>
      <c r="AK51" s="266" t="s">
        <v>453</v>
      </c>
      <c r="AL51" s="266" t="s">
        <v>478</v>
      </c>
      <c r="AM51" s="267" t="s">
        <v>418</v>
      </c>
      <c r="AN51" s="345"/>
      <c r="AO51" s="345"/>
      <c r="AP51" s="345"/>
    </row>
    <row r="52" spans="1:42" ht="85.5" customHeight="1" x14ac:dyDescent="0.25">
      <c r="A52" s="361"/>
      <c r="B52" s="344"/>
      <c r="C52" s="344"/>
      <c r="D52" s="344"/>
      <c r="E52" s="344"/>
      <c r="F52" s="344"/>
      <c r="G52" s="344"/>
      <c r="H52" s="344"/>
      <c r="I52" s="344"/>
      <c r="J52" s="344"/>
      <c r="K52" s="344"/>
      <c r="L52" s="345"/>
      <c r="M52" s="351"/>
      <c r="N52" s="350"/>
      <c r="O52" s="349"/>
      <c r="P52" s="350">
        <f>IF(NOT(ISERROR(MATCH(O52,_xlfn.ANCHORARRAY(E63),0))),N65&amp;"Por favor no seleccionar los criterios de impacto",O52)</f>
        <v>0</v>
      </c>
      <c r="Q52" s="351"/>
      <c r="R52" s="350"/>
      <c r="S52" s="352"/>
      <c r="T52" s="257">
        <v>4</v>
      </c>
      <c r="U52" s="258"/>
      <c r="V52" s="259" t="str">
        <f t="shared" ref="V52:V54" si="48">IF(OR(W52="Preventivo",W52="Detectivo"),"Probabilidad",IF(W52="Correctivo","Impacto",""))</f>
        <v/>
      </c>
      <c r="W52" s="260"/>
      <c r="X52" s="260"/>
      <c r="Y52" s="261" t="str">
        <f t="shared" si="45"/>
        <v/>
      </c>
      <c r="Z52" s="260"/>
      <c r="AA52" s="260"/>
      <c r="AB52" s="260"/>
      <c r="AC52" s="262" t="str">
        <f t="shared" ref="AC52:AC54" si="49">IFERROR(IF(AND(V51="Probabilidad",V52="Probabilidad"),(AE51-(+AE51*Y52)),IF(AND(V51="Impacto",V52="Probabilidad"),(AE50-(+AE50*Y52)),IF(V52="Impacto",AE51,""))),"")</f>
        <v/>
      </c>
      <c r="AD52" s="263" t="str">
        <f t="shared" si="2"/>
        <v/>
      </c>
      <c r="AE52" s="261" t="str">
        <f t="shared" si="46"/>
        <v/>
      </c>
      <c r="AF52" s="263" t="str">
        <f t="shared" si="4"/>
        <v/>
      </c>
      <c r="AG52" s="261" t="str">
        <f t="shared" ref="AG52:AG54" si="50">IFERROR(IF(AND(V51="Impacto",V52="Impacto"),(AG51-(+AG51*Y52)),IF(AND(V51="Probabilidad",V52="Impacto"),(AG50-(+AG50*Y52)),IF(V52="Probabilidad",AG51,""))),"")</f>
        <v/>
      </c>
      <c r="AH52" s="264"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65"/>
      <c r="AJ52" s="266"/>
      <c r="AK52" s="271"/>
      <c r="AL52" s="271"/>
      <c r="AM52" s="267"/>
      <c r="AN52" s="345"/>
      <c r="AO52" s="345"/>
      <c r="AP52" s="345"/>
    </row>
    <row r="53" spans="1:42" ht="37.5" customHeight="1" x14ac:dyDescent="0.25">
      <c r="A53" s="361"/>
      <c r="B53" s="344"/>
      <c r="C53" s="344"/>
      <c r="D53" s="344"/>
      <c r="E53" s="344"/>
      <c r="F53" s="344"/>
      <c r="G53" s="344"/>
      <c r="H53" s="344"/>
      <c r="I53" s="344"/>
      <c r="J53" s="344"/>
      <c r="K53" s="344"/>
      <c r="L53" s="345"/>
      <c r="M53" s="351"/>
      <c r="N53" s="350"/>
      <c r="O53" s="349"/>
      <c r="P53" s="350">
        <f>IF(NOT(ISERROR(MATCH(O53,_xlfn.ANCHORARRAY(E64),0))),N66&amp;"Por favor no seleccionar los criterios de impacto",O53)</f>
        <v>0</v>
      </c>
      <c r="Q53" s="351"/>
      <c r="R53" s="350"/>
      <c r="S53" s="352"/>
      <c r="T53" s="257">
        <v>5</v>
      </c>
      <c r="U53" s="258"/>
      <c r="V53" s="259" t="str">
        <f t="shared" si="48"/>
        <v/>
      </c>
      <c r="W53" s="260"/>
      <c r="X53" s="260"/>
      <c r="Y53" s="261" t="str">
        <f t="shared" si="45"/>
        <v/>
      </c>
      <c r="Z53" s="260"/>
      <c r="AA53" s="260"/>
      <c r="AB53" s="260"/>
      <c r="AC53" s="262" t="str">
        <f t="shared" si="49"/>
        <v/>
      </c>
      <c r="AD53" s="263" t="str">
        <f t="shared" si="2"/>
        <v/>
      </c>
      <c r="AE53" s="261" t="str">
        <f t="shared" si="46"/>
        <v/>
      </c>
      <c r="AF53" s="263" t="str">
        <f t="shared" si="4"/>
        <v/>
      </c>
      <c r="AG53" s="261" t="str">
        <f t="shared" si="50"/>
        <v/>
      </c>
      <c r="AH53" s="264" t="str">
        <f t="shared" ref="AH53:AH54" si="51">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65"/>
      <c r="AJ53" s="266"/>
      <c r="AK53" s="271"/>
      <c r="AL53" s="271"/>
      <c r="AM53" s="267"/>
      <c r="AN53" s="345"/>
      <c r="AO53" s="345"/>
      <c r="AP53" s="345"/>
    </row>
    <row r="54" spans="1:42" ht="37.5" customHeight="1" x14ac:dyDescent="0.25">
      <c r="A54" s="361"/>
      <c r="B54" s="344"/>
      <c r="C54" s="344"/>
      <c r="D54" s="344"/>
      <c r="E54" s="344"/>
      <c r="F54" s="344"/>
      <c r="G54" s="344"/>
      <c r="H54" s="344"/>
      <c r="I54" s="344"/>
      <c r="J54" s="344"/>
      <c r="K54" s="344"/>
      <c r="L54" s="345"/>
      <c r="M54" s="351"/>
      <c r="N54" s="350"/>
      <c r="O54" s="349"/>
      <c r="P54" s="350">
        <f>IF(NOT(ISERROR(MATCH(O54,_xlfn.ANCHORARRAY(E65),0))),N67&amp;"Por favor no seleccionar los criterios de impacto",O54)</f>
        <v>0</v>
      </c>
      <c r="Q54" s="351"/>
      <c r="R54" s="350"/>
      <c r="S54" s="352"/>
      <c r="T54" s="257">
        <v>6</v>
      </c>
      <c r="U54" s="258"/>
      <c r="V54" s="259" t="str">
        <f t="shared" si="48"/>
        <v/>
      </c>
      <c r="W54" s="260"/>
      <c r="X54" s="260"/>
      <c r="Y54" s="261" t="str">
        <f t="shared" si="45"/>
        <v/>
      </c>
      <c r="Z54" s="260"/>
      <c r="AA54" s="260"/>
      <c r="AB54" s="260"/>
      <c r="AC54" s="262" t="str">
        <f t="shared" si="49"/>
        <v/>
      </c>
      <c r="AD54" s="263" t="str">
        <f t="shared" si="2"/>
        <v/>
      </c>
      <c r="AE54" s="261" t="str">
        <f t="shared" si="46"/>
        <v/>
      </c>
      <c r="AF54" s="263" t="str">
        <f t="shared" si="4"/>
        <v/>
      </c>
      <c r="AG54" s="261" t="str">
        <f t="shared" si="50"/>
        <v/>
      </c>
      <c r="AH54" s="264" t="str">
        <f t="shared" si="51"/>
        <v/>
      </c>
      <c r="AI54" s="265"/>
      <c r="AJ54" s="266"/>
      <c r="AK54" s="271"/>
      <c r="AL54" s="271"/>
      <c r="AM54" s="267"/>
      <c r="AN54" s="345"/>
      <c r="AO54" s="345"/>
      <c r="AP54" s="345"/>
    </row>
    <row r="55" spans="1:42" ht="108" customHeight="1" x14ac:dyDescent="0.25">
      <c r="A55" s="361">
        <v>8</v>
      </c>
      <c r="B55" s="344"/>
      <c r="C55" s="344"/>
      <c r="D55" s="344"/>
      <c r="E55" s="344"/>
      <c r="F55" s="344"/>
      <c r="G55" s="344"/>
      <c r="H55" s="344"/>
      <c r="I55" s="344"/>
      <c r="J55" s="344"/>
      <c r="K55" s="344"/>
      <c r="L55" s="345"/>
      <c r="M55" s="351" t="str">
        <f>IF(L55&lt;=0,"",IF(L55&lt;=2,"Muy Baja",IF(L55&lt;=24,"Baja",IF(L55&lt;=500,"Media",IF(L55&lt;=5000,"Alta","Muy Alta")))))</f>
        <v/>
      </c>
      <c r="N55" s="350" t="str">
        <f>IF(M55="","",IF(M55="Muy Baja",0.2,IF(M55="Baja",0.4,IF(M55="Media",0.6,IF(M55="Alta",0.8,IF(M55="Muy Alta",1,))))))</f>
        <v/>
      </c>
      <c r="O55" s="349"/>
      <c r="P55" s="350">
        <f>IF(NOT(ISERROR(MATCH(O55,'[3]Tabla Impacto'!$B$222:$B$224,0))),'[3]Tabla Impacto'!$F$224&amp;"Por favor no seleccionar los criterios de impacto(Afectación Económica o presupuestal y Pérdida Reputacional)",O55)</f>
        <v>0</v>
      </c>
      <c r="Q55" s="351" t="str">
        <f>IF(OR(P55='[3]Tabla Impacto'!$C$12,P55='[3]Tabla Impacto'!$D$12),"Leve",IF(OR(P55='[3]Tabla Impacto'!$C$13,P55='[3]Tabla Impacto'!$D$13),"Menor",IF(OR(P55='[3]Tabla Impacto'!$C$14,P55='[3]Tabla Impacto'!$D$14),"Moderado",IF(OR(P55='[3]Tabla Impacto'!$C$15,P55='[3]Tabla Impacto'!$D$15),"Mayor",IF(OR(P55='[3]Tabla Impacto'!$C$16,P55='[3]Tabla Impacto'!$D$16),"Catastrófico","")))))</f>
        <v/>
      </c>
      <c r="R55" s="350" t="str">
        <f>IF(Q55="","",IF(Q55="Leve",0.2,IF(Q55="Menor",0.4,IF(Q55="Moderado",0.6,IF(Q55="Mayor",0.8,IF(Q55="Catastrófico",1,))))))</f>
        <v/>
      </c>
      <c r="S55" s="352"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7">
        <v>1</v>
      </c>
      <c r="U55" s="258"/>
      <c r="V55" s="259" t="str">
        <f>IF(OR(W55="Preventivo",W55="Detectivo"),"Probabilidad",IF(W55="Correctivo","Impacto",""))</f>
        <v/>
      </c>
      <c r="W55" s="260"/>
      <c r="X55" s="260"/>
      <c r="Y55" s="261" t="str">
        <f>IF(AND(W55="Preventivo",X55="Automático"),"50%",IF(AND(W55="Preventivo",X55="Manual"),"40%",IF(AND(W55="Detectivo",X55="Automático"),"40%",IF(AND(W55="Detectivo",X55="Manual"),"30%",IF(AND(W55="Correctivo",X55="Automático"),"35%",IF(AND(W55="Correctivo",X55="Manual"),"25%",""))))))</f>
        <v/>
      </c>
      <c r="Z55" s="260"/>
      <c r="AA55" s="260"/>
      <c r="AB55" s="260"/>
      <c r="AC55" s="262" t="str">
        <f>IFERROR(IF(V55="Probabilidad",(N55-(+N55*Y55)),IF(V55="Impacto",N55,"")),"")</f>
        <v/>
      </c>
      <c r="AD55" s="263" t="str">
        <f>IFERROR(IF(AC55="","",IF(AC55&lt;=0.2,"Muy Baja",IF(AC55&lt;=0.4,"Baja",IF(AC55&lt;=0.6,"Media",IF(AC55&lt;=0.8,"Alta","Muy Alta"))))),"")</f>
        <v/>
      </c>
      <c r="AE55" s="261" t="str">
        <f>+AC55</f>
        <v/>
      </c>
      <c r="AF55" s="263" t="str">
        <f>IFERROR(IF(AG55="","",IF(AG55&lt;=0.2,"Leve",IF(AG55&lt;=0.4,"Menor",IF(AG55&lt;=0.6,"Moderado",IF(AG55&lt;=0.8,"Mayor","Catastrófico"))))),"")</f>
        <v/>
      </c>
      <c r="AG55" s="261" t="str">
        <f>IFERROR(IF(V55="Impacto",(R55-(+R55*Y55)),IF(V55="Probabilidad",R55,"")),"")</f>
        <v/>
      </c>
      <c r="AH55" s="264"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65"/>
      <c r="AJ55" s="266"/>
      <c r="AK55" s="271"/>
      <c r="AL55" s="271"/>
      <c r="AM55" s="267"/>
      <c r="AN55" s="345"/>
      <c r="AO55" s="345"/>
      <c r="AP55" s="345"/>
    </row>
    <row r="56" spans="1:42" ht="113.25" customHeight="1" x14ac:dyDescent="0.25">
      <c r="A56" s="361"/>
      <c r="B56" s="344"/>
      <c r="C56" s="344"/>
      <c r="D56" s="344"/>
      <c r="E56" s="344"/>
      <c r="F56" s="344"/>
      <c r="G56" s="344"/>
      <c r="H56" s="344"/>
      <c r="I56" s="344"/>
      <c r="J56" s="344"/>
      <c r="K56" s="344"/>
      <c r="L56" s="345"/>
      <c r="M56" s="351"/>
      <c r="N56" s="350"/>
      <c r="O56" s="349"/>
      <c r="P56" s="350">
        <f>IF(NOT(ISERROR(MATCH(O56,_xlfn.ANCHORARRAY(E67),0))),N69&amp;"Por favor no seleccionar los criterios de impacto",O56)</f>
        <v>0</v>
      </c>
      <c r="Q56" s="351"/>
      <c r="R56" s="350"/>
      <c r="S56" s="352"/>
      <c r="T56" s="257">
        <v>2</v>
      </c>
      <c r="U56" s="258"/>
      <c r="V56" s="259" t="str">
        <f>IF(OR(W56="Preventivo",W56="Detectivo"),"Probabilidad",IF(W56="Correctivo","Impacto",""))</f>
        <v/>
      </c>
      <c r="W56" s="260"/>
      <c r="X56" s="260"/>
      <c r="Y56" s="261" t="str">
        <f t="shared" ref="Y56:Y60" si="52">IF(AND(W56="Preventivo",X56="Automático"),"50%",IF(AND(W56="Preventivo",X56="Manual"),"40%",IF(AND(W56="Detectivo",X56="Automático"),"40%",IF(AND(W56="Detectivo",X56="Manual"),"30%",IF(AND(W56="Correctivo",X56="Automático"),"35%",IF(AND(W56="Correctivo",X56="Manual"),"25%",""))))))</f>
        <v/>
      </c>
      <c r="Z56" s="260"/>
      <c r="AA56" s="260"/>
      <c r="AB56" s="260"/>
      <c r="AC56" s="262" t="str">
        <f>IFERROR(IF(AND(V55="Probabilidad",V56="Probabilidad"),(AE55-(+AE55*Y56)),IF(V56="Probabilidad",(N55-(+N55*Y56)),IF(V56="Impacto",AE55,""))),"")</f>
        <v/>
      </c>
      <c r="AD56" s="263" t="str">
        <f t="shared" si="2"/>
        <v/>
      </c>
      <c r="AE56" s="261" t="str">
        <f t="shared" ref="AE56:AE60" si="53">+AC56</f>
        <v/>
      </c>
      <c r="AF56" s="263" t="str">
        <f t="shared" si="4"/>
        <v/>
      </c>
      <c r="AG56" s="261" t="str">
        <f>IFERROR(IF(AND(V55="Impacto",V56="Impacto"),(AG49-(+AG49*Y56)),IF(V56="Impacto",($R$55-(+$R$55*Y56)),IF(V56="Probabilidad",AG49,""))),"")</f>
        <v/>
      </c>
      <c r="AH56" s="264" t="str">
        <f t="shared" ref="AH56:AH57" si="54">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65"/>
      <c r="AJ56" s="266"/>
      <c r="AK56" s="271"/>
      <c r="AL56" s="271"/>
      <c r="AM56" s="267"/>
      <c r="AN56" s="345"/>
      <c r="AO56" s="345"/>
      <c r="AP56" s="345"/>
    </row>
    <row r="57" spans="1:42" ht="37.5" customHeight="1" x14ac:dyDescent="0.25">
      <c r="A57" s="361"/>
      <c r="B57" s="344"/>
      <c r="C57" s="344"/>
      <c r="D57" s="344"/>
      <c r="E57" s="344"/>
      <c r="F57" s="344"/>
      <c r="G57" s="344"/>
      <c r="H57" s="344"/>
      <c r="I57" s="344"/>
      <c r="J57" s="344"/>
      <c r="K57" s="344"/>
      <c r="L57" s="345"/>
      <c r="M57" s="351"/>
      <c r="N57" s="350"/>
      <c r="O57" s="349"/>
      <c r="P57" s="350">
        <f>IF(NOT(ISERROR(MATCH(O57,_xlfn.ANCHORARRAY(E68),0))),N70&amp;"Por favor no seleccionar los criterios de impacto",O57)</f>
        <v>0</v>
      </c>
      <c r="Q57" s="351"/>
      <c r="R57" s="350"/>
      <c r="S57" s="352"/>
      <c r="T57" s="257">
        <v>3</v>
      </c>
      <c r="U57" s="258"/>
      <c r="V57" s="259" t="str">
        <f>IF(OR(W57="Preventivo",W57="Detectivo"),"Probabilidad",IF(W57="Correctivo","Impacto",""))</f>
        <v/>
      </c>
      <c r="W57" s="260"/>
      <c r="X57" s="260"/>
      <c r="Y57" s="261" t="str">
        <f t="shared" si="52"/>
        <v/>
      </c>
      <c r="Z57" s="260"/>
      <c r="AA57" s="260"/>
      <c r="AB57" s="260"/>
      <c r="AC57" s="262" t="str">
        <f>IFERROR(IF(AND(V56="Probabilidad",V57="Probabilidad"),(AE56-(+AE56*Y57)),IF(AND(V56="Impacto",V57="Probabilidad"),(AE55-(+AE55*Y57)),IF(V57="Impacto",AE56,""))),"")</f>
        <v/>
      </c>
      <c r="AD57" s="263" t="str">
        <f t="shared" si="2"/>
        <v/>
      </c>
      <c r="AE57" s="261" t="str">
        <f t="shared" si="53"/>
        <v/>
      </c>
      <c r="AF57" s="263" t="str">
        <f t="shared" si="4"/>
        <v/>
      </c>
      <c r="AG57" s="261" t="str">
        <f>IFERROR(IF(AND(V56="Impacto",V57="Impacto"),(AG56-(+AG56*Y57)),IF(AND(V56="Probabilidad",V57="Impacto"),(AG55-(+AG55*Y57)),IF(V57="Probabilidad",AG56,""))),"")</f>
        <v/>
      </c>
      <c r="AH57" s="264" t="str">
        <f t="shared" si="54"/>
        <v/>
      </c>
      <c r="AI57" s="265"/>
      <c r="AJ57" s="266"/>
      <c r="AK57" s="271"/>
      <c r="AL57" s="271"/>
      <c r="AM57" s="267"/>
      <c r="AN57" s="345"/>
      <c r="AO57" s="345"/>
      <c r="AP57" s="345"/>
    </row>
    <row r="58" spans="1:42" ht="37.5" customHeight="1" x14ac:dyDescent="0.25">
      <c r="A58" s="361"/>
      <c r="B58" s="344"/>
      <c r="C58" s="344"/>
      <c r="D58" s="344"/>
      <c r="E58" s="344"/>
      <c r="F58" s="344"/>
      <c r="G58" s="344"/>
      <c r="H58" s="344"/>
      <c r="I58" s="344"/>
      <c r="J58" s="344"/>
      <c r="K58" s="344"/>
      <c r="L58" s="345"/>
      <c r="M58" s="351"/>
      <c r="N58" s="350"/>
      <c r="O58" s="349"/>
      <c r="P58" s="350">
        <f>IF(NOT(ISERROR(MATCH(O58,_xlfn.ANCHORARRAY(E69),0))),N71&amp;"Por favor no seleccionar los criterios de impacto",O58)</f>
        <v>0</v>
      </c>
      <c r="Q58" s="351"/>
      <c r="R58" s="350"/>
      <c r="S58" s="352"/>
      <c r="T58" s="257">
        <v>4</v>
      </c>
      <c r="U58" s="258"/>
      <c r="V58" s="259" t="str">
        <f t="shared" ref="V58:V60" si="55">IF(OR(W58="Preventivo",W58="Detectivo"),"Probabilidad",IF(W58="Correctivo","Impacto",""))</f>
        <v/>
      </c>
      <c r="W58" s="260"/>
      <c r="X58" s="260"/>
      <c r="Y58" s="261" t="str">
        <f t="shared" si="52"/>
        <v/>
      </c>
      <c r="Z58" s="260"/>
      <c r="AA58" s="260"/>
      <c r="AB58" s="260"/>
      <c r="AC58" s="262" t="str">
        <f t="shared" ref="AC58:AC60" si="56">IFERROR(IF(AND(V57="Probabilidad",V58="Probabilidad"),(AE57-(+AE57*Y58)),IF(AND(V57="Impacto",V58="Probabilidad"),(AE56-(+AE56*Y58)),IF(V58="Impacto",AE57,""))),"")</f>
        <v/>
      </c>
      <c r="AD58" s="263" t="str">
        <f t="shared" si="2"/>
        <v/>
      </c>
      <c r="AE58" s="261" t="str">
        <f t="shared" si="53"/>
        <v/>
      </c>
      <c r="AF58" s="263" t="str">
        <f t="shared" si="4"/>
        <v/>
      </c>
      <c r="AG58" s="261" t="str">
        <f t="shared" ref="AG58:AG60" si="57">IFERROR(IF(AND(V57="Impacto",V58="Impacto"),(AG57-(+AG57*Y58)),IF(AND(V57="Probabilidad",V58="Impacto"),(AG56-(+AG56*Y58)),IF(V58="Probabilidad",AG57,""))),"")</f>
        <v/>
      </c>
      <c r="AH58" s="264"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65"/>
      <c r="AJ58" s="266"/>
      <c r="AK58" s="271"/>
      <c r="AL58" s="271"/>
      <c r="AM58" s="267"/>
      <c r="AN58" s="345"/>
      <c r="AO58" s="345"/>
      <c r="AP58" s="345"/>
    </row>
    <row r="59" spans="1:42" ht="37.5" customHeight="1" x14ac:dyDescent="0.25">
      <c r="A59" s="361"/>
      <c r="B59" s="344"/>
      <c r="C59" s="344"/>
      <c r="D59" s="344"/>
      <c r="E59" s="344"/>
      <c r="F59" s="344"/>
      <c r="G59" s="344"/>
      <c r="H59" s="344"/>
      <c r="I59" s="344"/>
      <c r="J59" s="344"/>
      <c r="K59" s="344"/>
      <c r="L59" s="345"/>
      <c r="M59" s="351"/>
      <c r="N59" s="350"/>
      <c r="O59" s="349"/>
      <c r="P59" s="350">
        <f>IF(NOT(ISERROR(MATCH(O59,_xlfn.ANCHORARRAY(E70),0))),N72&amp;"Por favor no seleccionar los criterios de impacto",O59)</f>
        <v>0</v>
      </c>
      <c r="Q59" s="351"/>
      <c r="R59" s="350"/>
      <c r="S59" s="352"/>
      <c r="T59" s="257">
        <v>5</v>
      </c>
      <c r="U59" s="258"/>
      <c r="V59" s="259" t="str">
        <f t="shared" si="55"/>
        <v/>
      </c>
      <c r="W59" s="260"/>
      <c r="X59" s="260"/>
      <c r="Y59" s="261" t="str">
        <f t="shared" si="52"/>
        <v/>
      </c>
      <c r="Z59" s="260"/>
      <c r="AA59" s="260"/>
      <c r="AB59" s="260"/>
      <c r="AC59" s="262" t="str">
        <f t="shared" si="56"/>
        <v/>
      </c>
      <c r="AD59" s="263" t="str">
        <f t="shared" si="2"/>
        <v/>
      </c>
      <c r="AE59" s="261" t="str">
        <f t="shared" si="53"/>
        <v/>
      </c>
      <c r="AF59" s="263" t="str">
        <f t="shared" si="4"/>
        <v/>
      </c>
      <c r="AG59" s="261" t="str">
        <f t="shared" si="57"/>
        <v/>
      </c>
      <c r="AH59" s="264" t="str">
        <f t="shared" ref="AH59:AH60" si="58">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65"/>
      <c r="AJ59" s="266"/>
      <c r="AK59" s="271"/>
      <c r="AL59" s="271"/>
      <c r="AM59" s="267"/>
      <c r="AN59" s="345"/>
      <c r="AO59" s="345"/>
      <c r="AP59" s="345"/>
    </row>
    <row r="60" spans="1:42" ht="37.5" customHeight="1" x14ac:dyDescent="0.25">
      <c r="A60" s="361"/>
      <c r="B60" s="344"/>
      <c r="C60" s="344"/>
      <c r="D60" s="344"/>
      <c r="E60" s="344"/>
      <c r="F60" s="344"/>
      <c r="G60" s="344"/>
      <c r="H60" s="344"/>
      <c r="I60" s="344"/>
      <c r="J60" s="344"/>
      <c r="K60" s="344"/>
      <c r="L60" s="345"/>
      <c r="M60" s="351"/>
      <c r="N60" s="350"/>
      <c r="O60" s="349"/>
      <c r="P60" s="350">
        <f>IF(NOT(ISERROR(MATCH(O60,_xlfn.ANCHORARRAY(E71),0))),N73&amp;"Por favor no seleccionar los criterios de impacto",O60)</f>
        <v>0</v>
      </c>
      <c r="Q60" s="351"/>
      <c r="R60" s="350"/>
      <c r="S60" s="352"/>
      <c r="T60" s="257">
        <v>6</v>
      </c>
      <c r="U60" s="258"/>
      <c r="V60" s="259" t="str">
        <f t="shared" si="55"/>
        <v/>
      </c>
      <c r="W60" s="260"/>
      <c r="X60" s="260"/>
      <c r="Y60" s="261" t="str">
        <f t="shared" si="52"/>
        <v/>
      </c>
      <c r="Z60" s="260"/>
      <c r="AA60" s="260"/>
      <c r="AB60" s="260"/>
      <c r="AC60" s="262" t="str">
        <f t="shared" si="56"/>
        <v/>
      </c>
      <c r="AD60" s="263" t="str">
        <f t="shared" si="2"/>
        <v/>
      </c>
      <c r="AE60" s="261" t="str">
        <f t="shared" si="53"/>
        <v/>
      </c>
      <c r="AF60" s="263" t="str">
        <f t="shared" si="4"/>
        <v/>
      </c>
      <c r="AG60" s="261" t="str">
        <f t="shared" si="57"/>
        <v/>
      </c>
      <c r="AH60" s="264" t="str">
        <f t="shared" si="58"/>
        <v/>
      </c>
      <c r="AI60" s="265"/>
      <c r="AJ60" s="266"/>
      <c r="AK60" s="271"/>
      <c r="AL60" s="271"/>
      <c r="AM60" s="267"/>
      <c r="AN60" s="345"/>
      <c r="AO60" s="345"/>
      <c r="AP60" s="345"/>
    </row>
    <row r="61" spans="1:42" ht="37.5" customHeight="1" x14ac:dyDescent="0.25">
      <c r="A61" s="361">
        <v>9</v>
      </c>
      <c r="B61" s="344"/>
      <c r="C61" s="344"/>
      <c r="D61" s="344"/>
      <c r="E61" s="344"/>
      <c r="F61" s="344"/>
      <c r="G61" s="344"/>
      <c r="H61" s="344"/>
      <c r="I61" s="344"/>
      <c r="J61" s="344"/>
      <c r="K61" s="344"/>
      <c r="L61" s="345"/>
      <c r="M61" s="351" t="str">
        <f>IF(L61&lt;=0,"",IF(L61&lt;=2,"Muy Baja",IF(L61&lt;=24,"Baja",IF(L61&lt;=500,"Media",IF(L61&lt;=5000,"Alta","Muy Alta")))))</f>
        <v/>
      </c>
      <c r="N61" s="350" t="str">
        <f>IF(M61="","",IF(M61="Muy Baja",0.2,IF(M61="Baja",0.4,IF(M61="Media",0.6,IF(M61="Alta",0.8,IF(M61="Muy Alta",1,))))))</f>
        <v/>
      </c>
      <c r="O61" s="349"/>
      <c r="P61" s="350">
        <f>IF(NOT(ISERROR(MATCH(O61,'[3]Tabla Impacto'!$B$222:$B$224,0))),'[3]Tabla Impacto'!$F$224&amp;"Por favor no seleccionar los criterios de impacto(Afectación Económica o presupuestal y Pérdida Reputacional)",O61)</f>
        <v>0</v>
      </c>
      <c r="Q61" s="351" t="str">
        <f>IF(OR(P61='[3]Tabla Impacto'!$C$12,P61='[3]Tabla Impacto'!$D$12),"Leve",IF(OR(P61='[3]Tabla Impacto'!$C$13,P61='[3]Tabla Impacto'!$D$13),"Menor",IF(OR(P61='[3]Tabla Impacto'!$C$14,P61='[3]Tabla Impacto'!$D$14),"Moderado",IF(OR(P61='[3]Tabla Impacto'!$C$15,P61='[3]Tabla Impacto'!$D$15),"Mayor",IF(OR(P61='[3]Tabla Impacto'!$C$16,P61='[3]Tabla Impacto'!$D$16),"Catastrófico","")))))</f>
        <v/>
      </c>
      <c r="R61" s="350" t="str">
        <f>IF(Q61="","",IF(Q61="Leve",0.2,IF(Q61="Menor",0.4,IF(Q61="Moderado",0.6,IF(Q61="Mayor",0.8,IF(Q61="Catastrófico",1,))))))</f>
        <v/>
      </c>
      <c r="S61" s="352"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7">
        <v>1</v>
      </c>
      <c r="U61" s="258"/>
      <c r="V61" s="259" t="str">
        <f>IF(OR(W61="Preventivo",W61="Detectivo"),"Probabilidad",IF(W61="Correctivo","Impacto",""))</f>
        <v/>
      </c>
      <c r="W61" s="260"/>
      <c r="X61" s="260"/>
      <c r="Y61" s="261" t="str">
        <f>IF(AND(W61="Preventivo",X61="Automático"),"50%",IF(AND(W61="Preventivo",X61="Manual"),"40%",IF(AND(W61="Detectivo",X61="Automático"),"40%",IF(AND(W61="Detectivo",X61="Manual"),"30%",IF(AND(W61="Correctivo",X61="Automático"),"35%",IF(AND(W61="Correctivo",X61="Manual"),"25%",""))))))</f>
        <v/>
      </c>
      <c r="Z61" s="260"/>
      <c r="AA61" s="260"/>
      <c r="AB61" s="260"/>
      <c r="AC61" s="262" t="str">
        <f>IFERROR(IF(V61="Probabilidad",(N61-(+N61*Y61)),IF(V61="Impacto",N61,"")),"")</f>
        <v/>
      </c>
      <c r="AD61" s="263" t="str">
        <f>IFERROR(IF(AC61="","",IF(AC61&lt;=0.2,"Muy Baja",IF(AC61&lt;=0.4,"Baja",IF(AC61&lt;=0.6,"Media",IF(AC61&lt;=0.8,"Alta","Muy Alta"))))),"")</f>
        <v/>
      </c>
      <c r="AE61" s="261" t="str">
        <f>+AC61</f>
        <v/>
      </c>
      <c r="AF61" s="263" t="str">
        <f>IFERROR(IF(AG61="","",IF(AG61&lt;=0.2,"Leve",IF(AG61&lt;=0.4,"Menor",IF(AG61&lt;=0.6,"Moderado",IF(AG61&lt;=0.8,"Mayor","Catastrófico"))))),"")</f>
        <v/>
      </c>
      <c r="AG61" s="261" t="str">
        <f>IFERROR(IF(V61="Impacto",(R61-(+R61*Y61)),IF(V61="Probabilidad",R61,"")),"")</f>
        <v/>
      </c>
      <c r="AH61" s="264"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65"/>
      <c r="AJ61" s="266"/>
      <c r="AK61" s="271"/>
      <c r="AL61" s="271"/>
      <c r="AM61" s="267"/>
      <c r="AN61" s="345"/>
      <c r="AO61" s="345"/>
      <c r="AP61" s="345"/>
    </row>
    <row r="62" spans="1:42" ht="37.5" customHeight="1" x14ac:dyDescent="0.25">
      <c r="A62" s="361"/>
      <c r="B62" s="344"/>
      <c r="C62" s="344"/>
      <c r="D62" s="344"/>
      <c r="E62" s="344"/>
      <c r="F62" s="344"/>
      <c r="G62" s="344"/>
      <c r="H62" s="344"/>
      <c r="I62" s="344"/>
      <c r="J62" s="344"/>
      <c r="K62" s="344"/>
      <c r="L62" s="345"/>
      <c r="M62" s="351"/>
      <c r="N62" s="350"/>
      <c r="O62" s="349"/>
      <c r="P62" s="350">
        <f>IF(NOT(ISERROR(MATCH(O62,_xlfn.ANCHORARRAY(E73),0))),N75&amp;"Por favor no seleccionar los criterios de impacto",O62)</f>
        <v>0</v>
      </c>
      <c r="Q62" s="351"/>
      <c r="R62" s="350"/>
      <c r="S62" s="352"/>
      <c r="T62" s="257">
        <v>2</v>
      </c>
      <c r="U62" s="258"/>
      <c r="V62" s="259" t="str">
        <f>IF(OR(W62="Preventivo",W62="Detectivo"),"Probabilidad",IF(W62="Correctivo","Impacto",""))</f>
        <v/>
      </c>
      <c r="W62" s="260"/>
      <c r="X62" s="260"/>
      <c r="Y62" s="261" t="str">
        <f t="shared" ref="Y62:Y66" si="59">IF(AND(W62="Preventivo",X62="Automático"),"50%",IF(AND(W62="Preventivo",X62="Manual"),"40%",IF(AND(W62="Detectivo",X62="Automático"),"40%",IF(AND(W62="Detectivo",X62="Manual"),"30%",IF(AND(W62="Correctivo",X62="Automático"),"35%",IF(AND(W62="Correctivo",X62="Manual"),"25%",""))))))</f>
        <v/>
      </c>
      <c r="Z62" s="260"/>
      <c r="AA62" s="260"/>
      <c r="AB62" s="260"/>
      <c r="AC62" s="262" t="str">
        <f>IFERROR(IF(AND(V61="Probabilidad",V62="Probabilidad"),(AE61-(+AE61*Y62)),IF(V62="Probabilidad",(N61-(+N61*Y62)),IF(V62="Impacto",AE61,""))),"")</f>
        <v/>
      </c>
      <c r="AD62" s="263" t="str">
        <f t="shared" si="2"/>
        <v/>
      </c>
      <c r="AE62" s="261" t="str">
        <f t="shared" ref="AE62:AE66" si="60">+AC62</f>
        <v/>
      </c>
      <c r="AF62" s="263" t="str">
        <f t="shared" si="4"/>
        <v/>
      </c>
      <c r="AG62" s="261" t="str">
        <f>IFERROR(IF(AND(V61="Impacto",V62="Impacto"),(AG55-(+AG55*Y62)),IF(V62="Impacto",($R$61-(+$R$61*Y62)),IF(V62="Probabilidad",AG55,""))),"")</f>
        <v/>
      </c>
      <c r="AH62" s="264" t="str">
        <f t="shared" ref="AH62:AH63" si="6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65"/>
      <c r="AJ62" s="266"/>
      <c r="AK62" s="271"/>
      <c r="AL62" s="271"/>
      <c r="AM62" s="267"/>
      <c r="AN62" s="345"/>
      <c r="AO62" s="345"/>
      <c r="AP62" s="345"/>
    </row>
    <row r="63" spans="1:42" ht="37.5" customHeight="1" x14ac:dyDescent="0.25">
      <c r="A63" s="361"/>
      <c r="B63" s="344"/>
      <c r="C63" s="344"/>
      <c r="D63" s="344"/>
      <c r="E63" s="344"/>
      <c r="F63" s="344"/>
      <c r="G63" s="344"/>
      <c r="H63" s="344"/>
      <c r="I63" s="344"/>
      <c r="J63" s="344"/>
      <c r="K63" s="344"/>
      <c r="L63" s="345"/>
      <c r="M63" s="351"/>
      <c r="N63" s="350"/>
      <c r="O63" s="349"/>
      <c r="P63" s="350">
        <f>IF(NOT(ISERROR(MATCH(O63,_xlfn.ANCHORARRAY(E74),0))),N76&amp;"Por favor no seleccionar los criterios de impacto",O63)</f>
        <v>0</v>
      </c>
      <c r="Q63" s="351"/>
      <c r="R63" s="350"/>
      <c r="S63" s="352"/>
      <c r="T63" s="257">
        <v>3</v>
      </c>
      <c r="U63" s="258"/>
      <c r="V63" s="259" t="str">
        <f>IF(OR(W63="Preventivo",W63="Detectivo"),"Probabilidad",IF(W63="Correctivo","Impacto",""))</f>
        <v/>
      </c>
      <c r="W63" s="260"/>
      <c r="X63" s="260"/>
      <c r="Y63" s="261" t="str">
        <f t="shared" si="59"/>
        <v/>
      </c>
      <c r="Z63" s="260"/>
      <c r="AA63" s="260"/>
      <c r="AB63" s="260"/>
      <c r="AC63" s="262" t="str">
        <f>IFERROR(IF(AND(V62="Probabilidad",V63="Probabilidad"),(AE62-(+AE62*Y63)),IF(AND(V62="Impacto",V63="Probabilidad"),(AE61-(+AE61*Y63)),IF(V63="Impacto",AE62,""))),"")</f>
        <v/>
      </c>
      <c r="AD63" s="263" t="str">
        <f t="shared" si="2"/>
        <v/>
      </c>
      <c r="AE63" s="261" t="str">
        <f t="shared" si="60"/>
        <v/>
      </c>
      <c r="AF63" s="263" t="str">
        <f t="shared" si="4"/>
        <v/>
      </c>
      <c r="AG63" s="261" t="str">
        <f>IFERROR(IF(AND(V62="Impacto",V63="Impacto"),(AG62-(+AG62*Y63)),IF(AND(V62="Probabilidad",V63="Impacto"),(AG61-(+AG61*Y63)),IF(V63="Probabilidad",AG62,""))),"")</f>
        <v/>
      </c>
      <c r="AH63" s="264" t="str">
        <f t="shared" si="61"/>
        <v/>
      </c>
      <c r="AI63" s="265"/>
      <c r="AJ63" s="266"/>
      <c r="AK63" s="271"/>
      <c r="AL63" s="271"/>
      <c r="AM63" s="267"/>
      <c r="AN63" s="345"/>
      <c r="AO63" s="345"/>
      <c r="AP63" s="345"/>
    </row>
    <row r="64" spans="1:42" ht="37.5" customHeight="1" x14ac:dyDescent="0.25">
      <c r="A64" s="361"/>
      <c r="B64" s="344"/>
      <c r="C64" s="344"/>
      <c r="D64" s="344"/>
      <c r="E64" s="344"/>
      <c r="F64" s="344"/>
      <c r="G64" s="344"/>
      <c r="H64" s="344"/>
      <c r="I64" s="344"/>
      <c r="J64" s="344"/>
      <c r="K64" s="344"/>
      <c r="L64" s="345"/>
      <c r="M64" s="351"/>
      <c r="N64" s="350"/>
      <c r="O64" s="349"/>
      <c r="P64" s="350">
        <f>IF(NOT(ISERROR(MATCH(O64,_xlfn.ANCHORARRAY(E75),0))),N77&amp;"Por favor no seleccionar los criterios de impacto",O64)</f>
        <v>0</v>
      </c>
      <c r="Q64" s="351"/>
      <c r="R64" s="350"/>
      <c r="S64" s="352"/>
      <c r="T64" s="257">
        <v>4</v>
      </c>
      <c r="U64" s="258"/>
      <c r="V64" s="259" t="str">
        <f t="shared" ref="V64:V66" si="62">IF(OR(W64="Preventivo",W64="Detectivo"),"Probabilidad",IF(W64="Correctivo","Impacto",""))</f>
        <v/>
      </c>
      <c r="W64" s="260"/>
      <c r="X64" s="260"/>
      <c r="Y64" s="261" t="str">
        <f t="shared" si="59"/>
        <v/>
      </c>
      <c r="Z64" s="260"/>
      <c r="AA64" s="260"/>
      <c r="AB64" s="260"/>
      <c r="AC64" s="262" t="str">
        <f t="shared" ref="AC64:AC66" si="63">IFERROR(IF(AND(V63="Probabilidad",V64="Probabilidad"),(AE63-(+AE63*Y64)),IF(AND(V63="Impacto",V64="Probabilidad"),(AE62-(+AE62*Y64)),IF(V64="Impacto",AE63,""))),"")</f>
        <v/>
      </c>
      <c r="AD64" s="263" t="str">
        <f t="shared" si="2"/>
        <v/>
      </c>
      <c r="AE64" s="261" t="str">
        <f t="shared" si="60"/>
        <v/>
      </c>
      <c r="AF64" s="263" t="str">
        <f t="shared" si="4"/>
        <v/>
      </c>
      <c r="AG64" s="261" t="str">
        <f t="shared" ref="AG64:AG66" si="64">IFERROR(IF(AND(V63="Impacto",V64="Impacto"),(AG63-(+AG63*Y64)),IF(AND(V63="Probabilidad",V64="Impacto"),(AG62-(+AG62*Y64)),IF(V64="Probabilidad",AG63,""))),"")</f>
        <v/>
      </c>
      <c r="AH64" s="264"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65"/>
      <c r="AJ64" s="266"/>
      <c r="AK64" s="271"/>
      <c r="AL64" s="271"/>
      <c r="AM64" s="267"/>
      <c r="AN64" s="345"/>
      <c r="AO64" s="345"/>
      <c r="AP64" s="345"/>
    </row>
    <row r="65" spans="1:42" ht="37.5" customHeight="1" x14ac:dyDescent="0.25">
      <c r="A65" s="361"/>
      <c r="B65" s="344"/>
      <c r="C65" s="344"/>
      <c r="D65" s="344"/>
      <c r="E65" s="344"/>
      <c r="F65" s="344"/>
      <c r="G65" s="344"/>
      <c r="H65" s="344"/>
      <c r="I65" s="344"/>
      <c r="J65" s="344"/>
      <c r="K65" s="344"/>
      <c r="L65" s="345"/>
      <c r="M65" s="351"/>
      <c r="N65" s="350"/>
      <c r="O65" s="349"/>
      <c r="P65" s="350">
        <f>IF(NOT(ISERROR(MATCH(O65,_xlfn.ANCHORARRAY(E76),0))),N78&amp;"Por favor no seleccionar los criterios de impacto",O65)</f>
        <v>0</v>
      </c>
      <c r="Q65" s="351"/>
      <c r="R65" s="350"/>
      <c r="S65" s="352"/>
      <c r="T65" s="257">
        <v>5</v>
      </c>
      <c r="U65" s="258"/>
      <c r="V65" s="259" t="str">
        <f t="shared" si="62"/>
        <v/>
      </c>
      <c r="W65" s="260"/>
      <c r="X65" s="260"/>
      <c r="Y65" s="261" t="str">
        <f t="shared" si="59"/>
        <v/>
      </c>
      <c r="Z65" s="260"/>
      <c r="AA65" s="260"/>
      <c r="AB65" s="260"/>
      <c r="AC65" s="262" t="str">
        <f t="shared" si="63"/>
        <v/>
      </c>
      <c r="AD65" s="263" t="str">
        <f t="shared" si="2"/>
        <v/>
      </c>
      <c r="AE65" s="261" t="str">
        <f t="shared" si="60"/>
        <v/>
      </c>
      <c r="AF65" s="263" t="str">
        <f t="shared" si="4"/>
        <v/>
      </c>
      <c r="AG65" s="261" t="str">
        <f t="shared" si="64"/>
        <v/>
      </c>
      <c r="AH65" s="264" t="str">
        <f t="shared" ref="AH65:AH66" si="6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65"/>
      <c r="AJ65" s="266"/>
      <c r="AK65" s="271"/>
      <c r="AL65" s="271"/>
      <c r="AM65" s="267"/>
      <c r="AN65" s="345"/>
      <c r="AO65" s="345"/>
      <c r="AP65" s="345"/>
    </row>
    <row r="66" spans="1:42" ht="37.5" customHeight="1" x14ac:dyDescent="0.25">
      <c r="A66" s="361"/>
      <c r="B66" s="344"/>
      <c r="C66" s="344"/>
      <c r="D66" s="344"/>
      <c r="E66" s="344"/>
      <c r="F66" s="344"/>
      <c r="G66" s="344"/>
      <c r="H66" s="344"/>
      <c r="I66" s="344"/>
      <c r="J66" s="344"/>
      <c r="K66" s="344"/>
      <c r="L66" s="345"/>
      <c r="M66" s="351"/>
      <c r="N66" s="350"/>
      <c r="O66" s="349"/>
      <c r="P66" s="350">
        <f>IF(NOT(ISERROR(MATCH(O66,_xlfn.ANCHORARRAY(E77),0))),N79&amp;"Por favor no seleccionar los criterios de impacto",O66)</f>
        <v>0</v>
      </c>
      <c r="Q66" s="351"/>
      <c r="R66" s="350"/>
      <c r="S66" s="352"/>
      <c r="T66" s="257">
        <v>6</v>
      </c>
      <c r="U66" s="258"/>
      <c r="V66" s="259" t="str">
        <f t="shared" si="62"/>
        <v/>
      </c>
      <c r="W66" s="260"/>
      <c r="X66" s="260"/>
      <c r="Y66" s="261" t="str">
        <f t="shared" si="59"/>
        <v/>
      </c>
      <c r="Z66" s="260"/>
      <c r="AA66" s="260"/>
      <c r="AB66" s="260"/>
      <c r="AC66" s="262" t="str">
        <f t="shared" si="63"/>
        <v/>
      </c>
      <c r="AD66" s="263" t="str">
        <f t="shared" si="2"/>
        <v/>
      </c>
      <c r="AE66" s="261" t="str">
        <f t="shared" si="60"/>
        <v/>
      </c>
      <c r="AF66" s="263" t="str">
        <f t="shared" si="4"/>
        <v/>
      </c>
      <c r="AG66" s="261" t="str">
        <f t="shared" si="64"/>
        <v/>
      </c>
      <c r="AH66" s="264" t="str">
        <f t="shared" si="65"/>
        <v/>
      </c>
      <c r="AI66" s="265"/>
      <c r="AJ66" s="266"/>
      <c r="AK66" s="271"/>
      <c r="AL66" s="271"/>
      <c r="AM66" s="267"/>
      <c r="AN66" s="345"/>
      <c r="AO66" s="345"/>
      <c r="AP66" s="345"/>
    </row>
    <row r="67" spans="1:42" s="222" customFormat="1" ht="37.5" customHeight="1" x14ac:dyDescent="0.25">
      <c r="A67" s="366">
        <v>10</v>
      </c>
      <c r="B67" s="343"/>
      <c r="C67" s="343"/>
      <c r="D67" s="343"/>
      <c r="E67" s="343"/>
      <c r="F67" s="343"/>
      <c r="G67" s="343"/>
      <c r="H67" s="343"/>
      <c r="I67" s="343"/>
      <c r="J67" s="343"/>
      <c r="K67" s="343"/>
      <c r="L67" s="346"/>
      <c r="M67" s="367" t="str">
        <f>IF(L67&lt;=0,"",IF(L67&lt;=2,"Muy Baja",IF(L67&lt;=24,"Baja",IF(L67&lt;=500,"Media",IF(L67&lt;=5000,"Alta","Muy Alta")))))</f>
        <v/>
      </c>
      <c r="N67" s="368" t="str">
        <f>IF(M67="","",IF(M67="Muy Baja",0.2,IF(M67="Baja",0.4,IF(M67="Media",0.6,IF(M67="Alta",0.8,IF(M67="Muy Alta",1,))))))</f>
        <v/>
      </c>
      <c r="O67" s="369"/>
      <c r="P67" s="368">
        <f>IF(NOT(ISERROR(MATCH(O67,'Tabla Impacto'!$B$222:$B$224,0))),'Tabla Impacto'!$F$224&amp;"Por favor no seleccionar los criterios de impacto(Afectación Económica o presupuestal y Pérdida Reputacional)",O67)</f>
        <v>0</v>
      </c>
      <c r="Q67" s="367" t="str">
        <f>IF(OR(P67='Tabla Impacto'!$C$12,P67='Tabla Impacto'!$D$12),"Leve",IF(OR(P67='Tabla Impacto'!$C$13,P67='Tabla Impacto'!$D$13),"Menor",IF(OR(P67='Tabla Impacto'!$C$14,P67='Tabla Impacto'!$D$14),"Moderado",IF(OR(P67='Tabla Impacto'!$C$15,P67='Tabla Impacto'!$D$15),"Mayor",IF(OR(P67='Tabla Impacto'!$C$16,P67='Tabla Impacto'!$D$16),"Catastrófico","")))))</f>
        <v/>
      </c>
      <c r="R67" s="368" t="str">
        <f>IF(Q67="","",IF(Q67="Leve",0.2,IF(Q67="Menor",0.4,IF(Q67="Moderado",0.6,IF(Q67="Mayor",0.8,IF(Q67="Catastrófico",1,))))))</f>
        <v/>
      </c>
      <c r="S67" s="370"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8">
        <v>1</v>
      </c>
      <c r="U67" s="212"/>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6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1"/>
      <c r="AK67" s="220"/>
      <c r="AL67" s="220"/>
      <c r="AM67" s="221"/>
      <c r="AN67" s="346"/>
      <c r="AO67" s="346"/>
      <c r="AP67" s="346"/>
    </row>
    <row r="68" spans="1:42" s="222" customFormat="1" ht="37.5" customHeight="1" x14ac:dyDescent="0.25">
      <c r="A68" s="366"/>
      <c r="B68" s="343"/>
      <c r="C68" s="343"/>
      <c r="D68" s="343"/>
      <c r="E68" s="343"/>
      <c r="F68" s="343"/>
      <c r="G68" s="343"/>
      <c r="H68" s="343"/>
      <c r="I68" s="343"/>
      <c r="J68" s="343"/>
      <c r="K68" s="343"/>
      <c r="L68" s="346"/>
      <c r="M68" s="367"/>
      <c r="N68" s="368"/>
      <c r="O68" s="369"/>
      <c r="P68" s="368">
        <f>IF(NOT(ISERROR(MATCH(O68,_xlfn.ANCHORARRAY(E79),0))),N81&amp;"Por favor no seleccionar los criterios de impacto",O68)</f>
        <v>0</v>
      </c>
      <c r="Q68" s="367"/>
      <c r="R68" s="368"/>
      <c r="S68" s="370"/>
      <c r="T68" s="248">
        <v>2</v>
      </c>
      <c r="U68" s="212"/>
      <c r="V68" s="213" t="str">
        <f>IF(OR(W68="Preventivo",W68="Detectivo"),"Probabilidad",IF(W68="Correctivo","Impacto",""))</f>
        <v/>
      </c>
      <c r="W68" s="214"/>
      <c r="X68" s="214"/>
      <c r="Y68" s="215" t="str">
        <f t="shared" ref="Y68:Y72" si="6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ref="AD68:AD72" si="68">IFERROR(IF(AC68="","",IF(AC68&lt;=0.2,"Muy Baja",IF(AC68&lt;=0.4,"Baja",IF(AC68&lt;=0.6,"Media",IF(AC68&lt;=0.8,"Alta","Muy Alta"))))),"")</f>
        <v/>
      </c>
      <c r="AE68" s="215" t="str">
        <f t="shared" ref="AE68:AE72" si="69">+AC68</f>
        <v/>
      </c>
      <c r="AF68" s="217" t="str">
        <f t="shared" ref="AF68:AF72" si="70">IFERROR(IF(AG68="","",IF(AG68&lt;=0.2,"Leve",IF(AG68&lt;=0.4,"Menor",IF(AG68&lt;=0.6,"Moderado",IF(AG68&lt;=0.8,"Mayor","Catastrófico"))))),"")</f>
        <v/>
      </c>
      <c r="AG68" s="215" t="str">
        <f t="shared" ref="AG68" si="71">IFERROR(IF(AND(V67="Impacto",V68="Impacto"),(AG67-(+AG67*Y68)),IF(V68="Impacto",($R$13-(+$R$13*Y68)),IF(V68="Probabilidad",AG67,""))),"")</f>
        <v/>
      </c>
      <c r="AH68" s="218" t="str">
        <f t="shared" ref="AH68:AH69" si="72">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1"/>
      <c r="AK68" s="220"/>
      <c r="AL68" s="220"/>
      <c r="AM68" s="221"/>
      <c r="AN68" s="346"/>
      <c r="AO68" s="346"/>
      <c r="AP68" s="346"/>
    </row>
    <row r="69" spans="1:42" s="222" customFormat="1" ht="37.5" customHeight="1" x14ac:dyDescent="0.25">
      <c r="A69" s="366"/>
      <c r="B69" s="343"/>
      <c r="C69" s="343"/>
      <c r="D69" s="343"/>
      <c r="E69" s="343"/>
      <c r="F69" s="343"/>
      <c r="G69" s="343"/>
      <c r="H69" s="343"/>
      <c r="I69" s="343"/>
      <c r="J69" s="343"/>
      <c r="K69" s="343"/>
      <c r="L69" s="346"/>
      <c r="M69" s="367"/>
      <c r="N69" s="368"/>
      <c r="O69" s="369"/>
      <c r="P69" s="368">
        <f>IF(NOT(ISERROR(MATCH(O69,_xlfn.ANCHORARRAY(E80),0))),N82&amp;"Por favor no seleccionar los criterios de impacto",O69)</f>
        <v>0</v>
      </c>
      <c r="Q69" s="367"/>
      <c r="R69" s="368"/>
      <c r="S69" s="370"/>
      <c r="T69" s="248">
        <v>3</v>
      </c>
      <c r="U69" s="212"/>
      <c r="V69" s="213" t="str">
        <f>IF(OR(W69="Preventivo",W69="Detectivo"),"Probabilidad",IF(W69="Correctivo","Impacto",""))</f>
        <v/>
      </c>
      <c r="W69" s="214"/>
      <c r="X69" s="214"/>
      <c r="Y69" s="215" t="str">
        <f t="shared" si="67"/>
        <v/>
      </c>
      <c r="Z69" s="214"/>
      <c r="AA69" s="214"/>
      <c r="AB69" s="214"/>
      <c r="AC69" s="216" t="str">
        <f>IFERROR(IF(AND(V68="Probabilidad",V69="Probabilidad"),(AE68-(+AE68*Y69)),IF(AND(V68="Impacto",V69="Probabilidad"),(AE67-(+AE67*Y69)),IF(V69="Impacto",AE68,""))),"")</f>
        <v/>
      </c>
      <c r="AD69" s="217" t="str">
        <f t="shared" si="68"/>
        <v/>
      </c>
      <c r="AE69" s="215" t="str">
        <f t="shared" si="69"/>
        <v/>
      </c>
      <c r="AF69" s="217" t="str">
        <f t="shared" si="70"/>
        <v/>
      </c>
      <c r="AG69" s="215" t="str">
        <f t="shared" ref="AG69" si="73">IFERROR(IF(AND(V68="Impacto",V69="Impacto"),(AG68-(+AG68*Y69)),IF(AND(V68="Probabilidad",V69="Impacto"),(AG67-(+AG67*Y69)),IF(V69="Probabilidad",AG68,""))),"")</f>
        <v/>
      </c>
      <c r="AH69" s="218" t="str">
        <f t="shared" si="72"/>
        <v/>
      </c>
      <c r="AI69" s="219"/>
      <c r="AJ69" s="211"/>
      <c r="AK69" s="220"/>
      <c r="AL69" s="220"/>
      <c r="AM69" s="221"/>
      <c r="AN69" s="346"/>
      <c r="AO69" s="346"/>
      <c r="AP69" s="346"/>
    </row>
    <row r="70" spans="1:42" s="222" customFormat="1" ht="37.5" customHeight="1" x14ac:dyDescent="0.25">
      <c r="A70" s="366"/>
      <c r="B70" s="343"/>
      <c r="C70" s="343"/>
      <c r="D70" s="343"/>
      <c r="E70" s="343"/>
      <c r="F70" s="343"/>
      <c r="G70" s="343"/>
      <c r="H70" s="343"/>
      <c r="I70" s="343"/>
      <c r="J70" s="343"/>
      <c r="K70" s="343"/>
      <c r="L70" s="346"/>
      <c r="M70" s="367"/>
      <c r="N70" s="368"/>
      <c r="O70" s="369"/>
      <c r="P70" s="368">
        <f>IF(NOT(ISERROR(MATCH(O70,_xlfn.ANCHORARRAY(E81),0))),N83&amp;"Por favor no seleccionar los criterios de impacto",O70)</f>
        <v>0</v>
      </c>
      <c r="Q70" s="367"/>
      <c r="R70" s="368"/>
      <c r="S70" s="370"/>
      <c r="T70" s="248">
        <v>4</v>
      </c>
      <c r="U70" s="212"/>
      <c r="V70" s="213" t="str">
        <f t="shared" ref="V70:V72" si="74">IF(OR(W70="Preventivo",W70="Detectivo"),"Probabilidad",IF(W70="Correctivo","Impacto",""))</f>
        <v/>
      </c>
      <c r="W70" s="214"/>
      <c r="X70" s="214"/>
      <c r="Y70" s="215" t="str">
        <f t="shared" si="67"/>
        <v/>
      </c>
      <c r="Z70" s="214"/>
      <c r="AA70" s="214"/>
      <c r="AB70" s="214"/>
      <c r="AC70" s="216" t="str">
        <f t="shared" ref="AC70:AC72" si="75">IFERROR(IF(AND(V69="Probabilidad",V70="Probabilidad"),(AE69-(+AE69*Y70)),IF(AND(V69="Impacto",V70="Probabilidad"),(AE68-(+AE68*Y70)),IF(V70="Impacto",AE69,""))),"")</f>
        <v/>
      </c>
      <c r="AD70" s="217" t="str">
        <f t="shared" si="68"/>
        <v/>
      </c>
      <c r="AE70" s="215" t="str">
        <f t="shared" si="69"/>
        <v/>
      </c>
      <c r="AF70" s="217" t="str">
        <f t="shared" si="70"/>
        <v/>
      </c>
      <c r="AG70" s="215" t="str">
        <f t="shared" ref="AG70:AG72" si="76">IFERROR(IF(AND(V69="Impacto",V70="Impacto"),(AG69-(+AG69*Y70)),IF(AND(V69="Probabilidad",V70="Impacto"),(AG68-(+AG68*Y70)),IF(V70="Probabilidad",AG69,""))),"")</f>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1"/>
      <c r="AK70" s="220"/>
      <c r="AL70" s="220"/>
      <c r="AM70" s="221"/>
      <c r="AN70" s="346"/>
      <c r="AO70" s="346"/>
      <c r="AP70" s="346"/>
    </row>
    <row r="71" spans="1:42" s="222" customFormat="1" ht="37.5" customHeight="1" x14ac:dyDescent="0.25">
      <c r="A71" s="366"/>
      <c r="B71" s="343"/>
      <c r="C71" s="343"/>
      <c r="D71" s="343"/>
      <c r="E71" s="343"/>
      <c r="F71" s="343"/>
      <c r="G71" s="343"/>
      <c r="H71" s="343"/>
      <c r="I71" s="343"/>
      <c r="J71" s="343"/>
      <c r="K71" s="343"/>
      <c r="L71" s="346"/>
      <c r="M71" s="367"/>
      <c r="N71" s="368"/>
      <c r="O71" s="369"/>
      <c r="P71" s="368">
        <f>IF(NOT(ISERROR(MATCH(O71,_xlfn.ANCHORARRAY(E82),0))),N84&amp;"Por favor no seleccionar los criterios de impacto",O71)</f>
        <v>0</v>
      </c>
      <c r="Q71" s="367"/>
      <c r="R71" s="368"/>
      <c r="S71" s="370"/>
      <c r="T71" s="248">
        <v>5</v>
      </c>
      <c r="U71" s="212"/>
      <c r="V71" s="213" t="str">
        <f t="shared" si="74"/>
        <v/>
      </c>
      <c r="W71" s="214"/>
      <c r="X71" s="214"/>
      <c r="Y71" s="215" t="str">
        <f t="shared" si="67"/>
        <v/>
      </c>
      <c r="Z71" s="214"/>
      <c r="AA71" s="214"/>
      <c r="AB71" s="214"/>
      <c r="AC71" s="216" t="str">
        <f t="shared" si="75"/>
        <v/>
      </c>
      <c r="AD71" s="217" t="str">
        <f t="shared" si="68"/>
        <v/>
      </c>
      <c r="AE71" s="215" t="str">
        <f t="shared" si="69"/>
        <v/>
      </c>
      <c r="AF71" s="217" t="str">
        <f t="shared" si="70"/>
        <v/>
      </c>
      <c r="AG71" s="215" t="str">
        <f t="shared" si="76"/>
        <v/>
      </c>
      <c r="AH71" s="218" t="str">
        <f t="shared" ref="AH71:AH72" si="77">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1"/>
      <c r="AK71" s="220"/>
      <c r="AL71" s="220"/>
      <c r="AM71" s="221"/>
      <c r="AN71" s="346"/>
      <c r="AO71" s="346"/>
      <c r="AP71" s="346"/>
    </row>
    <row r="72" spans="1:42" s="222" customFormat="1" ht="37.5" customHeight="1" x14ac:dyDescent="0.25">
      <c r="A72" s="366"/>
      <c r="B72" s="343"/>
      <c r="C72" s="343"/>
      <c r="D72" s="343"/>
      <c r="E72" s="343"/>
      <c r="F72" s="343"/>
      <c r="G72" s="343"/>
      <c r="H72" s="343"/>
      <c r="I72" s="343"/>
      <c r="J72" s="343"/>
      <c r="K72" s="343"/>
      <c r="L72" s="346"/>
      <c r="M72" s="367"/>
      <c r="N72" s="368"/>
      <c r="O72" s="369"/>
      <c r="P72" s="368">
        <f>IF(NOT(ISERROR(MATCH(O72,_xlfn.ANCHORARRAY(E83),0))),N85&amp;"Por favor no seleccionar los criterios de impacto",O72)</f>
        <v>0</v>
      </c>
      <c r="Q72" s="367"/>
      <c r="R72" s="368"/>
      <c r="S72" s="370"/>
      <c r="T72" s="248">
        <v>6</v>
      </c>
      <c r="U72" s="212"/>
      <c r="V72" s="213" t="str">
        <f t="shared" si="74"/>
        <v/>
      </c>
      <c r="W72" s="214"/>
      <c r="X72" s="214"/>
      <c r="Y72" s="215" t="str">
        <f t="shared" si="67"/>
        <v/>
      </c>
      <c r="Z72" s="214"/>
      <c r="AA72" s="214"/>
      <c r="AB72" s="214"/>
      <c r="AC72" s="216" t="str">
        <f t="shared" si="75"/>
        <v/>
      </c>
      <c r="AD72" s="217" t="str">
        <f t="shared" si="68"/>
        <v/>
      </c>
      <c r="AE72" s="215" t="str">
        <f t="shared" si="69"/>
        <v/>
      </c>
      <c r="AF72" s="217" t="str">
        <f t="shared" si="70"/>
        <v/>
      </c>
      <c r="AG72" s="215" t="str">
        <f t="shared" si="76"/>
        <v/>
      </c>
      <c r="AH72" s="218" t="str">
        <f t="shared" si="77"/>
        <v/>
      </c>
      <c r="AI72" s="219"/>
      <c r="AJ72" s="211"/>
      <c r="AK72" s="220"/>
      <c r="AL72" s="220"/>
      <c r="AM72" s="221"/>
      <c r="AN72" s="346"/>
      <c r="AO72" s="346"/>
      <c r="AP72" s="346"/>
    </row>
    <row r="73" spans="1:42" ht="49.5" customHeight="1" x14ac:dyDescent="0.25">
      <c r="A73" s="249"/>
      <c r="B73" s="364" t="s">
        <v>391</v>
      </c>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row>
    <row r="75" spans="1:42" ht="15.6" x14ac:dyDescent="0.25">
      <c r="A75" s="233"/>
      <c r="B75" s="240" t="s">
        <v>173</v>
      </c>
      <c r="C75" s="233"/>
      <c r="D75" s="233"/>
      <c r="G75" s="233"/>
      <c r="H75" s="233"/>
      <c r="I75" s="233"/>
      <c r="J75" s="233"/>
      <c r="K75" s="233"/>
    </row>
  </sheetData>
  <dataConsolidate/>
  <mergeCells count="283">
    <mergeCell ref="O25:O30"/>
    <mergeCell ref="P25:P30"/>
    <mergeCell ref="Q25:Q30"/>
    <mergeCell ref="A25:A30"/>
    <mergeCell ref="B25:B30"/>
    <mergeCell ref="C25:C30"/>
    <mergeCell ref="D25:D30"/>
    <mergeCell ref="A1:C4"/>
    <mergeCell ref="D1:S2"/>
    <mergeCell ref="D3:K3"/>
    <mergeCell ref="L3:S3"/>
    <mergeCell ref="D4:S4"/>
    <mergeCell ref="E25:E30"/>
    <mergeCell ref="G25:G30"/>
    <mergeCell ref="L25:L30"/>
    <mergeCell ref="M25:M30"/>
    <mergeCell ref="N25:N30"/>
    <mergeCell ref="H25:H30"/>
    <mergeCell ref="F25:F30"/>
    <mergeCell ref="G19:G24"/>
    <mergeCell ref="L19:L24"/>
    <mergeCell ref="M19:M24"/>
    <mergeCell ref="N19:N24"/>
    <mergeCell ref="I19:I24"/>
    <mergeCell ref="W6:AP6"/>
    <mergeCell ref="W7:AP7"/>
    <mergeCell ref="W8:AP8"/>
    <mergeCell ref="U1:AP2"/>
    <mergeCell ref="U3:AI3"/>
    <mergeCell ref="U4:AP4"/>
    <mergeCell ref="AJ3:AP3"/>
    <mergeCell ref="A6:B6"/>
    <mergeCell ref="A7:B7"/>
    <mergeCell ref="A8:B8"/>
    <mergeCell ref="C7:S7"/>
    <mergeCell ref="C8:S8"/>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J43:J48"/>
    <mergeCell ref="K43:K48"/>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J19:J24"/>
    <mergeCell ref="K19:K24"/>
    <mergeCell ref="A19:A24"/>
    <mergeCell ref="B19:B24"/>
    <mergeCell ref="C19:C24"/>
    <mergeCell ref="D19:D24"/>
    <mergeCell ref="E19:E24"/>
    <mergeCell ref="H19:H24"/>
    <mergeCell ref="F19:F24"/>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H11:H12"/>
    <mergeCell ref="K13:K18"/>
    <mergeCell ref="I13:I18"/>
    <mergeCell ref="J13:J18"/>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N43:AN48"/>
    <mergeCell ref="AO43:AO48"/>
    <mergeCell ref="AN13:AN14"/>
    <mergeCell ref="AO13:AO14"/>
    <mergeCell ref="O19:O24"/>
    <mergeCell ref="R25:R30"/>
    <mergeCell ref="S25:S30"/>
    <mergeCell ref="AP13:AP14"/>
    <mergeCell ref="AN19:AN21"/>
    <mergeCell ref="AO19:AO21"/>
    <mergeCell ref="AP19:AP21"/>
    <mergeCell ref="H67:H72"/>
    <mergeCell ref="H61:H66"/>
    <mergeCell ref="H55:H60"/>
    <mergeCell ref="H49:H54"/>
    <mergeCell ref="H43:H48"/>
    <mergeCell ref="H37:H42"/>
    <mergeCell ref="AP61:AP66"/>
    <mergeCell ref="AN67:AN72"/>
    <mergeCell ref="AO67:AO72"/>
    <mergeCell ref="AP67:AP72"/>
    <mergeCell ref="I25:I30"/>
    <mergeCell ref="J25:J30"/>
    <mergeCell ref="K25:K30"/>
    <mergeCell ref="I31:I36"/>
    <mergeCell ref="J31:J36"/>
    <mergeCell ref="K31:K36"/>
    <mergeCell ref="I37:I42"/>
    <mergeCell ref="J37:J42"/>
    <mergeCell ref="K37:K42"/>
    <mergeCell ref="I43:I48"/>
  </mergeCells>
  <conditionalFormatting sqref="Q67">
    <cfRule type="cellIs" dxfId="258" priority="541" operator="equal">
      <formula>"Catastrófico"</formula>
    </cfRule>
    <cfRule type="cellIs" dxfId="257" priority="542" operator="equal">
      <formula>"Mayor"</formula>
    </cfRule>
    <cfRule type="cellIs" dxfId="256" priority="543" operator="equal">
      <formula>"Moderado"</formula>
    </cfRule>
    <cfRule type="cellIs" dxfId="255" priority="544" operator="equal">
      <formula>"Menor"</formula>
    </cfRule>
    <cfRule type="cellIs" dxfId="254" priority="545" operator="equal">
      <formula>"Leve"</formula>
    </cfRule>
  </conditionalFormatting>
  <conditionalFormatting sqref="M67">
    <cfRule type="cellIs" dxfId="253" priority="252" operator="equal">
      <formula>"Muy Alta"</formula>
    </cfRule>
    <cfRule type="cellIs" dxfId="252" priority="253" operator="equal">
      <formula>"Alta"</formula>
    </cfRule>
    <cfRule type="cellIs" dxfId="251" priority="254" operator="equal">
      <formula>"Media"</formula>
    </cfRule>
    <cfRule type="cellIs" dxfId="250" priority="255" operator="equal">
      <formula>"Baja"</formula>
    </cfRule>
    <cfRule type="cellIs" dxfId="249" priority="256" operator="equal">
      <formula>"Muy Baja"</formula>
    </cfRule>
  </conditionalFormatting>
  <conditionalFormatting sqref="S67">
    <cfRule type="cellIs" dxfId="248" priority="243" operator="equal">
      <formula>"Extremo"</formula>
    </cfRule>
    <cfRule type="cellIs" dxfId="247" priority="244" operator="equal">
      <formula>"Alto"</formula>
    </cfRule>
    <cfRule type="cellIs" dxfId="246" priority="245" operator="equal">
      <formula>"Moderado"</formula>
    </cfRule>
    <cfRule type="cellIs" dxfId="245" priority="246" operator="equal">
      <formula>"Bajo"</formula>
    </cfRule>
  </conditionalFormatting>
  <conditionalFormatting sqref="AD67:AD72">
    <cfRule type="cellIs" dxfId="244" priority="238" operator="equal">
      <formula>"Muy Alta"</formula>
    </cfRule>
    <cfRule type="cellIs" dxfId="243" priority="239" operator="equal">
      <formula>"Alta"</formula>
    </cfRule>
    <cfRule type="cellIs" dxfId="242" priority="240" operator="equal">
      <formula>"Media"</formula>
    </cfRule>
    <cfRule type="cellIs" dxfId="241" priority="241" operator="equal">
      <formula>"Baja"</formula>
    </cfRule>
    <cfRule type="cellIs" dxfId="240" priority="242" operator="equal">
      <formula>"Muy Baja"</formula>
    </cfRule>
  </conditionalFormatting>
  <conditionalFormatting sqref="AF67:AF72">
    <cfRule type="cellIs" dxfId="239" priority="233" operator="equal">
      <formula>"Catastrófico"</formula>
    </cfRule>
    <cfRule type="cellIs" dxfId="238" priority="234" operator="equal">
      <formula>"Mayor"</formula>
    </cfRule>
    <cfRule type="cellIs" dxfId="237" priority="235" operator="equal">
      <formula>"Moderado"</formula>
    </cfRule>
    <cfRule type="cellIs" dxfId="236" priority="236" operator="equal">
      <formula>"Menor"</formula>
    </cfRule>
    <cfRule type="cellIs" dxfId="235" priority="237" operator="equal">
      <formula>"Leve"</formula>
    </cfRule>
  </conditionalFormatting>
  <conditionalFormatting sqref="AH67:AH72">
    <cfRule type="cellIs" dxfId="234" priority="229" operator="equal">
      <formula>"Extremo"</formula>
    </cfRule>
    <cfRule type="cellIs" dxfId="233" priority="230" operator="equal">
      <formula>"Alto"</formula>
    </cfRule>
    <cfRule type="cellIs" dxfId="232" priority="231" operator="equal">
      <formula>"Moderado"</formula>
    </cfRule>
    <cfRule type="cellIs" dxfId="231" priority="232" operator="equal">
      <formula>"Bajo"</formula>
    </cfRule>
  </conditionalFormatting>
  <conditionalFormatting sqref="P67:P72">
    <cfRule type="containsText" dxfId="230" priority="228" operator="containsText" text="❌">
      <formula>NOT(ISERROR(SEARCH("❌",P67)))</formula>
    </cfRule>
  </conditionalFormatting>
  <conditionalFormatting sqref="M13 M19">
    <cfRule type="cellIs" dxfId="229" priority="218" operator="equal">
      <formula>"Muy Alta"</formula>
    </cfRule>
    <cfRule type="cellIs" dxfId="228" priority="219" operator="equal">
      <formula>"Alta"</formula>
    </cfRule>
    <cfRule type="cellIs" dxfId="227" priority="220" operator="equal">
      <formula>"Media"</formula>
    </cfRule>
    <cfRule type="cellIs" dxfId="226" priority="221" operator="equal">
      <formula>"Baja"</formula>
    </cfRule>
    <cfRule type="cellIs" dxfId="225" priority="222" operator="equal">
      <formula>"Muy Baja"</formula>
    </cfRule>
  </conditionalFormatting>
  <conditionalFormatting sqref="Q13 Q19 Q25 Q31 Q37 Q43 Q49 Q55 Q61">
    <cfRule type="cellIs" dxfId="224" priority="213" operator="equal">
      <formula>"Catastrófico"</formula>
    </cfRule>
    <cfRule type="cellIs" dxfId="223" priority="214" operator="equal">
      <formula>"Mayor"</formula>
    </cfRule>
    <cfRule type="cellIs" dxfId="222" priority="215" operator="equal">
      <formula>"Moderado"</formula>
    </cfRule>
    <cfRule type="cellIs" dxfId="221" priority="216" operator="equal">
      <formula>"Menor"</formula>
    </cfRule>
    <cfRule type="cellIs" dxfId="220" priority="217" operator="equal">
      <formula>"Leve"</formula>
    </cfRule>
  </conditionalFormatting>
  <conditionalFormatting sqref="S13">
    <cfRule type="cellIs" dxfId="219" priority="209" operator="equal">
      <formula>"Extremo"</formula>
    </cfRule>
    <cfRule type="cellIs" dxfId="218" priority="210" operator="equal">
      <formula>"Alto"</formula>
    </cfRule>
    <cfRule type="cellIs" dxfId="217" priority="211" operator="equal">
      <formula>"Moderado"</formula>
    </cfRule>
    <cfRule type="cellIs" dxfId="216" priority="212" operator="equal">
      <formula>"Bajo"</formula>
    </cfRule>
  </conditionalFormatting>
  <conditionalFormatting sqref="AD13:AD17">
    <cfRule type="cellIs" dxfId="215" priority="204" operator="equal">
      <formula>"Muy Alta"</formula>
    </cfRule>
    <cfRule type="cellIs" dxfId="214" priority="205" operator="equal">
      <formula>"Alta"</formula>
    </cfRule>
    <cfRule type="cellIs" dxfId="213" priority="206" operator="equal">
      <formula>"Media"</formula>
    </cfRule>
    <cfRule type="cellIs" dxfId="212" priority="207" operator="equal">
      <formula>"Baja"</formula>
    </cfRule>
    <cfRule type="cellIs" dxfId="211" priority="208" operator="equal">
      <formula>"Muy Baja"</formula>
    </cfRule>
  </conditionalFormatting>
  <conditionalFormatting sqref="AF13:AF17">
    <cfRule type="cellIs" dxfId="210" priority="199" operator="equal">
      <formula>"Catastrófico"</formula>
    </cfRule>
    <cfRule type="cellIs" dxfId="209" priority="200" operator="equal">
      <formula>"Mayor"</formula>
    </cfRule>
    <cfRule type="cellIs" dxfId="208" priority="201" operator="equal">
      <formula>"Moderado"</formula>
    </cfRule>
    <cfRule type="cellIs" dxfId="207" priority="202" operator="equal">
      <formula>"Menor"</formula>
    </cfRule>
    <cfRule type="cellIs" dxfId="206" priority="203" operator="equal">
      <formula>"Leve"</formula>
    </cfRule>
  </conditionalFormatting>
  <conditionalFormatting sqref="AH13:AH17">
    <cfRule type="cellIs" dxfId="205" priority="195" operator="equal">
      <formula>"Extremo"</formula>
    </cfRule>
    <cfRule type="cellIs" dxfId="204" priority="196" operator="equal">
      <formula>"Alto"</formula>
    </cfRule>
    <cfRule type="cellIs" dxfId="203" priority="197" operator="equal">
      <formula>"Moderado"</formula>
    </cfRule>
    <cfRule type="cellIs" dxfId="202" priority="198" operator="equal">
      <formula>"Bajo"</formula>
    </cfRule>
  </conditionalFormatting>
  <conditionalFormatting sqref="M55">
    <cfRule type="cellIs" dxfId="201" priority="62" operator="equal">
      <formula>"Muy Alta"</formula>
    </cfRule>
    <cfRule type="cellIs" dxfId="200" priority="63" operator="equal">
      <formula>"Alta"</formula>
    </cfRule>
    <cfRule type="cellIs" dxfId="199" priority="64" operator="equal">
      <formula>"Media"</formula>
    </cfRule>
    <cfRule type="cellIs" dxfId="198" priority="65" operator="equal">
      <formula>"Baja"</formula>
    </cfRule>
    <cfRule type="cellIs" dxfId="197" priority="66" operator="equal">
      <formula>"Muy Baja"</formula>
    </cfRule>
  </conditionalFormatting>
  <conditionalFormatting sqref="S19">
    <cfRule type="cellIs" dxfId="196" priority="191" operator="equal">
      <formula>"Extremo"</formula>
    </cfRule>
    <cfRule type="cellIs" dxfId="195" priority="192" operator="equal">
      <formula>"Alto"</formula>
    </cfRule>
    <cfRule type="cellIs" dxfId="194" priority="193" operator="equal">
      <formula>"Moderado"</formula>
    </cfRule>
    <cfRule type="cellIs" dxfId="193" priority="194" operator="equal">
      <formula>"Bajo"</formula>
    </cfRule>
  </conditionalFormatting>
  <conditionalFormatting sqref="AD19:AD24">
    <cfRule type="cellIs" dxfId="192" priority="186" operator="equal">
      <formula>"Muy Alta"</formula>
    </cfRule>
    <cfRule type="cellIs" dxfId="191" priority="187" operator="equal">
      <formula>"Alta"</formula>
    </cfRule>
    <cfRule type="cellIs" dxfId="190" priority="188" operator="equal">
      <formula>"Media"</formula>
    </cfRule>
    <cfRule type="cellIs" dxfId="189" priority="189" operator="equal">
      <formula>"Baja"</formula>
    </cfRule>
    <cfRule type="cellIs" dxfId="188" priority="190" operator="equal">
      <formula>"Muy Baja"</formula>
    </cfRule>
  </conditionalFormatting>
  <conditionalFormatting sqref="AF19:AF24">
    <cfRule type="cellIs" dxfId="187" priority="181" operator="equal">
      <formula>"Catastrófico"</formula>
    </cfRule>
    <cfRule type="cellIs" dxfId="186" priority="182" operator="equal">
      <formula>"Mayor"</formula>
    </cfRule>
    <cfRule type="cellIs" dxfId="185" priority="183" operator="equal">
      <formula>"Moderado"</formula>
    </cfRule>
    <cfRule type="cellIs" dxfId="184" priority="184" operator="equal">
      <formula>"Menor"</formula>
    </cfRule>
    <cfRule type="cellIs" dxfId="183" priority="185" operator="equal">
      <formula>"Leve"</formula>
    </cfRule>
  </conditionalFormatting>
  <conditionalFormatting sqref="AH19:AH24">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M25">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S25">
    <cfRule type="cellIs" dxfId="173" priority="168" operator="equal">
      <formula>"Extremo"</formula>
    </cfRule>
    <cfRule type="cellIs" dxfId="172" priority="169" operator="equal">
      <formula>"Alto"</formula>
    </cfRule>
    <cfRule type="cellIs" dxfId="171" priority="170" operator="equal">
      <formula>"Moderado"</formula>
    </cfRule>
    <cfRule type="cellIs" dxfId="170" priority="171" operator="equal">
      <formula>"Bajo"</formula>
    </cfRule>
  </conditionalFormatting>
  <conditionalFormatting sqref="AD25:AD30">
    <cfRule type="cellIs" dxfId="169" priority="163" operator="equal">
      <formula>"Muy Alta"</formula>
    </cfRule>
    <cfRule type="cellIs" dxfId="168" priority="164" operator="equal">
      <formula>"Alta"</formula>
    </cfRule>
    <cfRule type="cellIs" dxfId="167" priority="165" operator="equal">
      <formula>"Media"</formula>
    </cfRule>
    <cfRule type="cellIs" dxfId="166" priority="166" operator="equal">
      <formula>"Baja"</formula>
    </cfRule>
    <cfRule type="cellIs" dxfId="165" priority="167" operator="equal">
      <formula>"Muy Baja"</formula>
    </cfRule>
  </conditionalFormatting>
  <conditionalFormatting sqref="AF25:AF30">
    <cfRule type="cellIs" dxfId="164" priority="158" operator="equal">
      <formula>"Catastrófico"</formula>
    </cfRule>
    <cfRule type="cellIs" dxfId="163" priority="159" operator="equal">
      <formula>"Mayor"</formula>
    </cfRule>
    <cfRule type="cellIs" dxfId="162" priority="160" operator="equal">
      <formula>"Moderado"</formula>
    </cfRule>
    <cfRule type="cellIs" dxfId="161" priority="161" operator="equal">
      <formula>"Menor"</formula>
    </cfRule>
    <cfRule type="cellIs" dxfId="160" priority="162" operator="equal">
      <formula>"Leve"</formula>
    </cfRule>
  </conditionalFormatting>
  <conditionalFormatting sqref="AH25:AH30">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M31">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S31">
    <cfRule type="cellIs" dxfId="150" priority="145" operator="equal">
      <formula>"Extremo"</formula>
    </cfRule>
    <cfRule type="cellIs" dxfId="149" priority="146" operator="equal">
      <formula>"Alto"</formula>
    </cfRule>
    <cfRule type="cellIs" dxfId="148" priority="147" operator="equal">
      <formula>"Moderado"</formula>
    </cfRule>
    <cfRule type="cellIs" dxfId="147" priority="148" operator="equal">
      <formula>"Bajo"</formula>
    </cfRule>
  </conditionalFormatting>
  <conditionalFormatting sqref="AD31:AD36">
    <cfRule type="cellIs" dxfId="146" priority="140" operator="equal">
      <formula>"Muy Alta"</formula>
    </cfRule>
    <cfRule type="cellIs" dxfId="145" priority="141" operator="equal">
      <formula>"Alta"</formula>
    </cfRule>
    <cfRule type="cellIs" dxfId="144" priority="142" operator="equal">
      <formula>"Media"</formula>
    </cfRule>
    <cfRule type="cellIs" dxfId="143" priority="143" operator="equal">
      <formula>"Baja"</formula>
    </cfRule>
    <cfRule type="cellIs" dxfId="142" priority="144" operator="equal">
      <formula>"Muy Baja"</formula>
    </cfRule>
  </conditionalFormatting>
  <conditionalFormatting sqref="AF31:AF36">
    <cfRule type="cellIs" dxfId="141" priority="135" operator="equal">
      <formula>"Catastrófico"</formula>
    </cfRule>
    <cfRule type="cellIs" dxfId="140" priority="136" operator="equal">
      <formula>"Mayor"</formula>
    </cfRule>
    <cfRule type="cellIs" dxfId="139" priority="137" operator="equal">
      <formula>"Moderado"</formula>
    </cfRule>
    <cfRule type="cellIs" dxfId="138" priority="138" operator="equal">
      <formula>"Menor"</formula>
    </cfRule>
    <cfRule type="cellIs" dxfId="137" priority="139" operator="equal">
      <formula>"Leve"</formula>
    </cfRule>
  </conditionalFormatting>
  <conditionalFormatting sqref="AH31:AH36">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M37">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S37">
    <cfRule type="cellIs" dxfId="127" priority="122" operator="equal">
      <formula>"Extremo"</formula>
    </cfRule>
    <cfRule type="cellIs" dxfId="126" priority="123" operator="equal">
      <formula>"Alto"</formula>
    </cfRule>
    <cfRule type="cellIs" dxfId="125" priority="124" operator="equal">
      <formula>"Moderado"</formula>
    </cfRule>
    <cfRule type="cellIs" dxfId="124" priority="125" operator="equal">
      <formula>"Bajo"</formula>
    </cfRule>
  </conditionalFormatting>
  <conditionalFormatting sqref="AD37:AD42">
    <cfRule type="cellIs" dxfId="123" priority="117" operator="equal">
      <formula>"Muy Alta"</formula>
    </cfRule>
    <cfRule type="cellIs" dxfId="122" priority="118" operator="equal">
      <formula>"Alta"</formula>
    </cfRule>
    <cfRule type="cellIs" dxfId="121" priority="119" operator="equal">
      <formula>"Media"</formula>
    </cfRule>
    <cfRule type="cellIs" dxfId="120" priority="120" operator="equal">
      <formula>"Baja"</formula>
    </cfRule>
    <cfRule type="cellIs" dxfId="119" priority="121" operator="equal">
      <formula>"Muy Baja"</formula>
    </cfRule>
  </conditionalFormatting>
  <conditionalFormatting sqref="AF37:AF42">
    <cfRule type="cellIs" dxfId="118" priority="112" operator="equal">
      <formula>"Catastrófico"</formula>
    </cfRule>
    <cfRule type="cellIs" dxfId="117" priority="113" operator="equal">
      <formula>"Mayor"</formula>
    </cfRule>
    <cfRule type="cellIs" dxfId="116" priority="114" operator="equal">
      <formula>"Moderado"</formula>
    </cfRule>
    <cfRule type="cellIs" dxfId="115" priority="115" operator="equal">
      <formula>"Menor"</formula>
    </cfRule>
    <cfRule type="cellIs" dxfId="114" priority="116" operator="equal">
      <formula>"Leve"</formula>
    </cfRule>
  </conditionalFormatting>
  <conditionalFormatting sqref="AH37:AH42">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M43">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S43">
    <cfRule type="cellIs" dxfId="104" priority="99" operator="equal">
      <formula>"Extremo"</formula>
    </cfRule>
    <cfRule type="cellIs" dxfId="103" priority="100" operator="equal">
      <formula>"Alto"</formula>
    </cfRule>
    <cfRule type="cellIs" dxfId="102" priority="101" operator="equal">
      <formula>"Moderado"</formula>
    </cfRule>
    <cfRule type="cellIs" dxfId="101" priority="102" operator="equal">
      <formula>"Bajo"</formula>
    </cfRule>
  </conditionalFormatting>
  <conditionalFormatting sqref="AD43:AD48">
    <cfRule type="cellIs" dxfId="100" priority="94" operator="equal">
      <formula>"Muy Alta"</formula>
    </cfRule>
    <cfRule type="cellIs" dxfId="99" priority="95" operator="equal">
      <formula>"Alta"</formula>
    </cfRule>
    <cfRule type="cellIs" dxfId="98" priority="96" operator="equal">
      <formula>"Media"</formula>
    </cfRule>
    <cfRule type="cellIs" dxfId="97" priority="97" operator="equal">
      <formula>"Baja"</formula>
    </cfRule>
    <cfRule type="cellIs" dxfId="96" priority="98" operator="equal">
      <formula>"Muy Baja"</formula>
    </cfRule>
  </conditionalFormatting>
  <conditionalFormatting sqref="AF43:AF48">
    <cfRule type="cellIs" dxfId="95" priority="89" operator="equal">
      <formula>"Catastrófico"</formula>
    </cfRule>
    <cfRule type="cellIs" dxfId="94" priority="90" operator="equal">
      <formula>"Mayor"</formula>
    </cfRule>
    <cfRule type="cellIs" dxfId="93" priority="91" operator="equal">
      <formula>"Moderado"</formula>
    </cfRule>
    <cfRule type="cellIs" dxfId="92" priority="92" operator="equal">
      <formula>"Menor"</formula>
    </cfRule>
    <cfRule type="cellIs" dxfId="91" priority="93" operator="equal">
      <formula>"Leve"</formula>
    </cfRule>
  </conditionalFormatting>
  <conditionalFormatting sqref="AH43:AH48">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S49">
    <cfRule type="cellIs" dxfId="86" priority="81" operator="equal">
      <formula>"Extremo"</formula>
    </cfRule>
    <cfRule type="cellIs" dxfId="85" priority="82" operator="equal">
      <formula>"Alto"</formula>
    </cfRule>
    <cfRule type="cellIs" dxfId="84" priority="83" operator="equal">
      <formula>"Moderado"</formula>
    </cfRule>
    <cfRule type="cellIs" dxfId="83" priority="84" operator="equal">
      <formula>"Bajo"</formula>
    </cfRule>
  </conditionalFormatting>
  <conditionalFormatting sqref="AD49:AD54">
    <cfRule type="cellIs" dxfId="82" priority="76" operator="equal">
      <formula>"Muy Alta"</formula>
    </cfRule>
    <cfRule type="cellIs" dxfId="81" priority="77" operator="equal">
      <formula>"Alta"</formula>
    </cfRule>
    <cfRule type="cellIs" dxfId="80" priority="78" operator="equal">
      <formula>"Media"</formula>
    </cfRule>
    <cfRule type="cellIs" dxfId="79" priority="79" operator="equal">
      <formula>"Baja"</formula>
    </cfRule>
    <cfRule type="cellIs" dxfId="78" priority="80" operator="equal">
      <formula>"Muy Baja"</formula>
    </cfRule>
  </conditionalFormatting>
  <conditionalFormatting sqref="AF49:AF54">
    <cfRule type="cellIs" dxfId="77" priority="71" operator="equal">
      <formula>"Catastrófico"</formula>
    </cfRule>
    <cfRule type="cellIs" dxfId="76" priority="72" operator="equal">
      <formula>"Mayor"</formula>
    </cfRule>
    <cfRule type="cellIs" dxfId="75" priority="73" operator="equal">
      <formula>"Moderado"</formula>
    </cfRule>
    <cfRule type="cellIs" dxfId="74" priority="74" operator="equal">
      <formula>"Menor"</formula>
    </cfRule>
    <cfRule type="cellIs" dxfId="73" priority="75" operator="equal">
      <formula>"Leve"</formula>
    </cfRule>
  </conditionalFormatting>
  <conditionalFormatting sqref="AH49:AH54">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S55">
    <cfRule type="cellIs" dxfId="68" priority="58" operator="equal">
      <formula>"Extremo"</formula>
    </cfRule>
    <cfRule type="cellIs" dxfId="67" priority="59" operator="equal">
      <formula>"Alto"</formula>
    </cfRule>
    <cfRule type="cellIs" dxfId="66" priority="60" operator="equal">
      <formula>"Moderado"</formula>
    </cfRule>
    <cfRule type="cellIs" dxfId="65" priority="61" operator="equal">
      <formula>"Bajo"</formula>
    </cfRule>
  </conditionalFormatting>
  <conditionalFormatting sqref="AD55:AD60">
    <cfRule type="cellIs" dxfId="64" priority="53" operator="equal">
      <formula>"Muy Alta"</formula>
    </cfRule>
    <cfRule type="cellIs" dxfId="63" priority="54" operator="equal">
      <formula>"Alta"</formula>
    </cfRule>
    <cfRule type="cellIs" dxfId="62" priority="55" operator="equal">
      <formula>"Media"</formula>
    </cfRule>
    <cfRule type="cellIs" dxfId="61" priority="56" operator="equal">
      <formula>"Baja"</formula>
    </cfRule>
    <cfRule type="cellIs" dxfId="60" priority="57" operator="equal">
      <formula>"Muy Baja"</formula>
    </cfRule>
  </conditionalFormatting>
  <conditionalFormatting sqref="AF55:AF60">
    <cfRule type="cellIs" dxfId="59" priority="48" operator="equal">
      <formula>"Catastrófico"</formula>
    </cfRule>
    <cfRule type="cellIs" dxfId="58" priority="49" operator="equal">
      <formula>"Mayor"</formula>
    </cfRule>
    <cfRule type="cellIs" dxfId="57" priority="50" operator="equal">
      <formula>"Moderado"</formula>
    </cfRule>
    <cfRule type="cellIs" dxfId="56" priority="51" operator="equal">
      <formula>"Menor"</formula>
    </cfRule>
    <cfRule type="cellIs" dxfId="55" priority="52" operator="equal">
      <formula>"Leve"</formula>
    </cfRule>
  </conditionalFormatting>
  <conditionalFormatting sqref="AH55:AH60">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M61">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S61">
    <cfRule type="cellIs" dxfId="45" priority="35" operator="equal">
      <formula>"Extremo"</formula>
    </cfRule>
    <cfRule type="cellIs" dxfId="44" priority="36" operator="equal">
      <formula>"Alto"</formula>
    </cfRule>
    <cfRule type="cellIs" dxfId="43" priority="37" operator="equal">
      <formula>"Moderado"</formula>
    </cfRule>
    <cfRule type="cellIs" dxfId="42" priority="38" operator="equal">
      <formula>"Bajo"</formula>
    </cfRule>
  </conditionalFormatting>
  <conditionalFormatting sqref="AD61:AD66">
    <cfRule type="cellIs" dxfId="41" priority="30" operator="equal">
      <formula>"Muy Alta"</formula>
    </cfRule>
    <cfRule type="cellIs" dxfId="40" priority="31" operator="equal">
      <formula>"Alta"</formula>
    </cfRule>
    <cfRule type="cellIs" dxfId="39" priority="32" operator="equal">
      <formula>"Media"</formula>
    </cfRule>
    <cfRule type="cellIs" dxfId="38" priority="33" operator="equal">
      <formula>"Baja"</formula>
    </cfRule>
    <cfRule type="cellIs" dxfId="37" priority="34" operator="equal">
      <formula>"Muy Baja"</formula>
    </cfRule>
  </conditionalFormatting>
  <conditionalFormatting sqref="AF61:AF66">
    <cfRule type="cellIs" dxfId="36" priority="25" operator="equal">
      <formula>"Catastrófico"</formula>
    </cfRule>
    <cfRule type="cellIs" dxfId="35" priority="26" operator="equal">
      <formula>"Mayor"</formula>
    </cfRule>
    <cfRule type="cellIs" dxfId="34" priority="27" operator="equal">
      <formula>"Moderado"</formula>
    </cfRule>
    <cfRule type="cellIs" dxfId="33" priority="28" operator="equal">
      <formula>"Menor"</formula>
    </cfRule>
    <cfRule type="cellIs" dxfId="32" priority="29" operator="equal">
      <formula>"Leve"</formula>
    </cfRule>
  </conditionalFormatting>
  <conditionalFormatting sqref="AH61:AH66">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P13:P66">
    <cfRule type="containsText" dxfId="27" priority="20" operator="containsText" text="❌">
      <formula>NOT(ISERROR(SEARCH("❌",P13)))</formula>
    </cfRule>
  </conditionalFormatting>
  <conditionalFormatting sqref="M49">
    <cfRule type="cellIs" dxfId="26" priority="15" operator="equal">
      <formula>"Muy Alta"</formula>
    </cfRule>
    <cfRule type="cellIs" dxfId="25" priority="16" operator="equal">
      <formula>"Alta"</formula>
    </cfRule>
    <cfRule type="cellIs" dxfId="24" priority="17" operator="equal">
      <formula>"Media"</formula>
    </cfRule>
    <cfRule type="cellIs" dxfId="23" priority="18" operator="equal">
      <formula>"Baja"</formula>
    </cfRule>
    <cfRule type="cellIs" dxfId="22" priority="19" operator="equal">
      <formula>"Muy Baja"</formula>
    </cfRule>
  </conditionalFormatting>
  <conditionalFormatting sqref="AD18">
    <cfRule type="cellIs" dxfId="21" priority="10" operator="equal">
      <formula>"Muy Alta"</formula>
    </cfRule>
    <cfRule type="cellIs" dxfId="20" priority="11" operator="equal">
      <formula>"Alta"</formula>
    </cfRule>
    <cfRule type="cellIs" dxfId="19" priority="12" operator="equal">
      <formula>"Media"</formula>
    </cfRule>
    <cfRule type="cellIs" dxfId="18" priority="13" operator="equal">
      <formula>"Baja"</formula>
    </cfRule>
    <cfRule type="cellIs" dxfId="17" priority="14" operator="equal">
      <formula>"Muy Baja"</formula>
    </cfRule>
  </conditionalFormatting>
  <conditionalFormatting sqref="AF18">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H18">
    <cfRule type="cellIs" dxfId="11" priority="1" operator="equal">
      <formula>"Extremo"</formula>
    </cfRule>
    <cfRule type="cellIs" dxfId="10" priority="2" operator="equal">
      <formula>"Alto"</formula>
    </cfRule>
    <cfRule type="cellIs" dxfId="9" priority="3" operator="equal">
      <formula>"Moderado"</formula>
    </cfRule>
    <cfRule type="cellIs" dxfId="8" priority="4" operator="equal">
      <formula>"Bajo"</formula>
    </cfRule>
  </conditionalFormatting>
  <dataValidations count="3">
    <dataValidation type="list" allowBlank="1" showInputMessage="1" showErrorMessage="1" sqref="J67" xr:uid="{00000000-0002-0000-0300-000000000000}">
      <formula1>$B$31:$B$38</formula1>
    </dataValidation>
    <dataValidation allowBlank="1" showInputMessage="1" showErrorMessage="1" error="Recuerde que las acciones se generan bajo la medida de mitigar el riesgo" sqref="AO25:AP30" xr:uid="{9CCAA026-DD4B-40DC-86CC-D66A7552AEBD}"/>
    <dataValidation type="list" allowBlank="1" showInputMessage="1" showErrorMessage="1" sqref="J61 J55" xr:uid="{1EA1CE8A-BB4F-4342-BCC4-E5D80A26C922}">
      <formula1>$B$31:$B$36</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drawing r:id="rId2"/>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300-000001000000}">
          <x14:formula1>
            <xm:f>'Tabla Valoración controles'!$D$4:$D$6</xm:f>
          </x14:formula1>
          <xm:sqref>W67:W72</xm:sqref>
        </x14:dataValidation>
        <x14:dataValidation type="list" allowBlank="1" showInputMessage="1" showErrorMessage="1" xr:uid="{00000000-0002-0000-0300-000002000000}">
          <x14:formula1>
            <xm:f>'Tabla Valoración controles'!$D$7:$D$8</xm:f>
          </x14:formula1>
          <xm:sqref>X67:X72</xm:sqref>
        </x14:dataValidation>
        <x14:dataValidation type="list" allowBlank="1" showInputMessage="1" showErrorMessage="1" xr:uid="{00000000-0002-0000-0300-000003000000}">
          <x14:formula1>
            <xm:f>'Tabla Valoración controles'!$D$9:$D$10</xm:f>
          </x14:formula1>
          <xm:sqref>Z67:Z72</xm:sqref>
        </x14:dataValidation>
        <x14:dataValidation type="list" allowBlank="1" showInputMessage="1" showErrorMessage="1" xr:uid="{00000000-0002-0000-0300-000004000000}">
          <x14:formula1>
            <xm:f>'Tabla Valoración controles'!$D$11:$D$12</xm:f>
          </x14:formula1>
          <xm:sqref>AA67:AA72</xm:sqref>
        </x14:dataValidation>
        <x14:dataValidation type="list" allowBlank="1" showInputMessage="1" showErrorMessage="1" xr:uid="{00000000-0002-0000-0300-000005000000}">
          <x14:formula1>
            <xm:f>'Tabla Valoración controles'!$D$13:$D$14</xm:f>
          </x14:formula1>
          <xm:sqref>AB67:AB72</xm:sqref>
        </x14:dataValidation>
        <x14:dataValidation type="list" allowBlank="1" showInputMessage="1" showErrorMessage="1" xr:uid="{00000000-0002-0000-0300-000006000000}">
          <x14:formula1>
            <xm:f>'Opciones Tratamiento'!$E$2:$E$4</xm:f>
          </x14:formula1>
          <xm:sqref>B67:B72</xm:sqref>
        </x14:dataValidation>
        <x14:dataValidation type="list" allowBlank="1" showInputMessage="1" showErrorMessage="1" xr:uid="{00000000-0002-0000-0300-000007000000}">
          <x14:formula1>
            <xm:f>'Opciones Tratamiento'!$B$2:$B$5</xm:f>
          </x14:formula1>
          <xm:sqref>AI67:AI72</xm:sqref>
        </x14:dataValidation>
        <x14:dataValidation type="list" allowBlank="1" showInputMessage="1" showErrorMessage="1" xr:uid="{00000000-0002-0000-0300-000008000000}">
          <x14:formula1>
            <xm:f>'Tabla Impacto'!$F$211:$F$222</xm:f>
          </x14:formula1>
          <xm:sqref>O67:O72</xm:sqref>
        </x14:dataValidation>
        <x14:dataValidation type="custom" allowBlank="1" showInputMessage="1" showErrorMessage="1" error="Recuerde que las acciones se generan bajo la medida de mitigar el riesgo" xr:uid="{00000000-0002-0000-0300-000009000000}">
          <x14:formula1>
            <xm:f>IF(OR(AI67='Opciones Tratamiento'!$B$2,AI67='Opciones Tratamiento'!$B$3,AI67='Opciones Tratamiento'!$B$4),ISBLANK(AI67),ISTEXT(AI67))</xm:f>
          </x14:formula1>
          <xm:sqref>AJ67:AJ72</xm:sqref>
        </x14:dataValidation>
        <x14:dataValidation type="custom" allowBlank="1" showInputMessage="1" showErrorMessage="1" error="Recuerde que las acciones se generan bajo la medida de mitigar el riesgo" xr:uid="{00000000-0002-0000-0300-00000A000000}">
          <x14:formula1>
            <xm:f>IF(OR(AI67='Opciones Tratamiento'!$B$2,AI67='Opciones Tratamiento'!$B$3,AI67='Opciones Tratamiento'!$B$4),ISBLANK(AI67),ISTEXT(AI67))</xm:f>
          </x14:formula1>
          <xm:sqref>AK67:AL72</xm:sqref>
        </x14:dataValidation>
        <x14:dataValidation type="custom" allowBlank="1" showInputMessage="1" showErrorMessage="1" error="Recuerde que las acciones se generan bajo la medida de mitigar el riesgo" xr:uid="{00000000-0002-0000-0300-00000B000000}">
          <x14:formula1>
            <xm:f>IF(OR(AI67='Opciones Tratamiento'!$B$2,AI67='Opciones Tratamiento'!$B$3,AI67='Opciones Tratamiento'!$B$4),ISBLANK(AI67),ISTEXT(AI67))</xm:f>
          </x14:formula1>
          <xm:sqref>AM67:AM72</xm:sqref>
        </x14:dataValidation>
        <x14:dataValidation type="list" allowBlank="1" showInputMessage="1" showErrorMessage="1" xr:uid="{00000000-0002-0000-0300-00000C000000}">
          <x14:formula1>
            <xm:f>'Opciones Tratamiento'!$B$13:$B$23</xm:f>
          </x14:formula1>
          <xm:sqref>G67:G72</xm:sqref>
        </x14:dataValidation>
        <x14:dataValidation type="list" allowBlank="1" showInputMessage="1" showErrorMessage="1" xr:uid="{00000000-0002-0000-0300-00000E000000}">
          <x14:formula1>
            <xm:f>'Tipo de riesgos'!$AX$3:$AX$5</xm:f>
          </x14:formula1>
          <xm:sqref>F67:F72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AN67:AP67</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H67:H72</xm:sqref>
        </x14:dataValidation>
        <x14:dataValidation type="list" allowBlank="1" showInputMessage="1" showErrorMessage="1" xr:uid="{82766BA6-54BC-4DD9-B70F-E0C177BCE0E1}">
          <x14:formula1>
            <xm:f>'C:\Users\Nery Garcia\Downloads\[Mapa de Riesgos GSIT.xlsx]Amenazas'!#REF!</xm:f>
          </x14:formula1>
          <xm:sqref>H13:H66</xm:sqref>
        </x14:dataValidation>
        <x14:dataValidation type="list" allowBlank="1" showInputMessage="1" showErrorMessage="1" xr:uid="{4EDB4143-C920-4B3C-9929-C2A9F81ACD95}">
          <x14:formula1>
            <xm:f>'C:\Users\Nery Garcia\Downloads\[Mapa de Riesgos GSIT.xlsx]Tipo de riesgos'!#REF!</xm:f>
          </x14:formula1>
          <xm:sqref>F13:F66</xm:sqref>
        </x14:dataValidation>
        <x14:dataValidation type="list" allowBlank="1" showInputMessage="1" showErrorMessage="1" xr:uid="{2F4D7364-8689-4B65-9BBF-46606BD36A08}">
          <x14:formula1>
            <xm:f>'C:\Users\Nery Garcia\Downloads\[Mapa de Riesgos GSIT.xlsx]Opciones Tratamiento'!#REF!</xm:f>
          </x14:formula1>
          <xm:sqref>G13:G66 J13 J31 J19 J25 J43 J37 J49 B13:B66 AI13:AI66</xm:sqref>
        </x14:dataValidation>
        <x14:dataValidation type="list" allowBlank="1" showInputMessage="1" showErrorMessage="1" xr:uid="{99C1D9A5-61CC-4FFD-8FDE-F4125F47B6DE}">
          <x14:formula1>
            <xm:f>'C:\Users\Nery Garcia\Downloads\[Mapa de Riesgos GSIT.xlsx]Tabla Impacto'!#REF!</xm:f>
          </x14:formula1>
          <xm:sqref>O13:O66</xm:sqref>
        </x14:dataValidation>
        <x14:dataValidation type="list" allowBlank="1" showInputMessage="1" showErrorMessage="1" xr:uid="{0FAE603E-0A97-44C9-A035-E21922B03833}">
          <x14:formula1>
            <xm:f>'C:\Users\Nery Garcia\Downloads\[Mapa de Riesgos GSIT.xlsx]Tabla Valoración controles'!#REF!</xm:f>
          </x14:formula1>
          <xm:sqref>W13:X66 Z13:AB66</xm:sqref>
        </x14:dataValidation>
        <x14:dataValidation type="custom" allowBlank="1" showInputMessage="1" showErrorMessage="1" error="Recuerde que las acciones se generan bajo la medida de mitigar el riesgo" xr:uid="{8CB5BCAC-63FA-46FB-9EFF-DA0A8A55966E}">
          <x14:formula1>
            <xm:f>IF(OR(#REF!='C:\Users\Nery Garcia\Downloads\[Mapa de Riesgos GSIT.xlsx]Opciones Tratamiento'!#REF!,#REF!='C:\Users\Nery Garcia\Downloads\[Mapa de Riesgos GSIT.xlsx]Opciones Tratamiento'!#REF!,#REF!='C:\Users\Nery Garcia\Downloads\[Mapa de Riesgos GSIT.xlsx]Opciones Tratamiento'!#REF!),ISBLANK(#REF!),ISTEXT(#REF!))</xm:f>
          </x14:formula1>
          <xm:sqref>AN61:AP61 AN55:AP55</xm:sqref>
        </x14:dataValidation>
        <x14:dataValidation type="custom" allowBlank="1" showInputMessage="1" showErrorMessage="1" error="Recuerde que las acciones se generan bajo la medida de mitigar el riesgo" xr:uid="{296F99DA-C059-4FDA-9A9C-023A221CA1E0}">
          <x14:formula1>
            <xm:f>IF(OR(AI15='C:\Users\Nery Garcia\Downloads\[Mapa de Riesgos GSIT.xlsx]Opciones Tratamiento'!#REF!,AI15='C:\Users\Nery Garcia\Downloads\[Mapa de Riesgos GSIT.xlsx]Opciones Tratamiento'!#REF!,AI15='C:\Users\Nery Garcia\Downloads\[Mapa de Riesgos GSIT.xlsx]Opciones Tratamiento'!#REF!),ISBLANK(AI15),ISTEXT(AI15))</xm:f>
          </x14:formula1>
          <xm:sqref>AM15:AP18 AN22:AP24 AM22:AM66</xm:sqref>
        </x14:dataValidation>
        <x14:dataValidation type="custom" allowBlank="1" showInputMessage="1" showErrorMessage="1" error="Recuerde que las acciones se generan bajo la medida de mitigar el riesgo" xr:uid="{4D31A153-30BE-4BA9-BEBB-7D17C16AE35F}">
          <x14:formula1>
            <xm:f>IF(OR(AI15='C:\Users\Nery Garcia\Downloads\[Mapa de Riesgos GSIT.xlsx]Opciones Tratamiento'!#REF!,AI15='C:\Users\Nery Garcia\Downloads\[Mapa de Riesgos GSIT.xlsx]Opciones Tratamiento'!#REF!,AI15='C:\Users\Nery Garcia\Downloads\[Mapa de Riesgos GSIT.xlsx]Opciones Tratamiento'!#REF!),ISBLANK(AI15),ISTEXT(AI15))</xm:f>
          </x14:formula1>
          <xm:sqref>AK15:AL18 AK22:AL24 AK27:AL66</xm:sqref>
        </x14:dataValidation>
        <x14:dataValidation type="custom" allowBlank="1" showInputMessage="1" showErrorMessage="1" error="Recuerde que las acciones se generan bajo la medida de mitigar el riesgo" xr:uid="{E73370E7-6E12-429F-8E6A-D745240B0DFD}">
          <x14:formula1>
            <xm:f>IF(OR(AI52='C:\Users\Nery Garcia\Downloads\[Mapa de Riesgos GSIT.xlsx]Opciones Tratamiento'!#REF!,AI52='C:\Users\Nery Garcia\Downloads\[Mapa de Riesgos GSIT.xlsx]Opciones Tratamiento'!#REF!,AI52='C:\Users\Nery Garcia\Downloads\[Mapa de Riesgos GSIT.xlsx]Opciones Tratamiento'!#REF!),ISBLANK(AI52),ISTEXT(AI52))</xm:f>
          </x14:formula1>
          <xm:sqref>AJ52:AJ66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425" t="s">
        <v>174</v>
      </c>
      <c r="C2" s="425"/>
      <c r="D2" s="425"/>
      <c r="E2" s="425"/>
      <c r="F2" s="425"/>
      <c r="G2" s="425"/>
      <c r="H2" s="425"/>
      <c r="I2" s="425"/>
      <c r="J2" s="462" t="s">
        <v>15</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425"/>
      <c r="C3" s="425"/>
      <c r="D3" s="425"/>
      <c r="E3" s="425"/>
      <c r="F3" s="425"/>
      <c r="G3" s="425"/>
      <c r="H3" s="425"/>
      <c r="I3" s="425"/>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425"/>
      <c r="C4" s="425"/>
      <c r="D4" s="425"/>
      <c r="E4" s="425"/>
      <c r="F4" s="425"/>
      <c r="G4" s="425"/>
      <c r="H4" s="425"/>
      <c r="I4" s="425"/>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73" t="s">
        <v>175</v>
      </c>
      <c r="C6" s="473"/>
      <c r="D6" s="474"/>
      <c r="E6" s="463" t="s">
        <v>176</v>
      </c>
      <c r="F6" s="464"/>
      <c r="G6" s="464"/>
      <c r="H6" s="464"/>
      <c r="I6" s="465"/>
      <c r="J6" s="459" t="str">
        <f>IF(AND('Mapa riesgos'!$M$13="Muy Alta",'Mapa riesgos'!$Q$13="Leve"),CONCATENATE("R",'Mapa riesgos'!$A$13),"")</f>
        <v/>
      </c>
      <c r="K6" s="460"/>
      <c r="L6" s="460" t="str">
        <f>IF(AND('Mapa riesgos'!$M$19="Muy Alta",'Mapa riesgos'!$Q$19="Leve"),CONCATENATE("R",'Mapa riesgos'!$A$19),"")</f>
        <v/>
      </c>
      <c r="M6" s="460"/>
      <c r="N6" s="460" t="str">
        <f>IF(AND('Mapa riesgos'!$M$25="Muy Alta",'Mapa riesgos'!$Q$25="Leve"),CONCATENATE("R",'Mapa riesgos'!$A$25),"")</f>
        <v/>
      </c>
      <c r="O6" s="461"/>
      <c r="P6" s="459" t="str">
        <f>IF(AND('Mapa riesgos'!$M$13="Muy Alta",'Mapa riesgos'!$Q$13="Menor"),CONCATENATE("R",'Mapa riesgos'!$A$13),"")</f>
        <v/>
      </c>
      <c r="Q6" s="460"/>
      <c r="R6" s="460" t="str">
        <f>IF(AND('Mapa riesgos'!$M$19="Muy Alta",'Mapa riesgos'!$Q$19="Menor"),CONCATENATE("R",'Mapa riesgos'!$A$19),"")</f>
        <v/>
      </c>
      <c r="S6" s="460"/>
      <c r="T6" s="460" t="str">
        <f>IF(AND('Mapa riesgos'!$M$25="Muy Alta",'Mapa riesgos'!$Q$25="Menor"),CONCATENATE("R",'Mapa riesgos'!$A$25),"")</f>
        <v/>
      </c>
      <c r="U6" s="461"/>
      <c r="V6" s="459" t="str">
        <f>IF(AND('Mapa riesgos'!$M$13="Muy Alta",'Mapa riesgos'!$Q$13="Moderado"),CONCATENATE("R",'Mapa riesgos'!$A$13),"")</f>
        <v/>
      </c>
      <c r="W6" s="460"/>
      <c r="X6" s="460" t="str">
        <f>IF(AND('Mapa riesgos'!$M$19="Muy Alta",'Mapa riesgos'!$Q$19="Moderado"),CONCATENATE("R",'Mapa riesgos'!$A$19),"")</f>
        <v/>
      </c>
      <c r="Y6" s="460"/>
      <c r="Z6" s="460" t="str">
        <f>IF(AND('Mapa riesgos'!$M$25="Muy Alta",'Mapa riesgos'!$Q$25="Moderado"),CONCATENATE("R",'Mapa riesgos'!$A$25),"")</f>
        <v>R3</v>
      </c>
      <c r="AA6" s="461"/>
      <c r="AB6" s="459" t="str">
        <f>IF(AND('Mapa riesgos'!$M$13="Muy Alta",'Mapa riesgos'!$Q$13="Mayor"),CONCATENATE("R",'Mapa riesgos'!$A$13),"")</f>
        <v/>
      </c>
      <c r="AC6" s="460"/>
      <c r="AD6" s="460" t="str">
        <f>IF(AND('Mapa riesgos'!$M$19="Muy Alta",'Mapa riesgos'!$Q$19="Mayor"),CONCATENATE("R",'Mapa riesgos'!$A$19),"")</f>
        <v/>
      </c>
      <c r="AE6" s="460"/>
      <c r="AF6" s="460" t="str">
        <f>IF(AND('Mapa riesgos'!$M$25="Muy Alta",'Mapa riesgos'!$Q$25="Mayor"),CONCATENATE("R",'Mapa riesgos'!$A$25),"")</f>
        <v/>
      </c>
      <c r="AG6" s="461"/>
      <c r="AH6" s="450" t="str">
        <f>IF(AND('Mapa riesgos'!$M$13="Muy Alta",'Mapa riesgos'!$Q$13="Catastrófico"),CONCATENATE("R",'Mapa riesgos'!$A$13),"")</f>
        <v/>
      </c>
      <c r="AI6" s="451"/>
      <c r="AJ6" s="451" t="str">
        <f>IF(AND('Mapa riesgos'!$M$19="Muy Alta",'Mapa riesgos'!$Q$19="Catastrófico"),CONCATENATE("R",'Mapa riesgos'!$A$19),"")</f>
        <v/>
      </c>
      <c r="AK6" s="451"/>
      <c r="AL6" s="451" t="str">
        <f>IF(AND('Mapa riesgos'!$M$25="Muy Alta",'Mapa riesgos'!$Q$25="Catastrófico"),CONCATENATE("R",'Mapa riesgos'!$A$25),"")</f>
        <v/>
      </c>
      <c r="AM6" s="452"/>
      <c r="AO6" s="475" t="s">
        <v>177</v>
      </c>
      <c r="AP6" s="476"/>
      <c r="AQ6" s="476"/>
      <c r="AR6" s="476"/>
      <c r="AS6" s="476"/>
      <c r="AT6" s="47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73"/>
      <c r="C7" s="473"/>
      <c r="D7" s="474"/>
      <c r="E7" s="466"/>
      <c r="F7" s="467"/>
      <c r="G7" s="467"/>
      <c r="H7" s="467"/>
      <c r="I7" s="468"/>
      <c r="J7" s="453"/>
      <c r="K7" s="454"/>
      <c r="L7" s="454"/>
      <c r="M7" s="454"/>
      <c r="N7" s="454"/>
      <c r="O7" s="455"/>
      <c r="P7" s="453"/>
      <c r="Q7" s="454"/>
      <c r="R7" s="454"/>
      <c r="S7" s="454"/>
      <c r="T7" s="454"/>
      <c r="U7" s="455"/>
      <c r="V7" s="453"/>
      <c r="W7" s="454"/>
      <c r="X7" s="454"/>
      <c r="Y7" s="454"/>
      <c r="Z7" s="454"/>
      <c r="AA7" s="455"/>
      <c r="AB7" s="453"/>
      <c r="AC7" s="454"/>
      <c r="AD7" s="454"/>
      <c r="AE7" s="454"/>
      <c r="AF7" s="454"/>
      <c r="AG7" s="455"/>
      <c r="AH7" s="444"/>
      <c r="AI7" s="445"/>
      <c r="AJ7" s="445"/>
      <c r="AK7" s="445"/>
      <c r="AL7" s="445"/>
      <c r="AM7" s="446"/>
      <c r="AN7" s="66"/>
      <c r="AO7" s="478"/>
      <c r="AP7" s="479"/>
      <c r="AQ7" s="479"/>
      <c r="AR7" s="479"/>
      <c r="AS7" s="479"/>
      <c r="AT7" s="48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73"/>
      <c r="C8" s="473"/>
      <c r="D8" s="474"/>
      <c r="E8" s="466"/>
      <c r="F8" s="467"/>
      <c r="G8" s="467"/>
      <c r="H8" s="467"/>
      <c r="I8" s="468"/>
      <c r="J8" s="453" t="str">
        <f>IF(AND('Mapa riesgos'!$M$31="Muy Alta",'Mapa riesgos'!$Q$31="Leve"),CONCATENATE("R",'Mapa riesgos'!$A$31),"")</f>
        <v/>
      </c>
      <c r="K8" s="454"/>
      <c r="L8" s="454" t="str">
        <f>IF(AND('Mapa riesgos'!$M$37="Muy Alta",'Mapa riesgos'!$Q$37="Leve"),CONCATENATE("R",'Mapa riesgos'!$A$37),"")</f>
        <v>R5</v>
      </c>
      <c r="M8" s="454"/>
      <c r="N8" s="454" t="str">
        <f>IF(AND('Mapa riesgos'!$M$43="Muy Alta",'Mapa riesgos'!$Q$43="Leve"),CONCATENATE("R",'Mapa riesgos'!$A$43),"")</f>
        <v/>
      </c>
      <c r="O8" s="455"/>
      <c r="P8" s="453" t="str">
        <f>IF(AND('Mapa riesgos'!$M$31="Muy Alta",'Mapa riesgos'!$Q$31="Menor"),CONCATENATE("R",'Mapa riesgos'!$A$31),"")</f>
        <v/>
      </c>
      <c r="Q8" s="454"/>
      <c r="R8" s="454" t="str">
        <f>IF(AND('Mapa riesgos'!$M$37="Muy Alta",'Mapa riesgos'!$Q$37="Menor"),CONCATENATE("R",'Mapa riesgos'!$A$37),"")</f>
        <v/>
      </c>
      <c r="S8" s="454"/>
      <c r="T8" s="454" t="str">
        <f>IF(AND('Mapa riesgos'!$M$43="Muy Alta",'Mapa riesgos'!$Q$43="Menor"),CONCATENATE("R",'Mapa riesgos'!$A$43),"")</f>
        <v/>
      </c>
      <c r="U8" s="455"/>
      <c r="V8" s="453" t="str">
        <f>IF(AND('Mapa riesgos'!$M$31="Muy Alta",'Mapa riesgos'!$Q$31="Moderado"),CONCATENATE("R",'Mapa riesgos'!$A$31),"")</f>
        <v/>
      </c>
      <c r="W8" s="454"/>
      <c r="X8" s="454" t="str">
        <f>IF(AND('Mapa riesgos'!$M$37="Muy Alta",'Mapa riesgos'!$Q$37="Moderado"),CONCATENATE("R",'Mapa riesgos'!$A$37),"")</f>
        <v/>
      </c>
      <c r="Y8" s="454"/>
      <c r="Z8" s="454" t="str">
        <f>IF(AND('Mapa riesgos'!$M$43="Muy Alta",'Mapa riesgos'!$Q$43="Moderado"),CONCATENATE("R",'Mapa riesgos'!$A$43),"")</f>
        <v/>
      </c>
      <c r="AA8" s="455"/>
      <c r="AB8" s="453" t="str">
        <f>IF(AND('Mapa riesgos'!$M$31="Muy Alta",'Mapa riesgos'!$Q$31="Mayor"),CONCATENATE("R",'Mapa riesgos'!$A$31),"")</f>
        <v/>
      </c>
      <c r="AC8" s="454"/>
      <c r="AD8" s="454" t="str">
        <f>IF(AND('Mapa riesgos'!$M$37="Muy Alta",'Mapa riesgos'!$Q$37="Mayor"),CONCATENATE("R",'Mapa riesgos'!$A$37),"")</f>
        <v/>
      </c>
      <c r="AE8" s="454"/>
      <c r="AF8" s="454" t="str">
        <f>IF(AND('Mapa riesgos'!$M$43="Muy Alta",'Mapa riesgos'!$Q$43="Mayor"),CONCATENATE("R",'Mapa riesgos'!$A$43),"")</f>
        <v/>
      </c>
      <c r="AG8" s="455"/>
      <c r="AH8" s="444" t="str">
        <f>IF(AND('Mapa riesgos'!$M$31="Muy Alta",'Mapa riesgos'!$Q$31="Catastrófico"),CONCATENATE("R",'Mapa riesgos'!$A$31),"")</f>
        <v/>
      </c>
      <c r="AI8" s="445"/>
      <c r="AJ8" s="445" t="str">
        <f>IF(AND('Mapa riesgos'!$M$37="Muy Alta",'Mapa riesgos'!$Q$37="Catastrófico"),CONCATENATE("R",'Mapa riesgos'!$A$37),"")</f>
        <v/>
      </c>
      <c r="AK8" s="445"/>
      <c r="AL8" s="445" t="str">
        <f>IF(AND('Mapa riesgos'!$M$43="Muy Alta",'Mapa riesgos'!$Q$43="Catastrófico"),CONCATENATE("R",'Mapa riesgos'!$A$43),"")</f>
        <v/>
      </c>
      <c r="AM8" s="446"/>
      <c r="AN8" s="66"/>
      <c r="AO8" s="478"/>
      <c r="AP8" s="479"/>
      <c r="AQ8" s="479"/>
      <c r="AR8" s="479"/>
      <c r="AS8" s="479"/>
      <c r="AT8" s="48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73"/>
      <c r="C9" s="473"/>
      <c r="D9" s="474"/>
      <c r="E9" s="466"/>
      <c r="F9" s="467"/>
      <c r="G9" s="467"/>
      <c r="H9" s="467"/>
      <c r="I9" s="468"/>
      <c r="J9" s="453"/>
      <c r="K9" s="454"/>
      <c r="L9" s="454"/>
      <c r="M9" s="454"/>
      <c r="N9" s="454"/>
      <c r="O9" s="455"/>
      <c r="P9" s="453"/>
      <c r="Q9" s="454"/>
      <c r="R9" s="454"/>
      <c r="S9" s="454"/>
      <c r="T9" s="454"/>
      <c r="U9" s="455"/>
      <c r="V9" s="453"/>
      <c r="W9" s="454"/>
      <c r="X9" s="454"/>
      <c r="Y9" s="454"/>
      <c r="Z9" s="454"/>
      <c r="AA9" s="455"/>
      <c r="AB9" s="453"/>
      <c r="AC9" s="454"/>
      <c r="AD9" s="454"/>
      <c r="AE9" s="454"/>
      <c r="AF9" s="454"/>
      <c r="AG9" s="455"/>
      <c r="AH9" s="444"/>
      <c r="AI9" s="445"/>
      <c r="AJ9" s="445"/>
      <c r="AK9" s="445"/>
      <c r="AL9" s="445"/>
      <c r="AM9" s="446"/>
      <c r="AN9" s="66"/>
      <c r="AO9" s="478"/>
      <c r="AP9" s="479"/>
      <c r="AQ9" s="479"/>
      <c r="AR9" s="479"/>
      <c r="AS9" s="479"/>
      <c r="AT9" s="48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73"/>
      <c r="C10" s="473"/>
      <c r="D10" s="474"/>
      <c r="E10" s="466"/>
      <c r="F10" s="467"/>
      <c r="G10" s="467"/>
      <c r="H10" s="467"/>
      <c r="I10" s="468"/>
      <c r="J10" s="453" t="str">
        <f>IF(AND('Mapa riesgos'!$M$49="Muy Alta",'Mapa riesgos'!$Q$49="Leve"),CONCATENATE("R",'Mapa riesgos'!$A$49),"")</f>
        <v/>
      </c>
      <c r="K10" s="454"/>
      <c r="L10" s="454" t="str">
        <f>IF(AND('Mapa riesgos'!$M$55="Muy Alta",'Mapa riesgos'!$Q$55="Leve"),CONCATENATE("R",'Mapa riesgos'!$A$55),"")</f>
        <v/>
      </c>
      <c r="M10" s="454"/>
      <c r="N10" s="454" t="str">
        <f>IF(AND('Mapa riesgos'!$M$61="Muy Alta",'Mapa riesgos'!$Q$61="Leve"),CONCATENATE("R",'Mapa riesgos'!$A$61),"")</f>
        <v/>
      </c>
      <c r="O10" s="455"/>
      <c r="P10" s="453" t="str">
        <f>IF(AND('Mapa riesgos'!$M$49="Muy Alta",'Mapa riesgos'!$Q$49="Menor"),CONCATENATE("R",'Mapa riesgos'!$A$49),"")</f>
        <v/>
      </c>
      <c r="Q10" s="454"/>
      <c r="R10" s="454" t="str">
        <f>IF(AND('Mapa riesgos'!$M$55="Muy Alta",'Mapa riesgos'!$Q$55="Menor"),CONCATENATE("R",'Mapa riesgos'!$A$55),"")</f>
        <v/>
      </c>
      <c r="S10" s="454"/>
      <c r="T10" s="454" t="str">
        <f>IF(AND('Mapa riesgos'!$M$61="Muy Alta",'Mapa riesgos'!$Q$61="Menor"),CONCATENATE("R",'Mapa riesgos'!$A$61),"")</f>
        <v/>
      </c>
      <c r="U10" s="455"/>
      <c r="V10" s="453" t="str">
        <f>IF(AND('Mapa riesgos'!$M$49="Muy Alta",'Mapa riesgos'!$Q$49="Moderado"),CONCATENATE("R",'Mapa riesgos'!$A$49),"")</f>
        <v>R7</v>
      </c>
      <c r="W10" s="454"/>
      <c r="X10" s="454" t="str">
        <f>IF(AND('Mapa riesgos'!$M$55="Muy Alta",'Mapa riesgos'!$Q$55="Moderado"),CONCATENATE("R",'Mapa riesgos'!$A$55),"")</f>
        <v/>
      </c>
      <c r="Y10" s="454"/>
      <c r="Z10" s="454" t="str">
        <f>IF(AND('Mapa riesgos'!$M$61="Muy Alta",'Mapa riesgos'!$Q$61="Moderado"),CONCATENATE("R",'Mapa riesgos'!$A$61),"")</f>
        <v/>
      </c>
      <c r="AA10" s="455"/>
      <c r="AB10" s="453" t="str">
        <f>IF(AND('Mapa riesgos'!$M$49="Muy Alta",'Mapa riesgos'!$Q$49="Mayor"),CONCATENATE("R",'Mapa riesgos'!$A$49),"")</f>
        <v/>
      </c>
      <c r="AC10" s="454"/>
      <c r="AD10" s="454" t="str">
        <f>IF(AND('Mapa riesgos'!$M$55="Muy Alta",'Mapa riesgos'!$Q$55="Mayor"),CONCATENATE("R",'Mapa riesgos'!$A$55),"")</f>
        <v/>
      </c>
      <c r="AE10" s="454"/>
      <c r="AF10" s="454" t="str">
        <f>IF(AND('Mapa riesgos'!$M$61="Muy Alta",'Mapa riesgos'!$Q$61="Mayor"),CONCATENATE("R",'Mapa riesgos'!$A$61),"")</f>
        <v/>
      </c>
      <c r="AG10" s="455"/>
      <c r="AH10" s="444" t="str">
        <f>IF(AND('Mapa riesgos'!$M$49="Muy Alta",'Mapa riesgos'!$Q$49="Catastrófico"),CONCATENATE("R",'Mapa riesgos'!$A$49),"")</f>
        <v/>
      </c>
      <c r="AI10" s="445"/>
      <c r="AJ10" s="445" t="str">
        <f>IF(AND('Mapa riesgos'!$M$55="Muy Alta",'Mapa riesgos'!$Q$55="Catastrófico"),CONCATENATE("R",'Mapa riesgos'!$A$55),"")</f>
        <v/>
      </c>
      <c r="AK10" s="445"/>
      <c r="AL10" s="445" t="str">
        <f>IF(AND('Mapa riesgos'!$M$61="Muy Alta",'Mapa riesgos'!$Q$61="Catastrófico"),CONCATENATE("R",'Mapa riesgos'!$A$61),"")</f>
        <v/>
      </c>
      <c r="AM10" s="446"/>
      <c r="AN10" s="66"/>
      <c r="AO10" s="478"/>
      <c r="AP10" s="479"/>
      <c r="AQ10" s="479"/>
      <c r="AR10" s="479"/>
      <c r="AS10" s="479"/>
      <c r="AT10" s="48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73"/>
      <c r="C11" s="473"/>
      <c r="D11" s="474"/>
      <c r="E11" s="466"/>
      <c r="F11" s="467"/>
      <c r="G11" s="467"/>
      <c r="H11" s="467"/>
      <c r="I11" s="468"/>
      <c r="J11" s="453"/>
      <c r="K11" s="454"/>
      <c r="L11" s="454"/>
      <c r="M11" s="454"/>
      <c r="N11" s="454"/>
      <c r="O11" s="455"/>
      <c r="P11" s="453"/>
      <c r="Q11" s="454"/>
      <c r="R11" s="454"/>
      <c r="S11" s="454"/>
      <c r="T11" s="454"/>
      <c r="U11" s="455"/>
      <c r="V11" s="453"/>
      <c r="W11" s="454"/>
      <c r="X11" s="454"/>
      <c r="Y11" s="454"/>
      <c r="Z11" s="454"/>
      <c r="AA11" s="455"/>
      <c r="AB11" s="453"/>
      <c r="AC11" s="454"/>
      <c r="AD11" s="454"/>
      <c r="AE11" s="454"/>
      <c r="AF11" s="454"/>
      <c r="AG11" s="455"/>
      <c r="AH11" s="444"/>
      <c r="AI11" s="445"/>
      <c r="AJ11" s="445"/>
      <c r="AK11" s="445"/>
      <c r="AL11" s="445"/>
      <c r="AM11" s="446"/>
      <c r="AN11" s="66"/>
      <c r="AO11" s="478"/>
      <c r="AP11" s="479"/>
      <c r="AQ11" s="479"/>
      <c r="AR11" s="479"/>
      <c r="AS11" s="479"/>
      <c r="AT11" s="48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73"/>
      <c r="C12" s="473"/>
      <c r="D12" s="474"/>
      <c r="E12" s="466"/>
      <c r="F12" s="467"/>
      <c r="G12" s="467"/>
      <c r="H12" s="467"/>
      <c r="I12" s="468"/>
      <c r="J12" s="453" t="str">
        <f>IF(AND('Mapa riesgos'!$M$67="Muy Alta",'Mapa riesgos'!$Q$67="Leve"),CONCATENATE("R",'Mapa riesgos'!$A$67),"")</f>
        <v/>
      </c>
      <c r="K12" s="454"/>
      <c r="L12" s="454" t="str">
        <f>IF(AND('Mapa riesgos'!$M$73="Muy Alta",'Mapa riesgos'!$Q$73="Leve"),CONCATENATE("R",'Mapa riesgos'!$A$73),"")</f>
        <v/>
      </c>
      <c r="M12" s="454"/>
      <c r="N12" s="454" t="str">
        <f>IF(AND('Mapa riesgos'!$M$79="Muy Alta",'Mapa riesgos'!$Q$79="Leve"),CONCATENATE("R",'Mapa riesgos'!$A$79),"")</f>
        <v/>
      </c>
      <c r="O12" s="455"/>
      <c r="P12" s="453" t="str">
        <f>IF(AND('Mapa riesgos'!$M$67="Muy Alta",'Mapa riesgos'!$Q$67="Menor"),CONCATENATE("R",'Mapa riesgos'!$A$67),"")</f>
        <v/>
      </c>
      <c r="Q12" s="454"/>
      <c r="R12" s="454" t="str">
        <f>IF(AND('Mapa riesgos'!$M$73="Muy Alta",'Mapa riesgos'!$Q$73="Menor"),CONCATENATE("R",'Mapa riesgos'!$A$73),"")</f>
        <v/>
      </c>
      <c r="S12" s="454"/>
      <c r="T12" s="454" t="str">
        <f>IF(AND('Mapa riesgos'!$M$79="Muy Alta",'Mapa riesgos'!$Q$79="Menor"),CONCATENATE("R",'Mapa riesgos'!$A$79),"")</f>
        <v/>
      </c>
      <c r="U12" s="455"/>
      <c r="V12" s="453" t="str">
        <f>IF(AND('Mapa riesgos'!$M$67="Muy Alta",'Mapa riesgos'!$Q$67="Moderado"),CONCATENATE("R",'Mapa riesgos'!$A$67),"")</f>
        <v/>
      </c>
      <c r="W12" s="454"/>
      <c r="X12" s="454" t="str">
        <f>IF(AND('Mapa riesgos'!$M$73="Muy Alta",'Mapa riesgos'!$Q$73="Moderado"),CONCATENATE("R",'Mapa riesgos'!$A$73),"")</f>
        <v/>
      </c>
      <c r="Y12" s="454"/>
      <c r="Z12" s="454" t="str">
        <f>IF(AND('Mapa riesgos'!$M$79="Muy Alta",'Mapa riesgos'!$Q$79="Moderado"),CONCATENATE("R",'Mapa riesgos'!$A$79),"")</f>
        <v/>
      </c>
      <c r="AA12" s="455"/>
      <c r="AB12" s="453" t="str">
        <f>IF(AND('Mapa riesgos'!$M$67="Muy Alta",'Mapa riesgos'!$Q$67="Mayor"),CONCATENATE("R",'Mapa riesgos'!$A$67),"")</f>
        <v/>
      </c>
      <c r="AC12" s="454"/>
      <c r="AD12" s="454" t="str">
        <f>IF(AND('Mapa riesgos'!$M$73="Muy Alta",'Mapa riesgos'!$Q$73="Mayor"),CONCATENATE("R",'Mapa riesgos'!$A$73),"")</f>
        <v/>
      </c>
      <c r="AE12" s="454"/>
      <c r="AF12" s="454" t="str">
        <f>IF(AND('Mapa riesgos'!$M$79="Muy Alta",'Mapa riesgos'!$Q$79="Mayor"),CONCATENATE("R",'Mapa riesgos'!$A$79),"")</f>
        <v/>
      </c>
      <c r="AG12" s="455"/>
      <c r="AH12" s="444" t="str">
        <f>IF(AND('Mapa riesgos'!$M$67="Muy Alta",'Mapa riesgos'!$Q$67="Catastrófico"),CONCATENATE("R",'Mapa riesgos'!$A$67),"")</f>
        <v/>
      </c>
      <c r="AI12" s="445"/>
      <c r="AJ12" s="445" t="str">
        <f>IF(AND('Mapa riesgos'!$M$73="Muy Alta",'Mapa riesgos'!$Q$73="Catastrófico"),CONCATENATE("R",'Mapa riesgos'!$A$73),"")</f>
        <v/>
      </c>
      <c r="AK12" s="445"/>
      <c r="AL12" s="445" t="str">
        <f>IF(AND('Mapa riesgos'!$M$79="Muy Alta",'Mapa riesgos'!$Q$79="Catastrófico"),CONCATENATE("R",'Mapa riesgos'!$A$79),"")</f>
        <v/>
      </c>
      <c r="AM12" s="446"/>
      <c r="AN12" s="66"/>
      <c r="AO12" s="478"/>
      <c r="AP12" s="479"/>
      <c r="AQ12" s="479"/>
      <c r="AR12" s="479"/>
      <c r="AS12" s="479"/>
      <c r="AT12" s="48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73"/>
      <c r="C13" s="473"/>
      <c r="D13" s="474"/>
      <c r="E13" s="469"/>
      <c r="F13" s="470"/>
      <c r="G13" s="470"/>
      <c r="H13" s="470"/>
      <c r="I13" s="471"/>
      <c r="J13" s="453"/>
      <c r="K13" s="454"/>
      <c r="L13" s="454"/>
      <c r="M13" s="454"/>
      <c r="N13" s="454"/>
      <c r="O13" s="455"/>
      <c r="P13" s="453"/>
      <c r="Q13" s="454"/>
      <c r="R13" s="454"/>
      <c r="S13" s="454"/>
      <c r="T13" s="454"/>
      <c r="U13" s="455"/>
      <c r="V13" s="453"/>
      <c r="W13" s="454"/>
      <c r="X13" s="454"/>
      <c r="Y13" s="454"/>
      <c r="Z13" s="454"/>
      <c r="AA13" s="455"/>
      <c r="AB13" s="453"/>
      <c r="AC13" s="454"/>
      <c r="AD13" s="454"/>
      <c r="AE13" s="454"/>
      <c r="AF13" s="454"/>
      <c r="AG13" s="455"/>
      <c r="AH13" s="447"/>
      <c r="AI13" s="448"/>
      <c r="AJ13" s="448"/>
      <c r="AK13" s="448"/>
      <c r="AL13" s="448"/>
      <c r="AM13" s="449"/>
      <c r="AN13" s="66"/>
      <c r="AO13" s="481"/>
      <c r="AP13" s="482"/>
      <c r="AQ13" s="482"/>
      <c r="AR13" s="482"/>
      <c r="AS13" s="482"/>
      <c r="AT13" s="48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73"/>
      <c r="C14" s="473"/>
      <c r="D14" s="474"/>
      <c r="E14" s="463" t="s">
        <v>178</v>
      </c>
      <c r="F14" s="464"/>
      <c r="G14" s="464"/>
      <c r="H14" s="464"/>
      <c r="I14" s="464"/>
      <c r="J14" s="441" t="str">
        <f>IF(AND('Mapa riesgos'!$M$13="Alta",'Mapa riesgos'!$Q$13="Leve"),CONCATENATE("R",'Mapa riesgos'!$A$13),"")</f>
        <v/>
      </c>
      <c r="K14" s="442"/>
      <c r="L14" s="442" t="str">
        <f>IF(AND('Mapa riesgos'!$M$19="Alta",'Mapa riesgos'!$Q$19="Leve"),CONCATENATE("R",'Mapa riesgos'!$A$19),"")</f>
        <v/>
      </c>
      <c r="M14" s="442"/>
      <c r="N14" s="442" t="str">
        <f>IF(AND('Mapa riesgos'!$M$25="Alta",'Mapa riesgos'!$Q$25="Leve"),CONCATENATE("R",'Mapa riesgos'!$A$25),"")</f>
        <v/>
      </c>
      <c r="O14" s="443"/>
      <c r="P14" s="441" t="str">
        <f>IF(AND('Mapa riesgos'!$M$13="Alta",'Mapa riesgos'!$Q$13="Menor"),CONCATENATE("R",'Mapa riesgos'!$A$13),"")</f>
        <v/>
      </c>
      <c r="Q14" s="442"/>
      <c r="R14" s="442" t="str">
        <f>IF(AND('Mapa riesgos'!$M$19="Alta",'Mapa riesgos'!$Q$19="Menor"),CONCATENATE("R",'Mapa riesgos'!$A$19),"")</f>
        <v/>
      </c>
      <c r="S14" s="442"/>
      <c r="T14" s="442" t="str">
        <f>IF(AND('Mapa riesgos'!$M$25="Alta",'Mapa riesgos'!$Q$25="Menor"),CONCATENATE("R",'Mapa riesgos'!$A$25),"")</f>
        <v/>
      </c>
      <c r="U14" s="443"/>
      <c r="V14" s="459" t="str">
        <f>IF(AND('Mapa riesgos'!$M$13="Alta",'Mapa riesgos'!$Q$13="Moderado"),CONCATENATE("R",'Mapa riesgos'!$A$13),"")</f>
        <v/>
      </c>
      <c r="W14" s="460"/>
      <c r="X14" s="460" t="str">
        <f>IF(AND('Mapa riesgos'!$M$19="Alta",'Mapa riesgos'!$Q$19="Moderado"),CONCATENATE("R",'Mapa riesgos'!$A$19),"")</f>
        <v/>
      </c>
      <c r="Y14" s="460"/>
      <c r="Z14" s="460" t="str">
        <f>IF(AND('Mapa riesgos'!$M$25="Alta",'Mapa riesgos'!$Q$25="Moderado"),CONCATENATE("R",'Mapa riesgos'!$A$25),"")</f>
        <v/>
      </c>
      <c r="AA14" s="461"/>
      <c r="AB14" s="459" t="str">
        <f>IF(AND('Mapa riesgos'!$M$13="Alta",'Mapa riesgos'!$Q$13="Mayor"),CONCATENATE("R",'Mapa riesgos'!$A$13),"")</f>
        <v/>
      </c>
      <c r="AC14" s="460"/>
      <c r="AD14" s="460" t="str">
        <f>IF(AND('Mapa riesgos'!$M$19="Alta",'Mapa riesgos'!$Q$19="Mayor"),CONCATENATE("R",'Mapa riesgos'!$A$19),"")</f>
        <v/>
      </c>
      <c r="AE14" s="460"/>
      <c r="AF14" s="460" t="str">
        <f>IF(AND('Mapa riesgos'!$M$25="Alta",'Mapa riesgos'!$Q$25="Mayor"),CONCATENATE("R",'Mapa riesgos'!$A$25),"")</f>
        <v/>
      </c>
      <c r="AG14" s="461"/>
      <c r="AH14" s="450" t="str">
        <f>IF(AND('Mapa riesgos'!$M$13="Alta",'Mapa riesgos'!$Q$13="Catastrófico"),CONCATENATE("R",'Mapa riesgos'!$A$13),"")</f>
        <v/>
      </c>
      <c r="AI14" s="451"/>
      <c r="AJ14" s="451" t="str">
        <f>IF(AND('Mapa riesgos'!$M$19="Alta",'Mapa riesgos'!$Q$19="Catastrófico"),CONCATENATE("R",'Mapa riesgos'!$A$19),"")</f>
        <v/>
      </c>
      <c r="AK14" s="451"/>
      <c r="AL14" s="451" t="str">
        <f>IF(AND('Mapa riesgos'!$M$25="Alta",'Mapa riesgos'!$Q$25="Catastrófico"),CONCATENATE("R",'Mapa riesgos'!$A$25),"")</f>
        <v/>
      </c>
      <c r="AM14" s="452"/>
      <c r="AN14" s="66"/>
      <c r="AO14" s="484" t="s">
        <v>179</v>
      </c>
      <c r="AP14" s="485"/>
      <c r="AQ14" s="485"/>
      <c r="AR14" s="485"/>
      <c r="AS14" s="485"/>
      <c r="AT14" s="48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73"/>
      <c r="C15" s="473"/>
      <c r="D15" s="474"/>
      <c r="E15" s="466"/>
      <c r="F15" s="467"/>
      <c r="G15" s="467"/>
      <c r="H15" s="467"/>
      <c r="I15" s="467"/>
      <c r="J15" s="435"/>
      <c r="K15" s="436"/>
      <c r="L15" s="436"/>
      <c r="M15" s="436"/>
      <c r="N15" s="436"/>
      <c r="O15" s="437"/>
      <c r="P15" s="435"/>
      <c r="Q15" s="436"/>
      <c r="R15" s="436"/>
      <c r="S15" s="436"/>
      <c r="T15" s="436"/>
      <c r="U15" s="437"/>
      <c r="V15" s="453"/>
      <c r="W15" s="454"/>
      <c r="X15" s="454"/>
      <c r="Y15" s="454"/>
      <c r="Z15" s="454"/>
      <c r="AA15" s="455"/>
      <c r="AB15" s="453"/>
      <c r="AC15" s="454"/>
      <c r="AD15" s="454"/>
      <c r="AE15" s="454"/>
      <c r="AF15" s="454"/>
      <c r="AG15" s="455"/>
      <c r="AH15" s="444"/>
      <c r="AI15" s="445"/>
      <c r="AJ15" s="445"/>
      <c r="AK15" s="445"/>
      <c r="AL15" s="445"/>
      <c r="AM15" s="446"/>
      <c r="AN15" s="66"/>
      <c r="AO15" s="487"/>
      <c r="AP15" s="488"/>
      <c r="AQ15" s="488"/>
      <c r="AR15" s="488"/>
      <c r="AS15" s="488"/>
      <c r="AT15" s="48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73"/>
      <c r="C16" s="473"/>
      <c r="D16" s="474"/>
      <c r="E16" s="466"/>
      <c r="F16" s="467"/>
      <c r="G16" s="467"/>
      <c r="H16" s="467"/>
      <c r="I16" s="467"/>
      <c r="J16" s="435" t="str">
        <f>IF(AND('Mapa riesgos'!$M$31="Alta",'Mapa riesgos'!$Q$31="Leve"),CONCATENATE("R",'Mapa riesgos'!$A$31),"")</f>
        <v/>
      </c>
      <c r="K16" s="436"/>
      <c r="L16" s="436" t="str">
        <f>IF(AND('Mapa riesgos'!$M$37="Alta",'Mapa riesgos'!$Q$37="Leve"),CONCATENATE("R",'Mapa riesgos'!$A$37),"")</f>
        <v/>
      </c>
      <c r="M16" s="436"/>
      <c r="N16" s="436" t="str">
        <f>IF(AND('Mapa riesgos'!$M$43="Alta",'Mapa riesgos'!$Q$43="Leve"),CONCATENATE("R",'Mapa riesgos'!$A$43),"")</f>
        <v/>
      </c>
      <c r="O16" s="437"/>
      <c r="P16" s="435" t="str">
        <f>IF(AND('Mapa riesgos'!$M$31="Alta",'Mapa riesgos'!$Q$31="Menor"),CONCATENATE("R",'Mapa riesgos'!$A$31),"")</f>
        <v/>
      </c>
      <c r="Q16" s="436"/>
      <c r="R16" s="436" t="str">
        <f>IF(AND('Mapa riesgos'!$M$37="Alta",'Mapa riesgos'!$Q$37="Menor"),CONCATENATE("R",'Mapa riesgos'!$A$37),"")</f>
        <v/>
      </c>
      <c r="S16" s="436"/>
      <c r="T16" s="436" t="str">
        <f>IF(AND('Mapa riesgos'!$M$43="Alta",'Mapa riesgos'!$Q$43="Menor"),CONCATENATE("R",'Mapa riesgos'!$A$43),"")</f>
        <v/>
      </c>
      <c r="U16" s="437"/>
      <c r="V16" s="453" t="str">
        <f>IF(AND('Mapa riesgos'!$M$31="Alta",'Mapa riesgos'!$Q$31="Moderado"),CONCATENATE("R",'Mapa riesgos'!$A$31),"")</f>
        <v/>
      </c>
      <c r="W16" s="454"/>
      <c r="X16" s="454" t="str">
        <f>IF(AND('Mapa riesgos'!$M$37="Alta",'Mapa riesgos'!$Q$37="Moderado"),CONCATENATE("R",'Mapa riesgos'!$A$37),"")</f>
        <v/>
      </c>
      <c r="Y16" s="454"/>
      <c r="Z16" s="454" t="str">
        <f>IF(AND('Mapa riesgos'!$M$43="Alta",'Mapa riesgos'!$Q$43="Moderado"),CONCATENATE("R",'Mapa riesgos'!$A$43),"")</f>
        <v/>
      </c>
      <c r="AA16" s="455"/>
      <c r="AB16" s="453" t="str">
        <f>IF(AND('Mapa riesgos'!$M$31="Alta",'Mapa riesgos'!$Q$31="Mayor"),CONCATENATE("R",'Mapa riesgos'!$A$31),"")</f>
        <v/>
      </c>
      <c r="AC16" s="454"/>
      <c r="AD16" s="454" t="str">
        <f>IF(AND('Mapa riesgos'!$M$37="Alta",'Mapa riesgos'!$Q$37="Mayor"),CONCATENATE("R",'Mapa riesgos'!$A$37),"")</f>
        <v/>
      </c>
      <c r="AE16" s="454"/>
      <c r="AF16" s="454" t="str">
        <f>IF(AND('Mapa riesgos'!$M$43="Alta",'Mapa riesgos'!$Q$43="Mayor"),CONCATENATE("R",'Mapa riesgos'!$A$43),"")</f>
        <v/>
      </c>
      <c r="AG16" s="455"/>
      <c r="AH16" s="444" t="str">
        <f>IF(AND('Mapa riesgos'!$M$31="Alta",'Mapa riesgos'!$Q$31="Catastrófico"),CONCATENATE("R",'Mapa riesgos'!$A$31),"")</f>
        <v/>
      </c>
      <c r="AI16" s="445"/>
      <c r="AJ16" s="445" t="str">
        <f>IF(AND('Mapa riesgos'!$M$37="Alta",'Mapa riesgos'!$Q$37="Catastrófico"),CONCATENATE("R",'Mapa riesgos'!$A$37),"")</f>
        <v/>
      </c>
      <c r="AK16" s="445"/>
      <c r="AL16" s="445" t="str">
        <f>IF(AND('Mapa riesgos'!$M$43="Alta",'Mapa riesgos'!$Q$43="Catastrófico"),CONCATENATE("R",'Mapa riesgos'!$A$43),"")</f>
        <v/>
      </c>
      <c r="AM16" s="446"/>
      <c r="AN16" s="66"/>
      <c r="AO16" s="487"/>
      <c r="AP16" s="488"/>
      <c r="AQ16" s="488"/>
      <c r="AR16" s="488"/>
      <c r="AS16" s="488"/>
      <c r="AT16" s="489"/>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73"/>
      <c r="C17" s="473"/>
      <c r="D17" s="474"/>
      <c r="E17" s="466"/>
      <c r="F17" s="467"/>
      <c r="G17" s="467"/>
      <c r="H17" s="467"/>
      <c r="I17" s="467"/>
      <c r="J17" s="435"/>
      <c r="K17" s="436"/>
      <c r="L17" s="436"/>
      <c r="M17" s="436"/>
      <c r="N17" s="436"/>
      <c r="O17" s="437"/>
      <c r="P17" s="435"/>
      <c r="Q17" s="436"/>
      <c r="R17" s="436"/>
      <c r="S17" s="436"/>
      <c r="T17" s="436"/>
      <c r="U17" s="437"/>
      <c r="V17" s="453"/>
      <c r="W17" s="454"/>
      <c r="X17" s="454"/>
      <c r="Y17" s="454"/>
      <c r="Z17" s="454"/>
      <c r="AA17" s="455"/>
      <c r="AB17" s="453"/>
      <c r="AC17" s="454"/>
      <c r="AD17" s="454"/>
      <c r="AE17" s="454"/>
      <c r="AF17" s="454"/>
      <c r="AG17" s="455"/>
      <c r="AH17" s="444"/>
      <c r="AI17" s="445"/>
      <c r="AJ17" s="445"/>
      <c r="AK17" s="445"/>
      <c r="AL17" s="445"/>
      <c r="AM17" s="446"/>
      <c r="AN17" s="66"/>
      <c r="AO17" s="487"/>
      <c r="AP17" s="488"/>
      <c r="AQ17" s="488"/>
      <c r="AR17" s="488"/>
      <c r="AS17" s="488"/>
      <c r="AT17" s="48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73"/>
      <c r="C18" s="473"/>
      <c r="D18" s="474"/>
      <c r="E18" s="466"/>
      <c r="F18" s="467"/>
      <c r="G18" s="467"/>
      <c r="H18" s="467"/>
      <c r="I18" s="467"/>
      <c r="J18" s="435" t="str">
        <f>IF(AND('Mapa riesgos'!$M$49="Alta",'Mapa riesgos'!$Q$49="Leve"),CONCATENATE("R",'Mapa riesgos'!$A$49),"")</f>
        <v/>
      </c>
      <c r="K18" s="436"/>
      <c r="L18" s="436" t="str">
        <f>IF(AND('Mapa riesgos'!$M$55="Alta",'Mapa riesgos'!$Q$55="Leve"),CONCATENATE("R",'Mapa riesgos'!$A$55),"")</f>
        <v/>
      </c>
      <c r="M18" s="436"/>
      <c r="N18" s="436" t="str">
        <f>IF(AND('Mapa riesgos'!$M$61="Alta",'Mapa riesgos'!$Q$61="Leve"),CONCATENATE("R",'Mapa riesgos'!$A$61),"")</f>
        <v/>
      </c>
      <c r="O18" s="437"/>
      <c r="P18" s="435" t="str">
        <f>IF(AND('Mapa riesgos'!$M$49="Alta",'Mapa riesgos'!$Q$49="Menor"),CONCATENATE("R",'Mapa riesgos'!$A$49),"")</f>
        <v/>
      </c>
      <c r="Q18" s="436"/>
      <c r="R18" s="436" t="str">
        <f>IF(AND('Mapa riesgos'!$M$55="Alta",'Mapa riesgos'!$Q$55="Menor"),CONCATENATE("R",'Mapa riesgos'!$A$55),"")</f>
        <v/>
      </c>
      <c r="S18" s="436"/>
      <c r="T18" s="436" t="str">
        <f>IF(AND('Mapa riesgos'!$M$61="Alta",'Mapa riesgos'!$Q$61="Menor"),CONCATENATE("R",'Mapa riesgos'!$A$61),"")</f>
        <v/>
      </c>
      <c r="U18" s="437"/>
      <c r="V18" s="453" t="str">
        <f>IF(AND('Mapa riesgos'!$M$49="Alta",'Mapa riesgos'!$Q$49="Moderado"),CONCATENATE("R",'Mapa riesgos'!$A$49),"")</f>
        <v/>
      </c>
      <c r="W18" s="454"/>
      <c r="X18" s="454" t="str">
        <f>IF(AND('Mapa riesgos'!$M$55="Alta",'Mapa riesgos'!$Q$55="Moderado"),CONCATENATE("R",'Mapa riesgos'!$A$55),"")</f>
        <v/>
      </c>
      <c r="Y18" s="454"/>
      <c r="Z18" s="454" t="str">
        <f>IF(AND('Mapa riesgos'!$M$61="Alta",'Mapa riesgos'!$Q$61="Moderado"),CONCATENATE("R",'Mapa riesgos'!$A$61),"")</f>
        <v/>
      </c>
      <c r="AA18" s="455"/>
      <c r="AB18" s="453" t="str">
        <f>IF(AND('Mapa riesgos'!$M$49="Alta",'Mapa riesgos'!$Q$49="Mayor"),CONCATENATE("R",'Mapa riesgos'!$A$49),"")</f>
        <v/>
      </c>
      <c r="AC18" s="454"/>
      <c r="AD18" s="454" t="str">
        <f>IF(AND('Mapa riesgos'!$M$55="Alta",'Mapa riesgos'!$Q$55="Mayor"),CONCATENATE("R",'Mapa riesgos'!$A$55),"")</f>
        <v/>
      </c>
      <c r="AE18" s="454"/>
      <c r="AF18" s="454" t="str">
        <f>IF(AND('Mapa riesgos'!$M$61="Alta",'Mapa riesgos'!$Q$61="Mayor"),CONCATENATE("R",'Mapa riesgos'!$A$61),"")</f>
        <v/>
      </c>
      <c r="AG18" s="455"/>
      <c r="AH18" s="444" t="str">
        <f>IF(AND('Mapa riesgos'!$M$49="Alta",'Mapa riesgos'!$Q$49="Catastrófico"),CONCATENATE("R",'Mapa riesgos'!$A$49),"")</f>
        <v/>
      </c>
      <c r="AI18" s="445"/>
      <c r="AJ18" s="445" t="str">
        <f>IF(AND('Mapa riesgos'!$M$55="Alta",'Mapa riesgos'!$Q$55="Catastrófico"),CONCATENATE("R",'Mapa riesgos'!$A$55),"")</f>
        <v/>
      </c>
      <c r="AK18" s="445"/>
      <c r="AL18" s="445" t="str">
        <f>IF(AND('Mapa riesgos'!$M$61="Alta",'Mapa riesgos'!$Q$61="Catastrófico"),CONCATENATE("R",'Mapa riesgos'!$A$61),"")</f>
        <v/>
      </c>
      <c r="AM18" s="446"/>
      <c r="AN18" s="66"/>
      <c r="AO18" s="487"/>
      <c r="AP18" s="488"/>
      <c r="AQ18" s="488"/>
      <c r="AR18" s="488"/>
      <c r="AS18" s="488"/>
      <c r="AT18" s="48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73"/>
      <c r="C19" s="473"/>
      <c r="D19" s="474"/>
      <c r="E19" s="466"/>
      <c r="F19" s="467"/>
      <c r="G19" s="467"/>
      <c r="H19" s="467"/>
      <c r="I19" s="467"/>
      <c r="J19" s="435"/>
      <c r="K19" s="436"/>
      <c r="L19" s="436"/>
      <c r="M19" s="436"/>
      <c r="N19" s="436"/>
      <c r="O19" s="437"/>
      <c r="P19" s="435"/>
      <c r="Q19" s="436"/>
      <c r="R19" s="436"/>
      <c r="S19" s="436"/>
      <c r="T19" s="436"/>
      <c r="U19" s="437"/>
      <c r="V19" s="453"/>
      <c r="W19" s="454"/>
      <c r="X19" s="454"/>
      <c r="Y19" s="454"/>
      <c r="Z19" s="454"/>
      <c r="AA19" s="455"/>
      <c r="AB19" s="453"/>
      <c r="AC19" s="454"/>
      <c r="AD19" s="454"/>
      <c r="AE19" s="454"/>
      <c r="AF19" s="454"/>
      <c r="AG19" s="455"/>
      <c r="AH19" s="444"/>
      <c r="AI19" s="445"/>
      <c r="AJ19" s="445"/>
      <c r="AK19" s="445"/>
      <c r="AL19" s="445"/>
      <c r="AM19" s="446"/>
      <c r="AN19" s="66"/>
      <c r="AO19" s="487"/>
      <c r="AP19" s="488"/>
      <c r="AQ19" s="488"/>
      <c r="AR19" s="488"/>
      <c r="AS19" s="488"/>
      <c r="AT19" s="48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73"/>
      <c r="C20" s="473"/>
      <c r="D20" s="474"/>
      <c r="E20" s="466"/>
      <c r="F20" s="467"/>
      <c r="G20" s="467"/>
      <c r="H20" s="467"/>
      <c r="I20" s="467"/>
      <c r="J20" s="435" t="str">
        <f>IF(AND('Mapa riesgos'!$M$67="Alta",'Mapa riesgos'!$Q$67="Leve"),CONCATENATE("R",'Mapa riesgos'!$A$67),"")</f>
        <v/>
      </c>
      <c r="K20" s="436"/>
      <c r="L20" s="436" t="str">
        <f>IF(AND('Mapa riesgos'!$M$73="Alta",'Mapa riesgos'!$Q$73="Leve"),CONCATENATE("R",'Mapa riesgos'!$A$73),"")</f>
        <v/>
      </c>
      <c r="M20" s="436"/>
      <c r="N20" s="436" t="str">
        <f>IF(AND('Mapa riesgos'!$M$79="Alta",'Mapa riesgos'!$Q$79="Leve"),CONCATENATE("R",'Mapa riesgos'!$A$79),"")</f>
        <v/>
      </c>
      <c r="O20" s="437"/>
      <c r="P20" s="435" t="str">
        <f>IF(AND('Mapa riesgos'!$M$67="Alta",'Mapa riesgos'!$Q$67="Menor"),CONCATENATE("R",'Mapa riesgos'!$A$67),"")</f>
        <v/>
      </c>
      <c r="Q20" s="436"/>
      <c r="R20" s="436" t="str">
        <f>IF(AND('Mapa riesgos'!$M$73="Alta",'Mapa riesgos'!$Q$73="Menor"),CONCATENATE("R",'Mapa riesgos'!$A$73),"")</f>
        <v/>
      </c>
      <c r="S20" s="436"/>
      <c r="T20" s="436" t="str">
        <f>IF(AND('Mapa riesgos'!$M$79="Alta",'Mapa riesgos'!$Q$79="Menor"),CONCATENATE("R",'Mapa riesgos'!$A$79),"")</f>
        <v/>
      </c>
      <c r="U20" s="437"/>
      <c r="V20" s="453" t="str">
        <f>IF(AND('Mapa riesgos'!$M$67="Alta",'Mapa riesgos'!$Q$67="Moderado"),CONCATENATE("R",'Mapa riesgos'!$A$67),"")</f>
        <v/>
      </c>
      <c r="W20" s="454"/>
      <c r="X20" s="454" t="str">
        <f>IF(AND('Mapa riesgos'!$M$73="Alta",'Mapa riesgos'!$Q$73="Moderado"),CONCATENATE("R",'Mapa riesgos'!$A$73),"")</f>
        <v/>
      </c>
      <c r="Y20" s="454"/>
      <c r="Z20" s="454" t="str">
        <f>IF(AND('Mapa riesgos'!$M$79="Alta",'Mapa riesgos'!$Q$79="Moderado"),CONCATENATE("R",'Mapa riesgos'!$A$79),"")</f>
        <v/>
      </c>
      <c r="AA20" s="455"/>
      <c r="AB20" s="453" t="str">
        <f>IF(AND('Mapa riesgos'!$M$67="Alta",'Mapa riesgos'!$Q$67="Mayor"),CONCATENATE("R",'Mapa riesgos'!$A$67),"")</f>
        <v/>
      </c>
      <c r="AC20" s="454"/>
      <c r="AD20" s="454" t="str">
        <f>IF(AND('Mapa riesgos'!$M$73="Alta",'Mapa riesgos'!$Q$73="Mayor"),CONCATENATE("R",'Mapa riesgos'!$A$73),"")</f>
        <v/>
      </c>
      <c r="AE20" s="454"/>
      <c r="AF20" s="454" t="str">
        <f>IF(AND('Mapa riesgos'!$M$79="Alta",'Mapa riesgos'!$Q$79="Mayor"),CONCATENATE("R",'Mapa riesgos'!$A$79),"")</f>
        <v/>
      </c>
      <c r="AG20" s="455"/>
      <c r="AH20" s="444" t="str">
        <f>IF(AND('Mapa riesgos'!$M$67="Alta",'Mapa riesgos'!$Q$67="Catastrófico"),CONCATENATE("R",'Mapa riesgos'!$A$67),"")</f>
        <v/>
      </c>
      <c r="AI20" s="445"/>
      <c r="AJ20" s="445" t="str">
        <f>IF(AND('Mapa riesgos'!$M$73="Alta",'Mapa riesgos'!$Q$73="Catastrófico"),CONCATENATE("R",'Mapa riesgos'!$A$73),"")</f>
        <v/>
      </c>
      <c r="AK20" s="445"/>
      <c r="AL20" s="445" t="str">
        <f>IF(AND('Mapa riesgos'!$M$79="Alta",'Mapa riesgos'!$Q$79="Catastrófico"),CONCATENATE("R",'Mapa riesgos'!$A$79),"")</f>
        <v/>
      </c>
      <c r="AM20" s="446"/>
      <c r="AN20" s="66"/>
      <c r="AO20" s="487"/>
      <c r="AP20" s="488"/>
      <c r="AQ20" s="488"/>
      <c r="AR20" s="488"/>
      <c r="AS20" s="488"/>
      <c r="AT20" s="48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73"/>
      <c r="C21" s="473"/>
      <c r="D21" s="474"/>
      <c r="E21" s="469"/>
      <c r="F21" s="470"/>
      <c r="G21" s="470"/>
      <c r="H21" s="470"/>
      <c r="I21" s="470"/>
      <c r="J21" s="438"/>
      <c r="K21" s="439"/>
      <c r="L21" s="439"/>
      <c r="M21" s="439"/>
      <c r="N21" s="439"/>
      <c r="O21" s="440"/>
      <c r="P21" s="438"/>
      <c r="Q21" s="439"/>
      <c r="R21" s="439"/>
      <c r="S21" s="439"/>
      <c r="T21" s="439"/>
      <c r="U21" s="440"/>
      <c r="V21" s="456"/>
      <c r="W21" s="457"/>
      <c r="X21" s="457"/>
      <c r="Y21" s="457"/>
      <c r="Z21" s="457"/>
      <c r="AA21" s="458"/>
      <c r="AB21" s="456"/>
      <c r="AC21" s="457"/>
      <c r="AD21" s="457"/>
      <c r="AE21" s="457"/>
      <c r="AF21" s="457"/>
      <c r="AG21" s="458"/>
      <c r="AH21" s="447"/>
      <c r="AI21" s="448"/>
      <c r="AJ21" s="448"/>
      <c r="AK21" s="448"/>
      <c r="AL21" s="448"/>
      <c r="AM21" s="449"/>
      <c r="AN21" s="66"/>
      <c r="AO21" s="490"/>
      <c r="AP21" s="491"/>
      <c r="AQ21" s="491"/>
      <c r="AR21" s="491"/>
      <c r="AS21" s="491"/>
      <c r="AT21" s="492"/>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73"/>
      <c r="C22" s="473"/>
      <c r="D22" s="474"/>
      <c r="E22" s="463" t="s">
        <v>180</v>
      </c>
      <c r="F22" s="464"/>
      <c r="G22" s="464"/>
      <c r="H22" s="464"/>
      <c r="I22" s="465"/>
      <c r="J22" s="441" t="str">
        <f>IF(AND('Mapa riesgos'!$M$13="Media",'Mapa riesgos'!$Q$13="Leve"),CONCATENATE("R",'Mapa riesgos'!$A$13),"")</f>
        <v/>
      </c>
      <c r="K22" s="442"/>
      <c r="L22" s="442" t="str">
        <f>IF(AND('Mapa riesgos'!$M$19="Media",'Mapa riesgos'!$Q$19="Leve"),CONCATENATE("R",'Mapa riesgos'!$A$19),"")</f>
        <v/>
      </c>
      <c r="M22" s="442"/>
      <c r="N22" s="442" t="str">
        <f>IF(AND('Mapa riesgos'!$M$25="Media",'Mapa riesgos'!$Q$25="Leve"),CONCATENATE("R",'Mapa riesgos'!$A$25),"")</f>
        <v/>
      </c>
      <c r="O22" s="443"/>
      <c r="P22" s="441" t="str">
        <f>IF(AND('Mapa riesgos'!$M$13="Media",'Mapa riesgos'!$Q$13="Menor"),CONCATENATE("R",'Mapa riesgos'!$A$13),"")</f>
        <v/>
      </c>
      <c r="Q22" s="442"/>
      <c r="R22" s="442" t="str">
        <f>IF(AND('Mapa riesgos'!$M$19="Media",'Mapa riesgos'!$Q$19="Menor"),CONCATENATE("R",'Mapa riesgos'!$A$19),"")</f>
        <v/>
      </c>
      <c r="S22" s="442"/>
      <c r="T22" s="442" t="str">
        <f>IF(AND('Mapa riesgos'!$M$25="Media",'Mapa riesgos'!$Q$25="Menor"),CONCATENATE("R",'Mapa riesgos'!$A$25),"")</f>
        <v/>
      </c>
      <c r="U22" s="443"/>
      <c r="V22" s="441" t="str">
        <f>IF(AND('Mapa riesgos'!$M$13="Media",'Mapa riesgos'!$Q$13="Moderado"),CONCATENATE("R",'Mapa riesgos'!$A$13),"")</f>
        <v>R1</v>
      </c>
      <c r="W22" s="442"/>
      <c r="X22" s="442" t="str">
        <f>IF(AND('Mapa riesgos'!$M$19="Media",'Mapa riesgos'!$Q$19="Moderado"),CONCATENATE("R",'Mapa riesgos'!$A$19),"")</f>
        <v/>
      </c>
      <c r="Y22" s="442"/>
      <c r="Z22" s="442" t="str">
        <f>IF(AND('Mapa riesgos'!$M$25="Media",'Mapa riesgos'!$Q$25="Moderado"),CONCATENATE("R",'Mapa riesgos'!$A$25),"")</f>
        <v/>
      </c>
      <c r="AA22" s="443"/>
      <c r="AB22" s="459" t="str">
        <f>IF(AND('Mapa riesgos'!$M$13="Media",'Mapa riesgos'!$Q$13="Mayor"),CONCATENATE("R",'Mapa riesgos'!$A$13),"")</f>
        <v/>
      </c>
      <c r="AC22" s="460"/>
      <c r="AD22" s="460" t="str">
        <f>IF(AND('Mapa riesgos'!$M$19="Media",'Mapa riesgos'!$Q$19="Mayor"),CONCATENATE("R",'Mapa riesgos'!$A$19),"")</f>
        <v/>
      </c>
      <c r="AE22" s="460"/>
      <c r="AF22" s="460" t="str">
        <f>IF(AND('Mapa riesgos'!$M$25="Media",'Mapa riesgos'!$Q$25="Mayor"),CONCATENATE("R",'Mapa riesgos'!$A$25),"")</f>
        <v/>
      </c>
      <c r="AG22" s="461"/>
      <c r="AH22" s="450" t="str">
        <f>IF(AND('Mapa riesgos'!$M$13="Media",'Mapa riesgos'!$Q$13="Catastrófico"),CONCATENATE("R",'Mapa riesgos'!$A$13),"")</f>
        <v/>
      </c>
      <c r="AI22" s="451"/>
      <c r="AJ22" s="451" t="str">
        <f>IF(AND('Mapa riesgos'!$M$19="Media",'Mapa riesgos'!$Q$19="Catastrófico"),CONCATENATE("R",'Mapa riesgos'!$A$19),"")</f>
        <v/>
      </c>
      <c r="AK22" s="451"/>
      <c r="AL22" s="451" t="str">
        <f>IF(AND('Mapa riesgos'!$M$25="Media",'Mapa riesgos'!$Q$25="Catastrófico"),CONCATENATE("R",'Mapa riesgos'!$A$25),"")</f>
        <v/>
      </c>
      <c r="AM22" s="452"/>
      <c r="AN22" s="66"/>
      <c r="AO22" s="493" t="s">
        <v>181</v>
      </c>
      <c r="AP22" s="494"/>
      <c r="AQ22" s="494"/>
      <c r="AR22" s="494"/>
      <c r="AS22" s="494"/>
      <c r="AT22" s="49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73"/>
      <c r="C23" s="473"/>
      <c r="D23" s="474"/>
      <c r="E23" s="466"/>
      <c r="F23" s="467"/>
      <c r="G23" s="467"/>
      <c r="H23" s="467"/>
      <c r="I23" s="468"/>
      <c r="J23" s="435"/>
      <c r="K23" s="436"/>
      <c r="L23" s="436"/>
      <c r="M23" s="436"/>
      <c r="N23" s="436"/>
      <c r="O23" s="437"/>
      <c r="P23" s="435"/>
      <c r="Q23" s="436"/>
      <c r="R23" s="436"/>
      <c r="S23" s="436"/>
      <c r="T23" s="436"/>
      <c r="U23" s="437"/>
      <c r="V23" s="435"/>
      <c r="W23" s="436"/>
      <c r="X23" s="436"/>
      <c r="Y23" s="436"/>
      <c r="Z23" s="436"/>
      <c r="AA23" s="437"/>
      <c r="AB23" s="453"/>
      <c r="AC23" s="454"/>
      <c r="AD23" s="454"/>
      <c r="AE23" s="454"/>
      <c r="AF23" s="454"/>
      <c r="AG23" s="455"/>
      <c r="AH23" s="444"/>
      <c r="AI23" s="445"/>
      <c r="AJ23" s="445"/>
      <c r="AK23" s="445"/>
      <c r="AL23" s="445"/>
      <c r="AM23" s="446"/>
      <c r="AN23" s="66"/>
      <c r="AO23" s="496"/>
      <c r="AP23" s="497"/>
      <c r="AQ23" s="497"/>
      <c r="AR23" s="497"/>
      <c r="AS23" s="497"/>
      <c r="AT23" s="498"/>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73"/>
      <c r="C24" s="473"/>
      <c r="D24" s="474"/>
      <c r="E24" s="466"/>
      <c r="F24" s="467"/>
      <c r="G24" s="467"/>
      <c r="H24" s="467"/>
      <c r="I24" s="468"/>
      <c r="J24" s="435" t="str">
        <f>IF(AND('Mapa riesgos'!$M$31="Media",'Mapa riesgos'!$Q$31="Leve"),CONCATENATE("R",'Mapa riesgos'!$A$31),"")</f>
        <v/>
      </c>
      <c r="K24" s="436"/>
      <c r="L24" s="436" t="str">
        <f>IF(AND('Mapa riesgos'!$M$37="Media",'Mapa riesgos'!$Q$37="Leve"),CONCATENATE("R",'Mapa riesgos'!$A$37),"")</f>
        <v/>
      </c>
      <c r="M24" s="436"/>
      <c r="N24" s="436" t="str">
        <f>IF(AND('Mapa riesgos'!$M$43="Media",'Mapa riesgos'!$Q$43="Leve"),CONCATENATE("R",'Mapa riesgos'!$A$43),"")</f>
        <v/>
      </c>
      <c r="O24" s="437"/>
      <c r="P24" s="435" t="str">
        <f>IF(AND('Mapa riesgos'!$M$31="Media",'Mapa riesgos'!$Q$31="Menor"),CONCATENATE("R",'Mapa riesgos'!$A$31),"")</f>
        <v/>
      </c>
      <c r="Q24" s="436"/>
      <c r="R24" s="436" t="str">
        <f>IF(AND('Mapa riesgos'!$M$37="Media",'Mapa riesgos'!$Q$37="Menor"),CONCATENATE("R",'Mapa riesgos'!$A$37),"")</f>
        <v/>
      </c>
      <c r="S24" s="436"/>
      <c r="T24" s="436" t="str">
        <f>IF(AND('Mapa riesgos'!$M$43="Media",'Mapa riesgos'!$Q$43="Menor"),CONCATENATE("R",'Mapa riesgos'!$A$43),"")</f>
        <v/>
      </c>
      <c r="U24" s="437"/>
      <c r="V24" s="435" t="str">
        <f>IF(AND('Mapa riesgos'!$M$31="Media",'Mapa riesgos'!$Q$31="Moderado"),CONCATENATE("R",'Mapa riesgos'!$A$31),"")</f>
        <v/>
      </c>
      <c r="W24" s="436"/>
      <c r="X24" s="436" t="str">
        <f>IF(AND('Mapa riesgos'!$M$37="Media",'Mapa riesgos'!$Q$37="Moderado"),CONCATENATE("R",'Mapa riesgos'!$A$37),"")</f>
        <v/>
      </c>
      <c r="Y24" s="436"/>
      <c r="Z24" s="436" t="str">
        <f>IF(AND('Mapa riesgos'!$M$43="Media",'Mapa riesgos'!$Q$43="Moderado"),CONCATENATE("R",'Mapa riesgos'!$A$43),"")</f>
        <v/>
      </c>
      <c r="AA24" s="437"/>
      <c r="AB24" s="453" t="str">
        <f>IF(AND('Mapa riesgos'!$M$31="Media",'Mapa riesgos'!$Q$31="Mayor"),CONCATENATE("R",'Mapa riesgos'!$A$31),"")</f>
        <v/>
      </c>
      <c r="AC24" s="454"/>
      <c r="AD24" s="454" t="str">
        <f>IF(AND('Mapa riesgos'!$M$37="Media",'Mapa riesgos'!$Q$37="Mayor"),CONCATENATE("R",'Mapa riesgos'!$A$37),"")</f>
        <v/>
      </c>
      <c r="AE24" s="454"/>
      <c r="AF24" s="454" t="str">
        <f>IF(AND('Mapa riesgos'!$M$43="Media",'Mapa riesgos'!$Q$43="Mayor"),CONCATENATE("R",'Mapa riesgos'!$A$43),"")</f>
        <v/>
      </c>
      <c r="AG24" s="455"/>
      <c r="AH24" s="444" t="str">
        <f>IF(AND('Mapa riesgos'!$M$31="Media",'Mapa riesgos'!$Q$31="Catastrófico"),CONCATENATE("R",'Mapa riesgos'!$A$31),"")</f>
        <v/>
      </c>
      <c r="AI24" s="445"/>
      <c r="AJ24" s="445" t="str">
        <f>IF(AND('Mapa riesgos'!$M$37="Media",'Mapa riesgos'!$Q$37="Catastrófico"),CONCATENATE("R",'Mapa riesgos'!$A$37),"")</f>
        <v/>
      </c>
      <c r="AK24" s="445"/>
      <c r="AL24" s="445" t="str">
        <f>IF(AND('Mapa riesgos'!$M$43="Media",'Mapa riesgos'!$Q$43="Catastrófico"),CONCATENATE("R",'Mapa riesgos'!$A$43),"")</f>
        <v/>
      </c>
      <c r="AM24" s="446"/>
      <c r="AN24" s="66"/>
      <c r="AO24" s="496"/>
      <c r="AP24" s="497"/>
      <c r="AQ24" s="497"/>
      <c r="AR24" s="497"/>
      <c r="AS24" s="497"/>
      <c r="AT24" s="498"/>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73"/>
      <c r="C25" s="473"/>
      <c r="D25" s="474"/>
      <c r="E25" s="466"/>
      <c r="F25" s="467"/>
      <c r="G25" s="467"/>
      <c r="H25" s="467"/>
      <c r="I25" s="468"/>
      <c r="J25" s="435"/>
      <c r="K25" s="436"/>
      <c r="L25" s="436"/>
      <c r="M25" s="436"/>
      <c r="N25" s="436"/>
      <c r="O25" s="437"/>
      <c r="P25" s="435"/>
      <c r="Q25" s="436"/>
      <c r="R25" s="436"/>
      <c r="S25" s="436"/>
      <c r="T25" s="436"/>
      <c r="U25" s="437"/>
      <c r="V25" s="435"/>
      <c r="W25" s="436"/>
      <c r="X25" s="436"/>
      <c r="Y25" s="436"/>
      <c r="Z25" s="436"/>
      <c r="AA25" s="437"/>
      <c r="AB25" s="453"/>
      <c r="AC25" s="454"/>
      <c r="AD25" s="454"/>
      <c r="AE25" s="454"/>
      <c r="AF25" s="454"/>
      <c r="AG25" s="455"/>
      <c r="AH25" s="444"/>
      <c r="AI25" s="445"/>
      <c r="AJ25" s="445"/>
      <c r="AK25" s="445"/>
      <c r="AL25" s="445"/>
      <c r="AM25" s="446"/>
      <c r="AN25" s="66"/>
      <c r="AO25" s="496"/>
      <c r="AP25" s="497"/>
      <c r="AQ25" s="497"/>
      <c r="AR25" s="497"/>
      <c r="AS25" s="497"/>
      <c r="AT25" s="498"/>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73"/>
      <c r="C26" s="473"/>
      <c r="D26" s="474"/>
      <c r="E26" s="466"/>
      <c r="F26" s="467"/>
      <c r="G26" s="467"/>
      <c r="H26" s="467"/>
      <c r="I26" s="468"/>
      <c r="J26" s="435" t="str">
        <f>IF(AND('Mapa riesgos'!$M$49="Media",'Mapa riesgos'!$Q$49="Leve"),CONCATENATE("R",'Mapa riesgos'!$A$49),"")</f>
        <v/>
      </c>
      <c r="K26" s="436"/>
      <c r="L26" s="436" t="str">
        <f>IF(AND('Mapa riesgos'!$M$55="Media",'Mapa riesgos'!$Q$55="Leve"),CONCATENATE("R",'Mapa riesgos'!$A$55),"")</f>
        <v/>
      </c>
      <c r="M26" s="436"/>
      <c r="N26" s="436" t="str">
        <f>IF(AND('Mapa riesgos'!$M$61="Media",'Mapa riesgos'!$Q$61="Leve"),CONCATENATE("R",'Mapa riesgos'!$A$61),"")</f>
        <v/>
      </c>
      <c r="O26" s="437"/>
      <c r="P26" s="435" t="str">
        <f>IF(AND('Mapa riesgos'!$M$49="Media",'Mapa riesgos'!$Q$49="Menor"),CONCATENATE("R",'Mapa riesgos'!$A$49),"")</f>
        <v/>
      </c>
      <c r="Q26" s="436"/>
      <c r="R26" s="436" t="str">
        <f>IF(AND('Mapa riesgos'!$M$55="Media",'Mapa riesgos'!$Q$55="Menor"),CONCATENATE("R",'Mapa riesgos'!$A$55),"")</f>
        <v/>
      </c>
      <c r="S26" s="436"/>
      <c r="T26" s="436" t="str">
        <f>IF(AND('Mapa riesgos'!$M$61="Media",'Mapa riesgos'!$Q$61="Menor"),CONCATENATE("R",'Mapa riesgos'!$A$61),"")</f>
        <v/>
      </c>
      <c r="U26" s="437"/>
      <c r="V26" s="435" t="str">
        <f>IF(AND('Mapa riesgos'!$M$49="Media",'Mapa riesgos'!$Q$49="Moderado"),CONCATENATE("R",'Mapa riesgos'!$A$49),"")</f>
        <v/>
      </c>
      <c r="W26" s="436"/>
      <c r="X26" s="436" t="str">
        <f>IF(AND('Mapa riesgos'!$M$55="Media",'Mapa riesgos'!$Q$55="Moderado"),CONCATENATE("R",'Mapa riesgos'!$A$55),"")</f>
        <v/>
      </c>
      <c r="Y26" s="436"/>
      <c r="Z26" s="436" t="str">
        <f>IF(AND('Mapa riesgos'!$M$61="Media",'Mapa riesgos'!$Q$61="Moderado"),CONCATENATE("R",'Mapa riesgos'!$A$61),"")</f>
        <v/>
      </c>
      <c r="AA26" s="437"/>
      <c r="AB26" s="453" t="str">
        <f>IF(AND('Mapa riesgos'!$M$49="Media",'Mapa riesgos'!$Q$49="Mayor"),CONCATENATE("R",'Mapa riesgos'!$A$49),"")</f>
        <v/>
      </c>
      <c r="AC26" s="454"/>
      <c r="AD26" s="454" t="str">
        <f>IF(AND('Mapa riesgos'!$M$55="Media",'Mapa riesgos'!$Q$55="Mayor"),CONCATENATE("R",'Mapa riesgos'!$A$55),"")</f>
        <v/>
      </c>
      <c r="AE26" s="454"/>
      <c r="AF26" s="454" t="str">
        <f>IF(AND('Mapa riesgos'!$M$61="Media",'Mapa riesgos'!$Q$61="Mayor"),CONCATENATE("R",'Mapa riesgos'!$A$61),"")</f>
        <v/>
      </c>
      <c r="AG26" s="455"/>
      <c r="AH26" s="444" t="str">
        <f>IF(AND('Mapa riesgos'!$M$49="Media",'Mapa riesgos'!$Q$49="Catastrófico"),CONCATENATE("R",'Mapa riesgos'!$A$49),"")</f>
        <v/>
      </c>
      <c r="AI26" s="445"/>
      <c r="AJ26" s="445" t="str">
        <f>IF(AND('Mapa riesgos'!$M$55="Media",'Mapa riesgos'!$Q$55="Catastrófico"),CONCATENATE("R",'Mapa riesgos'!$A$55),"")</f>
        <v/>
      </c>
      <c r="AK26" s="445"/>
      <c r="AL26" s="445" t="str">
        <f>IF(AND('Mapa riesgos'!$M$61="Media",'Mapa riesgos'!$Q$61="Catastrófico"),CONCATENATE("R",'Mapa riesgos'!$A$61),"")</f>
        <v/>
      </c>
      <c r="AM26" s="446"/>
      <c r="AN26" s="66"/>
      <c r="AO26" s="496"/>
      <c r="AP26" s="497"/>
      <c r="AQ26" s="497"/>
      <c r="AR26" s="497"/>
      <c r="AS26" s="497"/>
      <c r="AT26" s="49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73"/>
      <c r="C27" s="473"/>
      <c r="D27" s="474"/>
      <c r="E27" s="466"/>
      <c r="F27" s="467"/>
      <c r="G27" s="467"/>
      <c r="H27" s="467"/>
      <c r="I27" s="468"/>
      <c r="J27" s="435"/>
      <c r="K27" s="436"/>
      <c r="L27" s="436"/>
      <c r="M27" s="436"/>
      <c r="N27" s="436"/>
      <c r="O27" s="437"/>
      <c r="P27" s="435"/>
      <c r="Q27" s="436"/>
      <c r="R27" s="436"/>
      <c r="S27" s="436"/>
      <c r="T27" s="436"/>
      <c r="U27" s="437"/>
      <c r="V27" s="435"/>
      <c r="W27" s="436"/>
      <c r="X27" s="436"/>
      <c r="Y27" s="436"/>
      <c r="Z27" s="436"/>
      <c r="AA27" s="437"/>
      <c r="AB27" s="453"/>
      <c r="AC27" s="454"/>
      <c r="AD27" s="454"/>
      <c r="AE27" s="454"/>
      <c r="AF27" s="454"/>
      <c r="AG27" s="455"/>
      <c r="AH27" s="444"/>
      <c r="AI27" s="445"/>
      <c r="AJ27" s="445"/>
      <c r="AK27" s="445"/>
      <c r="AL27" s="445"/>
      <c r="AM27" s="446"/>
      <c r="AN27" s="66"/>
      <c r="AO27" s="496"/>
      <c r="AP27" s="497"/>
      <c r="AQ27" s="497"/>
      <c r="AR27" s="497"/>
      <c r="AS27" s="497"/>
      <c r="AT27" s="498"/>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73"/>
      <c r="C28" s="473"/>
      <c r="D28" s="474"/>
      <c r="E28" s="466"/>
      <c r="F28" s="467"/>
      <c r="G28" s="467"/>
      <c r="H28" s="467"/>
      <c r="I28" s="468"/>
      <c r="J28" s="435" t="str">
        <f>IF(AND('Mapa riesgos'!$M$67="Media",'Mapa riesgos'!$Q$67="Leve"),CONCATENATE("R",'Mapa riesgos'!$A$67),"")</f>
        <v/>
      </c>
      <c r="K28" s="436"/>
      <c r="L28" s="436" t="str">
        <f>IF(AND('Mapa riesgos'!$M$73="Media",'Mapa riesgos'!$Q$73="Leve"),CONCATENATE("R",'Mapa riesgos'!$A$73),"")</f>
        <v/>
      </c>
      <c r="M28" s="436"/>
      <c r="N28" s="436" t="str">
        <f>IF(AND('Mapa riesgos'!$M$79="Media",'Mapa riesgos'!$Q$79="Leve"),CONCATENATE("R",'Mapa riesgos'!$A$79),"")</f>
        <v/>
      </c>
      <c r="O28" s="437"/>
      <c r="P28" s="435" t="str">
        <f>IF(AND('Mapa riesgos'!$M$67="Media",'Mapa riesgos'!$Q$67="Menor"),CONCATENATE("R",'Mapa riesgos'!$A$67),"")</f>
        <v/>
      </c>
      <c r="Q28" s="436"/>
      <c r="R28" s="436" t="str">
        <f>IF(AND('Mapa riesgos'!$M$73="Media",'Mapa riesgos'!$Q$73="Menor"),CONCATENATE("R",'Mapa riesgos'!$A$73),"")</f>
        <v/>
      </c>
      <c r="S28" s="436"/>
      <c r="T28" s="436" t="str">
        <f>IF(AND('Mapa riesgos'!$M$79="Media",'Mapa riesgos'!$Q$79="Menor"),CONCATENATE("R",'Mapa riesgos'!$A$79),"")</f>
        <v/>
      </c>
      <c r="U28" s="437"/>
      <c r="V28" s="435" t="str">
        <f>IF(AND('Mapa riesgos'!$M$67="Media",'Mapa riesgos'!$Q$67="Moderado"),CONCATENATE("R",'Mapa riesgos'!$A$67),"")</f>
        <v/>
      </c>
      <c r="W28" s="436"/>
      <c r="X28" s="436" t="str">
        <f>IF(AND('Mapa riesgos'!$M$73="Media",'Mapa riesgos'!$Q$73="Moderado"),CONCATENATE("R",'Mapa riesgos'!$A$73),"")</f>
        <v/>
      </c>
      <c r="Y28" s="436"/>
      <c r="Z28" s="436" t="str">
        <f>IF(AND('Mapa riesgos'!$M$79="Media",'Mapa riesgos'!$Q$79="Moderado"),CONCATENATE("R",'Mapa riesgos'!$A$79),"")</f>
        <v/>
      </c>
      <c r="AA28" s="437"/>
      <c r="AB28" s="453" t="str">
        <f>IF(AND('Mapa riesgos'!$M$67="Media",'Mapa riesgos'!$Q$67="Mayor"),CONCATENATE("R",'Mapa riesgos'!$A$67),"")</f>
        <v/>
      </c>
      <c r="AC28" s="454"/>
      <c r="AD28" s="454" t="str">
        <f>IF(AND('Mapa riesgos'!$M$73="Media",'Mapa riesgos'!$Q$73="Mayor"),CONCATENATE("R",'Mapa riesgos'!$A$73),"")</f>
        <v/>
      </c>
      <c r="AE28" s="454"/>
      <c r="AF28" s="454" t="str">
        <f>IF(AND('Mapa riesgos'!$M$79="Media",'Mapa riesgos'!$Q$79="Mayor"),CONCATENATE("R",'Mapa riesgos'!$A$79),"")</f>
        <v/>
      </c>
      <c r="AG28" s="455"/>
      <c r="AH28" s="444" t="str">
        <f>IF(AND('Mapa riesgos'!$M$67="Media",'Mapa riesgos'!$Q$67="Catastrófico"),CONCATENATE("R",'Mapa riesgos'!$A$67),"")</f>
        <v/>
      </c>
      <c r="AI28" s="445"/>
      <c r="AJ28" s="445" t="str">
        <f>IF(AND('Mapa riesgos'!$M$73="Media",'Mapa riesgos'!$Q$73="Catastrófico"),CONCATENATE("R",'Mapa riesgos'!$A$73),"")</f>
        <v/>
      </c>
      <c r="AK28" s="445"/>
      <c r="AL28" s="445" t="str">
        <f>IF(AND('Mapa riesgos'!$M$79="Media",'Mapa riesgos'!$Q$79="Catastrófico"),CONCATENATE("R",'Mapa riesgos'!$A$79),"")</f>
        <v/>
      </c>
      <c r="AM28" s="446"/>
      <c r="AN28" s="66"/>
      <c r="AO28" s="496"/>
      <c r="AP28" s="497"/>
      <c r="AQ28" s="497"/>
      <c r="AR28" s="497"/>
      <c r="AS28" s="497"/>
      <c r="AT28" s="498"/>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73"/>
      <c r="C29" s="473"/>
      <c r="D29" s="474"/>
      <c r="E29" s="469"/>
      <c r="F29" s="470"/>
      <c r="G29" s="470"/>
      <c r="H29" s="470"/>
      <c r="I29" s="471"/>
      <c r="J29" s="435"/>
      <c r="K29" s="436"/>
      <c r="L29" s="436"/>
      <c r="M29" s="436"/>
      <c r="N29" s="436"/>
      <c r="O29" s="437"/>
      <c r="P29" s="438"/>
      <c r="Q29" s="439"/>
      <c r="R29" s="439"/>
      <c r="S29" s="439"/>
      <c r="T29" s="439"/>
      <c r="U29" s="440"/>
      <c r="V29" s="438"/>
      <c r="W29" s="439"/>
      <c r="X29" s="439"/>
      <c r="Y29" s="439"/>
      <c r="Z29" s="439"/>
      <c r="AA29" s="440"/>
      <c r="AB29" s="456"/>
      <c r="AC29" s="457"/>
      <c r="AD29" s="457"/>
      <c r="AE29" s="457"/>
      <c r="AF29" s="457"/>
      <c r="AG29" s="458"/>
      <c r="AH29" s="447"/>
      <c r="AI29" s="448"/>
      <c r="AJ29" s="448"/>
      <c r="AK29" s="448"/>
      <c r="AL29" s="448"/>
      <c r="AM29" s="449"/>
      <c r="AN29" s="66"/>
      <c r="AO29" s="499"/>
      <c r="AP29" s="500"/>
      <c r="AQ29" s="500"/>
      <c r="AR29" s="500"/>
      <c r="AS29" s="500"/>
      <c r="AT29" s="50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73"/>
      <c r="C30" s="473"/>
      <c r="D30" s="474"/>
      <c r="E30" s="463" t="s">
        <v>182</v>
      </c>
      <c r="F30" s="464"/>
      <c r="G30" s="464"/>
      <c r="H30" s="464"/>
      <c r="I30" s="464"/>
      <c r="J30" s="432" t="str">
        <f>IF(AND('Mapa riesgos'!$M$13="Baja",'Mapa riesgos'!$Q$13="Leve"),CONCATENATE("R",'Mapa riesgos'!$A$13),"")</f>
        <v/>
      </c>
      <c r="K30" s="433"/>
      <c r="L30" s="433" t="str">
        <f>IF(AND('Mapa riesgos'!$M$19="Baja",'Mapa riesgos'!$Q$19="Leve"),CONCATENATE("R",'Mapa riesgos'!$A$19),"")</f>
        <v/>
      </c>
      <c r="M30" s="433"/>
      <c r="N30" s="433" t="str">
        <f>IF(AND('Mapa riesgos'!$M$25="Baja",'Mapa riesgos'!$Q$25="Leve"),CONCATENATE("R",'Mapa riesgos'!$A$25),"")</f>
        <v/>
      </c>
      <c r="O30" s="434"/>
      <c r="P30" s="442" t="str">
        <f>IF(AND('Mapa riesgos'!$M$13="Baja",'Mapa riesgos'!$Q$13="Menor"),CONCATENATE("R",'Mapa riesgos'!$A$13),"")</f>
        <v/>
      </c>
      <c r="Q30" s="442"/>
      <c r="R30" s="442" t="str">
        <f>IF(AND('Mapa riesgos'!$M$19="Baja",'Mapa riesgos'!$Q$19="Menor"),CONCATENATE("R",'Mapa riesgos'!$A$19),"")</f>
        <v/>
      </c>
      <c r="S30" s="442"/>
      <c r="T30" s="442" t="str">
        <f>IF(AND('Mapa riesgos'!$M$25="Baja",'Mapa riesgos'!$Q$25="Menor"),CONCATENATE("R",'Mapa riesgos'!$A$25),"")</f>
        <v/>
      </c>
      <c r="U30" s="443"/>
      <c r="V30" s="441" t="str">
        <f>IF(AND('Mapa riesgos'!$M$13="Baja",'Mapa riesgos'!$Q$13="Moderado"),CONCATENATE("R",'Mapa riesgos'!$A$13),"")</f>
        <v/>
      </c>
      <c r="W30" s="442"/>
      <c r="X30" s="442" t="str">
        <f>IF(AND('Mapa riesgos'!$M$19="Baja",'Mapa riesgos'!$Q$19="Moderado"),CONCATENATE("R",'Mapa riesgos'!$A$19),"")</f>
        <v/>
      </c>
      <c r="Y30" s="442"/>
      <c r="Z30" s="442" t="str">
        <f>IF(AND('Mapa riesgos'!$M$25="Baja",'Mapa riesgos'!$Q$25="Moderado"),CONCATENATE("R",'Mapa riesgos'!$A$25),"")</f>
        <v/>
      </c>
      <c r="AA30" s="443"/>
      <c r="AB30" s="459" t="str">
        <f>IF(AND('Mapa riesgos'!$M$13="Baja",'Mapa riesgos'!$Q$13="Mayor"),CONCATENATE("R",'Mapa riesgos'!$A$13),"")</f>
        <v/>
      </c>
      <c r="AC30" s="460"/>
      <c r="AD30" s="460" t="str">
        <f>IF(AND('Mapa riesgos'!$M$19="Baja",'Mapa riesgos'!$Q$19="Mayor"),CONCATENATE("R",'Mapa riesgos'!$A$19),"")</f>
        <v/>
      </c>
      <c r="AE30" s="460"/>
      <c r="AF30" s="460" t="str">
        <f>IF(AND('Mapa riesgos'!$M$25="Baja",'Mapa riesgos'!$Q$25="Mayor"),CONCATENATE("R",'Mapa riesgos'!$A$25),"")</f>
        <v/>
      </c>
      <c r="AG30" s="461"/>
      <c r="AH30" s="450" t="str">
        <f>IF(AND('Mapa riesgos'!$M$13="Baja",'Mapa riesgos'!$Q$13="Catastrófico"),CONCATENATE("R",'Mapa riesgos'!$A$13),"")</f>
        <v/>
      </c>
      <c r="AI30" s="451"/>
      <c r="AJ30" s="451" t="str">
        <f>IF(AND('Mapa riesgos'!$M$19="Baja",'Mapa riesgos'!$Q$19="Catastrófico"),CONCATENATE("R",'Mapa riesgos'!$A$19),"")</f>
        <v/>
      </c>
      <c r="AK30" s="451"/>
      <c r="AL30" s="451" t="str">
        <f>IF(AND('Mapa riesgos'!$M$25="Baja",'Mapa riesgos'!$Q$25="Catastrófico"),CONCATENATE("R",'Mapa riesgos'!$A$25),"")</f>
        <v/>
      </c>
      <c r="AM30" s="452"/>
      <c r="AN30" s="66"/>
      <c r="AO30" s="502" t="s">
        <v>183</v>
      </c>
      <c r="AP30" s="503"/>
      <c r="AQ30" s="503"/>
      <c r="AR30" s="503"/>
      <c r="AS30" s="503"/>
      <c r="AT30" s="504"/>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73"/>
      <c r="C31" s="473"/>
      <c r="D31" s="474"/>
      <c r="E31" s="466"/>
      <c r="F31" s="467"/>
      <c r="G31" s="467"/>
      <c r="H31" s="467"/>
      <c r="I31" s="467"/>
      <c r="J31" s="426"/>
      <c r="K31" s="427"/>
      <c r="L31" s="427"/>
      <c r="M31" s="427"/>
      <c r="N31" s="427"/>
      <c r="O31" s="428"/>
      <c r="P31" s="436"/>
      <c r="Q31" s="436"/>
      <c r="R31" s="436"/>
      <c r="S31" s="436"/>
      <c r="T31" s="436"/>
      <c r="U31" s="437"/>
      <c r="V31" s="435"/>
      <c r="W31" s="436"/>
      <c r="X31" s="436"/>
      <c r="Y31" s="436"/>
      <c r="Z31" s="436"/>
      <c r="AA31" s="437"/>
      <c r="AB31" s="453"/>
      <c r="AC31" s="454"/>
      <c r="AD31" s="454"/>
      <c r="AE31" s="454"/>
      <c r="AF31" s="454"/>
      <c r="AG31" s="455"/>
      <c r="AH31" s="444"/>
      <c r="AI31" s="445"/>
      <c r="AJ31" s="445"/>
      <c r="AK31" s="445"/>
      <c r="AL31" s="445"/>
      <c r="AM31" s="446"/>
      <c r="AN31" s="66"/>
      <c r="AO31" s="505"/>
      <c r="AP31" s="506"/>
      <c r="AQ31" s="506"/>
      <c r="AR31" s="506"/>
      <c r="AS31" s="506"/>
      <c r="AT31" s="50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73"/>
      <c r="C32" s="473"/>
      <c r="D32" s="474"/>
      <c r="E32" s="466"/>
      <c r="F32" s="467"/>
      <c r="G32" s="467"/>
      <c r="H32" s="467"/>
      <c r="I32" s="467"/>
      <c r="J32" s="426" t="str">
        <f>IF(AND('Mapa riesgos'!$M$31="Baja",'Mapa riesgos'!$Q$31="Leve"),CONCATENATE("R",'Mapa riesgos'!$A$31),"")</f>
        <v/>
      </c>
      <c r="K32" s="427"/>
      <c r="L32" s="427" t="str">
        <f>IF(AND('Mapa riesgos'!$M$37="Baja",'Mapa riesgos'!$Q$37="Leve"),CONCATENATE("R",'Mapa riesgos'!$A$37),"")</f>
        <v/>
      </c>
      <c r="M32" s="427"/>
      <c r="N32" s="427" t="str">
        <f>IF(AND('Mapa riesgos'!$M$43="Baja",'Mapa riesgos'!$Q$43="Leve"),CONCATENATE("R",'Mapa riesgos'!$A$43),"")</f>
        <v/>
      </c>
      <c r="O32" s="428"/>
      <c r="P32" s="436" t="str">
        <f>IF(AND('Mapa riesgos'!$M$31="Baja",'Mapa riesgos'!$Q$31="Menor"),CONCATENATE("R",'Mapa riesgos'!$A$31),"")</f>
        <v/>
      </c>
      <c r="Q32" s="436"/>
      <c r="R32" s="436" t="str">
        <f>IF(AND('Mapa riesgos'!$M$37="Baja",'Mapa riesgos'!$Q$37="Menor"),CONCATENATE("R",'Mapa riesgos'!$A$37),"")</f>
        <v/>
      </c>
      <c r="S32" s="436"/>
      <c r="T32" s="436" t="str">
        <f>IF(AND('Mapa riesgos'!$M$43="Baja",'Mapa riesgos'!$Q$43="Menor"),CONCATENATE("R",'Mapa riesgos'!$A$43),"")</f>
        <v/>
      </c>
      <c r="U32" s="437"/>
      <c r="V32" s="435" t="str">
        <f>IF(AND('Mapa riesgos'!$M$31="Baja",'Mapa riesgos'!$Q$31="Moderado"),CONCATENATE("R",'Mapa riesgos'!$A$31),"")</f>
        <v/>
      </c>
      <c r="W32" s="436"/>
      <c r="X32" s="436" t="str">
        <f>IF(AND('Mapa riesgos'!$M$37="Baja",'Mapa riesgos'!$Q$37="Moderado"),CONCATENATE("R",'Mapa riesgos'!$A$37),"")</f>
        <v/>
      </c>
      <c r="Y32" s="436"/>
      <c r="Z32" s="436" t="str">
        <f>IF(AND('Mapa riesgos'!$M$43="Baja",'Mapa riesgos'!$Q$43="Moderado"),CONCATENATE("R",'Mapa riesgos'!$A$43),"")</f>
        <v/>
      </c>
      <c r="AA32" s="437"/>
      <c r="AB32" s="453" t="str">
        <f>IF(AND('Mapa riesgos'!$M$31="Baja",'Mapa riesgos'!$Q$31="Mayor"),CONCATENATE("R",'Mapa riesgos'!$A$31),"")</f>
        <v/>
      </c>
      <c r="AC32" s="454"/>
      <c r="AD32" s="454" t="str">
        <f>IF(AND('Mapa riesgos'!$M$37="Baja",'Mapa riesgos'!$Q$37="Mayor"),CONCATENATE("R",'Mapa riesgos'!$A$37),"")</f>
        <v/>
      </c>
      <c r="AE32" s="454"/>
      <c r="AF32" s="454" t="str">
        <f>IF(AND('Mapa riesgos'!$M$43="Baja",'Mapa riesgos'!$Q$43="Mayor"),CONCATENATE("R",'Mapa riesgos'!$A$43),"")</f>
        <v/>
      </c>
      <c r="AG32" s="455"/>
      <c r="AH32" s="444" t="str">
        <f>IF(AND('Mapa riesgos'!$M$31="Baja",'Mapa riesgos'!$Q$31="Catastrófico"),CONCATENATE("R",'Mapa riesgos'!$A$31),"")</f>
        <v/>
      </c>
      <c r="AI32" s="445"/>
      <c r="AJ32" s="445" t="str">
        <f>IF(AND('Mapa riesgos'!$M$37="Baja",'Mapa riesgos'!$Q$37="Catastrófico"),CONCATENATE("R",'Mapa riesgos'!$A$37),"")</f>
        <v/>
      </c>
      <c r="AK32" s="445"/>
      <c r="AL32" s="445" t="str">
        <f>IF(AND('Mapa riesgos'!$M$43="Baja",'Mapa riesgos'!$Q$43="Catastrófico"),CONCATENATE("R",'Mapa riesgos'!$A$43),"")</f>
        <v/>
      </c>
      <c r="AM32" s="446"/>
      <c r="AN32" s="66"/>
      <c r="AO32" s="505"/>
      <c r="AP32" s="506"/>
      <c r="AQ32" s="506"/>
      <c r="AR32" s="506"/>
      <c r="AS32" s="506"/>
      <c r="AT32" s="50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73"/>
      <c r="C33" s="473"/>
      <c r="D33" s="474"/>
      <c r="E33" s="466"/>
      <c r="F33" s="467"/>
      <c r="G33" s="467"/>
      <c r="H33" s="467"/>
      <c r="I33" s="467"/>
      <c r="J33" s="426"/>
      <c r="K33" s="427"/>
      <c r="L33" s="427"/>
      <c r="M33" s="427"/>
      <c r="N33" s="427"/>
      <c r="O33" s="428"/>
      <c r="P33" s="436"/>
      <c r="Q33" s="436"/>
      <c r="R33" s="436"/>
      <c r="S33" s="436"/>
      <c r="T33" s="436"/>
      <c r="U33" s="437"/>
      <c r="V33" s="435"/>
      <c r="W33" s="436"/>
      <c r="X33" s="436"/>
      <c r="Y33" s="436"/>
      <c r="Z33" s="436"/>
      <c r="AA33" s="437"/>
      <c r="AB33" s="453"/>
      <c r="AC33" s="454"/>
      <c r="AD33" s="454"/>
      <c r="AE33" s="454"/>
      <c r="AF33" s="454"/>
      <c r="AG33" s="455"/>
      <c r="AH33" s="444"/>
      <c r="AI33" s="445"/>
      <c r="AJ33" s="445"/>
      <c r="AK33" s="445"/>
      <c r="AL33" s="445"/>
      <c r="AM33" s="446"/>
      <c r="AN33" s="66"/>
      <c r="AO33" s="505"/>
      <c r="AP33" s="506"/>
      <c r="AQ33" s="506"/>
      <c r="AR33" s="506"/>
      <c r="AS33" s="506"/>
      <c r="AT33" s="50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73"/>
      <c r="C34" s="473"/>
      <c r="D34" s="474"/>
      <c r="E34" s="466"/>
      <c r="F34" s="467"/>
      <c r="G34" s="467"/>
      <c r="H34" s="467"/>
      <c r="I34" s="467"/>
      <c r="J34" s="426" t="str">
        <f>IF(AND('Mapa riesgos'!$M$49="Baja",'Mapa riesgos'!$Q$49="Leve"),CONCATENATE("R",'Mapa riesgos'!$A$49),"")</f>
        <v/>
      </c>
      <c r="K34" s="427"/>
      <c r="L34" s="427" t="str">
        <f>IF(AND('Mapa riesgos'!$M$55="Baja",'Mapa riesgos'!$Q$55="Leve"),CONCATENATE("R",'Mapa riesgos'!$A$55),"")</f>
        <v/>
      </c>
      <c r="M34" s="427"/>
      <c r="N34" s="427" t="str">
        <f>IF(AND('Mapa riesgos'!$M$61="Baja",'Mapa riesgos'!$Q$61="Leve"),CONCATENATE("R",'Mapa riesgos'!$A$61),"")</f>
        <v/>
      </c>
      <c r="O34" s="428"/>
      <c r="P34" s="436" t="str">
        <f>IF(AND('Mapa riesgos'!$M$49="Baja",'Mapa riesgos'!$Q$49="Menor"),CONCATENATE("R",'Mapa riesgos'!$A$49),"")</f>
        <v/>
      </c>
      <c r="Q34" s="436"/>
      <c r="R34" s="436" t="str">
        <f>IF(AND('Mapa riesgos'!$M$55="Baja",'Mapa riesgos'!$Q$55="Menor"),CONCATENATE("R",'Mapa riesgos'!$A$55),"")</f>
        <v/>
      </c>
      <c r="S34" s="436"/>
      <c r="T34" s="436" t="str">
        <f>IF(AND('Mapa riesgos'!$M$61="Baja",'Mapa riesgos'!$Q$61="Menor"),CONCATENATE("R",'Mapa riesgos'!$A$61),"")</f>
        <v/>
      </c>
      <c r="U34" s="437"/>
      <c r="V34" s="435" t="str">
        <f>IF(AND('Mapa riesgos'!$M$49="Baja",'Mapa riesgos'!$Q$49="Moderado"),CONCATENATE("R",'Mapa riesgos'!$A$49),"")</f>
        <v/>
      </c>
      <c r="W34" s="436"/>
      <c r="X34" s="436" t="str">
        <f>IF(AND('Mapa riesgos'!$M$55="Baja",'Mapa riesgos'!$Q$55="Moderado"),CONCATENATE("R",'Mapa riesgos'!$A$55),"")</f>
        <v/>
      </c>
      <c r="Y34" s="436"/>
      <c r="Z34" s="436" t="str">
        <f>IF(AND('Mapa riesgos'!$M$61="Baja",'Mapa riesgos'!$Q$61="Moderado"),CONCATENATE("R",'Mapa riesgos'!$A$61),"")</f>
        <v/>
      </c>
      <c r="AA34" s="437"/>
      <c r="AB34" s="453" t="str">
        <f>IF(AND('Mapa riesgos'!$M$49="Baja",'Mapa riesgos'!$Q$49="Mayor"),CONCATENATE("R",'Mapa riesgos'!$A$49),"")</f>
        <v/>
      </c>
      <c r="AC34" s="454"/>
      <c r="AD34" s="454" t="str">
        <f>IF(AND('Mapa riesgos'!$M$55="Baja",'Mapa riesgos'!$Q$55="Mayor"),CONCATENATE("R",'Mapa riesgos'!$A$55),"")</f>
        <v/>
      </c>
      <c r="AE34" s="454"/>
      <c r="AF34" s="454" t="str">
        <f>IF(AND('Mapa riesgos'!$M$61="Baja",'Mapa riesgos'!$Q$61="Mayor"),CONCATENATE("R",'Mapa riesgos'!$A$61),"")</f>
        <v/>
      </c>
      <c r="AG34" s="455"/>
      <c r="AH34" s="444" t="str">
        <f>IF(AND('Mapa riesgos'!$M$49="Baja",'Mapa riesgos'!$Q$49="Catastrófico"),CONCATENATE("R",'Mapa riesgos'!$A$49),"")</f>
        <v/>
      </c>
      <c r="AI34" s="445"/>
      <c r="AJ34" s="445" t="str">
        <f>IF(AND('Mapa riesgos'!$M$55="Baja",'Mapa riesgos'!$Q$55="Catastrófico"),CONCATENATE("R",'Mapa riesgos'!$A$55),"")</f>
        <v/>
      </c>
      <c r="AK34" s="445"/>
      <c r="AL34" s="445" t="str">
        <f>IF(AND('Mapa riesgos'!$M$61="Baja",'Mapa riesgos'!$Q$61="Catastrófico"),CONCATENATE("R",'Mapa riesgos'!$A$61),"")</f>
        <v/>
      </c>
      <c r="AM34" s="446"/>
      <c r="AN34" s="66"/>
      <c r="AO34" s="505"/>
      <c r="AP34" s="506"/>
      <c r="AQ34" s="506"/>
      <c r="AR34" s="506"/>
      <c r="AS34" s="506"/>
      <c r="AT34" s="50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73"/>
      <c r="C35" s="473"/>
      <c r="D35" s="474"/>
      <c r="E35" s="466"/>
      <c r="F35" s="467"/>
      <c r="G35" s="467"/>
      <c r="H35" s="467"/>
      <c r="I35" s="467"/>
      <c r="J35" s="426"/>
      <c r="K35" s="427"/>
      <c r="L35" s="427"/>
      <c r="M35" s="427"/>
      <c r="N35" s="427"/>
      <c r="O35" s="428"/>
      <c r="P35" s="436"/>
      <c r="Q35" s="436"/>
      <c r="R35" s="436"/>
      <c r="S35" s="436"/>
      <c r="T35" s="436"/>
      <c r="U35" s="437"/>
      <c r="V35" s="435"/>
      <c r="W35" s="436"/>
      <c r="X35" s="436"/>
      <c r="Y35" s="436"/>
      <c r="Z35" s="436"/>
      <c r="AA35" s="437"/>
      <c r="AB35" s="453"/>
      <c r="AC35" s="454"/>
      <c r="AD35" s="454"/>
      <c r="AE35" s="454"/>
      <c r="AF35" s="454"/>
      <c r="AG35" s="455"/>
      <c r="AH35" s="444"/>
      <c r="AI35" s="445"/>
      <c r="AJ35" s="445"/>
      <c r="AK35" s="445"/>
      <c r="AL35" s="445"/>
      <c r="AM35" s="446"/>
      <c r="AN35" s="66"/>
      <c r="AO35" s="505"/>
      <c r="AP35" s="506"/>
      <c r="AQ35" s="506"/>
      <c r="AR35" s="506"/>
      <c r="AS35" s="506"/>
      <c r="AT35" s="507"/>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73"/>
      <c r="C36" s="473"/>
      <c r="D36" s="474"/>
      <c r="E36" s="466"/>
      <c r="F36" s="467"/>
      <c r="G36" s="467"/>
      <c r="H36" s="467"/>
      <c r="I36" s="467"/>
      <c r="J36" s="426" t="str">
        <f>IF(AND('Mapa riesgos'!$M$67="Baja",'Mapa riesgos'!$Q$67="Leve"),CONCATENATE("R",'Mapa riesgos'!$A$67),"")</f>
        <v/>
      </c>
      <c r="K36" s="427"/>
      <c r="L36" s="427" t="str">
        <f>IF(AND('Mapa riesgos'!$M$73="Baja",'Mapa riesgos'!$Q$73="Leve"),CONCATENATE("R",'Mapa riesgos'!$A$73),"")</f>
        <v/>
      </c>
      <c r="M36" s="427"/>
      <c r="N36" s="427" t="str">
        <f>IF(AND('Mapa riesgos'!$M$79="Baja",'Mapa riesgos'!$Q$79="Leve"),CONCATENATE("R",'Mapa riesgos'!$A$79),"")</f>
        <v/>
      </c>
      <c r="O36" s="428"/>
      <c r="P36" s="436" t="str">
        <f>IF(AND('Mapa riesgos'!$M$67="Baja",'Mapa riesgos'!$Q$67="Menor"),CONCATENATE("R",'Mapa riesgos'!$A$67),"")</f>
        <v/>
      </c>
      <c r="Q36" s="436"/>
      <c r="R36" s="436" t="str">
        <f>IF(AND('Mapa riesgos'!$M$73="Baja",'Mapa riesgos'!$Q$73="Menor"),CONCATENATE("R",'Mapa riesgos'!$A$73),"")</f>
        <v/>
      </c>
      <c r="S36" s="436"/>
      <c r="T36" s="436" t="str">
        <f>IF(AND('Mapa riesgos'!$M$79="Baja",'Mapa riesgos'!$Q$79="Menor"),CONCATENATE("R",'Mapa riesgos'!$A$79),"")</f>
        <v/>
      </c>
      <c r="U36" s="437"/>
      <c r="V36" s="435" t="str">
        <f>IF(AND('Mapa riesgos'!$M$67="Baja",'Mapa riesgos'!$Q$67="Moderado"),CONCATENATE("R",'Mapa riesgos'!$A$67),"")</f>
        <v/>
      </c>
      <c r="W36" s="436"/>
      <c r="X36" s="436" t="str">
        <f>IF(AND('Mapa riesgos'!$M$73="Baja",'Mapa riesgos'!$Q$73="Moderado"),CONCATENATE("R",'Mapa riesgos'!$A$73),"")</f>
        <v/>
      </c>
      <c r="Y36" s="436"/>
      <c r="Z36" s="436" t="str">
        <f>IF(AND('Mapa riesgos'!$M$79="Baja",'Mapa riesgos'!$Q$79="Moderado"),CONCATENATE("R",'Mapa riesgos'!$A$79),"")</f>
        <v/>
      </c>
      <c r="AA36" s="437"/>
      <c r="AB36" s="453" t="str">
        <f>IF(AND('Mapa riesgos'!$M$67="Baja",'Mapa riesgos'!$Q$67="Mayor"),CONCATENATE("R",'Mapa riesgos'!$A$67),"")</f>
        <v/>
      </c>
      <c r="AC36" s="454"/>
      <c r="AD36" s="454" t="str">
        <f>IF(AND('Mapa riesgos'!$M$73="Baja",'Mapa riesgos'!$Q$73="Mayor"),CONCATENATE("R",'Mapa riesgos'!$A$73),"")</f>
        <v/>
      </c>
      <c r="AE36" s="454"/>
      <c r="AF36" s="454" t="str">
        <f>IF(AND('Mapa riesgos'!$M$79="Baja",'Mapa riesgos'!$Q$79="Mayor"),CONCATENATE("R",'Mapa riesgos'!$A$79),"")</f>
        <v/>
      </c>
      <c r="AG36" s="455"/>
      <c r="AH36" s="444" t="str">
        <f>IF(AND('Mapa riesgos'!$M$67="Baja",'Mapa riesgos'!$Q$67="Catastrófico"),CONCATENATE("R",'Mapa riesgos'!$A$67),"")</f>
        <v/>
      </c>
      <c r="AI36" s="445"/>
      <c r="AJ36" s="445" t="str">
        <f>IF(AND('Mapa riesgos'!$M$73="Baja",'Mapa riesgos'!$Q$73="Catastrófico"),CONCATENATE("R",'Mapa riesgos'!$A$73),"")</f>
        <v/>
      </c>
      <c r="AK36" s="445"/>
      <c r="AL36" s="445" t="str">
        <f>IF(AND('Mapa riesgos'!$M$79="Baja",'Mapa riesgos'!$Q$79="Catastrófico"),CONCATENATE("R",'Mapa riesgos'!$A$79),"")</f>
        <v/>
      </c>
      <c r="AM36" s="446"/>
      <c r="AN36" s="66"/>
      <c r="AO36" s="505"/>
      <c r="AP36" s="506"/>
      <c r="AQ36" s="506"/>
      <c r="AR36" s="506"/>
      <c r="AS36" s="506"/>
      <c r="AT36" s="50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73"/>
      <c r="C37" s="473"/>
      <c r="D37" s="474"/>
      <c r="E37" s="469"/>
      <c r="F37" s="470"/>
      <c r="G37" s="470"/>
      <c r="H37" s="470"/>
      <c r="I37" s="470"/>
      <c r="J37" s="429"/>
      <c r="K37" s="430"/>
      <c r="L37" s="430"/>
      <c r="M37" s="430"/>
      <c r="N37" s="430"/>
      <c r="O37" s="431"/>
      <c r="P37" s="439"/>
      <c r="Q37" s="439"/>
      <c r="R37" s="439"/>
      <c r="S37" s="439"/>
      <c r="T37" s="439"/>
      <c r="U37" s="440"/>
      <c r="V37" s="438"/>
      <c r="W37" s="439"/>
      <c r="X37" s="439"/>
      <c r="Y37" s="439"/>
      <c r="Z37" s="439"/>
      <c r="AA37" s="440"/>
      <c r="AB37" s="456"/>
      <c r="AC37" s="457"/>
      <c r="AD37" s="457"/>
      <c r="AE37" s="457"/>
      <c r="AF37" s="457"/>
      <c r="AG37" s="458"/>
      <c r="AH37" s="447"/>
      <c r="AI37" s="448"/>
      <c r="AJ37" s="448"/>
      <c r="AK37" s="448"/>
      <c r="AL37" s="448"/>
      <c r="AM37" s="449"/>
      <c r="AN37" s="66"/>
      <c r="AO37" s="508"/>
      <c r="AP37" s="509"/>
      <c r="AQ37" s="509"/>
      <c r="AR37" s="509"/>
      <c r="AS37" s="509"/>
      <c r="AT37" s="51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73"/>
      <c r="C38" s="473"/>
      <c r="D38" s="474"/>
      <c r="E38" s="463" t="s">
        <v>184</v>
      </c>
      <c r="F38" s="464"/>
      <c r="G38" s="464"/>
      <c r="H38" s="464"/>
      <c r="I38" s="465"/>
      <c r="J38" s="432" t="str">
        <f>IF(AND('Mapa riesgos'!$M$13="Muy Baja",'Mapa riesgos'!$Q$13="Leve"),CONCATENATE("R",'Mapa riesgos'!$A$13),"")</f>
        <v/>
      </c>
      <c r="K38" s="433"/>
      <c r="L38" s="433" t="str">
        <f>IF(AND('Mapa riesgos'!$M$19="Muy Baja",'Mapa riesgos'!$Q$19="Leve"),CONCATENATE("R",'Mapa riesgos'!$A$19),"")</f>
        <v/>
      </c>
      <c r="M38" s="433"/>
      <c r="N38" s="433" t="str">
        <f>IF(AND('Mapa riesgos'!$M$25="Muy Baja",'Mapa riesgos'!$Q$25="Leve"),CONCATENATE("R",'Mapa riesgos'!$A$25),"")</f>
        <v/>
      </c>
      <c r="O38" s="434"/>
      <c r="P38" s="432" t="str">
        <f>IF(AND('Mapa riesgos'!$M$13="Muy Baja",'Mapa riesgos'!$Q$13="Menor"),CONCATENATE("R",'Mapa riesgos'!$A$13),"")</f>
        <v/>
      </c>
      <c r="Q38" s="433"/>
      <c r="R38" s="433" t="str">
        <f>IF(AND('Mapa riesgos'!$M$19="Muy Baja",'Mapa riesgos'!$Q$19="Menor"),CONCATENATE("R",'Mapa riesgos'!$A$19),"")</f>
        <v/>
      </c>
      <c r="S38" s="433"/>
      <c r="T38" s="433" t="str">
        <f>IF(AND('Mapa riesgos'!$M$25="Muy Baja",'Mapa riesgos'!$Q$25="Menor"),CONCATENATE("R",'Mapa riesgos'!$A$25),"")</f>
        <v/>
      </c>
      <c r="U38" s="434"/>
      <c r="V38" s="441" t="str">
        <f>IF(AND('Mapa riesgos'!$M$13="Muy Baja",'Mapa riesgos'!$Q$13="Moderado"),CONCATENATE("R",'Mapa riesgos'!$A$13),"")</f>
        <v/>
      </c>
      <c r="W38" s="442"/>
      <c r="X38" s="442" t="str">
        <f>IF(AND('Mapa riesgos'!$M$19="Muy Baja",'Mapa riesgos'!$Q$19="Moderado"),CONCATENATE("R",'Mapa riesgos'!$A$19),"")</f>
        <v/>
      </c>
      <c r="Y38" s="442"/>
      <c r="Z38" s="442" t="str">
        <f>IF(AND('Mapa riesgos'!$M$25="Muy Baja",'Mapa riesgos'!$Q$25="Moderado"),CONCATENATE("R",'Mapa riesgos'!$A$25),"")</f>
        <v/>
      </c>
      <c r="AA38" s="443"/>
      <c r="AB38" s="459" t="str">
        <f>IF(AND('Mapa riesgos'!$M$13="Muy Baja",'Mapa riesgos'!$Q$13="Mayor"),CONCATENATE("R",'Mapa riesgos'!$A$13),"")</f>
        <v/>
      </c>
      <c r="AC38" s="460"/>
      <c r="AD38" s="460" t="str">
        <f>IF(AND('Mapa riesgos'!$M$19="Muy Baja",'Mapa riesgos'!$Q$19="Mayor"),CONCATENATE("R",'Mapa riesgos'!$A$19),"")</f>
        <v/>
      </c>
      <c r="AE38" s="460"/>
      <c r="AF38" s="460" t="str">
        <f>IF(AND('Mapa riesgos'!$M$25="Muy Baja",'Mapa riesgos'!$Q$25="Mayor"),CONCATENATE("R",'Mapa riesgos'!$A$25),"")</f>
        <v/>
      </c>
      <c r="AG38" s="461"/>
      <c r="AH38" s="450" t="str">
        <f>IF(AND('Mapa riesgos'!$M$13="Muy Baja",'Mapa riesgos'!$Q$13="Catastrófico"),CONCATENATE("R",'Mapa riesgos'!$A$13),"")</f>
        <v/>
      </c>
      <c r="AI38" s="451"/>
      <c r="AJ38" s="451" t="str">
        <f>IF(AND('Mapa riesgos'!$M$19="Muy Baja",'Mapa riesgos'!$Q$19="Catastrófico"),CONCATENATE("R",'Mapa riesgos'!$A$19),"")</f>
        <v/>
      </c>
      <c r="AK38" s="451"/>
      <c r="AL38" s="451" t="str">
        <f>IF(AND('Mapa riesgos'!$M$25="Muy Baja",'Mapa riesgos'!$Q$25="Catastrófico"),CONCATENATE("R",'Mapa riesgos'!$A$25),"")</f>
        <v/>
      </c>
      <c r="AM38" s="45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73"/>
      <c r="C39" s="473"/>
      <c r="D39" s="474"/>
      <c r="E39" s="466"/>
      <c r="F39" s="467"/>
      <c r="G39" s="467"/>
      <c r="H39" s="467"/>
      <c r="I39" s="468"/>
      <c r="J39" s="426"/>
      <c r="K39" s="427"/>
      <c r="L39" s="427"/>
      <c r="M39" s="427"/>
      <c r="N39" s="427"/>
      <c r="O39" s="428"/>
      <c r="P39" s="426"/>
      <c r="Q39" s="427"/>
      <c r="R39" s="427"/>
      <c r="S39" s="427"/>
      <c r="T39" s="427"/>
      <c r="U39" s="428"/>
      <c r="V39" s="435"/>
      <c r="W39" s="436"/>
      <c r="X39" s="436"/>
      <c r="Y39" s="436"/>
      <c r="Z39" s="436"/>
      <c r="AA39" s="437"/>
      <c r="AB39" s="453"/>
      <c r="AC39" s="454"/>
      <c r="AD39" s="454"/>
      <c r="AE39" s="454"/>
      <c r="AF39" s="454"/>
      <c r="AG39" s="455"/>
      <c r="AH39" s="444"/>
      <c r="AI39" s="445"/>
      <c r="AJ39" s="445"/>
      <c r="AK39" s="445"/>
      <c r="AL39" s="445"/>
      <c r="AM39" s="44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73"/>
      <c r="C40" s="473"/>
      <c r="D40" s="474"/>
      <c r="E40" s="466"/>
      <c r="F40" s="467"/>
      <c r="G40" s="467"/>
      <c r="H40" s="467"/>
      <c r="I40" s="468"/>
      <c r="J40" s="426" t="str">
        <f>IF(AND('Mapa riesgos'!$M$31="Muy Baja",'Mapa riesgos'!$Q$31="Leve"),CONCATENATE("R",'Mapa riesgos'!$A$31),"")</f>
        <v/>
      </c>
      <c r="K40" s="427"/>
      <c r="L40" s="427" t="str">
        <f>IF(AND('Mapa riesgos'!$M$37="Muy Baja",'Mapa riesgos'!$Q$37="Leve"),CONCATENATE("R",'Mapa riesgos'!$A$37),"")</f>
        <v/>
      </c>
      <c r="M40" s="427"/>
      <c r="N40" s="427" t="str">
        <f>IF(AND('Mapa riesgos'!$M$43="Muy Baja",'Mapa riesgos'!$Q$43="Leve"),CONCATENATE("R",'Mapa riesgos'!$A$43),"")</f>
        <v/>
      </c>
      <c r="O40" s="428"/>
      <c r="P40" s="426" t="str">
        <f>IF(AND('Mapa riesgos'!$M$31="Muy Baja",'Mapa riesgos'!$Q$31="Menor"),CONCATENATE("R",'Mapa riesgos'!$A$31),"")</f>
        <v/>
      </c>
      <c r="Q40" s="427"/>
      <c r="R40" s="427" t="str">
        <f>IF(AND('Mapa riesgos'!$M$37="Muy Baja",'Mapa riesgos'!$Q$37="Menor"),CONCATENATE("R",'Mapa riesgos'!$A$37),"")</f>
        <v/>
      </c>
      <c r="S40" s="427"/>
      <c r="T40" s="427" t="str">
        <f>IF(AND('Mapa riesgos'!$M$43="Muy Baja",'Mapa riesgos'!$Q$43="Menor"),CONCATENATE("R",'Mapa riesgos'!$A$43),"")</f>
        <v/>
      </c>
      <c r="U40" s="428"/>
      <c r="V40" s="435" t="str">
        <f>IF(AND('Mapa riesgos'!$M$31="Muy Baja",'Mapa riesgos'!$Q$31="Moderado"),CONCATENATE("R",'Mapa riesgos'!$A$31),"")</f>
        <v/>
      </c>
      <c r="W40" s="436"/>
      <c r="X40" s="436" t="str">
        <f>IF(AND('Mapa riesgos'!$M$37="Muy Baja",'Mapa riesgos'!$Q$37="Moderado"),CONCATENATE("R",'Mapa riesgos'!$A$37),"")</f>
        <v/>
      </c>
      <c r="Y40" s="436"/>
      <c r="Z40" s="436" t="str">
        <f>IF(AND('Mapa riesgos'!$M$43="Muy Baja",'Mapa riesgos'!$Q$43="Moderado"),CONCATENATE("R",'Mapa riesgos'!$A$43),"")</f>
        <v/>
      </c>
      <c r="AA40" s="437"/>
      <c r="AB40" s="453" t="str">
        <f>IF(AND('Mapa riesgos'!$M$31="Muy Baja",'Mapa riesgos'!$Q$31="Mayor"),CONCATENATE("R",'Mapa riesgos'!$A$31),"")</f>
        <v/>
      </c>
      <c r="AC40" s="454"/>
      <c r="AD40" s="454" t="str">
        <f>IF(AND('Mapa riesgos'!$M$37="Muy Baja",'Mapa riesgos'!$Q$37="Mayor"),CONCATENATE("R",'Mapa riesgos'!$A$37),"")</f>
        <v/>
      </c>
      <c r="AE40" s="454"/>
      <c r="AF40" s="454" t="str">
        <f>IF(AND('Mapa riesgos'!$M$43="Muy Baja",'Mapa riesgos'!$Q$43="Mayor"),CONCATENATE("R",'Mapa riesgos'!$A$43),"")</f>
        <v/>
      </c>
      <c r="AG40" s="455"/>
      <c r="AH40" s="444" t="str">
        <f>IF(AND('Mapa riesgos'!$M$31="Muy Baja",'Mapa riesgos'!$Q$31="Catastrófico"),CONCATENATE("R",'Mapa riesgos'!$A$31),"")</f>
        <v/>
      </c>
      <c r="AI40" s="445"/>
      <c r="AJ40" s="445" t="str">
        <f>IF(AND('Mapa riesgos'!$M$37="Muy Baja",'Mapa riesgos'!$Q$37="Catastrófico"),CONCATENATE("R",'Mapa riesgos'!$A$37),"")</f>
        <v/>
      </c>
      <c r="AK40" s="445"/>
      <c r="AL40" s="445" t="str">
        <f>IF(AND('Mapa riesgos'!$M$43="Muy Baja",'Mapa riesgos'!$Q$43="Catastrófico"),CONCATENATE("R",'Mapa riesgos'!$A$43),"")</f>
        <v/>
      </c>
      <c r="AM40" s="44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73"/>
      <c r="C41" s="473"/>
      <c r="D41" s="474"/>
      <c r="E41" s="466"/>
      <c r="F41" s="467"/>
      <c r="G41" s="467"/>
      <c r="H41" s="467"/>
      <c r="I41" s="468"/>
      <c r="J41" s="426"/>
      <c r="K41" s="427"/>
      <c r="L41" s="427"/>
      <c r="M41" s="427"/>
      <c r="N41" s="427"/>
      <c r="O41" s="428"/>
      <c r="P41" s="426"/>
      <c r="Q41" s="427"/>
      <c r="R41" s="427"/>
      <c r="S41" s="427"/>
      <c r="T41" s="427"/>
      <c r="U41" s="428"/>
      <c r="V41" s="435"/>
      <c r="W41" s="436"/>
      <c r="X41" s="436"/>
      <c r="Y41" s="436"/>
      <c r="Z41" s="436"/>
      <c r="AA41" s="437"/>
      <c r="AB41" s="453"/>
      <c r="AC41" s="454"/>
      <c r="AD41" s="454"/>
      <c r="AE41" s="454"/>
      <c r="AF41" s="454"/>
      <c r="AG41" s="455"/>
      <c r="AH41" s="444"/>
      <c r="AI41" s="445"/>
      <c r="AJ41" s="445"/>
      <c r="AK41" s="445"/>
      <c r="AL41" s="445"/>
      <c r="AM41" s="44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73"/>
      <c r="C42" s="473"/>
      <c r="D42" s="474"/>
      <c r="E42" s="466"/>
      <c r="F42" s="467"/>
      <c r="G42" s="467"/>
      <c r="H42" s="467"/>
      <c r="I42" s="468"/>
      <c r="J42" s="426" t="str">
        <f>IF(AND('Mapa riesgos'!$M$49="Muy Baja",'Mapa riesgos'!$Q$49="Leve"),CONCATENATE("R",'Mapa riesgos'!$A$49),"")</f>
        <v/>
      </c>
      <c r="K42" s="427"/>
      <c r="L42" s="427" t="str">
        <f>IF(AND('Mapa riesgos'!$M$55="Muy Baja",'Mapa riesgos'!$Q$55="Leve"),CONCATENATE("R",'Mapa riesgos'!$A$55),"")</f>
        <v/>
      </c>
      <c r="M42" s="427"/>
      <c r="N42" s="427" t="str">
        <f>IF(AND('Mapa riesgos'!$M$61="Muy Baja",'Mapa riesgos'!$Q$61="Leve"),CONCATENATE("R",'Mapa riesgos'!$A$61),"")</f>
        <v/>
      </c>
      <c r="O42" s="428"/>
      <c r="P42" s="426" t="str">
        <f>IF(AND('Mapa riesgos'!$M$49="Muy Baja",'Mapa riesgos'!$Q$49="Menor"),CONCATENATE("R",'Mapa riesgos'!$A$49),"")</f>
        <v/>
      </c>
      <c r="Q42" s="427"/>
      <c r="R42" s="427" t="str">
        <f>IF(AND('Mapa riesgos'!$M$55="Muy Baja",'Mapa riesgos'!$Q$55="Menor"),CONCATENATE("R",'Mapa riesgos'!$A$55),"")</f>
        <v/>
      </c>
      <c r="S42" s="427"/>
      <c r="T42" s="427" t="str">
        <f>IF(AND('Mapa riesgos'!$M$61="Muy Baja",'Mapa riesgos'!$Q$61="Menor"),CONCATENATE("R",'Mapa riesgos'!$A$61),"")</f>
        <v/>
      </c>
      <c r="U42" s="428"/>
      <c r="V42" s="435" t="str">
        <f>IF(AND('Mapa riesgos'!$M$49="Muy Baja",'Mapa riesgos'!$Q$49="Moderado"),CONCATENATE("R",'Mapa riesgos'!$A$49),"")</f>
        <v/>
      </c>
      <c r="W42" s="436"/>
      <c r="X42" s="436" t="str">
        <f>IF(AND('Mapa riesgos'!$M$55="Muy Baja",'Mapa riesgos'!$Q$55="Moderado"),CONCATENATE("R",'Mapa riesgos'!$A$55),"")</f>
        <v/>
      </c>
      <c r="Y42" s="436"/>
      <c r="Z42" s="436" t="str">
        <f>IF(AND('Mapa riesgos'!$M$61="Muy Baja",'Mapa riesgos'!$Q$61="Moderado"),CONCATENATE("R",'Mapa riesgos'!$A$61),"")</f>
        <v/>
      </c>
      <c r="AA42" s="437"/>
      <c r="AB42" s="453" t="str">
        <f>IF(AND('Mapa riesgos'!$M$49="Muy Baja",'Mapa riesgos'!$Q$49="Mayor"),CONCATENATE("R",'Mapa riesgos'!$A$49),"")</f>
        <v/>
      </c>
      <c r="AC42" s="454"/>
      <c r="AD42" s="454" t="str">
        <f>IF(AND('Mapa riesgos'!$M$55="Muy Baja",'Mapa riesgos'!$Q$55="Mayor"),CONCATENATE("R",'Mapa riesgos'!$A$55),"")</f>
        <v/>
      </c>
      <c r="AE42" s="454"/>
      <c r="AF42" s="454" t="str">
        <f>IF(AND('Mapa riesgos'!$M$61="Muy Baja",'Mapa riesgos'!$Q$61="Mayor"),CONCATENATE("R",'Mapa riesgos'!$A$61),"")</f>
        <v/>
      </c>
      <c r="AG42" s="455"/>
      <c r="AH42" s="444" t="str">
        <f>IF(AND('Mapa riesgos'!$M$49="Muy Baja",'Mapa riesgos'!$Q$49="Catastrófico"),CONCATENATE("R",'Mapa riesgos'!$A$49),"")</f>
        <v/>
      </c>
      <c r="AI42" s="445"/>
      <c r="AJ42" s="445" t="str">
        <f>IF(AND('Mapa riesgos'!$M$55="Muy Baja",'Mapa riesgos'!$Q$55="Catastrófico"),CONCATENATE("R",'Mapa riesgos'!$A$55),"")</f>
        <v/>
      </c>
      <c r="AK42" s="445"/>
      <c r="AL42" s="445" t="str">
        <f>IF(AND('Mapa riesgos'!$M$61="Muy Baja",'Mapa riesgos'!$Q$61="Catastrófico"),CONCATENATE("R",'Mapa riesgos'!$A$61),"")</f>
        <v/>
      </c>
      <c r="AM42" s="44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73"/>
      <c r="C43" s="473"/>
      <c r="D43" s="474"/>
      <c r="E43" s="466"/>
      <c r="F43" s="467"/>
      <c r="G43" s="467"/>
      <c r="H43" s="467"/>
      <c r="I43" s="468"/>
      <c r="J43" s="426"/>
      <c r="K43" s="427"/>
      <c r="L43" s="427"/>
      <c r="M43" s="427"/>
      <c r="N43" s="427"/>
      <c r="O43" s="428"/>
      <c r="P43" s="426"/>
      <c r="Q43" s="427"/>
      <c r="R43" s="427"/>
      <c r="S43" s="427"/>
      <c r="T43" s="427"/>
      <c r="U43" s="428"/>
      <c r="V43" s="435"/>
      <c r="W43" s="436"/>
      <c r="X43" s="436"/>
      <c r="Y43" s="436"/>
      <c r="Z43" s="436"/>
      <c r="AA43" s="437"/>
      <c r="AB43" s="453"/>
      <c r="AC43" s="454"/>
      <c r="AD43" s="454"/>
      <c r="AE43" s="454"/>
      <c r="AF43" s="454"/>
      <c r="AG43" s="455"/>
      <c r="AH43" s="444"/>
      <c r="AI43" s="445"/>
      <c r="AJ43" s="445"/>
      <c r="AK43" s="445"/>
      <c r="AL43" s="445"/>
      <c r="AM43" s="44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73"/>
      <c r="C44" s="473"/>
      <c r="D44" s="474"/>
      <c r="E44" s="466"/>
      <c r="F44" s="467"/>
      <c r="G44" s="467"/>
      <c r="H44" s="467"/>
      <c r="I44" s="468"/>
      <c r="J44" s="426" t="str">
        <f>IF(AND('Mapa riesgos'!$M$67="Muy Baja",'Mapa riesgos'!$Q$67="Leve"),CONCATENATE("R",'Mapa riesgos'!$A$67),"")</f>
        <v/>
      </c>
      <c r="K44" s="427"/>
      <c r="L44" s="427" t="str">
        <f>IF(AND('Mapa riesgos'!$M$73="Muy Baja",'Mapa riesgos'!$Q$73="Leve"),CONCATENATE("R",'Mapa riesgos'!$A$73),"")</f>
        <v/>
      </c>
      <c r="M44" s="427"/>
      <c r="N44" s="427" t="str">
        <f>IF(AND('Mapa riesgos'!$M$79="Muy Baja",'Mapa riesgos'!$Q$79="Leve"),CONCATENATE("R",'Mapa riesgos'!$A$79),"")</f>
        <v/>
      </c>
      <c r="O44" s="428"/>
      <c r="P44" s="426" t="str">
        <f>IF(AND('Mapa riesgos'!$M$67="Muy Baja",'Mapa riesgos'!$Q$67="Menor"),CONCATENATE("R",'Mapa riesgos'!$A$67),"")</f>
        <v/>
      </c>
      <c r="Q44" s="427"/>
      <c r="R44" s="427" t="str">
        <f>IF(AND('Mapa riesgos'!$M$73="Muy Baja",'Mapa riesgos'!$Q$73="Menor"),CONCATENATE("R",'Mapa riesgos'!$A$73),"")</f>
        <v/>
      </c>
      <c r="S44" s="427"/>
      <c r="T44" s="427" t="str">
        <f>IF(AND('Mapa riesgos'!$M$79="Muy Baja",'Mapa riesgos'!$Q$79="Menor"),CONCATENATE("R",'Mapa riesgos'!$A$79),"")</f>
        <v/>
      </c>
      <c r="U44" s="428"/>
      <c r="V44" s="435" t="str">
        <f>IF(AND('Mapa riesgos'!$M$67="Muy Baja",'Mapa riesgos'!$Q$67="Moderado"),CONCATENATE("R",'Mapa riesgos'!$A$67),"")</f>
        <v/>
      </c>
      <c r="W44" s="436"/>
      <c r="X44" s="436" t="str">
        <f>IF(AND('Mapa riesgos'!$M$73="Muy Baja",'Mapa riesgos'!$Q$73="Moderado"),CONCATENATE("R",'Mapa riesgos'!$A$73),"")</f>
        <v/>
      </c>
      <c r="Y44" s="436"/>
      <c r="Z44" s="436" t="str">
        <f>IF(AND('Mapa riesgos'!$M$79="Muy Baja",'Mapa riesgos'!$Q$79="Moderado"),CONCATENATE("R",'Mapa riesgos'!$A$79),"")</f>
        <v/>
      </c>
      <c r="AA44" s="437"/>
      <c r="AB44" s="453" t="str">
        <f>IF(AND('Mapa riesgos'!$M$67="Muy Baja",'Mapa riesgos'!$Q$67="Mayor"),CONCATENATE("R",'Mapa riesgos'!$A$67),"")</f>
        <v/>
      </c>
      <c r="AC44" s="454"/>
      <c r="AD44" s="454" t="str">
        <f>IF(AND('Mapa riesgos'!$M$73="Muy Baja",'Mapa riesgos'!$Q$73="Mayor"),CONCATENATE("R",'Mapa riesgos'!$A$73),"")</f>
        <v/>
      </c>
      <c r="AE44" s="454"/>
      <c r="AF44" s="454" t="str">
        <f>IF(AND('Mapa riesgos'!$M$79="Muy Baja",'Mapa riesgos'!$Q$79="Mayor"),CONCATENATE("R",'Mapa riesgos'!$A$79),"")</f>
        <v/>
      </c>
      <c r="AG44" s="455"/>
      <c r="AH44" s="444" t="str">
        <f>IF(AND('Mapa riesgos'!$M$67="Muy Baja",'Mapa riesgos'!$Q$67="Catastrófico"),CONCATENATE("R",'Mapa riesgos'!$A$67),"")</f>
        <v/>
      </c>
      <c r="AI44" s="445"/>
      <c r="AJ44" s="445" t="str">
        <f>IF(AND('Mapa riesgos'!$M$73="Muy Baja",'Mapa riesgos'!$Q$73="Catastrófico"),CONCATENATE("R",'Mapa riesgos'!$A$73),"")</f>
        <v/>
      </c>
      <c r="AK44" s="445"/>
      <c r="AL44" s="445" t="str">
        <f>IF(AND('Mapa riesgos'!$M$79="Muy Baja",'Mapa riesgos'!$Q$79="Catastrófico"),CONCATENATE("R",'Mapa riesgos'!$A$79),"")</f>
        <v/>
      </c>
      <c r="AM44" s="44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73"/>
      <c r="C45" s="473"/>
      <c r="D45" s="474"/>
      <c r="E45" s="469"/>
      <c r="F45" s="470"/>
      <c r="G45" s="470"/>
      <c r="H45" s="470"/>
      <c r="I45" s="471"/>
      <c r="J45" s="429"/>
      <c r="K45" s="430"/>
      <c r="L45" s="430"/>
      <c r="M45" s="430"/>
      <c r="N45" s="430"/>
      <c r="O45" s="431"/>
      <c r="P45" s="429"/>
      <c r="Q45" s="430"/>
      <c r="R45" s="430"/>
      <c r="S45" s="430"/>
      <c r="T45" s="430"/>
      <c r="U45" s="431"/>
      <c r="V45" s="438"/>
      <c r="W45" s="439"/>
      <c r="X45" s="439"/>
      <c r="Y45" s="439"/>
      <c r="Z45" s="439"/>
      <c r="AA45" s="440"/>
      <c r="AB45" s="456"/>
      <c r="AC45" s="457"/>
      <c r="AD45" s="457"/>
      <c r="AE45" s="457"/>
      <c r="AF45" s="457"/>
      <c r="AG45" s="458"/>
      <c r="AH45" s="447"/>
      <c r="AI45" s="448"/>
      <c r="AJ45" s="448"/>
      <c r="AK45" s="448"/>
      <c r="AL45" s="448"/>
      <c r="AM45" s="44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63" t="s">
        <v>185</v>
      </c>
      <c r="K46" s="464"/>
      <c r="L46" s="464"/>
      <c r="M46" s="464"/>
      <c r="N46" s="464"/>
      <c r="O46" s="465"/>
      <c r="P46" s="463" t="s">
        <v>186</v>
      </c>
      <c r="Q46" s="464"/>
      <c r="R46" s="464"/>
      <c r="S46" s="464"/>
      <c r="T46" s="464"/>
      <c r="U46" s="465"/>
      <c r="V46" s="463" t="s">
        <v>187</v>
      </c>
      <c r="W46" s="464"/>
      <c r="X46" s="464"/>
      <c r="Y46" s="464"/>
      <c r="Z46" s="464"/>
      <c r="AA46" s="465"/>
      <c r="AB46" s="463" t="s">
        <v>188</v>
      </c>
      <c r="AC46" s="472"/>
      <c r="AD46" s="464"/>
      <c r="AE46" s="464"/>
      <c r="AF46" s="464"/>
      <c r="AG46" s="465"/>
      <c r="AH46" s="463" t="s">
        <v>189</v>
      </c>
      <c r="AI46" s="464"/>
      <c r="AJ46" s="464"/>
      <c r="AK46" s="464"/>
      <c r="AL46" s="464"/>
      <c r="AM46" s="465"/>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66"/>
      <c r="K47" s="467"/>
      <c r="L47" s="467"/>
      <c r="M47" s="467"/>
      <c r="N47" s="467"/>
      <c r="O47" s="468"/>
      <c r="P47" s="466"/>
      <c r="Q47" s="467"/>
      <c r="R47" s="467"/>
      <c r="S47" s="467"/>
      <c r="T47" s="467"/>
      <c r="U47" s="468"/>
      <c r="V47" s="466"/>
      <c r="W47" s="467"/>
      <c r="X47" s="467"/>
      <c r="Y47" s="467"/>
      <c r="Z47" s="467"/>
      <c r="AA47" s="468"/>
      <c r="AB47" s="466"/>
      <c r="AC47" s="467"/>
      <c r="AD47" s="467"/>
      <c r="AE47" s="467"/>
      <c r="AF47" s="467"/>
      <c r="AG47" s="468"/>
      <c r="AH47" s="466"/>
      <c r="AI47" s="467"/>
      <c r="AJ47" s="467"/>
      <c r="AK47" s="467"/>
      <c r="AL47" s="467"/>
      <c r="AM47" s="468"/>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66"/>
      <c r="K48" s="467"/>
      <c r="L48" s="467"/>
      <c r="M48" s="467"/>
      <c r="N48" s="467"/>
      <c r="O48" s="468"/>
      <c r="P48" s="466"/>
      <c r="Q48" s="467"/>
      <c r="R48" s="467"/>
      <c r="S48" s="467"/>
      <c r="T48" s="467"/>
      <c r="U48" s="468"/>
      <c r="V48" s="466"/>
      <c r="W48" s="467"/>
      <c r="X48" s="467"/>
      <c r="Y48" s="467"/>
      <c r="Z48" s="467"/>
      <c r="AA48" s="468"/>
      <c r="AB48" s="466"/>
      <c r="AC48" s="467"/>
      <c r="AD48" s="467"/>
      <c r="AE48" s="467"/>
      <c r="AF48" s="467"/>
      <c r="AG48" s="468"/>
      <c r="AH48" s="466"/>
      <c r="AI48" s="467"/>
      <c r="AJ48" s="467"/>
      <c r="AK48" s="467"/>
      <c r="AL48" s="467"/>
      <c r="AM48" s="468"/>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66"/>
      <c r="K49" s="467"/>
      <c r="L49" s="467"/>
      <c r="M49" s="467"/>
      <c r="N49" s="467"/>
      <c r="O49" s="468"/>
      <c r="P49" s="466"/>
      <c r="Q49" s="467"/>
      <c r="R49" s="467"/>
      <c r="S49" s="467"/>
      <c r="T49" s="467"/>
      <c r="U49" s="468"/>
      <c r="V49" s="466"/>
      <c r="W49" s="467"/>
      <c r="X49" s="467"/>
      <c r="Y49" s="467"/>
      <c r="Z49" s="467"/>
      <c r="AA49" s="468"/>
      <c r="AB49" s="466"/>
      <c r="AC49" s="467"/>
      <c r="AD49" s="467"/>
      <c r="AE49" s="467"/>
      <c r="AF49" s="467"/>
      <c r="AG49" s="468"/>
      <c r="AH49" s="466"/>
      <c r="AI49" s="467"/>
      <c r="AJ49" s="467"/>
      <c r="AK49" s="467"/>
      <c r="AL49" s="467"/>
      <c r="AM49" s="468"/>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66"/>
      <c r="K50" s="467"/>
      <c r="L50" s="467"/>
      <c r="M50" s="467"/>
      <c r="N50" s="467"/>
      <c r="O50" s="468"/>
      <c r="P50" s="466"/>
      <c r="Q50" s="467"/>
      <c r="R50" s="467"/>
      <c r="S50" s="467"/>
      <c r="T50" s="467"/>
      <c r="U50" s="468"/>
      <c r="V50" s="466"/>
      <c r="W50" s="467"/>
      <c r="X50" s="467"/>
      <c r="Y50" s="467"/>
      <c r="Z50" s="467"/>
      <c r="AA50" s="468"/>
      <c r="AB50" s="466"/>
      <c r="AC50" s="467"/>
      <c r="AD50" s="467"/>
      <c r="AE50" s="467"/>
      <c r="AF50" s="467"/>
      <c r="AG50" s="468"/>
      <c r="AH50" s="466"/>
      <c r="AI50" s="467"/>
      <c r="AJ50" s="467"/>
      <c r="AK50" s="467"/>
      <c r="AL50" s="467"/>
      <c r="AM50" s="468"/>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69"/>
      <c r="K51" s="470"/>
      <c r="L51" s="470"/>
      <c r="M51" s="470"/>
      <c r="N51" s="470"/>
      <c r="O51" s="471"/>
      <c r="P51" s="469"/>
      <c r="Q51" s="470"/>
      <c r="R51" s="470"/>
      <c r="S51" s="470"/>
      <c r="T51" s="470"/>
      <c r="U51" s="471"/>
      <c r="V51" s="469"/>
      <c r="W51" s="470"/>
      <c r="X51" s="470"/>
      <c r="Y51" s="470"/>
      <c r="Z51" s="470"/>
      <c r="AA51" s="471"/>
      <c r="AB51" s="469"/>
      <c r="AC51" s="470"/>
      <c r="AD51" s="470"/>
      <c r="AE51" s="470"/>
      <c r="AF51" s="470"/>
      <c r="AG51" s="471"/>
      <c r="AH51" s="469"/>
      <c r="AI51" s="470"/>
      <c r="AJ51" s="470"/>
      <c r="AK51" s="470"/>
      <c r="AL51" s="470"/>
      <c r="AM51" s="471"/>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40" t="s">
        <v>190</v>
      </c>
      <c r="C2" s="541"/>
      <c r="D2" s="541"/>
      <c r="E2" s="541"/>
      <c r="F2" s="541"/>
      <c r="G2" s="541"/>
      <c r="H2" s="541"/>
      <c r="I2" s="541"/>
      <c r="J2" s="462" t="s">
        <v>15</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41"/>
      <c r="C3" s="541"/>
      <c r="D3" s="541"/>
      <c r="E3" s="541"/>
      <c r="F3" s="541"/>
      <c r="G3" s="541"/>
      <c r="H3" s="541"/>
      <c r="I3" s="541"/>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41"/>
      <c r="C4" s="541"/>
      <c r="D4" s="541"/>
      <c r="E4" s="541"/>
      <c r="F4" s="541"/>
      <c r="G4" s="541"/>
      <c r="H4" s="541"/>
      <c r="I4" s="541"/>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73" t="s">
        <v>175</v>
      </c>
      <c r="C6" s="473"/>
      <c r="D6" s="474"/>
      <c r="E6" s="511" t="s">
        <v>176</v>
      </c>
      <c r="F6" s="512"/>
      <c r="G6" s="512"/>
      <c r="H6" s="512"/>
      <c r="I6" s="513"/>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31" t="s">
        <v>177</v>
      </c>
      <c r="AP6" s="532"/>
      <c r="AQ6" s="532"/>
      <c r="AR6" s="532"/>
      <c r="AS6" s="532"/>
      <c r="AT6" s="53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73"/>
      <c r="C7" s="473"/>
      <c r="D7" s="474"/>
      <c r="E7" s="514"/>
      <c r="F7" s="515"/>
      <c r="G7" s="515"/>
      <c r="H7" s="515"/>
      <c r="I7" s="516"/>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34"/>
      <c r="AP7" s="535"/>
      <c r="AQ7" s="535"/>
      <c r="AR7" s="535"/>
      <c r="AS7" s="535"/>
      <c r="AT7" s="53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73"/>
      <c r="C8" s="473"/>
      <c r="D8" s="474"/>
      <c r="E8" s="514"/>
      <c r="F8" s="515"/>
      <c r="G8" s="515"/>
      <c r="H8" s="515"/>
      <c r="I8" s="516"/>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34"/>
      <c r="AP8" s="535"/>
      <c r="AQ8" s="535"/>
      <c r="AR8" s="535"/>
      <c r="AS8" s="535"/>
      <c r="AT8" s="53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73"/>
      <c r="C9" s="473"/>
      <c r="D9" s="474"/>
      <c r="E9" s="514"/>
      <c r="F9" s="515"/>
      <c r="G9" s="515"/>
      <c r="H9" s="515"/>
      <c r="I9" s="516"/>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34"/>
      <c r="AP9" s="535"/>
      <c r="AQ9" s="535"/>
      <c r="AR9" s="535"/>
      <c r="AS9" s="535"/>
      <c r="AT9" s="53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73"/>
      <c r="C10" s="473"/>
      <c r="D10" s="474"/>
      <c r="E10" s="514"/>
      <c r="F10" s="515"/>
      <c r="G10" s="515"/>
      <c r="H10" s="515"/>
      <c r="I10" s="516"/>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34"/>
      <c r="AP10" s="535"/>
      <c r="AQ10" s="535"/>
      <c r="AR10" s="535"/>
      <c r="AS10" s="535"/>
      <c r="AT10" s="53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73"/>
      <c r="C11" s="473"/>
      <c r="D11" s="474"/>
      <c r="E11" s="514"/>
      <c r="F11" s="515"/>
      <c r="G11" s="515"/>
      <c r="H11" s="515"/>
      <c r="I11" s="516"/>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34"/>
      <c r="AP11" s="535"/>
      <c r="AQ11" s="535"/>
      <c r="AR11" s="535"/>
      <c r="AS11" s="535"/>
      <c r="AT11" s="53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73"/>
      <c r="C12" s="473"/>
      <c r="D12" s="474"/>
      <c r="E12" s="514"/>
      <c r="F12" s="515"/>
      <c r="G12" s="515"/>
      <c r="H12" s="515"/>
      <c r="I12" s="516"/>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34"/>
      <c r="AP12" s="535"/>
      <c r="AQ12" s="535"/>
      <c r="AR12" s="535"/>
      <c r="AS12" s="535"/>
      <c r="AT12" s="53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73"/>
      <c r="C13" s="473"/>
      <c r="D13" s="474"/>
      <c r="E13" s="514"/>
      <c r="F13" s="515"/>
      <c r="G13" s="515"/>
      <c r="H13" s="515"/>
      <c r="I13" s="516"/>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34"/>
      <c r="AP13" s="535"/>
      <c r="AQ13" s="535"/>
      <c r="AR13" s="535"/>
      <c r="AS13" s="535"/>
      <c r="AT13" s="53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73"/>
      <c r="C14" s="473"/>
      <c r="D14" s="474"/>
      <c r="E14" s="514"/>
      <c r="F14" s="515"/>
      <c r="G14" s="515"/>
      <c r="H14" s="515"/>
      <c r="I14" s="516"/>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34"/>
      <c r="AP14" s="535"/>
      <c r="AQ14" s="535"/>
      <c r="AR14" s="535"/>
      <c r="AS14" s="535"/>
      <c r="AT14" s="53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73"/>
      <c r="C15" s="473"/>
      <c r="D15" s="474"/>
      <c r="E15" s="517"/>
      <c r="F15" s="518"/>
      <c r="G15" s="518"/>
      <c r="H15" s="518"/>
      <c r="I15" s="519"/>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37"/>
      <c r="AP15" s="538"/>
      <c r="AQ15" s="538"/>
      <c r="AR15" s="538"/>
      <c r="AS15" s="538"/>
      <c r="AT15" s="53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73"/>
      <c r="C16" s="473"/>
      <c r="D16" s="474"/>
      <c r="E16" s="511" t="s">
        <v>178</v>
      </c>
      <c r="F16" s="512"/>
      <c r="G16" s="512"/>
      <c r="H16" s="512"/>
      <c r="I16" s="512"/>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21" t="s">
        <v>179</v>
      </c>
      <c r="AP16" s="522"/>
      <c r="AQ16" s="522"/>
      <c r="AR16" s="522"/>
      <c r="AS16" s="522"/>
      <c r="AT16" s="523"/>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73"/>
      <c r="C17" s="473"/>
      <c r="D17" s="474"/>
      <c r="E17" s="530"/>
      <c r="F17" s="515"/>
      <c r="G17" s="515"/>
      <c r="H17" s="515"/>
      <c r="I17" s="515"/>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24"/>
      <c r="AP17" s="525"/>
      <c r="AQ17" s="525"/>
      <c r="AR17" s="525"/>
      <c r="AS17" s="525"/>
      <c r="AT17" s="52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73"/>
      <c r="C18" s="473"/>
      <c r="D18" s="474"/>
      <c r="E18" s="514"/>
      <c r="F18" s="515"/>
      <c r="G18" s="515"/>
      <c r="H18" s="515"/>
      <c r="I18" s="515"/>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R3C1</v>
      </c>
      <c r="W18" s="36" t="str">
        <f>IF(AND('Mapa riesgos'!$AD$26="Alta",'Mapa riesgos'!$AF$26="Moderado"),CONCATENATE("R3C",'Mapa riesgos'!$T$26),"")</f>
        <v>R3C2</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24"/>
      <c r="AP18" s="525"/>
      <c r="AQ18" s="525"/>
      <c r="AR18" s="525"/>
      <c r="AS18" s="525"/>
      <c r="AT18" s="52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73"/>
      <c r="C19" s="473"/>
      <c r="D19" s="474"/>
      <c r="E19" s="514"/>
      <c r="F19" s="515"/>
      <c r="G19" s="515"/>
      <c r="H19" s="515"/>
      <c r="I19" s="515"/>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24"/>
      <c r="AP19" s="525"/>
      <c r="AQ19" s="525"/>
      <c r="AR19" s="525"/>
      <c r="AS19" s="525"/>
      <c r="AT19" s="52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73"/>
      <c r="C20" s="473"/>
      <c r="D20" s="474"/>
      <c r="E20" s="514"/>
      <c r="F20" s="515"/>
      <c r="G20" s="515"/>
      <c r="H20" s="515"/>
      <c r="I20" s="515"/>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24"/>
      <c r="AP20" s="525"/>
      <c r="AQ20" s="525"/>
      <c r="AR20" s="525"/>
      <c r="AS20" s="525"/>
      <c r="AT20" s="52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73"/>
      <c r="C21" s="473"/>
      <c r="D21" s="474"/>
      <c r="E21" s="514"/>
      <c r="F21" s="515"/>
      <c r="G21" s="515"/>
      <c r="H21" s="515"/>
      <c r="I21" s="515"/>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24"/>
      <c r="AP21" s="525"/>
      <c r="AQ21" s="525"/>
      <c r="AR21" s="525"/>
      <c r="AS21" s="525"/>
      <c r="AT21" s="52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73"/>
      <c r="C22" s="473"/>
      <c r="D22" s="474"/>
      <c r="E22" s="514"/>
      <c r="F22" s="515"/>
      <c r="G22" s="515"/>
      <c r="H22" s="515"/>
      <c r="I22" s="515"/>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R7C1</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24"/>
      <c r="AP22" s="525"/>
      <c r="AQ22" s="525"/>
      <c r="AR22" s="525"/>
      <c r="AS22" s="525"/>
      <c r="AT22" s="52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73"/>
      <c r="C23" s="473"/>
      <c r="D23" s="474"/>
      <c r="E23" s="514"/>
      <c r="F23" s="515"/>
      <c r="G23" s="515"/>
      <c r="H23" s="515"/>
      <c r="I23" s="515"/>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24"/>
      <c r="AP23" s="525"/>
      <c r="AQ23" s="525"/>
      <c r="AR23" s="525"/>
      <c r="AS23" s="525"/>
      <c r="AT23" s="52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73"/>
      <c r="C24" s="473"/>
      <c r="D24" s="474"/>
      <c r="E24" s="514"/>
      <c r="F24" s="515"/>
      <c r="G24" s="515"/>
      <c r="H24" s="515"/>
      <c r="I24" s="515"/>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24"/>
      <c r="AP24" s="525"/>
      <c r="AQ24" s="525"/>
      <c r="AR24" s="525"/>
      <c r="AS24" s="525"/>
      <c r="AT24" s="52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73"/>
      <c r="C25" s="473"/>
      <c r="D25" s="474"/>
      <c r="E25" s="517"/>
      <c r="F25" s="518"/>
      <c r="G25" s="518"/>
      <c r="H25" s="518"/>
      <c r="I25" s="518"/>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27"/>
      <c r="AP25" s="528"/>
      <c r="AQ25" s="528"/>
      <c r="AR25" s="528"/>
      <c r="AS25" s="528"/>
      <c r="AT25" s="52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73"/>
      <c r="C26" s="473"/>
      <c r="D26" s="474"/>
      <c r="E26" s="511" t="s">
        <v>180</v>
      </c>
      <c r="F26" s="512"/>
      <c r="G26" s="512"/>
      <c r="H26" s="512"/>
      <c r="I26" s="513"/>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51" t="s">
        <v>181</v>
      </c>
      <c r="AP26" s="552"/>
      <c r="AQ26" s="552"/>
      <c r="AR26" s="552"/>
      <c r="AS26" s="552"/>
      <c r="AT26" s="55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73"/>
      <c r="C27" s="473"/>
      <c r="D27" s="474"/>
      <c r="E27" s="530"/>
      <c r="F27" s="515"/>
      <c r="G27" s="515"/>
      <c r="H27" s="515"/>
      <c r="I27" s="516"/>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54"/>
      <c r="AP27" s="555"/>
      <c r="AQ27" s="555"/>
      <c r="AR27" s="555"/>
      <c r="AS27" s="555"/>
      <c r="AT27" s="55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73"/>
      <c r="C28" s="473"/>
      <c r="D28" s="474"/>
      <c r="E28" s="514"/>
      <c r="F28" s="515"/>
      <c r="G28" s="515"/>
      <c r="H28" s="515"/>
      <c r="I28" s="516"/>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54"/>
      <c r="AP28" s="555"/>
      <c r="AQ28" s="555"/>
      <c r="AR28" s="555"/>
      <c r="AS28" s="555"/>
      <c r="AT28" s="55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73"/>
      <c r="C29" s="473"/>
      <c r="D29" s="474"/>
      <c r="E29" s="514"/>
      <c r="F29" s="515"/>
      <c r="G29" s="515"/>
      <c r="H29" s="515"/>
      <c r="I29" s="516"/>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54"/>
      <c r="AP29" s="555"/>
      <c r="AQ29" s="555"/>
      <c r="AR29" s="555"/>
      <c r="AS29" s="555"/>
      <c r="AT29" s="55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73"/>
      <c r="C30" s="473"/>
      <c r="D30" s="474"/>
      <c r="E30" s="514"/>
      <c r="F30" s="515"/>
      <c r="G30" s="515"/>
      <c r="H30" s="515"/>
      <c r="I30" s="516"/>
      <c r="J30" s="50" t="str">
        <f>IF(AND('Mapa riesgos'!$AD$37="Media",'Mapa riesgos'!$AF$37="Leve"),CONCATENATE("R5C",'Mapa riesgos'!$T$37),"")</f>
        <v>R5C1</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54"/>
      <c r="AP30" s="555"/>
      <c r="AQ30" s="555"/>
      <c r="AR30" s="555"/>
      <c r="AS30" s="555"/>
      <c r="AT30" s="55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73"/>
      <c r="C31" s="473"/>
      <c r="D31" s="474"/>
      <c r="E31" s="514"/>
      <c r="F31" s="515"/>
      <c r="G31" s="515"/>
      <c r="H31" s="515"/>
      <c r="I31" s="516"/>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54"/>
      <c r="AP31" s="555"/>
      <c r="AQ31" s="555"/>
      <c r="AR31" s="555"/>
      <c r="AS31" s="555"/>
      <c r="AT31" s="55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73"/>
      <c r="C32" s="473"/>
      <c r="D32" s="474"/>
      <c r="E32" s="514"/>
      <c r="F32" s="515"/>
      <c r="G32" s="515"/>
      <c r="H32" s="515"/>
      <c r="I32" s="516"/>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54"/>
      <c r="AP32" s="555"/>
      <c r="AQ32" s="555"/>
      <c r="AR32" s="555"/>
      <c r="AS32" s="555"/>
      <c r="AT32" s="55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73"/>
      <c r="C33" s="473"/>
      <c r="D33" s="474"/>
      <c r="E33" s="514"/>
      <c r="F33" s="515"/>
      <c r="G33" s="515"/>
      <c r="H33" s="515"/>
      <c r="I33" s="516"/>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54"/>
      <c r="AP33" s="555"/>
      <c r="AQ33" s="555"/>
      <c r="AR33" s="555"/>
      <c r="AS33" s="555"/>
      <c r="AT33" s="55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73"/>
      <c r="C34" s="473"/>
      <c r="D34" s="474"/>
      <c r="E34" s="514"/>
      <c r="F34" s="515"/>
      <c r="G34" s="515"/>
      <c r="H34" s="515"/>
      <c r="I34" s="516"/>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54"/>
      <c r="AP34" s="555"/>
      <c r="AQ34" s="555"/>
      <c r="AR34" s="555"/>
      <c r="AS34" s="555"/>
      <c r="AT34" s="55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73"/>
      <c r="C35" s="473"/>
      <c r="D35" s="474"/>
      <c r="E35" s="517"/>
      <c r="F35" s="518"/>
      <c r="G35" s="518"/>
      <c r="H35" s="518"/>
      <c r="I35" s="519"/>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57"/>
      <c r="AP35" s="558"/>
      <c r="AQ35" s="558"/>
      <c r="AR35" s="558"/>
      <c r="AS35" s="558"/>
      <c r="AT35" s="55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73"/>
      <c r="C36" s="473"/>
      <c r="D36" s="474"/>
      <c r="E36" s="511" t="s">
        <v>182</v>
      </c>
      <c r="F36" s="512"/>
      <c r="G36" s="512"/>
      <c r="H36" s="512"/>
      <c r="I36" s="512"/>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R1C1</v>
      </c>
      <c r="W36" s="48" t="str">
        <f>IF(AND('Mapa riesgos'!$AD$14="Baja",'Mapa riesgos'!$AF$14="Moderado"),CONCATENATE("R1C",'Mapa riesgos'!$T$14),"")</f>
        <v>R1C2</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42" t="s">
        <v>183</v>
      </c>
      <c r="AP36" s="543"/>
      <c r="AQ36" s="543"/>
      <c r="AR36" s="543"/>
      <c r="AS36" s="543"/>
      <c r="AT36" s="54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73"/>
      <c r="C37" s="473"/>
      <c r="D37" s="474"/>
      <c r="E37" s="530"/>
      <c r="F37" s="515"/>
      <c r="G37" s="515"/>
      <c r="H37" s="515"/>
      <c r="I37" s="515"/>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R2C2</v>
      </c>
      <c r="X37" s="51" t="str">
        <f>IF(AND('Mapa riesgos'!$AD$21="Baja",'Mapa riesgos'!$AF$21="Moderado"),CONCATENATE("R2C",'Mapa riesgos'!$T$21),"")</f>
        <v>R2C3</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45"/>
      <c r="AP37" s="546"/>
      <c r="AQ37" s="546"/>
      <c r="AR37" s="546"/>
      <c r="AS37" s="546"/>
      <c r="AT37" s="54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73"/>
      <c r="C38" s="473"/>
      <c r="D38" s="474"/>
      <c r="E38" s="514"/>
      <c r="F38" s="515"/>
      <c r="G38" s="515"/>
      <c r="H38" s="515"/>
      <c r="I38" s="515"/>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45"/>
      <c r="AP38" s="546"/>
      <c r="AQ38" s="546"/>
      <c r="AR38" s="546"/>
      <c r="AS38" s="546"/>
      <c r="AT38" s="54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73"/>
      <c r="C39" s="473"/>
      <c r="D39" s="474"/>
      <c r="E39" s="514"/>
      <c r="F39" s="515"/>
      <c r="G39" s="515"/>
      <c r="H39" s="515"/>
      <c r="I39" s="515"/>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R4C2</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45"/>
      <c r="AP39" s="546"/>
      <c r="AQ39" s="546"/>
      <c r="AR39" s="546"/>
      <c r="AS39" s="546"/>
      <c r="AT39" s="54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73"/>
      <c r="C40" s="473"/>
      <c r="D40" s="474"/>
      <c r="E40" s="514"/>
      <c r="F40" s="515"/>
      <c r="G40" s="515"/>
      <c r="H40" s="515"/>
      <c r="I40" s="515"/>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45"/>
      <c r="AP40" s="546"/>
      <c r="AQ40" s="546"/>
      <c r="AR40" s="546"/>
      <c r="AS40" s="546"/>
      <c r="AT40" s="54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73"/>
      <c r="C41" s="473"/>
      <c r="D41" s="474"/>
      <c r="E41" s="514"/>
      <c r="F41" s="515"/>
      <c r="G41" s="515"/>
      <c r="H41" s="515"/>
      <c r="I41" s="515"/>
      <c r="J41" s="59" t="str">
        <f>IF(AND('Mapa riesgos'!$AD$43="Baja",'Mapa riesgos'!$AF$43="Leve"),CONCATENATE("R6C",'Mapa riesgos'!$T$43),"")</f>
        <v/>
      </c>
      <c r="K41" s="60" t="str">
        <f>IF(AND('Mapa riesgos'!$AD$44="Baja",'Mapa riesgos'!$AF$44="Leve"),CONCATENATE("R6C",'Mapa riesgos'!$T$44),"")</f>
        <v>R6C2</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45"/>
      <c r="AP41" s="546"/>
      <c r="AQ41" s="546"/>
      <c r="AR41" s="546"/>
      <c r="AS41" s="546"/>
      <c r="AT41" s="54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73"/>
      <c r="C42" s="473"/>
      <c r="D42" s="474"/>
      <c r="E42" s="514"/>
      <c r="F42" s="515"/>
      <c r="G42" s="515"/>
      <c r="H42" s="515"/>
      <c r="I42" s="515"/>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45"/>
      <c r="AP42" s="546"/>
      <c r="AQ42" s="546"/>
      <c r="AR42" s="546"/>
      <c r="AS42" s="546"/>
      <c r="AT42" s="54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73"/>
      <c r="C43" s="473"/>
      <c r="D43" s="474"/>
      <c r="E43" s="514"/>
      <c r="F43" s="515"/>
      <c r="G43" s="515"/>
      <c r="H43" s="515"/>
      <c r="I43" s="515"/>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45"/>
      <c r="AP43" s="546"/>
      <c r="AQ43" s="546"/>
      <c r="AR43" s="546"/>
      <c r="AS43" s="546"/>
      <c r="AT43" s="54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73"/>
      <c r="C44" s="473"/>
      <c r="D44" s="474"/>
      <c r="E44" s="514"/>
      <c r="F44" s="515"/>
      <c r="G44" s="515"/>
      <c r="H44" s="515"/>
      <c r="I44" s="515"/>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45"/>
      <c r="AP44" s="546"/>
      <c r="AQ44" s="546"/>
      <c r="AR44" s="546"/>
      <c r="AS44" s="546"/>
      <c r="AT44" s="54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73"/>
      <c r="C45" s="473"/>
      <c r="D45" s="474"/>
      <c r="E45" s="517"/>
      <c r="F45" s="518"/>
      <c r="G45" s="518"/>
      <c r="H45" s="518"/>
      <c r="I45" s="518"/>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48"/>
      <c r="AP45" s="549"/>
      <c r="AQ45" s="549"/>
      <c r="AR45" s="549"/>
      <c r="AS45" s="549"/>
      <c r="AT45" s="550"/>
    </row>
    <row r="46" spans="1:80" ht="46.5" customHeight="1" x14ac:dyDescent="0.45">
      <c r="A46" s="66"/>
      <c r="B46" s="473"/>
      <c r="C46" s="473"/>
      <c r="D46" s="474"/>
      <c r="E46" s="511" t="s">
        <v>184</v>
      </c>
      <c r="F46" s="512"/>
      <c r="G46" s="512"/>
      <c r="H46" s="512"/>
      <c r="I46" s="513"/>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73"/>
      <c r="C47" s="473"/>
      <c r="D47" s="474"/>
      <c r="E47" s="530"/>
      <c r="F47" s="515"/>
      <c r="G47" s="515"/>
      <c r="H47" s="515"/>
      <c r="I47" s="516"/>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73"/>
      <c r="C48" s="473"/>
      <c r="D48" s="474"/>
      <c r="E48" s="530"/>
      <c r="F48" s="515"/>
      <c r="G48" s="515"/>
      <c r="H48" s="515"/>
      <c r="I48" s="516"/>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73"/>
      <c r="C49" s="473"/>
      <c r="D49" s="474"/>
      <c r="E49" s="514"/>
      <c r="F49" s="515"/>
      <c r="G49" s="515"/>
      <c r="H49" s="515"/>
      <c r="I49" s="516"/>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73"/>
      <c r="C50" s="473"/>
      <c r="D50" s="474"/>
      <c r="E50" s="514"/>
      <c r="F50" s="515"/>
      <c r="G50" s="515"/>
      <c r="H50" s="515"/>
      <c r="I50" s="516"/>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73"/>
      <c r="C51" s="473"/>
      <c r="D51" s="474"/>
      <c r="E51" s="514"/>
      <c r="F51" s="515"/>
      <c r="G51" s="515"/>
      <c r="H51" s="515"/>
      <c r="I51" s="516"/>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R6C3</v>
      </c>
      <c r="M51" s="60" t="str">
        <f>IF(AND('Mapa riesgos'!$AD$46="Muy Baja",'Mapa riesgos'!$AF$46="Leve"),CONCATENATE("R6C",'Mapa riesgos'!$T$46),"")</f>
        <v>R6C4</v>
      </c>
      <c r="N51" s="60" t="str">
        <f>IF(AND('Mapa riesgos'!$AD$47="Muy Baja",'Mapa riesgos'!$AF$47="Leve"),CONCATENATE("R6C",'Mapa riesgos'!$T$47),"")</f>
        <v>R6C5</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73"/>
      <c r="C52" s="473"/>
      <c r="D52" s="474"/>
      <c r="E52" s="514"/>
      <c r="F52" s="515"/>
      <c r="G52" s="515"/>
      <c r="H52" s="515"/>
      <c r="I52" s="516"/>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73"/>
      <c r="C53" s="473"/>
      <c r="D53" s="474"/>
      <c r="E53" s="514"/>
      <c r="F53" s="515"/>
      <c r="G53" s="515"/>
      <c r="H53" s="515"/>
      <c r="I53" s="516"/>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73"/>
      <c r="C54" s="473"/>
      <c r="D54" s="474"/>
      <c r="E54" s="514"/>
      <c r="F54" s="515"/>
      <c r="G54" s="515"/>
      <c r="H54" s="515"/>
      <c r="I54" s="516"/>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73"/>
      <c r="C55" s="473"/>
      <c r="D55" s="474"/>
      <c r="E55" s="517"/>
      <c r="F55" s="518"/>
      <c r="G55" s="518"/>
      <c r="H55" s="518"/>
      <c r="I55" s="519"/>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511" t="s">
        <v>185</v>
      </c>
      <c r="K56" s="512"/>
      <c r="L56" s="512"/>
      <c r="M56" s="512"/>
      <c r="N56" s="512"/>
      <c r="O56" s="513"/>
      <c r="P56" s="511" t="s">
        <v>186</v>
      </c>
      <c r="Q56" s="512"/>
      <c r="R56" s="512"/>
      <c r="S56" s="512"/>
      <c r="T56" s="512"/>
      <c r="U56" s="513"/>
      <c r="V56" s="511" t="s">
        <v>187</v>
      </c>
      <c r="W56" s="512"/>
      <c r="X56" s="512"/>
      <c r="Y56" s="512"/>
      <c r="Z56" s="512"/>
      <c r="AA56" s="513"/>
      <c r="AB56" s="511" t="s">
        <v>188</v>
      </c>
      <c r="AC56" s="520"/>
      <c r="AD56" s="512"/>
      <c r="AE56" s="512"/>
      <c r="AF56" s="512"/>
      <c r="AG56" s="513"/>
      <c r="AH56" s="511" t="s">
        <v>189</v>
      </c>
      <c r="AI56" s="512"/>
      <c r="AJ56" s="512"/>
      <c r="AK56" s="512"/>
      <c r="AL56" s="512"/>
      <c r="AM56" s="513"/>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514"/>
      <c r="K57" s="515"/>
      <c r="L57" s="515"/>
      <c r="M57" s="515"/>
      <c r="N57" s="515"/>
      <c r="O57" s="516"/>
      <c r="P57" s="514"/>
      <c r="Q57" s="515"/>
      <c r="R57" s="515"/>
      <c r="S57" s="515"/>
      <c r="T57" s="515"/>
      <c r="U57" s="516"/>
      <c r="V57" s="514"/>
      <c r="W57" s="515"/>
      <c r="X57" s="515"/>
      <c r="Y57" s="515"/>
      <c r="Z57" s="515"/>
      <c r="AA57" s="516"/>
      <c r="AB57" s="514"/>
      <c r="AC57" s="515"/>
      <c r="AD57" s="515"/>
      <c r="AE57" s="515"/>
      <c r="AF57" s="515"/>
      <c r="AG57" s="516"/>
      <c r="AH57" s="514"/>
      <c r="AI57" s="515"/>
      <c r="AJ57" s="515"/>
      <c r="AK57" s="515"/>
      <c r="AL57" s="515"/>
      <c r="AM57" s="51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514"/>
      <c r="K58" s="515"/>
      <c r="L58" s="515"/>
      <c r="M58" s="515"/>
      <c r="N58" s="515"/>
      <c r="O58" s="516"/>
      <c r="P58" s="514"/>
      <c r="Q58" s="515"/>
      <c r="R58" s="515"/>
      <c r="S58" s="515"/>
      <c r="T58" s="515"/>
      <c r="U58" s="516"/>
      <c r="V58" s="514"/>
      <c r="W58" s="515"/>
      <c r="X58" s="515"/>
      <c r="Y58" s="515"/>
      <c r="Z58" s="515"/>
      <c r="AA58" s="516"/>
      <c r="AB58" s="514"/>
      <c r="AC58" s="515"/>
      <c r="AD58" s="515"/>
      <c r="AE58" s="515"/>
      <c r="AF58" s="515"/>
      <c r="AG58" s="516"/>
      <c r="AH58" s="514"/>
      <c r="AI58" s="515"/>
      <c r="AJ58" s="515"/>
      <c r="AK58" s="515"/>
      <c r="AL58" s="515"/>
      <c r="AM58" s="51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514"/>
      <c r="K59" s="515"/>
      <c r="L59" s="515"/>
      <c r="M59" s="515"/>
      <c r="N59" s="515"/>
      <c r="O59" s="516"/>
      <c r="P59" s="514"/>
      <c r="Q59" s="515"/>
      <c r="R59" s="515"/>
      <c r="S59" s="515"/>
      <c r="T59" s="515"/>
      <c r="U59" s="516"/>
      <c r="V59" s="514"/>
      <c r="W59" s="515"/>
      <c r="X59" s="515"/>
      <c r="Y59" s="515"/>
      <c r="Z59" s="515"/>
      <c r="AA59" s="516"/>
      <c r="AB59" s="514"/>
      <c r="AC59" s="515"/>
      <c r="AD59" s="515"/>
      <c r="AE59" s="515"/>
      <c r="AF59" s="515"/>
      <c r="AG59" s="516"/>
      <c r="AH59" s="514"/>
      <c r="AI59" s="515"/>
      <c r="AJ59" s="515"/>
      <c r="AK59" s="515"/>
      <c r="AL59" s="515"/>
      <c r="AM59" s="51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514"/>
      <c r="K60" s="515"/>
      <c r="L60" s="515"/>
      <c r="M60" s="515"/>
      <c r="N60" s="515"/>
      <c r="O60" s="516"/>
      <c r="P60" s="514"/>
      <c r="Q60" s="515"/>
      <c r="R60" s="515"/>
      <c r="S60" s="515"/>
      <c r="T60" s="515"/>
      <c r="U60" s="516"/>
      <c r="V60" s="514"/>
      <c r="W60" s="515"/>
      <c r="X60" s="515"/>
      <c r="Y60" s="515"/>
      <c r="Z60" s="515"/>
      <c r="AA60" s="516"/>
      <c r="AB60" s="514"/>
      <c r="AC60" s="515"/>
      <c r="AD60" s="515"/>
      <c r="AE60" s="515"/>
      <c r="AF60" s="515"/>
      <c r="AG60" s="516"/>
      <c r="AH60" s="514"/>
      <c r="AI60" s="515"/>
      <c r="AJ60" s="515"/>
      <c r="AK60" s="515"/>
      <c r="AL60" s="515"/>
      <c r="AM60" s="51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517"/>
      <c r="K61" s="518"/>
      <c r="L61" s="518"/>
      <c r="M61" s="518"/>
      <c r="N61" s="518"/>
      <c r="O61" s="519"/>
      <c r="P61" s="517"/>
      <c r="Q61" s="518"/>
      <c r="R61" s="518"/>
      <c r="S61" s="518"/>
      <c r="T61" s="518"/>
      <c r="U61" s="519"/>
      <c r="V61" s="517"/>
      <c r="W61" s="518"/>
      <c r="X61" s="518"/>
      <c r="Y61" s="518"/>
      <c r="Z61" s="518"/>
      <c r="AA61" s="519"/>
      <c r="AB61" s="517"/>
      <c r="AC61" s="518"/>
      <c r="AD61" s="518"/>
      <c r="AE61" s="518"/>
      <c r="AF61" s="518"/>
      <c r="AG61" s="519"/>
      <c r="AH61" s="517"/>
      <c r="AI61" s="518"/>
      <c r="AJ61" s="518"/>
      <c r="AK61" s="518"/>
      <c r="AL61" s="518"/>
      <c r="AM61" s="519"/>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60" t="s">
        <v>191</v>
      </c>
      <c r="C1" s="560"/>
      <c r="D1" s="560"/>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9" customFormat="1" ht="45.75" customHeight="1" x14ac:dyDescent="0.3">
      <c r="A2" s="187"/>
      <c r="B2" s="561" t="s">
        <v>203</v>
      </c>
      <c r="C2" s="561"/>
      <c r="D2" s="561"/>
      <c r="E2" s="561"/>
      <c r="F2" s="188"/>
      <c r="G2" s="187"/>
      <c r="H2" s="187"/>
      <c r="I2" s="187"/>
      <c r="J2" s="187"/>
      <c r="K2" s="187"/>
      <c r="L2" s="187"/>
      <c r="M2" s="187"/>
      <c r="N2" s="187"/>
      <c r="O2" s="187"/>
      <c r="P2" s="187"/>
      <c r="Q2" s="187"/>
      <c r="R2" s="187"/>
      <c r="S2" s="187"/>
      <c r="T2" s="187"/>
      <c r="U2" s="187"/>
    </row>
    <row r="3" spans="1:21" s="189" customFormat="1" ht="18.75" customHeight="1" x14ac:dyDescent="0.3">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3">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3">
      <c r="A5" s="86" t="s">
        <v>206</v>
      </c>
      <c r="B5" s="22" t="s">
        <v>207</v>
      </c>
      <c r="C5" s="27" t="s">
        <v>208</v>
      </c>
      <c r="D5" s="104" t="s">
        <v>209</v>
      </c>
      <c r="E5" s="253">
        <f>908526*130</f>
        <v>118108380</v>
      </c>
      <c r="F5" s="66"/>
      <c r="G5" s="66"/>
      <c r="H5" s="66"/>
      <c r="I5" s="66"/>
      <c r="J5" s="66"/>
      <c r="K5" s="66"/>
      <c r="L5" s="66"/>
      <c r="M5" s="66"/>
      <c r="N5" s="66"/>
      <c r="O5" s="66"/>
      <c r="P5" s="66"/>
      <c r="Q5" s="66"/>
      <c r="R5" s="66"/>
      <c r="S5" s="66"/>
      <c r="T5" s="66"/>
      <c r="U5" s="66"/>
    </row>
    <row r="6" spans="1:21" ht="129" customHeight="1" x14ac:dyDescent="0.3">
      <c r="A6" s="86" t="s">
        <v>210</v>
      </c>
      <c r="B6" s="23" t="s">
        <v>211</v>
      </c>
      <c r="C6" s="28" t="s">
        <v>212</v>
      </c>
      <c r="D6" s="105" t="s">
        <v>213</v>
      </c>
      <c r="E6" s="253">
        <f>908526*650</f>
        <v>590541900</v>
      </c>
      <c r="F6" s="66"/>
      <c r="G6" s="66"/>
      <c r="H6" s="66"/>
      <c r="I6" s="66"/>
      <c r="J6" s="66"/>
      <c r="K6" s="66"/>
      <c r="L6" s="66"/>
      <c r="M6" s="66"/>
      <c r="N6" s="66"/>
      <c r="O6" s="66"/>
      <c r="P6" s="66"/>
      <c r="Q6" s="66"/>
      <c r="R6" s="66"/>
      <c r="S6" s="66"/>
      <c r="T6" s="66"/>
      <c r="U6" s="66"/>
    </row>
    <row r="7" spans="1:21" ht="97.2" x14ac:dyDescent="0.3">
      <c r="A7" s="86" t="s">
        <v>181</v>
      </c>
      <c r="B7" s="24" t="s">
        <v>214</v>
      </c>
      <c r="C7" s="28" t="s">
        <v>215</v>
      </c>
      <c r="D7" s="105" t="s">
        <v>216</v>
      </c>
      <c r="E7" s="253">
        <f>908526*1300</f>
        <v>1181083800</v>
      </c>
      <c r="F7" s="66"/>
      <c r="G7" s="66"/>
      <c r="H7" s="66"/>
      <c r="I7" s="66"/>
      <c r="J7" s="66"/>
      <c r="K7" s="66"/>
      <c r="L7" s="66"/>
      <c r="M7" s="66"/>
      <c r="N7" s="66"/>
      <c r="O7" s="66"/>
      <c r="P7" s="66"/>
      <c r="Q7" s="66"/>
      <c r="R7" s="66"/>
      <c r="S7" s="66"/>
      <c r="T7" s="66"/>
      <c r="U7" s="66"/>
    </row>
    <row r="8" spans="1:21" ht="97.2" x14ac:dyDescent="0.3">
      <c r="A8" s="86" t="s">
        <v>217</v>
      </c>
      <c r="B8" s="25" t="s">
        <v>218</v>
      </c>
      <c r="C8" s="28" t="s">
        <v>219</v>
      </c>
      <c r="D8" s="105" t="s">
        <v>220</v>
      </c>
      <c r="E8" s="253">
        <f>908526*6500</f>
        <v>5905419000</v>
      </c>
      <c r="F8" s="66"/>
      <c r="G8" s="66"/>
      <c r="H8" s="66"/>
      <c r="I8" s="66"/>
      <c r="J8" s="66"/>
      <c r="K8" s="66"/>
      <c r="L8" s="66"/>
      <c r="M8" s="66"/>
      <c r="N8" s="66"/>
      <c r="O8" s="66"/>
      <c r="P8" s="66"/>
      <c r="Q8" s="66"/>
      <c r="R8" s="66"/>
      <c r="S8" s="66"/>
      <c r="T8" s="66"/>
      <c r="U8" s="66"/>
    </row>
    <row r="9" spans="1:21" ht="97.2" x14ac:dyDescent="0.3">
      <c r="A9" s="86" t="s">
        <v>221</v>
      </c>
      <c r="B9" s="26" t="s">
        <v>222</v>
      </c>
      <c r="C9" s="28" t="s">
        <v>223</v>
      </c>
      <c r="D9" s="105" t="s">
        <v>224</v>
      </c>
      <c r="E9" s="253"/>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181</v>
      </c>
    </row>
    <row r="209" spans="1:8" x14ac:dyDescent="0.3">
      <c r="A209" s="66"/>
      <c r="B209" s="15"/>
      <c r="C209" s="15"/>
      <c r="D209" s="15"/>
      <c r="F209" s="114" t="s">
        <v>217</v>
      </c>
    </row>
    <row r="210" spans="1:8" ht="20.399999999999999" x14ac:dyDescent="0.3">
      <c r="A210" s="66"/>
      <c r="B210" s="16" t="s">
        <v>236</v>
      </c>
      <c r="C210" s="16" t="s">
        <v>237</v>
      </c>
      <c r="D210" s="19" t="s">
        <v>236</v>
      </c>
      <c r="E210" s="19" t="s">
        <v>237</v>
      </c>
      <c r="F210" s="114" t="s">
        <v>238</v>
      </c>
    </row>
    <row r="211" spans="1:8" ht="21" x14ac:dyDescent="0.4">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4">
      <c r="A212" s="66"/>
      <c r="B212" s="17" t="s">
        <v>239</v>
      </c>
      <c r="C212" s="117" t="s">
        <v>212</v>
      </c>
      <c r="E212" t="s">
        <v>240</v>
      </c>
      <c r="F212" s="114" t="str">
        <f t="shared" ref="F212:F222" si="0">IF(NOT(ISBLANK(D212)),D212,IF(NOT(ISBLANK(E212)),"     "&amp;E212,FALSE))</f>
        <v xml:space="preserve">     Afectación menor a 130 SMLMV .</v>
      </c>
    </row>
    <row r="213" spans="1:8" ht="21" x14ac:dyDescent="0.4">
      <c r="A213" s="66"/>
      <c r="B213" s="17" t="s">
        <v>239</v>
      </c>
      <c r="C213" s="117" t="s">
        <v>215</v>
      </c>
      <c r="E213" t="s">
        <v>212</v>
      </c>
      <c r="F213" s="114" t="str">
        <f t="shared" si="0"/>
        <v xml:space="preserve">     Entre 130 y 650 SMLMV </v>
      </c>
    </row>
    <row r="214" spans="1:8" ht="21" x14ac:dyDescent="0.4">
      <c r="A214" s="66"/>
      <c r="B214" s="17" t="s">
        <v>239</v>
      </c>
      <c r="C214" s="117" t="s">
        <v>219</v>
      </c>
      <c r="E214" t="s">
        <v>215</v>
      </c>
      <c r="F214" s="114" t="str">
        <f t="shared" si="0"/>
        <v xml:space="preserve">     Entre 650 y 1300 SMLMV </v>
      </c>
    </row>
    <row r="215" spans="1:8" ht="21" x14ac:dyDescent="0.4">
      <c r="A215" s="66"/>
      <c r="B215" s="17" t="s">
        <v>239</v>
      </c>
      <c r="C215" s="117" t="s">
        <v>223</v>
      </c>
      <c r="E215" t="s">
        <v>219</v>
      </c>
      <c r="F215" s="114" t="str">
        <f t="shared" si="0"/>
        <v xml:space="preserve">     Entre 1300 y 6500 SMLMV </v>
      </c>
    </row>
    <row r="216" spans="1:8" ht="21" x14ac:dyDescent="0.4">
      <c r="A216" s="66"/>
      <c r="B216" s="17" t="s">
        <v>205</v>
      </c>
      <c r="C216" s="117" t="s">
        <v>209</v>
      </c>
      <c r="E216" t="s">
        <v>223</v>
      </c>
      <c r="F216" s="114" t="str">
        <f t="shared" si="0"/>
        <v xml:space="preserve">     Mayor a 6500 SMLMV </v>
      </c>
    </row>
    <row r="217" spans="1:8" ht="63" x14ac:dyDescent="0.4">
      <c r="A217" s="66"/>
      <c r="B217" s="17" t="s">
        <v>205</v>
      </c>
      <c r="C217" s="117" t="s">
        <v>213</v>
      </c>
      <c r="D217" s="116" t="s">
        <v>205</v>
      </c>
      <c r="F217" s="114" t="str">
        <f t="shared" si="0"/>
        <v>Pérdida Reputacional</v>
      </c>
    </row>
    <row r="218" spans="1:8" ht="42" x14ac:dyDescent="0.4">
      <c r="A218" s="66"/>
      <c r="B218" s="17" t="s">
        <v>205</v>
      </c>
      <c r="C218" s="117" t="s">
        <v>216</v>
      </c>
      <c r="D218" s="116"/>
      <c r="E218" s="118" t="s">
        <v>209</v>
      </c>
      <c r="F218" s="114" t="str">
        <f t="shared" si="0"/>
        <v xml:space="preserve">     El riesgo afecta la imagen de alguna área de la organización</v>
      </c>
    </row>
    <row r="219" spans="1:8" ht="63" x14ac:dyDescent="0.4">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2" x14ac:dyDescent="0.4">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3.2" x14ac:dyDescent="0.3">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242</v>
      </c>
    </row>
    <row r="225" spans="2:6" x14ac:dyDescent="0.3">
      <c r="B225" s="14"/>
      <c r="C225" s="14"/>
      <c r="F225" s="115" t="s">
        <v>243</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63" t="s">
        <v>244</v>
      </c>
      <c r="C2" s="564"/>
      <c r="D2" s="564"/>
      <c r="E2" s="564"/>
      <c r="F2" s="565"/>
    </row>
    <row r="3" spans="2:6" ht="31.95" customHeight="1" x14ac:dyDescent="0.3">
      <c r="B3" s="566" t="s">
        <v>245</v>
      </c>
      <c r="C3" s="568" t="s">
        <v>246</v>
      </c>
      <c r="D3" s="568"/>
      <c r="E3" s="568" t="s">
        <v>247</v>
      </c>
      <c r="F3" s="570"/>
    </row>
    <row r="4" spans="2:6" ht="28.2" customHeight="1" thickBot="1" x14ac:dyDescent="0.35">
      <c r="B4" s="567"/>
      <c r="C4" s="569"/>
      <c r="D4" s="569"/>
      <c r="E4" s="158" t="s">
        <v>248</v>
      </c>
      <c r="F4" s="159" t="s">
        <v>249</v>
      </c>
    </row>
    <row r="5" spans="2:6" ht="23.25" customHeight="1" x14ac:dyDescent="0.3">
      <c r="B5" s="149">
        <v>1</v>
      </c>
      <c r="C5" s="571" t="s">
        <v>250</v>
      </c>
      <c r="D5" s="571"/>
      <c r="E5" s="183"/>
      <c r="F5" s="184"/>
    </row>
    <row r="6" spans="2:6" ht="33" customHeight="1" x14ac:dyDescent="0.3">
      <c r="B6" s="150">
        <v>2</v>
      </c>
      <c r="C6" s="562" t="s">
        <v>251</v>
      </c>
      <c r="D6" s="562"/>
      <c r="E6" s="185"/>
      <c r="F6" s="186"/>
    </row>
    <row r="7" spans="2:6" ht="39" customHeight="1" x14ac:dyDescent="0.3">
      <c r="B7" s="150">
        <v>3</v>
      </c>
      <c r="C7" s="562" t="s">
        <v>252</v>
      </c>
      <c r="D7" s="562"/>
      <c r="E7" s="185"/>
      <c r="F7" s="186"/>
    </row>
    <row r="8" spans="2:6" ht="24.75" customHeight="1" x14ac:dyDescent="0.3">
      <c r="B8" s="150">
        <v>4</v>
      </c>
      <c r="C8" s="562" t="s">
        <v>253</v>
      </c>
      <c r="D8" s="562"/>
      <c r="E8" s="185"/>
      <c r="F8" s="186"/>
    </row>
    <row r="9" spans="2:6" ht="23.25" customHeight="1" x14ac:dyDescent="0.3">
      <c r="B9" s="150">
        <v>5</v>
      </c>
      <c r="C9" s="562" t="s">
        <v>254</v>
      </c>
      <c r="D9" s="562"/>
      <c r="E9" s="185"/>
      <c r="F9" s="186"/>
    </row>
    <row r="10" spans="2:6" ht="23.25" customHeight="1" x14ac:dyDescent="0.3">
      <c r="B10" s="150">
        <v>6</v>
      </c>
      <c r="C10" s="562" t="s">
        <v>255</v>
      </c>
      <c r="D10" s="562"/>
      <c r="E10" s="185"/>
      <c r="F10" s="186"/>
    </row>
    <row r="11" spans="2:6" ht="23.25" customHeight="1" x14ac:dyDescent="0.3">
      <c r="B11" s="150">
        <v>7</v>
      </c>
      <c r="C11" s="562" t="s">
        <v>256</v>
      </c>
      <c r="D11" s="562"/>
      <c r="E11" s="185"/>
      <c r="F11" s="186"/>
    </row>
    <row r="12" spans="2:6" ht="25.5" customHeight="1" x14ac:dyDescent="0.3">
      <c r="B12" s="150">
        <v>8</v>
      </c>
      <c r="C12" s="562" t="s">
        <v>257</v>
      </c>
      <c r="D12" s="562"/>
      <c r="E12" s="151"/>
      <c r="F12" s="152"/>
    </row>
    <row r="13" spans="2:6" ht="23.25" customHeight="1" x14ac:dyDescent="0.3">
      <c r="B13" s="150">
        <v>9</v>
      </c>
      <c r="C13" s="562" t="s">
        <v>258</v>
      </c>
      <c r="D13" s="562"/>
      <c r="E13" s="151"/>
      <c r="F13" s="152"/>
    </row>
    <row r="14" spans="2:6" ht="23.25" customHeight="1" x14ac:dyDescent="0.3">
      <c r="B14" s="150">
        <v>10</v>
      </c>
      <c r="C14" s="562" t="s">
        <v>259</v>
      </c>
      <c r="D14" s="562"/>
      <c r="E14" s="151"/>
      <c r="F14" s="152"/>
    </row>
    <row r="15" spans="2:6" ht="23.25" customHeight="1" x14ac:dyDescent="0.3">
      <c r="B15" s="150">
        <v>11</v>
      </c>
      <c r="C15" s="562" t="s">
        <v>260</v>
      </c>
      <c r="D15" s="562"/>
      <c r="E15" s="151"/>
      <c r="F15" s="152"/>
    </row>
    <row r="16" spans="2:6" ht="23.25" customHeight="1" x14ac:dyDescent="0.3">
      <c r="B16" s="150">
        <v>12</v>
      </c>
      <c r="C16" s="562" t="s">
        <v>261</v>
      </c>
      <c r="D16" s="562"/>
      <c r="E16" s="151"/>
      <c r="F16" s="152"/>
    </row>
    <row r="17" spans="2:6" ht="23.25" customHeight="1" x14ac:dyDescent="0.3">
      <c r="B17" s="150">
        <v>13</v>
      </c>
      <c r="C17" s="562" t="s">
        <v>262</v>
      </c>
      <c r="D17" s="562"/>
      <c r="E17" s="151"/>
      <c r="F17" s="152"/>
    </row>
    <row r="18" spans="2:6" ht="23.25" customHeight="1" x14ac:dyDescent="0.3">
      <c r="B18" s="150">
        <v>14</v>
      </c>
      <c r="C18" s="562" t="s">
        <v>263</v>
      </c>
      <c r="D18" s="562"/>
      <c r="E18" s="151"/>
      <c r="F18" s="152"/>
    </row>
    <row r="19" spans="2:6" ht="23.25" customHeight="1" x14ac:dyDescent="0.3">
      <c r="B19" s="150">
        <v>15</v>
      </c>
      <c r="C19" s="562" t="s">
        <v>264</v>
      </c>
      <c r="D19" s="562"/>
      <c r="E19" s="151"/>
      <c r="F19" s="152"/>
    </row>
    <row r="20" spans="2:6" ht="23.25" customHeight="1" x14ac:dyDescent="0.3">
      <c r="B20" s="150">
        <v>16</v>
      </c>
      <c r="C20" s="562" t="s">
        <v>265</v>
      </c>
      <c r="D20" s="562"/>
      <c r="E20" s="151"/>
      <c r="F20" s="152"/>
    </row>
    <row r="21" spans="2:6" ht="23.25" customHeight="1" x14ac:dyDescent="0.3">
      <c r="B21" s="150">
        <v>17</v>
      </c>
      <c r="C21" s="562" t="s">
        <v>266</v>
      </c>
      <c r="D21" s="562"/>
      <c r="E21" s="151"/>
      <c r="F21" s="152"/>
    </row>
    <row r="22" spans="2:6" ht="23.25" customHeight="1" x14ac:dyDescent="0.3">
      <c r="B22" s="150">
        <v>18</v>
      </c>
      <c r="C22" s="576" t="s">
        <v>267</v>
      </c>
      <c r="D22" s="576"/>
      <c r="E22" s="151"/>
      <c r="F22" s="152"/>
    </row>
    <row r="23" spans="2:6" ht="23.25" customHeight="1" thickBot="1" x14ac:dyDescent="0.35">
      <c r="B23" s="150">
        <v>19</v>
      </c>
      <c r="C23" s="562" t="s">
        <v>268</v>
      </c>
      <c r="D23" s="562"/>
      <c r="E23" s="151"/>
      <c r="F23" s="152"/>
    </row>
    <row r="24" spans="2:6" ht="15.75" customHeight="1" thickBot="1" x14ac:dyDescent="0.35">
      <c r="B24" s="577" t="s">
        <v>269</v>
      </c>
      <c r="C24" s="572"/>
      <c r="D24" s="572"/>
      <c r="E24" s="572">
        <f>COUNTIF(E5:E23,"X")</f>
        <v>0</v>
      </c>
      <c r="F24" s="573"/>
    </row>
    <row r="25" spans="2:6" ht="45.75" customHeight="1" x14ac:dyDescent="0.3">
      <c r="B25" s="574" t="s">
        <v>270</v>
      </c>
      <c r="C25" s="574"/>
      <c r="D25" s="574"/>
      <c r="E25" s="574"/>
      <c r="F25" s="574"/>
    </row>
    <row r="26" spans="2:6" ht="9.75" customHeight="1" x14ac:dyDescent="0.3">
      <c r="B26" s="575"/>
      <c r="C26" s="575"/>
      <c r="D26" s="575"/>
      <c r="E26" s="575"/>
      <c r="F26" s="575"/>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http://purl.org/dc/terms/"/>
    <ds:schemaRef ds:uri="http://schemas.openxmlformats.org/package/2006/metadata/core-properties"/>
    <ds:schemaRef ds:uri="http://schemas.microsoft.com/sharepoint/v3"/>
    <ds:schemaRef ds:uri="http://www.w3.org/XML/1998/namespace"/>
    <ds:schemaRef ds:uri="http://purl.org/dc/elements/1.1/"/>
    <ds:schemaRef ds:uri="http://schemas.microsoft.com/office/infopath/2007/PartnerControls"/>
    <ds:schemaRef ds:uri="http://schemas.microsoft.com/office/2006/documentManagement/types"/>
    <ds:schemaRef ds:uri="70eaac67-e064-433b-ba54-6f78c0f1ecb1"/>
    <ds:schemaRef ds:uri="64d77176-54eb-4753-be67-9b2e2fa23e0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Nelson Andrés Ovalle Fernández</cp:lastModifiedBy>
  <cp:revision/>
  <dcterms:created xsi:type="dcterms:W3CDTF">2020-03-24T23:12:47Z</dcterms:created>
  <dcterms:modified xsi:type="dcterms:W3CDTF">2022-03-02T17:08:35Z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