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hidePivotFieldList="1" defaultThemeVersion="124226"/>
  <mc:AlternateContent xmlns:mc="http://schemas.openxmlformats.org/markup-compatibility/2006">
    <mc:Choice Requires="x15">
      <x15ac:absPath xmlns:x15ac="http://schemas.microsoft.com/office/spreadsheetml/2010/11/ac" url="E:\UMV\Riesgos 2023\"/>
    </mc:Choice>
  </mc:AlternateContent>
  <xr:revisionPtr revIDLastSave="0" documentId="13_ncr:1_{04C07832-4178-4E84-9E27-A7C77343BFAE}" xr6:coauthVersionLast="47" xr6:coauthVersionMax="47" xr10:uidLastSave="{00000000-0000-0000-0000-000000000000}"/>
  <bookViews>
    <workbookView xWindow="-120" yWindow="-120" windowWidth="29040" windowHeight="15840" tabRatio="933" activeTab="6" xr2:uid="{00000000-000D-0000-FFFF-FFFF00000000}"/>
  </bookViews>
  <sheets>
    <sheet name="Intructivo" sheetId="20" r:id="rId1"/>
    <sheet name="Revisión DOFA" sheetId="21" state="hidden" r:id="rId2"/>
    <sheet name="Listas" sheetId="16" state="hidden" r:id="rId3"/>
    <sheet name="Riesgos de Gestión" sheetId="1" r:id="rId4"/>
    <sheet name="Matriz Calor Inherente" sheetId="18" r:id="rId5"/>
    <sheet name="Matriz Calor Residual" sheetId="19" r:id="rId6"/>
    <sheet name="Riesgos de Corrupción" sheetId="31" r:id="rId7"/>
    <sheet name="Impacto Corrupción " sheetId="22" r:id="rId8"/>
    <sheet name="Riesgos de Seguridad" sheetId="32" r:id="rId9"/>
    <sheet name="Tabla probabilidad" sheetId="12" r:id="rId10"/>
    <sheet name="Tabla Impacto" sheetId="13" r:id="rId11"/>
    <sheet name="Tipo de riesgos" sheetId="23" r:id="rId12"/>
    <sheet name="Amenazas" sheetId="28" r:id="rId13"/>
    <sheet name="Ejemplos de riesgos" sheetId="26" r:id="rId14"/>
    <sheet name="Tabla Valoración controles" sheetId="15" r:id="rId15"/>
    <sheet name="Hoja1" sheetId="11" state="hidden" r:id="rId16"/>
  </sheets>
  <externalReferences>
    <externalReference r:id="rId17"/>
    <externalReference r:id="rId18"/>
  </externalReferences>
  <definedNames>
    <definedName name="_xlnm.Print_Area" localSheetId="7">'Impacto Corrupción '!$A$1:$G$26</definedName>
    <definedName name="_xlnm.Print_Area" localSheetId="6">'Riesgos de Corrupción'!$A$1:$AR$62</definedName>
    <definedName name="_xlnm.Print_Area" localSheetId="3">'Riesgos de Gestión'!$A$1:$AR$61</definedName>
    <definedName name="_xlnm.Print_Area" localSheetId="8">'Riesgos de Seguridad'!$A$1:$AV$24</definedName>
    <definedName name="clasificaciónriesgos">#REF!</definedName>
    <definedName name="códigos">#REF!</definedName>
    <definedName name="Direccionamiento_Estratégico">#REF!</definedName>
    <definedName name="económicos">#REF!</definedName>
    <definedName name="externo">#REF!</definedName>
    <definedName name="externos2">#REF!</definedName>
    <definedName name="factores">#REF!</definedName>
    <definedName name="impacto" localSheetId="7">#REF!</definedName>
    <definedName name="impactoco">#REF!</definedName>
    <definedName name="infraestructura">#REF!</definedName>
    <definedName name="interno">#REF!</definedName>
    <definedName name="macroprocesos">#REF!</definedName>
    <definedName name="medio_ambientales">#REF!</definedName>
    <definedName name="opciondelriesgo" localSheetId="7">[1]FORMULAS!$K$4:$K$7</definedName>
    <definedName name="opciondelriesgo">[2]FORMULAS!$K$4:$K$7</definedName>
    <definedName name="personal">#REF!</definedName>
    <definedName name="políticos">#REF!</definedName>
    <definedName name="probabilidad" localSheetId="7">#REF!</definedName>
    <definedName name="probabilidad">[2]FORMULAS!$G$4:$G$8</definedName>
    <definedName name="proceso">#REF!</definedName>
    <definedName name="procesos" localSheetId="7">#REF!</definedName>
    <definedName name="procesos">[2]FORMULAS!$B$4:$B$21</definedName>
    <definedName name="sociales">#REF!</definedName>
    <definedName name="tecnología">#REF!</definedName>
    <definedName name="tecnológicos">#REF!</definedName>
    <definedName name="tipo_de_amenaza" localSheetId="7">[1]FORMULAS!$E$4:$E$11</definedName>
    <definedName name="tipo_de_amenaza">[2]FORMULAS!$E$4:$E$11</definedName>
    <definedName name="tipo_de_riesgos" localSheetId="7">[1]FORMULAS!$C$4:$C$6</definedName>
    <definedName name="tipo_de_riesgos">[2]FORMULAS!$C$4:$C$6</definedName>
    <definedName name="_xlnm.Print_Titles" localSheetId="6">'Riesgos de Corrupción'!$1:$8</definedName>
    <definedName name="_xlnm.Print_Titles" localSheetId="3">'Riesgos de Gestión'!$1:$8</definedName>
    <definedName name="_xlnm.Print_Titles" localSheetId="8">'Riesgos de Seguridad'!$1:$8</definedName>
  </definedNames>
  <calcPr calcId="191029"/>
  <pivotCaches>
    <pivotCache cacheId="19"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2" i="32" l="1"/>
  <c r="AB72" i="32"/>
  <c r="V72" i="32"/>
  <c r="AE71" i="32"/>
  <c r="AB71" i="32"/>
  <c r="AM72" i="32" s="1"/>
  <c r="AL72" i="32" s="1"/>
  <c r="V71" i="32"/>
  <c r="AE70" i="32"/>
  <c r="AB70" i="32"/>
  <c r="AM71" i="32" s="1"/>
  <c r="AL71" i="32" s="1"/>
  <c r="V70" i="32"/>
  <c r="AE69" i="32"/>
  <c r="AB69" i="32"/>
  <c r="V69" i="32"/>
  <c r="AE68" i="32"/>
  <c r="AB68" i="32"/>
  <c r="AM69" i="32" s="1"/>
  <c r="AL69" i="32" s="1"/>
  <c r="V68" i="32"/>
  <c r="AE67" i="32"/>
  <c r="AB67" i="32"/>
  <c r="AI68" i="32" s="1"/>
  <c r="T67" i="32"/>
  <c r="S67" i="32"/>
  <c r="AE66" i="32"/>
  <c r="AB66" i="32"/>
  <c r="V66" i="32"/>
  <c r="AE65" i="32"/>
  <c r="AB65" i="32"/>
  <c r="AM66" i="32" s="1"/>
  <c r="AL66" i="32" s="1"/>
  <c r="V65" i="32"/>
  <c r="AE64" i="32"/>
  <c r="AB64" i="32"/>
  <c r="V64" i="32"/>
  <c r="AM63" i="32"/>
  <c r="AL63" i="32" s="1"/>
  <c r="AE63" i="32"/>
  <c r="AB63" i="32"/>
  <c r="V63" i="32"/>
  <c r="AE62" i="32"/>
  <c r="AB62" i="32"/>
  <c r="AI63" i="32" s="1"/>
  <c r="V62" i="32"/>
  <c r="AE61" i="32"/>
  <c r="AB61" i="32"/>
  <c r="AM62" i="32" s="1"/>
  <c r="AL62" i="32" s="1"/>
  <c r="S61" i="32"/>
  <c r="AE60" i="32"/>
  <c r="AB60" i="32"/>
  <c r="V60" i="32"/>
  <c r="AE59" i="32"/>
  <c r="AB59" i="32"/>
  <c r="AI60" i="32" s="1"/>
  <c r="V59" i="32"/>
  <c r="AE58" i="32"/>
  <c r="AB58" i="32"/>
  <c r="V58" i="32"/>
  <c r="AE57" i="32"/>
  <c r="AB57" i="32"/>
  <c r="AM58" i="32" s="1"/>
  <c r="AL58" i="32" s="1"/>
  <c r="V57" i="32"/>
  <c r="AE56" i="32"/>
  <c r="AB56" i="32"/>
  <c r="V56" i="32"/>
  <c r="AE55" i="32"/>
  <c r="AB55" i="32"/>
  <c r="AM55" i="32" s="1"/>
  <c r="AL55" i="32" s="1"/>
  <c r="S55" i="32"/>
  <c r="AI54" i="32"/>
  <c r="AK54" i="32" s="1"/>
  <c r="AE54" i="32"/>
  <c r="AB54" i="32"/>
  <c r="V54" i="32"/>
  <c r="AE53" i="32"/>
  <c r="AB53" i="32"/>
  <c r="AM54" i="32" s="1"/>
  <c r="AL54" i="32" s="1"/>
  <c r="V53" i="32"/>
  <c r="AE52" i="32"/>
  <c r="AB52" i="32"/>
  <c r="AI53" i="32" s="1"/>
  <c r="AK53" i="32" s="1"/>
  <c r="V52" i="32"/>
  <c r="AE51" i="32"/>
  <c r="AB51" i="32"/>
  <c r="AM52" i="32" s="1"/>
  <c r="AL52" i="32" s="1"/>
  <c r="V51" i="32"/>
  <c r="AE50" i="32"/>
  <c r="AB50" i="32"/>
  <c r="V50" i="32"/>
  <c r="AM49" i="32"/>
  <c r="AL49" i="32" s="1"/>
  <c r="AE49" i="32"/>
  <c r="AB49" i="32"/>
  <c r="S49" i="32"/>
  <c r="T49" i="32" s="1"/>
  <c r="AE48" i="32"/>
  <c r="AB48" i="32"/>
  <c r="V48" i="32"/>
  <c r="AE47" i="32"/>
  <c r="AB47" i="32"/>
  <c r="AI48" i="32" s="1"/>
  <c r="V47" i="32"/>
  <c r="AE46" i="32"/>
  <c r="AB46" i="32"/>
  <c r="AM47" i="32" s="1"/>
  <c r="AL47" i="32" s="1"/>
  <c r="V46" i="32"/>
  <c r="AE45" i="32"/>
  <c r="AB45" i="32"/>
  <c r="V45" i="32"/>
  <c r="AE44" i="32"/>
  <c r="AB44" i="32"/>
  <c r="AM45" i="32" s="1"/>
  <c r="AL45" i="32" s="1"/>
  <c r="V44" i="32"/>
  <c r="AE43" i="32"/>
  <c r="AB43" i="32"/>
  <c r="AI43" i="32" s="1"/>
  <c r="AJ43" i="32" s="1"/>
  <c r="S43" i="32"/>
  <c r="AE42" i="32"/>
  <c r="AB42" i="32"/>
  <c r="V42" i="32"/>
  <c r="AE41" i="32"/>
  <c r="AB41" i="32"/>
  <c r="V41" i="32"/>
  <c r="AE40" i="32"/>
  <c r="AB40" i="32"/>
  <c r="V40" i="32"/>
  <c r="AI39" i="32"/>
  <c r="AK39" i="32" s="1"/>
  <c r="AE39" i="32"/>
  <c r="AB39" i="32"/>
  <c r="V39" i="32"/>
  <c r="AE38" i="32"/>
  <c r="AB38" i="32"/>
  <c r="V38" i="32"/>
  <c r="AE37" i="32"/>
  <c r="AB37" i="32"/>
  <c r="AI37" i="32" s="1"/>
  <c r="S37" i="32"/>
  <c r="T37" i="32" s="1"/>
  <c r="AM36" i="32"/>
  <c r="AL36" i="32" s="1"/>
  <c r="AE36" i="32"/>
  <c r="AB36" i="32"/>
  <c r="V36" i="32"/>
  <c r="AI35" i="32"/>
  <c r="AK35" i="32" s="1"/>
  <c r="AE35" i="32"/>
  <c r="AB35" i="32"/>
  <c r="AI36" i="32" s="1"/>
  <c r="AK36" i="32" s="1"/>
  <c r="V35" i="32"/>
  <c r="AE34" i="32"/>
  <c r="AB34" i="32"/>
  <c r="V34" i="32"/>
  <c r="AE33" i="32"/>
  <c r="AB33" i="32"/>
  <c r="AM34" i="32" s="1"/>
  <c r="AL34" i="32" s="1"/>
  <c r="V33" i="32"/>
  <c r="AE32" i="32"/>
  <c r="AB32" i="32"/>
  <c r="V32" i="32"/>
  <c r="AE31" i="32"/>
  <c r="AB31" i="32"/>
  <c r="AM31" i="32" s="1"/>
  <c r="AL31" i="32" s="1"/>
  <c r="T31" i="32"/>
  <c r="S31" i="32"/>
  <c r="AE30" i="32"/>
  <c r="AB30" i="32"/>
  <c r="V30" i="32"/>
  <c r="AE29" i="32"/>
  <c r="AB29" i="32"/>
  <c r="V29" i="32"/>
  <c r="AE28" i="32"/>
  <c r="AB28" i="32"/>
  <c r="AM29" i="32" s="1"/>
  <c r="AL29" i="32" s="1"/>
  <c r="V28" i="32"/>
  <c r="AE27" i="32"/>
  <c r="AB27" i="32"/>
  <c r="AM28" i="32" s="1"/>
  <c r="AL28" i="32" s="1"/>
  <c r="V27" i="32"/>
  <c r="AE26" i="32"/>
  <c r="AB26" i="32"/>
  <c r="AM27" i="32" s="1"/>
  <c r="AL27" i="32" s="1"/>
  <c r="V26" i="32"/>
  <c r="AE25" i="32"/>
  <c r="AB25" i="32"/>
  <c r="S25" i="32"/>
  <c r="AE24" i="32"/>
  <c r="AB24" i="32"/>
  <c r="V24" i="32"/>
  <c r="AE23" i="32"/>
  <c r="AB23" i="32"/>
  <c r="AM24" i="32" s="1"/>
  <c r="AL24" i="32" s="1"/>
  <c r="V23" i="32"/>
  <c r="AE22" i="32"/>
  <c r="AB22" i="32"/>
  <c r="V22" i="32"/>
  <c r="AE21" i="32"/>
  <c r="AB21" i="32"/>
  <c r="AM22" i="32" s="1"/>
  <c r="AL22" i="32" s="1"/>
  <c r="V21" i="32"/>
  <c r="AE20" i="32"/>
  <c r="AB20" i="32"/>
  <c r="V20" i="32"/>
  <c r="AE19" i="32"/>
  <c r="AB19" i="32"/>
  <c r="AM19" i="32" s="1"/>
  <c r="AL19" i="32" s="1"/>
  <c r="T19" i="32"/>
  <c r="S19" i="32"/>
  <c r="AE18" i="32"/>
  <c r="AB18" i="32"/>
  <c r="V18" i="32"/>
  <c r="AE17" i="32"/>
  <c r="AB17" i="32"/>
  <c r="AM18" i="32" s="1"/>
  <c r="AL18" i="32" s="1"/>
  <c r="V17" i="32"/>
  <c r="AE16" i="32"/>
  <c r="AB16" i="32"/>
  <c r="AM17" i="32" s="1"/>
  <c r="AL17" i="32" s="1"/>
  <c r="V16" i="32"/>
  <c r="AE15" i="32"/>
  <c r="AB15" i="32"/>
  <c r="V15" i="32"/>
  <c r="AE14" i="32"/>
  <c r="AB14" i="32"/>
  <c r="AI15" i="32" s="1"/>
  <c r="V14" i="32"/>
  <c r="AE13" i="32"/>
  <c r="AB13" i="32"/>
  <c r="S13" i="32"/>
  <c r="AA68" i="31"/>
  <c r="X68" i="31"/>
  <c r="AA67" i="31"/>
  <c r="X67" i="31"/>
  <c r="AE68" i="31" s="1"/>
  <c r="AA66" i="31"/>
  <c r="X66" i="31"/>
  <c r="AA65" i="31"/>
  <c r="X65" i="31"/>
  <c r="AI66" i="31" s="1"/>
  <c r="AH66" i="31" s="1"/>
  <c r="AA64" i="31"/>
  <c r="X64" i="31"/>
  <c r="AI63" i="31"/>
  <c r="AH63" i="31" s="1"/>
  <c r="AE63" i="31"/>
  <c r="AF63" i="31" s="1"/>
  <c r="AA63" i="31"/>
  <c r="X63" i="31"/>
  <c r="AE64" i="31" s="1"/>
  <c r="AF64" i="31" s="1"/>
  <c r="O63" i="31"/>
  <c r="P63" i="31" s="1"/>
  <c r="AA62" i="31"/>
  <c r="X62" i="31"/>
  <c r="AA61" i="31"/>
  <c r="X61" i="31"/>
  <c r="AE62" i="31" s="1"/>
  <c r="AG62" i="31" s="1"/>
  <c r="AA60" i="31"/>
  <c r="X60" i="31"/>
  <c r="AE61" i="31" s="1"/>
  <c r="AF61" i="31" s="1"/>
  <c r="AA59" i="31"/>
  <c r="X59" i="31"/>
  <c r="AA58" i="31"/>
  <c r="X58" i="31"/>
  <c r="AI59" i="31" s="1"/>
  <c r="AH59" i="31" s="1"/>
  <c r="AA57" i="31"/>
  <c r="X57" i="31"/>
  <c r="O57" i="31"/>
  <c r="P57" i="31" s="1"/>
  <c r="AA56" i="31"/>
  <c r="X56" i="31"/>
  <c r="AA55" i="31"/>
  <c r="X55" i="31"/>
  <c r="AA54" i="31"/>
  <c r="X54" i="31"/>
  <c r="AA53" i="31"/>
  <c r="X53" i="31"/>
  <c r="AE54" i="31" s="1"/>
  <c r="AA52" i="31"/>
  <c r="X52" i="31"/>
  <c r="AA51" i="31"/>
  <c r="X51" i="31"/>
  <c r="O51" i="31"/>
  <c r="AA50" i="31"/>
  <c r="X50" i="31"/>
  <c r="AA49" i="31"/>
  <c r="X49" i="31"/>
  <c r="AA48" i="31"/>
  <c r="X48" i="31"/>
  <c r="AA47" i="31"/>
  <c r="X47" i="31"/>
  <c r="AA46" i="31"/>
  <c r="X46" i="31"/>
  <c r="AE47" i="31" s="1"/>
  <c r="AF47" i="31" s="1"/>
  <c r="AA45" i="31"/>
  <c r="X45" i="31"/>
  <c r="AI45" i="31" s="1"/>
  <c r="AH45" i="31" s="1"/>
  <c r="O45" i="31"/>
  <c r="P45" i="31" s="1"/>
  <c r="AA44" i="31"/>
  <c r="X44" i="31"/>
  <c r="AA43" i="31"/>
  <c r="X43" i="31"/>
  <c r="AE44" i="31" s="1"/>
  <c r="AF44" i="31" s="1"/>
  <c r="AA42" i="31"/>
  <c r="X42" i="31"/>
  <c r="AA41" i="31"/>
  <c r="X41" i="31"/>
  <c r="AA40" i="31"/>
  <c r="X40" i="31"/>
  <c r="AI41" i="31" s="1"/>
  <c r="AH41" i="31" s="1"/>
  <c r="AA39" i="31"/>
  <c r="X39" i="31"/>
  <c r="AI39" i="31" s="1"/>
  <c r="AH39" i="31" s="1"/>
  <c r="O39" i="31"/>
  <c r="P39" i="31" s="1"/>
  <c r="AA38" i="31"/>
  <c r="X38" i="31"/>
  <c r="AA37" i="31"/>
  <c r="X37" i="31"/>
  <c r="AI37" i="31" s="1"/>
  <c r="AH37" i="31" s="1"/>
  <c r="AA36" i="31"/>
  <c r="X36" i="31"/>
  <c r="AA35" i="31"/>
  <c r="X35" i="31"/>
  <c r="AI36" i="31" s="1"/>
  <c r="AH36" i="31" s="1"/>
  <c r="AA34" i="31"/>
  <c r="X34" i="31"/>
  <c r="AA33" i="31"/>
  <c r="X33" i="31"/>
  <c r="AI34" i="31" s="1"/>
  <c r="AH34" i="31" s="1"/>
  <c r="O33" i="31"/>
  <c r="AA32" i="31"/>
  <c r="X32" i="31"/>
  <c r="AA31" i="31"/>
  <c r="X31" i="31"/>
  <c r="AA30" i="31"/>
  <c r="X30" i="31"/>
  <c r="AE31" i="31" s="1"/>
  <c r="AG31" i="31" s="1"/>
  <c r="AA29" i="31"/>
  <c r="X29" i="31"/>
  <c r="AA28" i="31"/>
  <c r="X28" i="31"/>
  <c r="AE29" i="31" s="1"/>
  <c r="AA27" i="31"/>
  <c r="X27" i="31"/>
  <c r="AE27" i="31" s="1"/>
  <c r="O27" i="31"/>
  <c r="P27" i="31" s="1"/>
  <c r="AA26" i="31"/>
  <c r="X26" i="31"/>
  <c r="AA25" i="31"/>
  <c r="X25" i="31"/>
  <c r="AE25" i="31" s="1"/>
  <c r="AG25" i="31" s="1"/>
  <c r="AA24" i="31"/>
  <c r="X24" i="31"/>
  <c r="AA23" i="31"/>
  <c r="X23" i="31"/>
  <c r="AI23" i="31" s="1"/>
  <c r="AH23" i="31" s="1"/>
  <c r="AA22" i="31"/>
  <c r="X22" i="31"/>
  <c r="AA21" i="31"/>
  <c r="X21" i="31"/>
  <c r="O21" i="31"/>
  <c r="P21" i="31" s="1"/>
  <c r="AA20" i="31"/>
  <c r="X20" i="31"/>
  <c r="AA19" i="31"/>
  <c r="X19" i="31"/>
  <c r="AA18" i="31"/>
  <c r="X18" i="31"/>
  <c r="AA17" i="31"/>
  <c r="X17" i="31"/>
  <c r="AA16" i="31"/>
  <c r="X16" i="31"/>
  <c r="AE16" i="31" s="1"/>
  <c r="AF16" i="31" s="1"/>
  <c r="AA15" i="31"/>
  <c r="X15" i="31"/>
  <c r="AI15" i="31" s="1"/>
  <c r="AH15" i="31" s="1"/>
  <c r="O15" i="31"/>
  <c r="P15" i="31" s="1"/>
  <c r="AA14" i="31"/>
  <c r="X14" i="31"/>
  <c r="AA13" i="31"/>
  <c r="X13" i="31"/>
  <c r="O13" i="31"/>
  <c r="P13" i="31" s="1"/>
  <c r="R53" i="31"/>
  <c r="R37" i="31"/>
  <c r="R32" i="31"/>
  <c r="R25" i="31"/>
  <c r="R68" i="31"/>
  <c r="R60" i="31"/>
  <c r="R55" i="31"/>
  <c r="R48" i="31"/>
  <c r="R34" i="31"/>
  <c r="R29" i="31"/>
  <c r="R20" i="31"/>
  <c r="R17" i="31"/>
  <c r="R14" i="31"/>
  <c r="R44" i="31"/>
  <c r="R62" i="31"/>
  <c r="R50" i="31"/>
  <c r="R41" i="31"/>
  <c r="R22" i="31"/>
  <c r="R23" i="31"/>
  <c r="R18" i="31"/>
  <c r="R65" i="31"/>
  <c r="R52" i="31"/>
  <c r="R43" i="31"/>
  <c r="R36" i="31"/>
  <c r="R31" i="31"/>
  <c r="R26" i="31"/>
  <c r="R67" i="31"/>
  <c r="R59" i="31"/>
  <c r="R47" i="31"/>
  <c r="R38" i="31"/>
  <c r="R28" i="31"/>
  <c r="R24" i="31"/>
  <c r="R19" i="31"/>
  <c r="R66" i="31"/>
  <c r="R64" i="31"/>
  <c r="R58" i="31"/>
  <c r="R61" i="31"/>
  <c r="R54" i="31"/>
  <c r="R49" i="31"/>
  <c r="R40" i="31"/>
  <c r="R56" i="31"/>
  <c r="R42" i="31"/>
  <c r="R35" i="31"/>
  <c r="R30" i="31"/>
  <c r="R16" i="31"/>
  <c r="R46" i="31"/>
  <c r="AE20" i="31" l="1"/>
  <c r="AE60" i="31"/>
  <c r="AI38" i="32"/>
  <c r="AJ38" i="32" s="1"/>
  <c r="AM46" i="32"/>
  <c r="AL46" i="32" s="1"/>
  <c r="AM48" i="32"/>
  <c r="AL48" i="32" s="1"/>
  <c r="AI72" i="32"/>
  <c r="AE42" i="31"/>
  <c r="AI44" i="31"/>
  <c r="AH44" i="31" s="1"/>
  <c r="AI48" i="31"/>
  <c r="AH48" i="31" s="1"/>
  <c r="AE48" i="31"/>
  <c r="AG48" i="31" s="1"/>
  <c r="AI65" i="31"/>
  <c r="AH65" i="31" s="1"/>
  <c r="AM15" i="32"/>
  <c r="AL15" i="32" s="1"/>
  <c r="AM26" i="32"/>
  <c r="AL26" i="32" s="1"/>
  <c r="AM30" i="32"/>
  <c r="AL30" i="32" s="1"/>
  <c r="AI33" i="32"/>
  <c r="AM41" i="32"/>
  <c r="AL41" i="32" s="1"/>
  <c r="AI46" i="32"/>
  <c r="AI51" i="32"/>
  <c r="AK51" i="32" s="1"/>
  <c r="AI55" i="32"/>
  <c r="AK55" i="32" s="1"/>
  <c r="AI65" i="32"/>
  <c r="AM68" i="32"/>
  <c r="AL68" i="32" s="1"/>
  <c r="AI60" i="31"/>
  <c r="AH60" i="31" s="1"/>
  <c r="AJ60" i="31" s="1"/>
  <c r="AI22" i="31"/>
  <c r="AH22" i="31" s="1"/>
  <c r="AI38" i="31"/>
  <c r="AH38" i="31" s="1"/>
  <c r="AE26" i="31"/>
  <c r="AG26" i="31" s="1"/>
  <c r="AI32" i="31"/>
  <c r="AH32" i="31" s="1"/>
  <c r="AE37" i="31"/>
  <c r="AI53" i="31"/>
  <c r="AH53" i="31" s="1"/>
  <c r="AI54" i="31"/>
  <c r="AH54" i="31" s="1"/>
  <c r="AI27" i="31"/>
  <c r="AH27" i="31" s="1"/>
  <c r="AI18" i="31"/>
  <c r="AH18" i="31" s="1"/>
  <c r="AI24" i="31"/>
  <c r="AH24" i="31" s="1"/>
  <c r="AE58" i="31"/>
  <c r="AG63" i="31"/>
  <c r="AI30" i="31"/>
  <c r="AH30" i="31" s="1"/>
  <c r="AI43" i="31"/>
  <c r="AH43" i="31" s="1"/>
  <c r="AE45" i="31"/>
  <c r="AG45" i="31" s="1"/>
  <c r="AI56" i="31"/>
  <c r="AH56" i="31" s="1"/>
  <c r="AE65" i="31"/>
  <c r="AG65" i="31" s="1"/>
  <c r="AG29" i="31"/>
  <c r="AF29" i="31"/>
  <c r="AG60" i="31"/>
  <c r="AF60" i="31"/>
  <c r="AG42" i="31"/>
  <c r="AF42" i="31"/>
  <c r="AE46" i="31"/>
  <c r="AE56" i="31"/>
  <c r="AI17" i="31"/>
  <c r="AH17" i="31" s="1"/>
  <c r="AI19" i="31"/>
  <c r="AH19" i="31" s="1"/>
  <c r="AI20" i="31"/>
  <c r="AH20" i="31" s="1"/>
  <c r="AI26" i="31"/>
  <c r="AH26" i="31" s="1"/>
  <c r="AE30" i="31"/>
  <c r="AF30" i="31" s="1"/>
  <c r="AJ30" i="31" s="1"/>
  <c r="AE34" i="31"/>
  <c r="AG34" i="31" s="1"/>
  <c r="AE38" i="31"/>
  <c r="AG38" i="31" s="1"/>
  <c r="AE41" i="31"/>
  <c r="AI49" i="31"/>
  <c r="AH49" i="31" s="1"/>
  <c r="AI57" i="31"/>
  <c r="AH57" i="31" s="1"/>
  <c r="AE59" i="31"/>
  <c r="AI46" i="31"/>
  <c r="AH46" i="31" s="1"/>
  <c r="AE28" i="31"/>
  <c r="AI52" i="31"/>
  <c r="AH52" i="31" s="1"/>
  <c r="AI55" i="31"/>
  <c r="AH55" i="31" s="1"/>
  <c r="AI62" i="31"/>
  <c r="AH62" i="31" s="1"/>
  <c r="AI29" i="31"/>
  <c r="AH29" i="31" s="1"/>
  <c r="AE33" i="31"/>
  <c r="AF33" i="31" s="1"/>
  <c r="AE43" i="31"/>
  <c r="AI50" i="31"/>
  <c r="AH50" i="31" s="1"/>
  <c r="AI58" i="31"/>
  <c r="AH58" i="31" s="1"/>
  <c r="AI67" i="31"/>
  <c r="AH67" i="31" s="1"/>
  <c r="AI68" i="31"/>
  <c r="AH68" i="31" s="1"/>
  <c r="AE15" i="31"/>
  <c r="AF15" i="31" s="1"/>
  <c r="AE24" i="31"/>
  <c r="AE51" i="31"/>
  <c r="AG51" i="31" s="1"/>
  <c r="AE55" i="31"/>
  <c r="AG55" i="31" s="1"/>
  <c r="AE17" i="31"/>
  <c r="AG17" i="31" s="1"/>
  <c r="AE23" i="31"/>
  <c r="AF23" i="31" s="1"/>
  <c r="AJ23" i="31" s="1"/>
  <c r="AI31" i="31"/>
  <c r="AH31" i="31" s="1"/>
  <c r="AI35" i="31"/>
  <c r="AH35" i="31" s="1"/>
  <c r="AI40" i="31"/>
  <c r="AH40" i="31" s="1"/>
  <c r="AE57" i="31"/>
  <c r="AF25" i="31"/>
  <c r="AF26" i="31"/>
  <c r="AK68" i="32"/>
  <c r="AJ68" i="32"/>
  <c r="AN68" i="32" s="1"/>
  <c r="AK48" i="32"/>
  <c r="AJ48" i="32"/>
  <c r="AN48" i="32" s="1"/>
  <c r="AK65" i="32"/>
  <c r="AJ65" i="32"/>
  <c r="AK38" i="32"/>
  <c r="AI71" i="32"/>
  <c r="AI17" i="32"/>
  <c r="AI18" i="32"/>
  <c r="AI34" i="32"/>
  <c r="AJ35" i="32"/>
  <c r="AM39" i="32"/>
  <c r="AL39" i="32" s="1"/>
  <c r="AI47" i="32"/>
  <c r="AJ47" i="32" s="1"/>
  <c r="AN47" i="32" s="1"/>
  <c r="AJ54" i="32"/>
  <c r="AN54" i="32" s="1"/>
  <c r="AJ55" i="32"/>
  <c r="AN55" i="32" s="1"/>
  <c r="AI20" i="32"/>
  <c r="AK20" i="32" s="1"/>
  <c r="AI19" i="32"/>
  <c r="AI23" i="32"/>
  <c r="AJ23" i="32" s="1"/>
  <c r="AI25" i="32"/>
  <c r="AJ25" i="32" s="1"/>
  <c r="AM32" i="32"/>
  <c r="AL32" i="32" s="1"/>
  <c r="AM20" i="32"/>
  <c r="AL20" i="32" s="1"/>
  <c r="AM23" i="32"/>
  <c r="AL23" i="32" s="1"/>
  <c r="AM25" i="32"/>
  <c r="AL25" i="32" s="1"/>
  <c r="T55" i="32"/>
  <c r="AM67" i="32"/>
  <c r="AL67" i="32" s="1"/>
  <c r="AI24" i="32"/>
  <c r="AJ24" i="32" s="1"/>
  <c r="AN24" i="32" s="1"/>
  <c r="AI29" i="32"/>
  <c r="AK29" i="32" s="1"/>
  <c r="AM57" i="32"/>
  <c r="AL57" i="32" s="1"/>
  <c r="AM70" i="32"/>
  <c r="AL70" i="32" s="1"/>
  <c r="AI70" i="32"/>
  <c r="AK70" i="32" s="1"/>
  <c r="AM51" i="32"/>
  <c r="AL51" i="32" s="1"/>
  <c r="AI57" i="32"/>
  <c r="AI22" i="32"/>
  <c r="AJ22" i="32" s="1"/>
  <c r="AN22" i="32" s="1"/>
  <c r="AI40" i="32"/>
  <c r="AK40" i="32" s="1"/>
  <c r="AM59" i="32"/>
  <c r="AL59" i="32" s="1"/>
  <c r="AM60" i="32"/>
  <c r="AL60" i="32" s="1"/>
  <c r="AM65" i="32"/>
  <c r="AL65" i="32" s="1"/>
  <c r="AN65" i="32" s="1"/>
  <c r="AM16" i="32"/>
  <c r="AL16" i="32" s="1"/>
  <c r="AI16" i="32"/>
  <c r="AK16" i="32" s="1"/>
  <c r="AM37" i="32"/>
  <c r="AL37" i="32" s="1"/>
  <c r="AM40" i="32"/>
  <c r="AL40" i="32" s="1"/>
  <c r="AI50" i="32"/>
  <c r="AK50" i="32" s="1"/>
  <c r="AI52" i="32"/>
  <c r="AI56" i="32"/>
  <c r="AK56" i="32" s="1"/>
  <c r="AI64" i="32"/>
  <c r="AK64" i="32" s="1"/>
  <c r="AI66" i="32"/>
  <c r="AI69" i="32"/>
  <c r="AI21" i="32"/>
  <c r="AI26" i="32"/>
  <c r="AJ26" i="32" s="1"/>
  <c r="AN26" i="32" s="1"/>
  <c r="AI30" i="32"/>
  <c r="AK30" i="32" s="1"/>
  <c r="AM33" i="32"/>
  <c r="AL33" i="32" s="1"/>
  <c r="AM42" i="32"/>
  <c r="AL42" i="32" s="1"/>
  <c r="AM44" i="32"/>
  <c r="AL44" i="32" s="1"/>
  <c r="AI67" i="32"/>
  <c r="AK46" i="32"/>
  <c r="AJ46" i="32"/>
  <c r="AN46" i="32" s="1"/>
  <c r="AJ50" i="32"/>
  <c r="AK33" i="32"/>
  <c r="AJ33" i="32"/>
  <c r="AK60" i="32"/>
  <c r="AJ60" i="32"/>
  <c r="AJ34" i="32"/>
  <c r="AN34" i="32" s="1"/>
  <c r="AK34" i="32"/>
  <c r="AK15" i="32"/>
  <c r="AJ15" i="32"/>
  <c r="AN15" i="32" s="1"/>
  <c r="AJ37" i="32"/>
  <c r="AK37" i="32"/>
  <c r="AK63" i="32"/>
  <c r="AJ63" i="32"/>
  <c r="AN63" i="32" s="1"/>
  <c r="AK72" i="32"/>
  <c r="AJ72" i="32"/>
  <c r="AN72" i="32" s="1"/>
  <c r="AJ29" i="32"/>
  <c r="AN29" i="32" s="1"/>
  <c r="AM50" i="32"/>
  <c r="AL50" i="32" s="1"/>
  <c r="AJ53" i="32"/>
  <c r="AM64" i="32"/>
  <c r="AL64" i="32" s="1"/>
  <c r="AJ70" i="32"/>
  <c r="T25" i="32"/>
  <c r="AJ40" i="32"/>
  <c r="T13" i="32"/>
  <c r="AI13" i="32" s="1"/>
  <c r="AM21" i="32"/>
  <c r="AL21" i="32" s="1"/>
  <c r="AK23" i="32"/>
  <c r="AI28" i="32"/>
  <c r="AI31" i="32"/>
  <c r="AM35" i="32"/>
  <c r="AL35" i="32" s="1"/>
  <c r="AN35" i="32" s="1"/>
  <c r="AM38" i="32"/>
  <c r="AL38" i="32" s="1"/>
  <c r="AI42" i="32"/>
  <c r="AK43" i="32"/>
  <c r="AI45" i="32"/>
  <c r="AI59" i="32"/>
  <c r="T61" i="32"/>
  <c r="AI62" i="32"/>
  <c r="AI27" i="32"/>
  <c r="AI32" i="32"/>
  <c r="AI49" i="32"/>
  <c r="AM53" i="32"/>
  <c r="AL53" i="32" s="1"/>
  <c r="AM56" i="32"/>
  <c r="AL56" i="32" s="1"/>
  <c r="AJ36" i="32"/>
  <c r="AN36" i="32" s="1"/>
  <c r="AJ39" i="32"/>
  <c r="AN39" i="32" s="1"/>
  <c r="AK25" i="32"/>
  <c r="T43" i="32"/>
  <c r="AI61" i="32"/>
  <c r="AM43" i="32"/>
  <c r="AL43" i="32" s="1"/>
  <c r="AN43" i="32" s="1"/>
  <c r="AI41" i="32"/>
  <c r="AI44" i="32"/>
  <c r="AM13" i="32"/>
  <c r="AL13" i="32" s="1"/>
  <c r="AM61" i="32"/>
  <c r="AL61" i="32" s="1"/>
  <c r="AI58" i="32"/>
  <c r="AJ29" i="31"/>
  <c r="AJ63" i="31"/>
  <c r="AJ44" i="31"/>
  <c r="AG68" i="31"/>
  <c r="AF68" i="31"/>
  <c r="AG27" i="31"/>
  <c r="AF27" i="31"/>
  <c r="AJ15" i="31"/>
  <c r="AJ26" i="31"/>
  <c r="AG41" i="31"/>
  <c r="AF41" i="31"/>
  <c r="AJ41" i="31" s="1"/>
  <c r="AG54" i="31"/>
  <c r="AF54" i="31"/>
  <c r="AG20" i="31"/>
  <c r="AF20" i="31"/>
  <c r="AG37" i="31"/>
  <c r="AF37" i="31"/>
  <c r="AJ37" i="31" s="1"/>
  <c r="AG58" i="31"/>
  <c r="AF58" i="31"/>
  <c r="AG24" i="31"/>
  <c r="AF24" i="31"/>
  <c r="AJ24" i="31" s="1"/>
  <c r="P33" i="31"/>
  <c r="AG16" i="31"/>
  <c r="AF17" i="31"/>
  <c r="AJ17" i="31" s="1"/>
  <c r="AE18" i="31"/>
  <c r="AE21" i="31"/>
  <c r="AI25" i="31"/>
  <c r="AH25" i="31" s="1"/>
  <c r="AJ25" i="31" s="1"/>
  <c r="AI28" i="31"/>
  <c r="AH28" i="31" s="1"/>
  <c r="AF31" i="31"/>
  <c r="AE32" i="31"/>
  <c r="AG33" i="31"/>
  <c r="AE35" i="31"/>
  <c r="AI42" i="31"/>
  <c r="AH42" i="31" s="1"/>
  <c r="AG44" i="31"/>
  <c r="AG47" i="31"/>
  <c r="AF48" i="31"/>
  <c r="AJ48" i="31" s="1"/>
  <c r="AE49" i="31"/>
  <c r="P51" i="31"/>
  <c r="AF51" i="31"/>
  <c r="AE52" i="31"/>
  <c r="AG61" i="31"/>
  <c r="AF62" i="31"/>
  <c r="AJ62" i="31" s="1"/>
  <c r="AG64" i="31"/>
  <c r="AF65" i="31"/>
  <c r="AJ65" i="31" s="1"/>
  <c r="AE66" i="31"/>
  <c r="AE19" i="31"/>
  <c r="AE22" i="31"/>
  <c r="AE36" i="31"/>
  <c r="AE39" i="31"/>
  <c r="AE50" i="31"/>
  <c r="AE53" i="31"/>
  <c r="AE67" i="31"/>
  <c r="AE13" i="31"/>
  <c r="AI16" i="31"/>
  <c r="AH16" i="31" s="1"/>
  <c r="AJ16" i="31" s="1"/>
  <c r="AI33" i="31"/>
  <c r="AH33" i="31" s="1"/>
  <c r="AJ33" i="31" s="1"/>
  <c r="AE40" i="31"/>
  <c r="AI47" i="31"/>
  <c r="AH47" i="31" s="1"/>
  <c r="AJ47" i="31" s="1"/>
  <c r="AI61" i="31"/>
  <c r="AH61" i="31" s="1"/>
  <c r="AJ61" i="31" s="1"/>
  <c r="AI64" i="31"/>
  <c r="AH64" i="31" s="1"/>
  <c r="AJ64" i="31" s="1"/>
  <c r="AI51" i="31"/>
  <c r="AH51" i="31" s="1"/>
  <c r="AI21" i="31"/>
  <c r="AH21" i="31" s="1"/>
  <c r="O13" i="1"/>
  <c r="P13" i="1" s="1"/>
  <c r="X13" i="1"/>
  <c r="AA13" i="1"/>
  <c r="AJ20" i="31" l="1"/>
  <c r="AJ51" i="32"/>
  <c r="AN51" i="32" s="1"/>
  <c r="AJ27" i="31"/>
  <c r="AF55" i="31"/>
  <c r="AJ55" i="31" s="1"/>
  <c r="AF38" i="31"/>
  <c r="AJ38" i="31" s="1"/>
  <c r="AN38" i="32"/>
  <c r="AJ56" i="32"/>
  <c r="AN56" i="32" s="1"/>
  <c r="AK47" i="32"/>
  <c r="AF34" i="31"/>
  <c r="AJ34" i="31" s="1"/>
  <c r="AG23" i="31"/>
  <c r="AF45" i="31"/>
  <c r="AJ45" i="31" s="1"/>
  <c r="AJ54" i="31"/>
  <c r="AJ42" i="31"/>
  <c r="AJ58" i="31"/>
  <c r="AJ31" i="31"/>
  <c r="AJ68" i="31"/>
  <c r="AG56" i="31"/>
  <c r="AF56" i="31"/>
  <c r="AJ56" i="31" s="1"/>
  <c r="AG30" i="31"/>
  <c r="AG15" i="31"/>
  <c r="AG28" i="31"/>
  <c r="AF28" i="31"/>
  <c r="AJ28" i="31" s="1"/>
  <c r="AG46" i="31"/>
  <c r="AF46" i="31"/>
  <c r="AJ46" i="31" s="1"/>
  <c r="AG43" i="31"/>
  <c r="AF43" i="31"/>
  <c r="AJ43" i="31" s="1"/>
  <c r="AF57" i="31"/>
  <c r="AJ57" i="31" s="1"/>
  <c r="AG57" i="31"/>
  <c r="AF59" i="31"/>
  <c r="AJ59" i="31" s="1"/>
  <c r="AG59" i="31"/>
  <c r="AN40" i="32"/>
  <c r="AN60" i="32"/>
  <c r="AN70" i="32"/>
  <c r="AK26" i="32"/>
  <c r="AJ30" i="32"/>
  <c r="AN30" i="32" s="1"/>
  <c r="AK24" i="32"/>
  <c r="AJ20" i="32"/>
  <c r="AN20" i="32" s="1"/>
  <c r="AK22" i="32"/>
  <c r="AJ16" i="32"/>
  <c r="AN16" i="32" s="1"/>
  <c r="AJ21" i="32"/>
  <c r="AN21" i="32" s="1"/>
  <c r="AK21" i="32"/>
  <c r="AK57" i="32"/>
  <c r="AJ57" i="32"/>
  <c r="AN57" i="32" s="1"/>
  <c r="AK19" i="32"/>
  <c r="AJ19" i="32"/>
  <c r="AN19" i="32" s="1"/>
  <c r="AJ18" i="32"/>
  <c r="AN18" i="32" s="1"/>
  <c r="AK18" i="32"/>
  <c r="AN33" i="32"/>
  <c r="AJ69" i="32"/>
  <c r="AN69" i="32" s="1"/>
  <c r="AK69" i="32"/>
  <c r="AK17" i="32"/>
  <c r="AJ17" i="32"/>
  <c r="AN17" i="32" s="1"/>
  <c r="AK71" i="32"/>
  <c r="AJ71" i="32"/>
  <c r="AN71" i="32" s="1"/>
  <c r="AJ66" i="32"/>
  <c r="AN66" i="32" s="1"/>
  <c r="AK66" i="32"/>
  <c r="AN37" i="32"/>
  <c r="AK67" i="32"/>
  <c r="AJ67" i="32"/>
  <c r="AN67" i="32" s="1"/>
  <c r="AJ64" i="32"/>
  <c r="AJ52" i="32"/>
  <c r="AN52" i="32" s="1"/>
  <c r="AK52" i="32"/>
  <c r="AN25" i="32"/>
  <c r="AN23" i="32"/>
  <c r="AK13" i="32"/>
  <c r="AI14" i="32" s="1"/>
  <c r="AJ13" i="32"/>
  <c r="AN13" i="32" s="1"/>
  <c r="AK45" i="32"/>
  <c r="AJ45" i="32"/>
  <c r="AN45" i="32" s="1"/>
  <c r="AK61" i="32"/>
  <c r="AJ61" i="32"/>
  <c r="AN61" i="32" s="1"/>
  <c r="AN50" i="32"/>
  <c r="AK58" i="32"/>
  <c r="AJ58" i="32"/>
  <c r="AN58" i="32" s="1"/>
  <c r="AK49" i="32"/>
  <c r="AJ49" i="32"/>
  <c r="AN49" i="32" s="1"/>
  <c r="AK42" i="32"/>
  <c r="AJ42" i="32"/>
  <c r="AN42" i="32" s="1"/>
  <c r="AN53" i="32"/>
  <c r="AK32" i="32"/>
  <c r="AJ32" i="32"/>
  <c r="AN32" i="32" s="1"/>
  <c r="AK62" i="32"/>
  <c r="AJ62" i="32"/>
  <c r="AN62" i="32" s="1"/>
  <c r="AK31" i="32"/>
  <c r="AJ31" i="32"/>
  <c r="AN31" i="32" s="1"/>
  <c r="AM14" i="32"/>
  <c r="AL14" i="32" s="1"/>
  <c r="AK44" i="32"/>
  <c r="AJ44" i="32"/>
  <c r="AN44" i="32" s="1"/>
  <c r="AN64" i="32"/>
  <c r="AK27" i="32"/>
  <c r="AJ27" i="32"/>
  <c r="AN27" i="32" s="1"/>
  <c r="AK28" i="32"/>
  <c r="AJ28" i="32"/>
  <c r="AN28" i="32" s="1"/>
  <c r="AK41" i="32"/>
  <c r="AJ41" i="32"/>
  <c r="AN41" i="32" s="1"/>
  <c r="AK59" i="32"/>
  <c r="AJ59" i="32"/>
  <c r="AN59" i="32" s="1"/>
  <c r="AG36" i="31"/>
  <c r="AF36" i="31"/>
  <c r="AJ36" i="31" s="1"/>
  <c r="AG52" i="31"/>
  <c r="AF52" i="31"/>
  <c r="AJ52" i="31" s="1"/>
  <c r="AG35" i="31"/>
  <c r="AF35" i="31"/>
  <c r="AJ35" i="31" s="1"/>
  <c r="AG21" i="31"/>
  <c r="AF21" i="31"/>
  <c r="AJ21" i="31" s="1"/>
  <c r="AG40" i="31"/>
  <c r="AF40" i="31"/>
  <c r="AJ40" i="31" s="1"/>
  <c r="AG18" i="31"/>
  <c r="AF18" i="31"/>
  <c r="AJ18" i="31" s="1"/>
  <c r="AG22" i="31"/>
  <c r="AF22" i="31"/>
  <c r="AJ22" i="31" s="1"/>
  <c r="AJ51" i="31"/>
  <c r="AG19" i="31"/>
  <c r="AF19" i="31"/>
  <c r="AJ19" i="31" s="1"/>
  <c r="AG53" i="31"/>
  <c r="AF53" i="31"/>
  <c r="AJ53" i="31" s="1"/>
  <c r="AG13" i="31"/>
  <c r="AE14" i="31" s="1"/>
  <c r="AF13" i="31"/>
  <c r="AG66" i="31"/>
  <c r="AF66" i="31"/>
  <c r="AJ66" i="31" s="1"/>
  <c r="AG49" i="31"/>
  <c r="AF49" i="31"/>
  <c r="AJ49" i="31" s="1"/>
  <c r="AG32" i="31"/>
  <c r="AF32" i="31"/>
  <c r="AJ32" i="31" s="1"/>
  <c r="AG50" i="31"/>
  <c r="AF50" i="31"/>
  <c r="AJ50" i="31" s="1"/>
  <c r="AG39" i="31"/>
  <c r="AF39" i="31"/>
  <c r="AJ39" i="31" s="1"/>
  <c r="AG67" i="31"/>
  <c r="AF67" i="31"/>
  <c r="AJ67" i="31" s="1"/>
  <c r="AE13" i="1"/>
  <c r="AG13" i="1" s="1"/>
  <c r="AK14" i="32" l="1"/>
  <c r="AJ14" i="32"/>
  <c r="AN14" i="32" s="1"/>
  <c r="AG14" i="31"/>
  <c r="AF14" i="31"/>
  <c r="AF13" i="1"/>
  <c r="O40" i="1" l="1"/>
  <c r="X14" i="1" l="1"/>
  <c r="E24" i="22" l="1"/>
  <c r="E8" i="13"/>
  <c r="E7" i="13"/>
  <c r="E6" i="13"/>
  <c r="E5" i="13"/>
  <c r="R56" i="1"/>
  <c r="R44" i="1"/>
  <c r="R31" i="1"/>
  <c r="R26" i="1"/>
  <c r="R45" i="1"/>
  <c r="R43" i="1"/>
  <c r="R51" i="1"/>
  <c r="R47" i="1"/>
  <c r="R50" i="1"/>
  <c r="R54" i="1"/>
  <c r="R33" i="1"/>
  <c r="R53" i="1"/>
  <c r="R36" i="1"/>
  <c r="R23" i="1"/>
  <c r="R49" i="1"/>
  <c r="R42" i="1"/>
  <c r="R29" i="1"/>
  <c r="R57" i="1"/>
  <c r="R19" i="1"/>
  <c r="R35" i="1"/>
  <c r="R30" i="1"/>
  <c r="R17" i="1"/>
  <c r="R27" i="1"/>
  <c r="R41" i="1"/>
  <c r="R18" i="1"/>
  <c r="R39" i="1"/>
  <c r="R25" i="1"/>
  <c r="R38" i="1"/>
  <c r="R37" i="1"/>
  <c r="R55" i="1"/>
  <c r="R20" i="1"/>
  <c r="R21" i="1"/>
  <c r="R24" i="1"/>
  <c r="R48" i="1"/>
  <c r="R32" i="1"/>
  <c r="F222" i="13" l="1"/>
  <c r="F212" i="13"/>
  <c r="F213" i="13"/>
  <c r="F214" i="13"/>
  <c r="F215" i="13"/>
  <c r="F216" i="13"/>
  <c r="F217" i="13"/>
  <c r="F218" i="13"/>
  <c r="F219" i="13"/>
  <c r="F220" i="13"/>
  <c r="F221" i="13"/>
  <c r="F211" i="13"/>
  <c r="B222" i="13" a="1"/>
  <c r="B222" i="13" l="1"/>
  <c r="X40" i="1"/>
  <c r="X35" i="1"/>
  <c r="X29" i="1"/>
  <c r="R13" i="1" l="1"/>
  <c r="S13" i="1" s="1"/>
  <c r="V55" i="32"/>
  <c r="W55" i="32" s="1"/>
  <c r="V19" i="32"/>
  <c r="W19" i="32" s="1"/>
  <c r="R57" i="31"/>
  <c r="S57" i="31" s="1"/>
  <c r="R39" i="31"/>
  <c r="S39" i="31" s="1"/>
  <c r="R27" i="31"/>
  <c r="S27" i="31" s="1"/>
  <c r="R15" i="31"/>
  <c r="S15" i="31" s="1"/>
  <c r="R63" i="31"/>
  <c r="S63" i="31" s="1"/>
  <c r="V67" i="32"/>
  <c r="W67" i="32" s="1"/>
  <c r="R51" i="31"/>
  <c r="S51" i="31" s="1"/>
  <c r="R33" i="31"/>
  <c r="S33" i="31" s="1"/>
  <c r="R21" i="31"/>
  <c r="S21" i="31" s="1"/>
  <c r="R13" i="31"/>
  <c r="S13" i="31" s="1"/>
  <c r="V25" i="32"/>
  <c r="W25" i="32" s="1"/>
  <c r="R45" i="31"/>
  <c r="S45" i="31" s="1"/>
  <c r="V61" i="32"/>
  <c r="W61" i="32" s="1"/>
  <c r="V43" i="32"/>
  <c r="W43" i="32" s="1"/>
  <c r="V37" i="32"/>
  <c r="W37" i="32" s="1"/>
  <c r="V49" i="32"/>
  <c r="W49" i="32" s="1"/>
  <c r="V31" i="32"/>
  <c r="W31" i="32" s="1"/>
  <c r="V13" i="32"/>
  <c r="W13" i="32" s="1"/>
  <c r="AI40" i="1"/>
  <c r="T13" i="1"/>
  <c r="AI13" i="1" s="1"/>
  <c r="U13"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X31" i="32" l="1"/>
  <c r="Y31" i="32"/>
  <c r="T21" i="31"/>
  <c r="U21" i="31"/>
  <c r="Y49" i="32"/>
  <c r="X49" i="32"/>
  <c r="T45" i="31"/>
  <c r="U45" i="31"/>
  <c r="T33" i="31"/>
  <c r="U33" i="31"/>
  <c r="T15" i="31"/>
  <c r="U15" i="31"/>
  <c r="Y19" i="32"/>
  <c r="X19" i="32"/>
  <c r="X37" i="32"/>
  <c r="Y37" i="32"/>
  <c r="X25" i="32"/>
  <c r="Y25" i="32"/>
  <c r="T51" i="31"/>
  <c r="U51" i="31"/>
  <c r="T27" i="31"/>
  <c r="U27" i="31"/>
  <c r="X55" i="32"/>
  <c r="Y55" i="32"/>
  <c r="X61" i="32"/>
  <c r="Y61" i="32"/>
  <c r="T63" i="31"/>
  <c r="U63" i="31"/>
  <c r="U57" i="31"/>
  <c r="T57" i="31"/>
  <c r="X13" i="32"/>
  <c r="Y13" i="32"/>
  <c r="X43" i="32"/>
  <c r="Y43" i="32"/>
  <c r="U13" i="31"/>
  <c r="T13" i="31"/>
  <c r="AI13" i="31" s="1"/>
  <c r="Y67" i="32"/>
  <c r="X67" i="32"/>
  <c r="U39" i="31"/>
  <c r="T39" i="31"/>
  <c r="AH13" i="1"/>
  <c r="AJ13" i="1" s="1"/>
  <c r="AA57" i="1"/>
  <c r="X57" i="1"/>
  <c r="AA56" i="1"/>
  <c r="X56" i="1"/>
  <c r="AA55" i="1"/>
  <c r="X55" i="1"/>
  <c r="AA54" i="1"/>
  <c r="X54" i="1"/>
  <c r="AA53" i="1"/>
  <c r="X53" i="1"/>
  <c r="AA52" i="1"/>
  <c r="X52" i="1"/>
  <c r="O52" i="1"/>
  <c r="P52" i="1" s="1"/>
  <c r="AA51" i="1"/>
  <c r="X51" i="1"/>
  <c r="AA50" i="1"/>
  <c r="X50" i="1"/>
  <c r="AA49" i="1"/>
  <c r="X49" i="1"/>
  <c r="AA48" i="1"/>
  <c r="X48" i="1"/>
  <c r="AA47" i="1"/>
  <c r="X47" i="1"/>
  <c r="AA46" i="1"/>
  <c r="X46" i="1"/>
  <c r="O46" i="1"/>
  <c r="P46" i="1" s="1"/>
  <c r="AA45" i="1"/>
  <c r="X45" i="1"/>
  <c r="AA44" i="1"/>
  <c r="X44" i="1"/>
  <c r="AA43" i="1"/>
  <c r="X43" i="1"/>
  <c r="AA42" i="1"/>
  <c r="X42" i="1"/>
  <c r="AA41" i="1"/>
  <c r="X41" i="1"/>
  <c r="AA40" i="1"/>
  <c r="P40" i="1"/>
  <c r="AA39" i="1"/>
  <c r="X39" i="1"/>
  <c r="AA38" i="1"/>
  <c r="X38" i="1"/>
  <c r="AA37" i="1"/>
  <c r="X37" i="1"/>
  <c r="AA36" i="1"/>
  <c r="X36" i="1"/>
  <c r="AA35" i="1"/>
  <c r="AA34" i="1"/>
  <c r="X34" i="1"/>
  <c r="O34" i="1"/>
  <c r="P34" i="1" s="1"/>
  <c r="AA33" i="1"/>
  <c r="X33" i="1"/>
  <c r="AA32" i="1"/>
  <c r="X32" i="1"/>
  <c r="AA31" i="1"/>
  <c r="X31" i="1"/>
  <c r="AA30" i="1"/>
  <c r="X30" i="1"/>
  <c r="AA29" i="1"/>
  <c r="AA28" i="1"/>
  <c r="X28" i="1"/>
  <c r="O28" i="1"/>
  <c r="P28" i="1" s="1"/>
  <c r="AA27" i="1"/>
  <c r="X27" i="1"/>
  <c r="AA26" i="1"/>
  <c r="X26" i="1"/>
  <c r="AA25" i="1"/>
  <c r="X25" i="1"/>
  <c r="AA24" i="1"/>
  <c r="X24" i="1"/>
  <c r="AA23" i="1"/>
  <c r="X23" i="1"/>
  <c r="AA22" i="1"/>
  <c r="X22" i="1"/>
  <c r="O22" i="1"/>
  <c r="AA21" i="1"/>
  <c r="X21" i="1"/>
  <c r="AA20" i="1"/>
  <c r="X20" i="1"/>
  <c r="AA19" i="1"/>
  <c r="X19" i="1"/>
  <c r="AA18" i="1"/>
  <c r="X18" i="1"/>
  <c r="AA17" i="1"/>
  <c r="X17" i="1"/>
  <c r="AA16" i="1"/>
  <c r="X16" i="1"/>
  <c r="O16" i="1"/>
  <c r="P16" i="1" s="1"/>
  <c r="AA15" i="1"/>
  <c r="X15" i="1"/>
  <c r="O15" i="1"/>
  <c r="P15" i="1" s="1"/>
  <c r="O14" i="1"/>
  <c r="AA14" i="1"/>
  <c r="AH13" i="31" l="1"/>
  <c r="AJ13" i="31" s="1"/>
  <c r="AI14" i="31"/>
  <c r="AH14" i="31" s="1"/>
  <c r="AJ14" i="31" s="1"/>
  <c r="P22" i="1"/>
  <c r="AI25" i="1"/>
  <c r="AI33" i="1"/>
  <c r="AI45" i="1"/>
  <c r="AI56" i="1"/>
  <c r="AI26" i="1"/>
  <c r="AI21" i="1"/>
  <c r="AI48" i="1"/>
  <c r="AI49" i="1"/>
  <c r="AI19" i="1"/>
  <c r="AI50" i="1"/>
  <c r="AI24" i="1"/>
  <c r="AI32" i="1"/>
  <c r="AI44" i="1"/>
  <c r="AI55" i="1"/>
  <c r="AI18" i="1"/>
  <c r="AI38" i="1"/>
  <c r="AH38" i="1" s="1"/>
  <c r="AI57" i="1"/>
  <c r="AI16" i="1"/>
  <c r="AI17" i="1"/>
  <c r="AI29" i="1"/>
  <c r="AI28" i="1"/>
  <c r="AI42" i="1"/>
  <c r="AI41" i="1"/>
  <c r="AI53" i="1"/>
  <c r="AI52" i="1"/>
  <c r="AI37" i="1"/>
  <c r="AI36" i="1"/>
  <c r="AI23" i="1"/>
  <c r="AI22" i="1"/>
  <c r="AI27" i="1"/>
  <c r="AI31" i="1"/>
  <c r="AI30" i="1"/>
  <c r="AI39" i="1"/>
  <c r="AH39" i="1" s="1"/>
  <c r="AI43" i="1"/>
  <c r="AI54" i="1"/>
  <c r="AI20" i="1"/>
  <c r="AI35" i="1"/>
  <c r="AI34" i="1"/>
  <c r="AI47" i="1"/>
  <c r="AI46" i="1"/>
  <c r="AI51" i="1"/>
  <c r="P14" i="1"/>
  <c r="AE14" i="1" s="1"/>
  <c r="AE52" i="1"/>
  <c r="AE46" i="1"/>
  <c r="AE40" i="1"/>
  <c r="AE34" i="1"/>
  <c r="AE38" i="1"/>
  <c r="AE39" i="1"/>
  <c r="AE28" i="1"/>
  <c r="AE22" i="1"/>
  <c r="AE16" i="1"/>
  <c r="AE15" i="1"/>
  <c r="AF52" i="1" l="1"/>
  <c r="AG52" i="1"/>
  <c r="AE53" i="1" s="1"/>
  <c r="AF53" i="1" s="1"/>
  <c r="AF46" i="1"/>
  <c r="AG46" i="1"/>
  <c r="AE47" i="1" s="1"/>
  <c r="AG47" i="1" s="1"/>
  <c r="AE48" i="1" s="1"/>
  <c r="AF40" i="1"/>
  <c r="AG40" i="1"/>
  <c r="AE41" i="1" s="1"/>
  <c r="AG41" i="1" s="1"/>
  <c r="AE42" i="1" s="1"/>
  <c r="AF39" i="1"/>
  <c r="AG39" i="1"/>
  <c r="AF38" i="1"/>
  <c r="AG38" i="1"/>
  <c r="AF34" i="1"/>
  <c r="AG34" i="1"/>
  <c r="AF28" i="1"/>
  <c r="AG28" i="1"/>
  <c r="AE29" i="1" s="1"/>
  <c r="AG29" i="1" s="1"/>
  <c r="AE30" i="1" s="1"/>
  <c r="AF22" i="1"/>
  <c r="AG22" i="1"/>
  <c r="AF16" i="1"/>
  <c r="AG16" i="1"/>
  <c r="AE17" i="1" s="1"/>
  <c r="AG17" i="1" s="1"/>
  <c r="AE18" i="1" s="1"/>
  <c r="AF18" i="1" s="1"/>
  <c r="AF15" i="1"/>
  <c r="AG15" i="1"/>
  <c r="AF14" i="1"/>
  <c r="AG14" i="1"/>
  <c r="AF47" i="1" l="1"/>
  <c r="AF41" i="1"/>
  <c r="AF29" i="1"/>
  <c r="AF17" i="1"/>
  <c r="AF30" i="1"/>
  <c r="AG30" i="1"/>
  <c r="AG48" i="1"/>
  <c r="AE49" i="1" s="1"/>
  <c r="AF48" i="1"/>
  <c r="AG42" i="1"/>
  <c r="AE43" i="1" s="1"/>
  <c r="AF42" i="1"/>
  <c r="AG53" i="1"/>
  <c r="AE54" i="1" s="1"/>
  <c r="AE23" i="1"/>
  <c r="AE35" i="1"/>
  <c r="AG1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J38" i="1"/>
  <c r="AJ39" i="1"/>
  <c r="AF49" i="1" l="1"/>
  <c r="AG49" i="1"/>
  <c r="AF43" i="1"/>
  <c r="AG43" i="1"/>
  <c r="AE44" i="1" s="1"/>
  <c r="AF54" i="1"/>
  <c r="AG54" i="1"/>
  <c r="AE55" i="1" s="1"/>
  <c r="AF35" i="1"/>
  <c r="AG35" i="1"/>
  <c r="AE36" i="1" s="1"/>
  <c r="AF36" i="1" s="1"/>
  <c r="AE31" i="1"/>
  <c r="AF23" i="1"/>
  <c r="AG23" i="1"/>
  <c r="AE24" i="1" s="1"/>
  <c r="AF24" i="1" s="1"/>
  <c r="AE20" i="1"/>
  <c r="AF20" i="1" s="1"/>
  <c r="AE19" i="1"/>
  <c r="AG36" i="1" l="1"/>
  <c r="AE37" i="1" s="1"/>
  <c r="AF37" i="1" s="1"/>
  <c r="AG24" i="1"/>
  <c r="AE25" i="1" s="1"/>
  <c r="AG25" i="1" s="1"/>
  <c r="AE26" i="1" s="1"/>
  <c r="AF44" i="1"/>
  <c r="AG44" i="1"/>
  <c r="AE45" i="1" s="1"/>
  <c r="AE50" i="1"/>
  <c r="AE51" i="1"/>
  <c r="AF31" i="1"/>
  <c r="AG31" i="1"/>
  <c r="AE32" i="1" s="1"/>
  <c r="AF32" i="1" s="1"/>
  <c r="AG55" i="1"/>
  <c r="AF55" i="1"/>
  <c r="AF19" i="1"/>
  <c r="AG19" i="1"/>
  <c r="AG20" i="1"/>
  <c r="AE21" i="1" s="1"/>
  <c r="AG37" i="1" l="1"/>
  <c r="AF25" i="1"/>
  <c r="AF51" i="1"/>
  <c r="AG51" i="1"/>
  <c r="AF50" i="1"/>
  <c r="AG50" i="1"/>
  <c r="AF45" i="1"/>
  <c r="AG45" i="1"/>
  <c r="AE56" i="1"/>
  <c r="AE57" i="1"/>
  <c r="AG32" i="1"/>
  <c r="AE33" i="1" s="1"/>
  <c r="AF33" i="1" s="1"/>
  <c r="AG26" i="1"/>
  <c r="AE27" i="1" s="1"/>
  <c r="AF26" i="1"/>
  <c r="AF21" i="1"/>
  <c r="AG21" i="1"/>
  <c r="AF57" i="1" l="1"/>
  <c r="AG57" i="1"/>
  <c r="AF56" i="1"/>
  <c r="AG56" i="1"/>
  <c r="AF27" i="1"/>
  <c r="AG27" i="1"/>
  <c r="AG33" i="1"/>
  <c r="R28" i="1" l="1"/>
  <c r="S28" i="1" s="1"/>
  <c r="R16" i="1"/>
  <c r="S16" i="1" s="1"/>
  <c r="R15" i="1"/>
  <c r="S15" i="1" s="1"/>
  <c r="R40" i="1"/>
  <c r="S40" i="1" s="1"/>
  <c r="R34" i="1"/>
  <c r="S34" i="1" s="1"/>
  <c r="R22" i="1"/>
  <c r="S22" i="1" s="1"/>
  <c r="AD40" i="18" s="1"/>
  <c r="R52" i="1"/>
  <c r="S52" i="1" s="1"/>
  <c r="R46" i="1"/>
  <c r="S46" i="1" s="1"/>
  <c r="R14" i="1"/>
  <c r="S14" i="1" s="1"/>
  <c r="Z42" i="18" l="1"/>
  <c r="N42" i="18"/>
  <c r="AF26" i="18"/>
  <c r="N26" i="18"/>
  <c r="AF18" i="18"/>
  <c r="T10" i="18"/>
  <c r="N34" i="18"/>
  <c r="T34" i="18"/>
  <c r="T18" i="18"/>
  <c r="Z18" i="18"/>
  <c r="Z10" i="18"/>
  <c r="AL18" i="18"/>
  <c r="Z26" i="18"/>
  <c r="U46" i="1"/>
  <c r="T46"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T40" i="1"/>
  <c r="AJ42" i="18"/>
  <c r="AJ18" i="18"/>
  <c r="AD26" i="18"/>
  <c r="L10" i="18"/>
  <c r="AD10" i="18"/>
  <c r="X18" i="18"/>
  <c r="AD42" i="18"/>
  <c r="L18" i="18"/>
  <c r="R10" i="18"/>
  <c r="U40" i="1"/>
  <c r="T52" i="1"/>
  <c r="AB36" i="18"/>
  <c r="AH12" i="18"/>
  <c r="P28" i="18"/>
  <c r="AH20" i="18"/>
  <c r="P36" i="18"/>
  <c r="V12" i="18"/>
  <c r="AH28" i="18"/>
  <c r="AB20" i="18"/>
  <c r="J12" i="18"/>
  <c r="J20" i="18"/>
  <c r="U52" i="1"/>
  <c r="P44" i="18"/>
  <c r="AB44" i="18"/>
  <c r="V28" i="18"/>
  <c r="V36" i="18"/>
  <c r="J28" i="18"/>
  <c r="AH36" i="18"/>
  <c r="J44" i="18"/>
  <c r="P12" i="18"/>
  <c r="AB12" i="18"/>
  <c r="V44" i="18"/>
  <c r="AH44" i="18"/>
  <c r="V20" i="18"/>
  <c r="P20" i="18"/>
  <c r="J36" i="18"/>
  <c r="AB28" i="18"/>
  <c r="T38" i="18"/>
  <c r="AF22" i="18"/>
  <c r="N38" i="18"/>
  <c r="AF30" i="18"/>
  <c r="AL6" i="18"/>
  <c r="Z6" i="18"/>
  <c r="U15" i="1"/>
  <c r="T14" i="18"/>
  <c r="T22" i="18"/>
  <c r="N6" i="18"/>
  <c r="AL30" i="18"/>
  <c r="Z22" i="18"/>
  <c r="Z14" i="18"/>
  <c r="T15" i="1"/>
  <c r="AI15" i="1" s="1"/>
  <c r="Z30" i="18"/>
  <c r="AL38" i="18"/>
  <c r="AL14" i="18"/>
  <c r="AF6" i="18"/>
  <c r="AL22" i="18"/>
  <c r="T30" i="18"/>
  <c r="Z38" i="18"/>
  <c r="AF14" i="18"/>
  <c r="N30" i="18"/>
  <c r="N14" i="18"/>
  <c r="N22" i="18"/>
  <c r="AF38" i="18"/>
  <c r="T6" i="18"/>
  <c r="T22" i="1"/>
  <c r="X32" i="18"/>
  <c r="AD32" i="18"/>
  <c r="AJ8" i="18"/>
  <c r="L16" i="18"/>
  <c r="R32" i="18"/>
  <c r="AJ32" i="18"/>
  <c r="U22" i="1"/>
  <c r="R40" i="18"/>
  <c r="AJ40" i="18"/>
  <c r="AD24" i="18"/>
  <c r="AJ24" i="18"/>
  <c r="R24" i="18"/>
  <c r="AJ16" i="18"/>
  <c r="AD8" i="18"/>
  <c r="L32" i="18"/>
  <c r="L40" i="18"/>
  <c r="R16" i="18"/>
  <c r="L24" i="18"/>
  <c r="AD16" i="18"/>
  <c r="L8" i="18"/>
  <c r="R8" i="18"/>
  <c r="X40" i="18"/>
  <c r="X8" i="18"/>
  <c r="X16" i="18"/>
  <c r="X24" i="18"/>
  <c r="T16" i="1"/>
  <c r="J40" i="18"/>
  <c r="J16" i="18"/>
  <c r="P16" i="18"/>
  <c r="V8" i="18"/>
  <c r="J8" i="18"/>
  <c r="J24" i="18"/>
  <c r="AH16" i="18"/>
  <c r="AB16" i="18"/>
  <c r="AB40" i="18"/>
  <c r="P32" i="18"/>
  <c r="P40" i="18"/>
  <c r="AH24" i="18"/>
  <c r="AB32" i="18"/>
  <c r="J32" i="18"/>
  <c r="V16" i="18"/>
  <c r="V40" i="18"/>
  <c r="AH32" i="18"/>
  <c r="V24" i="18"/>
  <c r="V32" i="18"/>
  <c r="AH8" i="18"/>
  <c r="AB8" i="18"/>
  <c r="P8" i="18"/>
  <c r="U16" i="1"/>
  <c r="AH40" i="18"/>
  <c r="AB24" i="18"/>
  <c r="P24" i="18"/>
  <c r="AD38" i="18"/>
  <c r="L30" i="18"/>
  <c r="AD30" i="18"/>
  <c r="AJ6" i="18"/>
  <c r="L14" i="18"/>
  <c r="L22" i="18"/>
  <c r="X6" i="18"/>
  <c r="L6" i="18"/>
  <c r="U14" i="1"/>
  <c r="R38" i="18"/>
  <c r="AJ38" i="18"/>
  <c r="L38" i="18"/>
  <c r="AD6" i="18"/>
  <c r="R6" i="18"/>
  <c r="AJ30" i="18"/>
  <c r="R30" i="18"/>
  <c r="AD22" i="18"/>
  <c r="AJ14" i="18"/>
  <c r="AJ22" i="18"/>
  <c r="AD14" i="18"/>
  <c r="X38" i="18"/>
  <c r="X14" i="18"/>
  <c r="R22" i="18"/>
  <c r="X22" i="18"/>
  <c r="T14" i="1"/>
  <c r="AI14" i="1" s="1"/>
  <c r="AH14" i="1" s="1"/>
  <c r="AJ14" i="1" s="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T34" i="1"/>
  <c r="AH34" i="18"/>
  <c r="AH42" i="18"/>
  <c r="AH18" i="18"/>
  <c r="AB10" i="18"/>
  <c r="J26" i="18"/>
  <c r="V18" i="18"/>
  <c r="V42" i="18"/>
  <c r="J42" i="18"/>
  <c r="P10" i="18"/>
  <c r="AB26" i="18"/>
  <c r="J34" i="18"/>
  <c r="J18" i="18"/>
  <c r="AH10" i="18"/>
  <c r="AB34" i="18"/>
  <c r="P26" i="18"/>
  <c r="P34" i="18"/>
  <c r="V34" i="18"/>
  <c r="AH26" i="18"/>
  <c r="J10" i="18"/>
  <c r="U34" i="1"/>
  <c r="P18" i="18"/>
  <c r="AB42" i="18"/>
  <c r="V10" i="18"/>
  <c r="AB18" i="18"/>
  <c r="P42" i="18"/>
  <c r="V26" i="18"/>
  <c r="Z32" i="18"/>
  <c r="N24" i="18"/>
  <c r="AL32" i="18"/>
  <c r="AL40" i="18"/>
  <c r="N8" i="18"/>
  <c r="AF24" i="18"/>
  <c r="Z40" i="18"/>
  <c r="Z16" i="18"/>
  <c r="N32" i="18"/>
  <c r="T32" i="18"/>
  <c r="N40" i="18"/>
  <c r="T8" i="18"/>
  <c r="T28" i="1"/>
  <c r="AF32" i="18"/>
  <c r="AL8" i="18"/>
  <c r="T24" i="18"/>
  <c r="N16" i="18"/>
  <c r="T16" i="18"/>
  <c r="Z24" i="18"/>
  <c r="AF16" i="18"/>
  <c r="U28" i="1"/>
  <c r="T40" i="18"/>
  <c r="AF8" i="18"/>
  <c r="AL24" i="18"/>
  <c r="Z8" i="18"/>
  <c r="AF40" i="18"/>
  <c r="AL16" i="18"/>
  <c r="AH16" i="1" l="1"/>
  <c r="AH52" i="1"/>
  <c r="AH28" i="1"/>
  <c r="AH40" i="1"/>
  <c r="AH15" i="1"/>
  <c r="AH34" i="1"/>
  <c r="AH22" i="1"/>
  <c r="AH35" i="1" l="1"/>
  <c r="AH41" i="1"/>
  <c r="AH47" i="1"/>
  <c r="AH23" i="1"/>
  <c r="AH29" i="1"/>
  <c r="AH17" i="1"/>
  <c r="J40" i="19"/>
  <c r="V30" i="19"/>
  <c r="AH20" i="19"/>
  <c r="J30" i="19"/>
  <c r="V20" i="19"/>
  <c r="AH10" i="19"/>
  <c r="P10" i="19"/>
  <c r="AB50" i="19"/>
  <c r="J50" i="19"/>
  <c r="AB40" i="19"/>
  <c r="P30" i="19"/>
  <c r="V50" i="19"/>
  <c r="P50" i="19"/>
  <c r="AB10" i="19"/>
  <c r="AH30" i="19"/>
  <c r="AH40" i="19"/>
  <c r="J10" i="19"/>
  <c r="AB20" i="19"/>
  <c r="AH50" i="19"/>
  <c r="AJ22" i="1"/>
  <c r="V10" i="19"/>
  <c r="P20" i="19"/>
  <c r="J20" i="19"/>
  <c r="P40" i="19"/>
  <c r="V40" i="19"/>
  <c r="AB30" i="19"/>
  <c r="J11" i="19"/>
  <c r="V11" i="19"/>
  <c r="AB21" i="19"/>
  <c r="P31" i="19"/>
  <c r="J31" i="19"/>
  <c r="AB41" i="19"/>
  <c r="AJ28"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AJ52" i="1"/>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J40"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H46" i="1"/>
  <c r="AJ16"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J15"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H30" i="1"/>
  <c r="V32" i="19"/>
  <c r="P42" i="19"/>
  <c r="J12" i="19"/>
  <c r="J32" i="19"/>
  <c r="AB52" i="19"/>
  <c r="AJ34" i="1"/>
  <c r="J22" i="19"/>
  <c r="V22" i="19"/>
  <c r="J52" i="19"/>
  <c r="AH12" i="19"/>
  <c r="J42" i="19"/>
  <c r="AH42" i="19"/>
  <c r="P32" i="19"/>
  <c r="AB12" i="19"/>
  <c r="AH32" i="19"/>
  <c r="AB32" i="19"/>
  <c r="AB42" i="19"/>
  <c r="V42" i="19"/>
  <c r="V12" i="19"/>
  <c r="V52" i="19"/>
  <c r="AB22" i="19"/>
  <c r="AH52" i="19"/>
  <c r="AH22" i="19"/>
  <c r="P22" i="19"/>
  <c r="P12" i="19"/>
  <c r="P52" i="19"/>
  <c r="AH36" i="1"/>
  <c r="AH53" i="1" l="1"/>
  <c r="K45" i="19" s="1"/>
  <c r="AH37" i="1"/>
  <c r="S12" i="19" s="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C14" i="19"/>
  <c r="Q14" i="19"/>
  <c r="AI54" i="19"/>
  <c r="Q54" i="19"/>
  <c r="Q24" i="19"/>
  <c r="AI14" i="19"/>
  <c r="W24" i="19"/>
  <c r="AC44" i="19"/>
  <c r="K54" i="19"/>
  <c r="AI34" i="19"/>
  <c r="W14" i="19"/>
  <c r="K24" i="19"/>
  <c r="AC24" i="19"/>
  <c r="AI44" i="19"/>
  <c r="AI24" i="19"/>
  <c r="W44" i="19"/>
  <c r="Q44" i="19"/>
  <c r="AC54" i="19"/>
  <c r="AJ47"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J29" i="1"/>
  <c r="P54" i="19"/>
  <c r="AH14" i="19"/>
  <c r="AB14" i="19"/>
  <c r="AH34" i="19"/>
  <c r="AB54" i="19"/>
  <c r="AH54" i="19"/>
  <c r="AJ46"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J36" i="1"/>
  <c r="AD12" i="19"/>
  <c r="AD32" i="19"/>
  <c r="AD22" i="19"/>
  <c r="X52" i="19"/>
  <c r="AD52" i="19"/>
  <c r="L42" i="19"/>
  <c r="R42" i="19"/>
  <c r="AJ21" i="19"/>
  <c r="AD31" i="19"/>
  <c r="R21" i="19"/>
  <c r="AD41" i="19"/>
  <c r="AJ11" i="19"/>
  <c r="AJ51" i="19"/>
  <c r="AJ30" i="1"/>
  <c r="L41" i="19"/>
  <c r="AD11" i="19"/>
  <c r="L21" i="19"/>
  <c r="L11" i="19"/>
  <c r="X51" i="19"/>
  <c r="X21" i="19"/>
  <c r="R11" i="19"/>
  <c r="R31" i="19"/>
  <c r="AJ41" i="19"/>
  <c r="L31" i="19"/>
  <c r="R51" i="19"/>
  <c r="X31" i="19"/>
  <c r="X11" i="19"/>
  <c r="X41" i="19"/>
  <c r="AJ31" i="19"/>
  <c r="AD51" i="19"/>
  <c r="R41" i="19"/>
  <c r="AD21" i="19"/>
  <c r="L51" i="19"/>
  <c r="AH18" i="1"/>
  <c r="AH42" i="1"/>
  <c r="K42" i="19"/>
  <c r="AC32" i="19"/>
  <c r="W42" i="19"/>
  <c r="AI52" i="19"/>
  <c r="K22" i="19"/>
  <c r="Q32" i="19"/>
  <c r="AI12" i="19"/>
  <c r="AC52" i="19"/>
  <c r="Q42" i="19"/>
  <c r="AC42" i="19"/>
  <c r="K12" i="19"/>
  <c r="Q22" i="19"/>
  <c r="W52" i="19"/>
  <c r="AI42" i="19"/>
  <c r="W32" i="19"/>
  <c r="AI22" i="19"/>
  <c r="W12" i="19"/>
  <c r="AI32" i="19"/>
  <c r="AC12" i="19"/>
  <c r="Q12" i="19"/>
  <c r="Q52" i="19"/>
  <c r="AJ35" i="1"/>
  <c r="K32" i="19"/>
  <c r="W22" i="19"/>
  <c r="K52" i="19"/>
  <c r="AC22" i="19"/>
  <c r="AC40" i="19"/>
  <c r="W10" i="19"/>
  <c r="AC50" i="19"/>
  <c r="Q10" i="19"/>
  <c r="Q30" i="19"/>
  <c r="W50" i="19"/>
  <c r="K40" i="19"/>
  <c r="Q50" i="19"/>
  <c r="W20" i="19"/>
  <c r="AJ23"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H48" i="1"/>
  <c r="K39" i="19"/>
  <c r="AC39" i="19"/>
  <c r="W29" i="19"/>
  <c r="AI49" i="19"/>
  <c r="W9" i="19"/>
  <c r="AC19" i="19"/>
  <c r="Q49" i="19"/>
  <c r="W49" i="19"/>
  <c r="AC9" i="19"/>
  <c r="AI9" i="19"/>
  <c r="Q29" i="19"/>
  <c r="W39" i="19"/>
  <c r="Q39" i="19"/>
  <c r="AJ17"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J41" i="1"/>
  <c r="Q33" i="19"/>
  <c r="AI23" i="19"/>
  <c r="K53" i="19"/>
  <c r="AC23" i="19"/>
  <c r="AC13" i="19"/>
  <c r="W23" i="19"/>
  <c r="W33" i="19"/>
  <c r="Q13" i="19"/>
  <c r="W13" i="19"/>
  <c r="AI13" i="19"/>
  <c r="Q43" i="19"/>
  <c r="Q23" i="19"/>
  <c r="W53" i="19"/>
  <c r="AK42" i="19"/>
  <c r="AE32" i="19"/>
  <c r="AJ37" i="1"/>
  <c r="Y52" i="19"/>
  <c r="S22" i="19"/>
  <c r="AK52" i="19"/>
  <c r="M22" i="19"/>
  <c r="AK32" i="19"/>
  <c r="AE22" i="19"/>
  <c r="AE42" i="19"/>
  <c r="S42" i="19"/>
  <c r="AH31" i="1"/>
  <c r="AH33" i="1"/>
  <c r="AH32" i="1"/>
  <c r="AH2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M12" i="19" l="1"/>
  <c r="S52" i="19"/>
  <c r="AK22" i="19"/>
  <c r="AK12" i="19"/>
  <c r="AE52" i="19"/>
  <c r="Y42" i="19"/>
  <c r="Q55" i="19"/>
  <c r="Y22" i="19"/>
  <c r="Y32" i="19"/>
  <c r="AE12" i="19"/>
  <c r="M52" i="19"/>
  <c r="Y12" i="19"/>
  <c r="S32" i="19"/>
  <c r="M32" i="19"/>
  <c r="M42" i="19"/>
  <c r="W45" i="19"/>
  <c r="K25" i="19"/>
  <c r="W55" i="19"/>
  <c r="AI25" i="19"/>
  <c r="AI45" i="19"/>
  <c r="Q25" i="19"/>
  <c r="AJ53" i="1"/>
  <c r="AC35" i="19"/>
  <c r="AI15" i="19"/>
  <c r="Q35" i="19"/>
  <c r="W25" i="19"/>
  <c r="AC25" i="19"/>
  <c r="AI55" i="19"/>
  <c r="K15" i="19"/>
  <c r="Q15" i="19"/>
  <c r="K35" i="19"/>
  <c r="W35" i="19"/>
  <c r="W15" i="19"/>
  <c r="AC15" i="19"/>
  <c r="Q45" i="19"/>
  <c r="AC55" i="19"/>
  <c r="K55" i="19"/>
  <c r="AC45" i="19"/>
  <c r="AI35" i="19"/>
  <c r="AH54" i="1"/>
  <c r="R18" i="19"/>
  <c r="R40" i="19"/>
  <c r="AD10" i="19"/>
  <c r="X40" i="19"/>
  <c r="AJ10" i="19"/>
  <c r="R50" i="19"/>
  <c r="X10" i="19"/>
  <c r="R30" i="19"/>
  <c r="AJ24" i="1"/>
  <c r="L10" i="19"/>
  <c r="L50" i="19"/>
  <c r="AJ20" i="19"/>
  <c r="AJ40" i="19"/>
  <c r="AD30" i="19"/>
  <c r="R20" i="19"/>
  <c r="AD50" i="19"/>
  <c r="AJ30" i="19"/>
  <c r="AJ50" i="19"/>
  <c r="X30" i="19"/>
  <c r="AD20" i="19"/>
  <c r="L40" i="19"/>
  <c r="X50" i="19"/>
  <c r="X20" i="19"/>
  <c r="AD40" i="19"/>
  <c r="R10" i="19"/>
  <c r="L30" i="19"/>
  <c r="L20" i="19"/>
  <c r="AH43" i="1"/>
  <c r="AH57" i="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J42" i="1"/>
  <c r="X23" i="19"/>
  <c r="R33" i="19"/>
  <c r="R43" i="19"/>
  <c r="AD53" i="19"/>
  <c r="AJ13" i="19"/>
  <c r="R23" i="19"/>
  <c r="R13" i="19"/>
  <c r="AJ53" i="19"/>
  <c r="L33" i="19"/>
  <c r="L23" i="19"/>
  <c r="X43" i="19"/>
  <c r="X53" i="19"/>
  <c r="AD13" i="19"/>
  <c r="L53" i="19"/>
  <c r="L13" i="19"/>
  <c r="AD23" i="19"/>
  <c r="AJ33" i="19"/>
  <c r="AJ23" i="19"/>
  <c r="R53" i="19"/>
  <c r="Z11" i="19"/>
  <c r="AF31" i="19"/>
  <c r="T51" i="19"/>
  <c r="N51" i="19"/>
  <c r="Z41" i="19"/>
  <c r="AF21" i="19"/>
  <c r="AL31" i="19"/>
  <c r="T31" i="19"/>
  <c r="Z31" i="19"/>
  <c r="N21" i="19"/>
  <c r="N31" i="19"/>
  <c r="AL11" i="19"/>
  <c r="T11" i="19"/>
  <c r="AF11" i="19"/>
  <c r="AL41" i="19"/>
  <c r="T21" i="19"/>
  <c r="Z21" i="19"/>
  <c r="AL51" i="19"/>
  <c r="N11" i="19"/>
  <c r="AF51" i="19"/>
  <c r="N41" i="19"/>
  <c r="Z51" i="19"/>
  <c r="AJ32"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J33" i="1"/>
  <c r="AG11" i="19"/>
  <c r="AM41" i="19"/>
  <c r="AA21" i="19"/>
  <c r="AA51" i="19"/>
  <c r="U51" i="19"/>
  <c r="U31" i="19"/>
  <c r="AA11" i="19"/>
  <c r="AG21" i="19"/>
  <c r="O31" i="19"/>
  <c r="AH49" i="1"/>
  <c r="AH19" i="1"/>
  <c r="AH20" i="1"/>
  <c r="AH21"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H25" i="1"/>
  <c r="AE11" i="19"/>
  <c r="Y41" i="19"/>
  <c r="M41" i="19"/>
  <c r="Y21" i="19"/>
  <c r="AK41" i="19"/>
  <c r="S31" i="19"/>
  <c r="M31" i="19"/>
  <c r="M51" i="19"/>
  <c r="Y51" i="19"/>
  <c r="AK21" i="19"/>
  <c r="AK31" i="19"/>
  <c r="Y11" i="19"/>
  <c r="AE41" i="19"/>
  <c r="AE21" i="19"/>
  <c r="S51" i="19"/>
  <c r="AE51" i="19"/>
  <c r="AK51" i="19"/>
  <c r="M21" i="19"/>
  <c r="AE31" i="19"/>
  <c r="AJ31" i="1"/>
  <c r="S41" i="19"/>
  <c r="AK11" i="19"/>
  <c r="S11" i="19"/>
  <c r="Y31" i="19"/>
  <c r="S21" i="19"/>
  <c r="M11" i="19"/>
  <c r="L54" i="19"/>
  <c r="AJ14" i="19"/>
  <c r="AD44" i="19"/>
  <c r="X54" i="19"/>
  <c r="R14" i="19"/>
  <c r="AD24" i="19"/>
  <c r="AD34" i="19"/>
  <c r="R54" i="19"/>
  <c r="L34" i="19"/>
  <c r="AJ34" i="19"/>
  <c r="X24" i="19"/>
  <c r="AJ24" i="19"/>
  <c r="X44" i="19"/>
  <c r="R24" i="19"/>
  <c r="AJ48" i="1"/>
  <c r="X34" i="19"/>
  <c r="L14" i="19"/>
  <c r="AD14" i="19"/>
  <c r="L44" i="19"/>
  <c r="R44" i="19"/>
  <c r="AD54" i="19"/>
  <c r="X14" i="19"/>
  <c r="AJ44" i="19"/>
  <c r="R34" i="19"/>
  <c r="AJ54" i="19"/>
  <c r="L24" i="19"/>
  <c r="AD29" i="19"/>
  <c r="AD19" i="19"/>
  <c r="R39" i="19"/>
  <c r="R9" i="19"/>
  <c r="X49" i="19"/>
  <c r="X9" i="19"/>
  <c r="AD39" i="19"/>
  <c r="R29" i="19"/>
  <c r="L49" i="19"/>
  <c r="X19" i="19"/>
  <c r="X29" i="19"/>
  <c r="X39" i="19"/>
  <c r="L9" i="19"/>
  <c r="AJ18" i="1"/>
  <c r="AD9" i="19"/>
  <c r="AJ49" i="19"/>
  <c r="L39" i="19"/>
  <c r="R19" i="19"/>
  <c r="AJ39" i="19"/>
  <c r="AJ29" i="19"/>
  <c r="AJ19" i="19"/>
  <c r="AJ9" i="19"/>
  <c r="AD49" i="19"/>
  <c r="L19" i="19"/>
  <c r="L29" i="19"/>
  <c r="R49" i="19"/>
  <c r="R15" i="19" l="1"/>
  <c r="R55" i="19"/>
  <c r="AD25" i="19"/>
  <c r="L55" i="19"/>
  <c r="AJ35" i="19"/>
  <c r="X55" i="19"/>
  <c r="X35" i="19"/>
  <c r="AJ54" i="1"/>
  <c r="AD15" i="19"/>
  <c r="X25" i="19"/>
  <c r="X45" i="19"/>
  <c r="L35" i="19"/>
  <c r="R35" i="19"/>
  <c r="AJ15" i="19"/>
  <c r="L15" i="19"/>
  <c r="AJ25" i="19"/>
  <c r="AJ55" i="19"/>
  <c r="L45" i="19"/>
  <c r="AD35" i="19"/>
  <c r="R25" i="19"/>
  <c r="AD45" i="19"/>
  <c r="R45" i="19"/>
  <c r="AD55" i="19"/>
  <c r="X15" i="19"/>
  <c r="L25" i="19"/>
  <c r="AJ45" i="19"/>
  <c r="AH56" i="1"/>
  <c r="Z35" i="19" s="1"/>
  <c r="AH55" i="1"/>
  <c r="AJ48" i="19"/>
  <c r="L18" i="19"/>
  <c r="AD8" i="19"/>
  <c r="AJ8" i="19"/>
  <c r="AJ28" i="19"/>
  <c r="R48" i="19"/>
  <c r="X48" i="19"/>
  <c r="L8" i="19"/>
  <c r="AD28" i="19"/>
  <c r="X38" i="19"/>
  <c r="X8" i="19"/>
  <c r="L48" i="19"/>
  <c r="AD48" i="19"/>
  <c r="AD38" i="19"/>
  <c r="X18" i="19"/>
  <c r="R38" i="19"/>
  <c r="R8" i="19"/>
  <c r="L38" i="19"/>
  <c r="R28" i="19"/>
  <c r="AJ38" i="19"/>
  <c r="AD18" i="19"/>
  <c r="L28" i="19"/>
  <c r="AJ18" i="19"/>
  <c r="X28" i="19"/>
  <c r="AH26" i="1"/>
  <c r="AH27" i="1"/>
  <c r="AG39" i="19"/>
  <c r="AG29" i="19"/>
  <c r="AM19" i="19"/>
  <c r="O39" i="19"/>
  <c r="AJ21"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J49"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J57" i="1"/>
  <c r="AG15" i="19"/>
  <c r="U15" i="19"/>
  <c r="AG55" i="19"/>
  <c r="U55" i="19"/>
  <c r="AE40" i="19"/>
  <c r="Y30" i="19"/>
  <c r="M20" i="19"/>
  <c r="AJ25"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J20"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S39" i="19"/>
  <c r="M49" i="19"/>
  <c r="AE19" i="19"/>
  <c r="S49" i="19"/>
  <c r="AK19" i="19"/>
  <c r="Y9" i="19"/>
  <c r="M29" i="19"/>
  <c r="AE49" i="19"/>
  <c r="Y39" i="19"/>
  <c r="AK49" i="19"/>
  <c r="AK29" i="19"/>
  <c r="AK39" i="19"/>
  <c r="S19" i="19"/>
  <c r="M19" i="19"/>
  <c r="AE9" i="19"/>
  <c r="AE39" i="19"/>
  <c r="M39" i="19"/>
  <c r="AK9" i="19"/>
  <c r="Y19" i="19"/>
  <c r="S29" i="19"/>
  <c r="S9" i="19"/>
  <c r="AE29" i="19"/>
  <c r="Y49" i="19"/>
  <c r="AJ19" i="1"/>
  <c r="M9" i="19"/>
  <c r="Y29" i="19"/>
  <c r="AH44" i="1"/>
  <c r="AH45"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H50" i="1"/>
  <c r="AH51"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J43"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L35" i="19" l="1"/>
  <c r="AJ56" i="1"/>
  <c r="N25" i="19"/>
  <c r="AF15" i="19"/>
  <c r="AF25" i="19"/>
  <c r="N15" i="19"/>
  <c r="Z25" i="19"/>
  <c r="N45" i="19"/>
  <c r="Z55" i="19"/>
  <c r="N35" i="19"/>
  <c r="AF35" i="19"/>
  <c r="Z45" i="19"/>
  <c r="Z15" i="19"/>
  <c r="AL45" i="19"/>
  <c r="AL25" i="19"/>
  <c r="AL55" i="19"/>
  <c r="AF45" i="19"/>
  <c r="AL15" i="19"/>
  <c r="N55" i="19"/>
  <c r="T55" i="19"/>
  <c r="T45" i="19"/>
  <c r="T25" i="19"/>
  <c r="AF55" i="19"/>
  <c r="T15" i="19"/>
  <c r="T35" i="19"/>
  <c r="Y35" i="19"/>
  <c r="Y45" i="19"/>
  <c r="M25" i="19"/>
  <c r="AE55" i="19"/>
  <c r="AE35" i="19"/>
  <c r="S55" i="19"/>
  <c r="M35" i="19"/>
  <c r="AK25" i="19"/>
  <c r="AE25" i="19"/>
  <c r="S45" i="19"/>
  <c r="M45" i="19"/>
  <c r="Y55" i="19"/>
  <c r="M55" i="19"/>
  <c r="S15" i="19"/>
  <c r="AE45" i="19"/>
  <c r="S35" i="19"/>
  <c r="S25" i="19"/>
  <c r="AK15" i="19"/>
  <c r="M15" i="19"/>
  <c r="AK35" i="19"/>
  <c r="AK55" i="19"/>
  <c r="Y25" i="19"/>
  <c r="AJ55" i="1"/>
  <c r="Y15" i="19"/>
  <c r="AE15" i="19"/>
  <c r="AK45" i="19"/>
  <c r="AG24" i="19"/>
  <c r="O44" i="19"/>
  <c r="O24" i="19"/>
  <c r="AM14" i="19"/>
  <c r="AG34" i="19"/>
  <c r="O34" i="19"/>
  <c r="AA44" i="19"/>
  <c r="O14" i="19"/>
  <c r="AA54" i="19"/>
  <c r="U14" i="19"/>
  <c r="AM44" i="19"/>
  <c r="AA34" i="19"/>
  <c r="AM24" i="19"/>
  <c r="AM54" i="19"/>
  <c r="AG14" i="19"/>
  <c r="AM34" i="19"/>
  <c r="U54" i="19"/>
  <c r="AG44" i="19"/>
  <c r="AA24" i="19"/>
  <c r="AG54" i="19"/>
  <c r="U34" i="19"/>
  <c r="U24" i="19"/>
  <c r="AJ51" i="1"/>
  <c r="AA14" i="19"/>
  <c r="O54" i="19"/>
  <c r="U44" i="19"/>
  <c r="U43" i="19"/>
  <c r="U13" i="19"/>
  <c r="AM53" i="19"/>
  <c r="AA53" i="19"/>
  <c r="AA43" i="19"/>
  <c r="O53" i="19"/>
  <c r="O23" i="19"/>
  <c r="O13" i="19"/>
  <c r="AG43" i="19"/>
  <c r="U33" i="19"/>
  <c r="U23" i="19"/>
  <c r="AM13" i="19"/>
  <c r="AM23" i="19"/>
  <c r="AG13" i="19"/>
  <c r="AA23" i="19"/>
  <c r="AG33" i="19"/>
  <c r="AA33" i="19"/>
  <c r="AM33" i="19"/>
  <c r="AA13" i="19"/>
  <c r="AJ45"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J50" i="1"/>
  <c r="AF53" i="19"/>
  <c r="T43" i="19"/>
  <c r="Z53" i="19"/>
  <c r="N43" i="19"/>
  <c r="T23" i="19"/>
  <c r="AF43" i="19"/>
  <c r="Z13" i="19"/>
  <c r="Z43" i="19"/>
  <c r="AF23" i="19"/>
  <c r="AL13" i="19"/>
  <c r="Z23" i="19"/>
  <c r="AL43" i="19"/>
  <c r="AF13" i="19"/>
  <c r="AL23" i="19"/>
  <c r="N13" i="19"/>
  <c r="T33" i="19"/>
  <c r="AL53" i="19"/>
  <c r="N23" i="19"/>
  <c r="N53" i="19"/>
  <c r="AF33" i="19"/>
  <c r="N33" i="19"/>
  <c r="AJ44"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J27"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J26"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<sst xmlns="http://schemas.openxmlformats.org/spreadsheetml/2006/main" count="839" uniqueCount="481">
  <si>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</si>
  <si>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</si>
  <si>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</si>
  <si>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t>
    </r>
    <r>
      <rPr>
        <b/>
        <sz val="11"/>
        <rFont val="Arial Narrow"/>
        <family val="2"/>
      </rPr>
      <t xml:space="preserve">DOFA </t>
    </r>
    <r>
      <rPr>
        <sz val="11"/>
        <rFont val="Arial Narrow"/>
        <family val="2"/>
      </rPr>
      <t xml:space="preserve">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</si>
  <si>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</si>
  <si>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</si>
  <si>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</si>
  <si>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</si>
  <si>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</si>
  <si>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</si>
  <si>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</si>
  <si>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</si>
  <si>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</si>
  <si>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</si>
  <si>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</si>
  <si>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</si>
  <si>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</si>
  <si>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</si>
  <si>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</si>
  <si>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</si>
  <si>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</si>
  <si>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</si>
  <si>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</si>
  <si>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</si>
  <si>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</si>
  <si>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</si>
  <si>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</si>
  <si>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</si>
  <si>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</si>
  <si>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</si>
  <si>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</si>
  <si>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</si>
  <si>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</si>
  <si>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</si>
  <si>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</si>
  <si>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</si>
  <si>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</si>
  <si>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</si>
  <si>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</si>
  <si>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</si>
  <si>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</si>
  <si>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</si>
  <si>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</si>
  <si>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</si>
  <si>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</si>
  <si>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</si>
  <si>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</si>
  <si>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</si>
  <si>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</si>
  <si>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</si>
  <si>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</si>
  <si>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</si>
  <si>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</si>
  <si>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</si>
  <si>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</si>
  <si>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</si>
  <si>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</si>
  <si>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</si>
  <si>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</si>
  <si>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</si>
  <si>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 xml:space="preserve">Control de cambios </t>
  </si>
  <si>
    <t>el registra la actualización de los riesgos a partir de 2023</t>
  </si>
  <si>
    <t>Versión inicial</t>
  </si>
  <si>
    <t>tipo de riesgos</t>
  </si>
  <si>
    <t>Fecha de cambio</t>
  </si>
  <si>
    <t>Aspecto(s) que cambiaron</t>
  </si>
  <si>
    <t>Descripción de los cambios efectuados</t>
  </si>
  <si>
    <t>2023 -v1</t>
  </si>
  <si>
    <t>na</t>
  </si>
  <si>
    <t>2023 -v2</t>
  </si>
  <si>
    <t>gestión</t>
  </si>
  <si>
    <t>interno</t>
  </si>
  <si>
    <t>se incorporo una nueva por el covid 2+</t>
  </si>
  <si>
    <t>1. Direccionamiento estratégico e innovación</t>
  </si>
  <si>
    <t>2. Atención a partes interesadas y comunicaciones</t>
  </si>
  <si>
    <t>3. Estrategia y gobierno de TI</t>
  </si>
  <si>
    <t>4. Planificación de la intervención vial</t>
  </si>
  <si>
    <t>5. Producción de mezcla y provisión de maquinaria y equipos</t>
  </si>
  <si>
    <t>6. Intervención de la malla vial</t>
  </si>
  <si>
    <t>7. Gestión de servicios e infraestructura tecnológica</t>
  </si>
  <si>
    <t>8. Gestión de recursos físicos</t>
  </si>
  <si>
    <t>9. Gestión contractual</t>
  </si>
  <si>
    <t>10. Gestión financiera</t>
  </si>
  <si>
    <t>11. Gestión de laboratorio</t>
  </si>
  <si>
    <t>12. Gestión de talento humano</t>
  </si>
  <si>
    <t>13. Gestión ambiental</t>
  </si>
  <si>
    <t>14. Gestión documental</t>
  </si>
  <si>
    <t>15. Gestión jurídica</t>
  </si>
  <si>
    <t xml:space="preserve">16. Control, evaluación y mejora de la gestión  </t>
  </si>
  <si>
    <t>17. Control disciplinario interno</t>
  </si>
  <si>
    <t>CONTEXTO  DE PROCESO</t>
  </si>
  <si>
    <t>Riesgo asociado</t>
  </si>
  <si>
    <t>FACTORES INTERNOS</t>
  </si>
  <si>
    <t>ORIGEN</t>
  </si>
  <si>
    <t>FORTALEZAS Y/O OPORTUNIDADES</t>
  </si>
  <si>
    <t>DEBILIDADES Y/O AMENAZAS</t>
  </si>
  <si>
    <t>DISEÑO DEL PROCESO:</t>
  </si>
  <si>
    <t>El proceso tiene un alcance con un objetivo claro que abarca el direccionamiento estratégico y el apoyo en la gestión para todos los procesos de la entidad.</t>
  </si>
  <si>
    <r>
      <rPr>
        <sz val="21"/>
        <color rgb="FF7030A0"/>
        <rFont val="Arial"/>
        <family val="2"/>
      </rPr>
      <t>El componente de</t>
    </r>
    <r>
      <rPr>
        <b/>
        <sz val="21"/>
        <color rgb="FF7030A0"/>
        <rFont val="Arial"/>
        <family val="2"/>
      </rPr>
      <t xml:space="preserve"> innovación y gestión del conocimiento</t>
    </r>
    <r>
      <rPr>
        <sz val="21"/>
        <color rgb="FF7030A0"/>
        <rFont val="Arial"/>
        <family val="2"/>
      </rPr>
      <t xml:space="preserve"> está por desarrollar dentro del proceso. La operatividad del banco de proyectos depende de la aplicación y la comprensión de la metodología de iniciativas de proyectos por parte de los procesos de la entidad.</t>
    </r>
    <r>
      <rPr>
        <sz val="21"/>
        <rFont val="Arial"/>
        <family val="2"/>
      </rPr>
      <t xml:space="preserve">
El proceso DESI al ser el que coordina la implementación del Sistema de Gestión de Calidad depende del compromiso y trabajo de los demás procesos para generar resultados y subsanar las no conformidades producto de las actividades internas.</t>
    </r>
  </si>
  <si>
    <t>R4</t>
  </si>
  <si>
    <t>INTERACCIONES CON OTROS PROCESOS:</t>
  </si>
  <si>
    <r>
      <t>El proceso DESI  interactúa de manera eficaz con el resto de procesos de la entidad a través de los colaboradores designados por los directivos de la entidad como enlaces</t>
    </r>
    <r>
      <rPr>
        <sz val="21"/>
        <color rgb="FFFF0000"/>
        <rFont val="Arial"/>
        <family val="2"/>
      </rPr>
      <t>,</t>
    </r>
    <r>
      <rPr>
        <sz val="21"/>
        <rFont val="Arial"/>
        <family val="2"/>
      </rPr>
      <t xml:space="preserve"> pues da lineamientos y asesora la formulación programación actualización y seguimiento integral a proyectos de inversión,  la implementación del Modelo Integrado de Planeación y Gestión en todos los procesos y procedimientos de la entidad.
El proceso DESI se apoya en el proceso de Atención a Partes Interesadas y Comunicaciones para mantener una comunicación permanente con el resto de procesos, y con la línea estratégica de la entidad (el consejo directivo de la entidad).</t>
    </r>
  </si>
  <si>
    <r>
      <t>El proceso DESI, al ser el que consolida y analiza la información de gestión, seguimiento e indicadores de todos los procesos de la entidad puede llegar a fallar en la oportunidad de entrega de la información al C</t>
    </r>
    <r>
      <rPr>
        <b/>
        <sz val="21"/>
        <rFont val="Arial"/>
        <family val="2"/>
      </rPr>
      <t>omité Institucional de Gestión y Desempeño,</t>
    </r>
    <r>
      <rPr>
        <sz val="21"/>
        <rFont val="Arial"/>
        <family val="2"/>
      </rPr>
      <t xml:space="preserve"> pues depende de los colaboradores que sirven de enlaces con los procesos (en particular depende de sus compromisos de: efectividad, constancia y rigurosidad en la información).</t>
    </r>
  </si>
  <si>
    <t>R1</t>
  </si>
  <si>
    <t>TRANSVERSALIDAD</t>
  </si>
  <si>
    <t xml:space="preserve">El proceso DESI es transversal a todos los procesos de la entidad, la línea estratégica desplegada a través del comité directivo y la Oficina Asesora de Planeación  genera políticas, lineamientos y directrices que abarcan a todos los procesos y se articulan dentro del sistema integrado de gestión de la entidad.
El proceso DESI también se encarga de la administración del sistema de gestión de la calidad en la entidad, que involucra a todos los procesos y que bajo su liderazgo permite el aseguramiento de estándares de calidad en todos los procedimientos. </t>
  </si>
  <si>
    <t>Con el fin de cumplir  oportunamente en la entrega de los productos para la toma de decisiones de los directivos de la entidad se puede incurrir en la extralimitación de labores de la Oficina Asesora de Planeación y sus colaboradores. 
Pues por cumplir con los plazos se pueden empezar a adelantar labores que están incluidas en las herramientas de gestión de los procesos que deben ser realizadas y planificadas por ellos mismos.</t>
  </si>
  <si>
    <t>PROCEDIMIENTOS ASOCIADOS:</t>
  </si>
  <si>
    <t xml:space="preserve">RESPONSABLES DEL PROCESO: </t>
  </si>
  <si>
    <t>Los responsables del proceso DESI son: el director general,  el jefe de la oficina asesora de planeación y los subdirectores. Este sistema de responsabilidades permite un alto grado de  autoridad y autonomía para la toma de decisiones y desagregación de actividades.</t>
  </si>
  <si>
    <t xml:space="preserve">No se cuenta con los suficientes servidores públicos para realizar la gestión necesaria en el marco del cumplimiento de los objetivos institucionales relacionados con su campo de acción. 
En consecuencia, el proceso debe recurrir a la vinculación de contratistas </t>
  </si>
  <si>
    <t>COMUNICACIÓN ENTRE LOS PROCESOS:</t>
  </si>
  <si>
    <t xml:space="preserve">Cuando el Comité directivo y el proceso DESI generan directrices, recomendaciones y solicitudes al resto de procesos de la entidad sus observaciones son tenidas en cuenta y se integran al accionar de los procesos. </t>
  </si>
  <si>
    <t xml:space="preserve">La comunicación puede ser dispendiosa si no se cuenta con la disposición y el compromiso de los responsables directivos.
</t>
  </si>
  <si>
    <t>ACTIVOS DE SEGURIDAD DIGITAL DEL PROCESO:</t>
  </si>
  <si>
    <t xml:space="preserve">El proceso cuenta con un repositorio de información documentada vigente en la intranet de la entidad llamado: SISGESTIÓN en la que se cuelgan los formatos y documentos del sistema integrado de gestión de la entidad. En este repositorio los colaboradores tienen facilidad para consultar la información actualizada.
Se cuenta con el aplicativo SAFIRO que sirve para hacer el seguimiento a las metas y proyectos de inversión de la entidad. </t>
  </si>
  <si>
    <t>El proceso está diseñado para funcionar apoyándose en sistemas de información, bases de datos y aplicativos, por lo que fallas en estos sistemas pueden afectar el normal flujo del proceso.
Los aplicativos informáticos del proceso están expuestos a una manipulación indebida de la información por parte de los administradores de las bases de datos.
Hace falta el desarrollo de una PMO (Project Management Office) una oficina o un software que permita el seguimiento a iniciativas de proyectos de innovación y de gestión del conocimiento.</t>
  </si>
  <si>
    <t>Aceptar</t>
  </si>
  <si>
    <t>Económico</t>
  </si>
  <si>
    <t>Evitar</t>
  </si>
  <si>
    <t>Reputacional</t>
  </si>
  <si>
    <t>Reducir (compartir)</t>
  </si>
  <si>
    <t>Económico y Reputacional</t>
  </si>
  <si>
    <t>Reducir (mitigar)</t>
  </si>
  <si>
    <t xml:space="preserve">Riesgo estrategico </t>
  </si>
  <si>
    <t>Objetivo Intitucional asociado</t>
  </si>
  <si>
    <t>Plan de accion (solo para la opción reducir)</t>
  </si>
  <si>
    <t>Si</t>
  </si>
  <si>
    <t>1. Lograr mecanismos de financiación que permitan incrementar los recursos propios de la entidad.</t>
  </si>
  <si>
    <t>Finalizado</t>
  </si>
  <si>
    <t>No</t>
  </si>
  <si>
    <t>2. Diseñar e implementar una estrategia de innovación que permita hacer más eficiente la gestión de la Unidad.</t>
  </si>
  <si>
    <t>En curso</t>
  </si>
  <si>
    <t xml:space="preserve">3.Mejorar el estado de la malla vial local, intermedia, rural, y de la ciclo-infraestructura de Bogotá D.C., </t>
  </si>
  <si>
    <t>4.Mejorar las condiciones de Infraestructura que permitan el uso y disfrute del espacio público en Bogotá D.C.</t>
  </si>
  <si>
    <t xml:space="preserve">Gestión </t>
  </si>
  <si>
    <t>Relaciones Laborales</t>
  </si>
  <si>
    <t>NA</t>
  </si>
  <si>
    <t>Daños Activos Fisicos</t>
  </si>
  <si>
    <t>Proyecto de inversión</t>
  </si>
  <si>
    <t>Ejecucion y Administracion de procesos</t>
  </si>
  <si>
    <t>7858 Conservación de la Malla Vial Distrital y Cicloinfraestructura de Bogotá</t>
  </si>
  <si>
    <t>Fallas Tecnologicas</t>
  </si>
  <si>
    <t xml:space="preserve">7859 Fortalecimiento Institucional </t>
  </si>
  <si>
    <t>Usuarios, productos y practicas , organizacionales</t>
  </si>
  <si>
    <t>7860 Fortalecimiento de los componentes de TI para la transformación digital</t>
  </si>
  <si>
    <t>Corrupción</t>
  </si>
  <si>
    <t>Fraude Externo</t>
  </si>
  <si>
    <t>7903 Apoyo a la adecuación y conservación del espacio público de Bogotá</t>
  </si>
  <si>
    <t>Fraude Interno</t>
  </si>
  <si>
    <t>Soborno</t>
  </si>
  <si>
    <t>seguridad</t>
  </si>
  <si>
    <t xml:space="preserve">Pérdida de la integridad </t>
  </si>
  <si>
    <t xml:space="preserve">Pérdida de la confidencialidad </t>
  </si>
  <si>
    <t xml:space="preserve">Pérdida de la disponibilidad </t>
  </si>
  <si>
    <t>Acciones no autorizadas </t>
  </si>
  <si>
    <t>Compromiso de la información </t>
  </si>
  <si>
    <t>Compromiso de las funciones </t>
  </si>
  <si>
    <t>Daño físico </t>
  </si>
  <si>
    <t>TIPO</t>
  </si>
  <si>
    <t>AMENAZA</t>
  </si>
  <si>
    <t>Fallas técnicas </t>
  </si>
  <si>
    <t>Fuego</t>
  </si>
  <si>
    <t>Perdida de los servicios esenciales </t>
  </si>
  <si>
    <t>Agua</t>
  </si>
  <si>
    <t>Perturbación debida a la radiación </t>
  </si>
  <si>
    <t>Contaminación</t>
  </si>
  <si>
    <t>Eventos naturales </t>
  </si>
  <si>
    <t>Accidente Importante</t>
  </si>
  <si>
    <t>Destrucción del equipo o medios </t>
  </si>
  <si>
    <t>Polvo, corrosión, congelamiento </t>
  </si>
  <si>
    <t>Fenómenos climáticos </t>
  </si>
  <si>
    <t>Fenómenos sísmicos </t>
  </si>
  <si>
    <t>Fenómenos volcánicos </t>
  </si>
  <si>
    <t>Fenómenos meteorológicos </t>
  </si>
  <si>
    <t>Inundación </t>
  </si>
  <si>
    <t>Fallas en el sistema de suministro de agua o aire acondicionado </t>
  </si>
  <si>
    <t>Perdida de suministro de energía </t>
  </si>
  <si>
    <t>Falla en equipo de telecomunicaciones </t>
  </si>
  <si>
    <t>Radiación electromagnética </t>
  </si>
  <si>
    <t>Radiación térmica </t>
  </si>
  <si>
    <t>Impulsos electromagnéticos </t>
  </si>
  <si>
    <t>Interceptación de señales de interferencia comprometida </t>
  </si>
  <si>
    <t>Espionaje remoto </t>
  </si>
  <si>
    <t>Escucha encubierta </t>
  </si>
  <si>
    <t>Hurto de medios o documentos </t>
  </si>
  <si>
    <t>Hurto de equipo </t>
  </si>
  <si>
    <t>Recuperación de medios reciclados o desechados </t>
  </si>
  <si>
    <t>Divulgación </t>
  </si>
  <si>
    <t>Datos provenientes de fuentes no confiables </t>
  </si>
  <si>
    <t>Manipulación con hardware </t>
  </si>
  <si>
    <t>Manipulación con software </t>
  </si>
  <si>
    <t>Detección de la posición </t>
  </si>
  <si>
    <t>Fallas del equipo </t>
  </si>
  <si>
    <t>Mal funcionamiento del equipo </t>
  </si>
  <si>
    <t>Saturación del sistema de información </t>
  </si>
  <si>
    <t>Mal funcionamiento del software </t>
  </si>
  <si>
    <t>Incumplimiento en el mantenimiento del sistema de información. </t>
  </si>
  <si>
    <t>Uso no autorizado del equipo </t>
  </si>
  <si>
    <t>Copia fraudulenta del software </t>
  </si>
  <si>
    <t>Uso de software falso o copiado </t>
  </si>
  <si>
    <t>Corrupción de los datos </t>
  </si>
  <si>
    <t>Procesamiento ilegal de datos </t>
  </si>
  <si>
    <t>Error en el uso </t>
  </si>
  <si>
    <t>Abuso de derechos </t>
  </si>
  <si>
    <t>Falsificación de derechos </t>
  </si>
  <si>
    <t>Negación de acciones </t>
  </si>
  <si>
    <t>Incumplimiento en la disponibilidad del personal </t>
  </si>
  <si>
    <t>FORMATO MAPA RIESGOS DE PROCESO</t>
  </si>
  <si>
    <t>CÓDIGO: DESI-FM-018</t>
  </si>
  <si>
    <t>VERSIÓN: 11</t>
  </si>
  <si>
    <t>Proceso:</t>
  </si>
  <si>
    <t>Objetivo:</t>
  </si>
  <si>
    <t>Alcance:</t>
  </si>
  <si>
    <t>Identificación del riesgo</t>
  </si>
  <si>
    <t>Contexto</t>
  </si>
  <si>
    <t>Instrumentos posiblemente afectados</t>
  </si>
  <si>
    <t>Análisis del riesgo inherente</t>
  </si>
  <si>
    <t>Evaluación del riesgo - Valoración de los controles</t>
  </si>
  <si>
    <t>Evaluación del riesgo - Nivel del riesgo residual</t>
  </si>
  <si>
    <t xml:space="preserve">Tratamiento del riesgo -plan de acción </t>
  </si>
  <si>
    <t>ACCION DE CONTINGENCIA</t>
  </si>
  <si>
    <t xml:space="preserve">Referencia </t>
  </si>
  <si>
    <t xml:space="preserve">Actividad clave o fase del proyecto </t>
  </si>
  <si>
    <t>Internas</t>
  </si>
  <si>
    <t>Externas</t>
  </si>
  <si>
    <t>Efectos (Consecuencias)</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</si>
  <si>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</si>
  <si>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</si>
  <si>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</si>
  <si>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</si>
  <si>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</si>
  <si>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</si>
  <si>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</si>
  <si>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</si>
  <si>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</si>
  <si>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</si>
  <si>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</si>
  <si>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</si>
  <si>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Acción</t>
  </si>
  <si>
    <t>Responsable</t>
  </si>
  <si>
    <t>Producto</t>
  </si>
  <si>
    <t>Fecha Implementación</t>
  </si>
  <si>
    <t>ACCIÓN</t>
  </si>
  <si>
    <t>SOPORTE / PRODUCTO</t>
  </si>
  <si>
    <t>RESPONSABLE</t>
  </si>
  <si>
    <t xml:space="preserve">Proyecto de Inversión asociado </t>
  </si>
  <si>
    <t>Tipo</t>
  </si>
  <si>
    <t>Implementación</t>
  </si>
  <si>
    <t>Calificación</t>
  </si>
  <si>
    <t>Documentación</t>
  </si>
  <si>
    <t>Frecuencia</t>
  </si>
  <si>
    <t>Evidencia</t>
  </si>
  <si>
    <t xml:space="preserve">     El riesgo afecta la imagen de la entidad con algunos usuarios de relevancia frente al logro de los objetivos</t>
  </si>
  <si>
    <t>Preventivo</t>
  </si>
  <si>
    <t>Manual</t>
  </si>
  <si>
    <t>Documentado</t>
  </si>
  <si>
    <t>Continua</t>
  </si>
  <si>
    <t>Con Registro</t>
  </si>
  <si>
    <t>Detectivo</t>
  </si>
  <si>
    <t>Sin Documentar</t>
  </si>
  <si>
    <r>
      <rPr>
        <b/>
        <sz val="12"/>
        <rFont val="Arial"/>
        <family val="2"/>
      </rPr>
      <t xml:space="preserve">*Nota: </t>
    </r>
    <r>
      <rPr>
        <sz val="12"/>
        <rFont val="Arial"/>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</si>
  <si>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</si>
  <si>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 RIESGOS GESTIÓN</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</si>
  <si>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</si>
  <si>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</si>
  <si>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</si>
  <si>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</si>
  <si>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</si>
  <si>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</si>
  <si>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</si>
  <si>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</si>
  <si>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</si>
  <si>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</si>
  <si>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</si>
  <si>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</si>
  <si>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</si>
  <si>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</si>
  <si>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</si>
  <si>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 RIESGOS GESTIÓN</t>
  </si>
  <si>
    <t>Actividad clave o fase del proyecto</t>
  </si>
  <si>
    <t>Correctivo</t>
  </si>
  <si>
    <t>IMPACTO CORRUPCIÓN</t>
  </si>
  <si>
    <t>No.</t>
  </si>
  <si>
    <t>SI EL RIESGO DE CORRUPCIÓN SE MATERIALIZA PODRÍA...</t>
  </si>
  <si>
    <t>RESPUESTA</t>
  </si>
  <si>
    <t>SI</t>
  </si>
  <si>
    <t>NO</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</si>
  <si>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</si>
  <si>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</si>
  <si>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</si>
  <si>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</si>
  <si>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</si>
  <si>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</si>
  <si>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</si>
  <si>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</si>
  <si>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</si>
  <si>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</si>
  <si>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</si>
  <si>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</si>
  <si>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</si>
  <si>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</si>
  <si>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</si>
  <si>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</si>
  <si>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</si>
  <si>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</si>
  <si>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</si>
  <si>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 xml:space="preserve">TOTAL RESPUESTAS AFIRMATIVAS </t>
  </si>
  <si>
    <r>
      <t>Responder afirmativamente de 1 a 5 pregunta(s) genera un impacto</t>
    </r>
    <r>
      <rPr>
        <b/>
        <sz val="10"/>
        <rFont val="Arial"/>
        <family val="2"/>
      </rPr>
      <t xml:space="preserve"> Moderado</t>
    </r>
    <r>
      <rPr>
        <sz val="11"/>
        <color theme="1"/>
        <rFont val="Arial"/>
        <family val="2"/>
      </rPr>
      <t xml:space="preserve">
Responder afirmativamente de 6 a 11 preguntas genera un impacto </t>
    </r>
    <r>
      <rPr>
        <b/>
        <sz val="10"/>
        <rFont val="Arial"/>
        <family val="2"/>
      </rPr>
      <t xml:space="preserve">Mayor </t>
    </r>
    <r>
      <rPr>
        <sz val="11"/>
        <color theme="1"/>
        <rFont val="Arial"/>
        <family val="2"/>
      </rPr>
      <t xml:space="preserve">
Responder afirmativamente de 12 a 19 preguntas genera un impacto </t>
    </r>
    <r>
      <rPr>
        <b/>
        <sz val="10"/>
        <rFont val="Arial"/>
        <family val="2"/>
      </rPr>
      <t>Catastrófico</t>
    </r>
    <r>
      <rPr>
        <sz val="11"/>
        <color theme="1"/>
        <rFont val="Arial"/>
        <family val="2"/>
      </rPr>
      <t>.</t>
    </r>
  </si>
  <si>
    <t>Tipo de activo</t>
  </si>
  <si>
    <t>Activo de información</t>
  </si>
  <si>
    <t>Tipo de amenaza</t>
  </si>
  <si>
    <t>Amenaza</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</si>
  <si>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</si>
  <si>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</si>
  <si>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</si>
  <si>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</si>
  <si>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</si>
  <si>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</si>
  <si>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</si>
  <si>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</si>
  <si>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</si>
  <si>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</si>
  <si>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</si>
  <si>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</si>
  <si>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</si>
  <si>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</si>
  <si>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</si>
  <si>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 xml:space="preserve">Equivalente </t>
  </si>
  <si>
    <t>Insignificante</t>
  </si>
  <si>
    <t>Leve 20%</t>
  </si>
  <si>
    <t xml:space="preserve">Afectación menor a 130 SMLMV </t>
  </si>
  <si>
    <t>El riesgo afecta la imagen de alguna área de la organización</t>
  </si>
  <si>
    <t>Menor</t>
  </si>
  <si>
    <t xml:space="preserve">Menor 40% </t>
  </si>
  <si>
    <t xml:space="preserve">Entre 130 y 650 SMLMV </t>
  </si>
  <si>
    <t>El riesgo afecta la imagen de la entidad internamente, de conocimiento general, nivel interno, de junta dircetiva y accionistas y/o de provedores</t>
  </si>
  <si>
    <t>Moderado 60%</t>
  </si>
  <si>
    <t xml:space="preserve">Entre 650 y 1300 SMLMV </t>
  </si>
  <si>
    <t>El riesgo afecta la imagen de la entidad con algunos usuarios de relevancia frente al logro de los objetivos</t>
  </si>
  <si>
    <t>Mayor</t>
  </si>
  <si>
    <t>Mayor 80%</t>
  </si>
  <si>
    <t xml:space="preserve">Entre 1300 y 6500 SMLMV </t>
  </si>
  <si>
    <r>
      <t>El riesgo afecta la imagen de</t>
    </r>
    <r>
      <rPr>
        <sz val="26"/>
        <color theme="9" tint="-0.249977111117893"/>
        <rFont val="Arial Narrow"/>
        <family val="2"/>
      </rPr>
      <t xml:space="preserve">  la entidad </t>
    </r>
    <r>
      <rPr>
        <sz val="26"/>
        <color rgb="FF000000"/>
        <rFont val="Arial Narrow"/>
        <family val="2"/>
      </rPr>
      <t>con efecto publicitario sostenido a nivel de sector administrativo, nivel departamental o municipal</t>
    </r>
  </si>
  <si>
    <t>Catastrófico</t>
  </si>
  <si>
    <t>Catastrófico 100%</t>
  </si>
  <si>
    <t xml:space="preserve">Mayor a 6500 SMLMV </t>
  </si>
  <si>
    <t>El riesgo afecta la imagen de la entidad a nivel nacional, con efecto publicitarios sostenible a nivel país</t>
  </si>
  <si>
    <t>Afectación_Económica_o_presupuestal</t>
  </si>
  <si>
    <t xml:space="preserve">     Afectación menor a 130 SMLMV .</t>
  </si>
  <si>
    <t xml:space="preserve">     El riesgo afecta la imagen de alguna área de la organización</t>
  </si>
  <si>
    <t>Pérdida_Reputacional</t>
  </si>
  <si>
    <t xml:space="preserve">     Entre 130 y 650 SMLMV </t>
  </si>
  <si>
    <t xml:space="preserve">     El riesgo afecta la imagen de la entidad internamente, de conocimiento general, nivel interno, de junta dircetiva y accionistas y/o de provedores</t>
  </si>
  <si>
    <t xml:space="preserve">     Entre 650 y 1300 SMLMV </t>
  </si>
  <si>
    <t xml:space="preserve">     Entre 1300 y 6500 SMLMV </t>
  </si>
  <si>
    <t xml:space="preserve">     El riesgo afecta la imagen de de la entidad con efecto publicitario sostenido a nivel de sector administrativo, nivel departamental o municipal</t>
  </si>
  <si>
    <t xml:space="preserve">     Mayor a 6500 SMLMV </t>
  </si>
  <si>
    <t xml:space="preserve">     El riesgo afecta la imagen de la entidad a nivel nacional, con efecto publicitarios sostenible a nivel país</t>
  </si>
  <si>
    <t>Criterios</t>
  </si>
  <si>
    <t>Subcriterios</t>
  </si>
  <si>
    <t>Catastrofico</t>
  </si>
  <si>
    <t>Afectación Económica o presupuestal</t>
  </si>
  <si>
    <t>Afectación menor a 130 SMLMV .</t>
  </si>
  <si>
    <t>El riesgo afecta la imagen de de la entidad con efecto publicitario sostenido a nivel de sector administrativo, nivel departamental o municipal</t>
  </si>
  <si>
    <t>❌</t>
  </si>
  <si>
    <t>✔</t>
  </si>
  <si>
    <t>Gestión</t>
  </si>
  <si>
    <t>Ejecución y administración de procesos</t>
  </si>
  <si>
    <t>Pérdidas derivadas de errores en la ejecución y administración de procesos.</t>
  </si>
  <si>
    <t>Relaciones laborales</t>
  </si>
  <si>
    <t>Pérdidas que surgen de acciones contrarias a las leyes o acuerdos de empleo, salud o seguridad, del pago de demandas por  daños personales o de discriminación.</t>
  </si>
  <si>
    <t>Daños a activos fijos/ eventos externos</t>
  </si>
  <si>
    <t>Pérdida por daños o extravíos de los activos fijos por desastres naturales u otros riesgos/eventos externos como atentados, vandalismo, orden público.</t>
  </si>
  <si>
    <t>Seguridad Digital</t>
  </si>
  <si>
    <t>Fallas tecnológicas</t>
  </si>
  <si>
    <t>Errores en hardware, software, telecomunicaciones, interrupción de servicios básicos.</t>
  </si>
  <si>
    <t>Fraude externo</t>
  </si>
  <si>
    <t>Pérdida derivada de actos de fraude por personas ajenas a la organización (no participa personal de la entidad).</t>
  </si>
  <si>
    <t>Fraude interno</t>
  </si>
  <si>
    <t>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</si>
  <si>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Cuando una persona da u ofrece “dinero u otra utilidad para que se realice u omita un acto propio del cargo de un funcionario público, o para que se ejecute uno contrario a sus deberes oficiales”</t>
  </si>
  <si>
    <t>Determina que la información no esté disponible ni sea revelada a individuos, entidades o procesos no autorizados.</t>
  </si>
  <si>
    <t>Determina la exactitud y completitud de la información, permitiendo que la información sea precisa, coherente y completa desde su creación hasta su destrucción.</t>
  </si>
  <si>
    <t>Determina la accesibilidad y utilización de la información por solicitud de una persona entidad o proceso autorizada cuando así lo requiera esta, en el momento y en la forma que se requiere ahora y en el futuro, al igual que los recursos necesarios para su uso.</t>
  </si>
  <si>
    <t>TIPO DE ACTIVO</t>
  </si>
  <si>
    <t>INFORMACIÓN</t>
  </si>
  <si>
    <t>SOFTWARE</t>
  </si>
  <si>
    <t>HARDWARE</t>
  </si>
  <si>
    <t>INSTALACIONES</t>
  </si>
  <si>
    <t>PROCESOS</t>
  </si>
  <si>
    <t>RECURSOS HUMANOS</t>
  </si>
  <si>
    <t>RED</t>
  </si>
  <si>
    <t>SERVICIOS</t>
  </si>
  <si>
    <t>EQUIPAMIENTO AUXILIAR</t>
  </si>
  <si>
    <t>COMPONENTES DE RED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</si>
  <si>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</si>
  <si>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</si>
  <si>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</si>
  <si>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</si>
  <si>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</si>
  <si>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</si>
  <si>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</si>
  <si>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</si>
  <si>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</si>
  <si>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</si>
  <si>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</si>
  <si>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</si>
  <si>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</si>
  <si>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</si>
  <si>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</si>
  <si>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</si>
  <si>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</si>
  <si>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</si>
  <si>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</si>
  <si>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</si>
  <si>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</si>
  <si>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</si>
  <si>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Registro Sustancial</t>
  </si>
  <si>
    <t>Registro Material</t>
  </si>
  <si>
    <t>Sin registro</t>
  </si>
  <si>
    <t>Reducir</t>
  </si>
  <si>
    <t>FECHA DE APLICACIÓN: NOVIEMBRE 2022</t>
  </si>
  <si>
    <t xml:space="preserve">Tratamiento del riesgo -Plan de acción </t>
  </si>
  <si>
    <t xml:space="preserve">Acción de Contigencia </t>
  </si>
  <si>
    <t>Objetivo Institucional  asociado</t>
  </si>
  <si>
    <t>Administrar, manejar mantener y controlar los bienes de propiedad de la Unidad Administrativa Especial de Rehabilitación y Mantenimiento Vial y aquellos por los cuales es legalmente responsable, enmarcados dentro de los principios de transparencia, eficiencia, economía, eficacia y equidad, consagrados en la Constitución y la Ley.</t>
  </si>
  <si>
    <t>Inicia con la comunicación del supervisor o contratista del suministro de elementos, en la cual informa que se realizará una entrega y termina cuando el bien es entregado para consumo final o para servicio de la entidad; una vez terminada la vida útil de los elementos se procede a su baja y destinación final; respecto a la infraestructura fisica, el proceso propenderá por mantener las buenas condiciones para el cumplimiento de la misionalidad con la planeación operativa y la ejecución de los servicios y finaliza con la prestacion del servicio, incluyendo su seguimiento</t>
  </si>
  <si>
    <t>Por deterioro en la infraestructura fisica de la entidad</t>
  </si>
  <si>
    <t xml:space="preserve">Actualización del Plan de Gestión del Riesgo para la sede propia de la Entidad
Deslizamiento por el acopio de materiales.
Programas de mantenimiento preventivo o correctivo </t>
  </si>
  <si>
    <t>Eventos de origen natural (sismo, lluvias torrenciales).</t>
  </si>
  <si>
    <t>Deterioro patrimonial 
Investigaciones disciplinarias
Sanciones</t>
  </si>
  <si>
    <t xml:space="preserve">Servidor Público o contratista designado - Proceso GREF  </t>
  </si>
  <si>
    <t xml:space="preserve">Correo electronico Institucional </t>
  </si>
  <si>
    <t>Anual</t>
  </si>
  <si>
    <t xml:space="preserve">Informar al equipo de infraestructura, las fallas identificadas para su correspondiente ajuste. </t>
  </si>
  <si>
    <t>Perdida de credibilidad y confianza en la información generada</t>
  </si>
  <si>
    <t>Registro de la información en los sistemas contables sin contar con la validación o conocimiento  del aplicativo</t>
  </si>
  <si>
    <t>Establecer la clasificación de los bienes e inventarios para su control y manejo</t>
  </si>
  <si>
    <t>Daños en la información por manipulación de terceros o daños de la infraestructura tecnologica</t>
  </si>
  <si>
    <t>Adopción de resoluciones, normas contables, solicitudes de actualizacion al sistema y requerimiento de reportes</t>
  </si>
  <si>
    <t>Debido a falta de control en el ingreso y salida de bienes de la entidad sin la verificacion y acompañamiento del personal de seguridad de la entidad.</t>
  </si>
  <si>
    <t>Posibilidad de afectación económica por hurto o sustracción de elementos debido a falta de control en el ingreso y salida de bienes de la entidad sin la verificacion y acompañamiento del personal de seguridad de la entidad.</t>
  </si>
  <si>
    <t>Garantizar la seguridad de los bienes para evitar su deterioro o contaminación, permitiendo un correcto control y manejo</t>
  </si>
  <si>
    <t>Fortalecimiento de controles en el ultimo año frente a la supervisión en en el contrato de vigilancia mediante registros administrativos, bitacoras e informes de actividades</t>
  </si>
  <si>
    <t>Manifestaciones de orden publico que puedan afectar los bienes de la entidad.</t>
  </si>
  <si>
    <t>Socializar el protocolo y medidas de seguridad a la empresa de vigilancia cada vez que inicie y se adjudique un nuevo contrato de vigilancia y seguridad privada cuya supervisión se encuentra a cargo del almacenista general.</t>
  </si>
  <si>
    <t>Apoyo a la supervision del contrato</t>
  </si>
  <si>
    <t>Acta de reunión</t>
  </si>
  <si>
    <t>Reportar al asesor de seguros la novedad presentada para afectar la póliza.</t>
  </si>
  <si>
    <t>Reporte por correo electrónico</t>
  </si>
  <si>
    <t>Almacenista general</t>
  </si>
  <si>
    <t xml:space="preserve">Posibilidad de afectación economica y reputacional por deterioro en la infraestructura fisica debido a la falta de seguimiento a los mantenimientos y adecuaciones en la sede propia de la entidad  </t>
  </si>
  <si>
    <t xml:space="preserve">Debido a la falta de seguimiento a los mantenimientos y adecuaciones en la sede propio de la entidad  </t>
  </si>
  <si>
    <t>Identificacion de mejoramiento y adecuación de la infraestructura de las sedes propias de la entidad</t>
  </si>
  <si>
    <t>El servidor publico o contratista encargado, valida el cumplimiento   de las actividades programadas y recopila la evidencia de las mejores realizadas a través del formato GREF-FM-014.
En el caso de que se evidencie que la actividad programada no se ejecutó, se informará a través de correo electronico al Almacenista General dicha situación, para que se tomen las medidas necesarias.</t>
  </si>
  <si>
    <t>Semestral</t>
  </si>
  <si>
    <t>Realizar dos sensibilizaciones anuales a través de una noticia o tip del uso del formato GREF-FM-014 para reportar los daños o situaciones que afecten la infraestructura de las sedes propias de la entidad.</t>
  </si>
  <si>
    <t xml:space="preserve">Correo electrónico institucional </t>
  </si>
  <si>
    <t xml:space="preserve">Servidor Público o contratista </t>
  </si>
  <si>
    <t>Posibilidad de afectación reputacional por  perdida de credibilidad y confianza de las partes interesadas debido al registro de la información en los sistemas contables sin contar con la validación o conocimiento del aplicativo</t>
  </si>
  <si>
    <t>Perdida de activos de información
Inadecuado control administrativo de los bienes</t>
  </si>
  <si>
    <t>El servidor público o contratista encargado, valida a través de una toma aleatoria mensual, la calidad de la información, comparando  lo registrado en el aplicativo contable con el documento físico. 
Como evidencia, se contará con un informe donde se deje constancia de los resultados de la validación.
En caso de evidenciar diferencias en la información se informa a la persona encargada del registro para que realice el ajuste de la información.</t>
  </si>
  <si>
    <t>Corregir los errores identificados en el registro de la información del aplicativo contable</t>
  </si>
  <si>
    <t>Reporte de ajustes en el sistema, a través de la base de datos generada por el aplicativo</t>
  </si>
  <si>
    <t xml:space="preserve">Servidor Público o contratista designado por el proceso GREF </t>
  </si>
  <si>
    <t xml:space="preserve">Vencimiento de elementos perecederos </t>
  </si>
  <si>
    <t>Elementos que no son consumidos o utilizados antes de su caducidad.</t>
  </si>
  <si>
    <t>Posibilidad de afectación económica por vencimiento de elementos perecederos debido al no consumo o uso antes de su caducidad.</t>
  </si>
  <si>
    <t>Dar de baja y destino final a los bienes</t>
  </si>
  <si>
    <t>Definición de las especificaciones técnicas de los elementos adquiridos por la entidad, incluyendo condiciones de entrega, calidad y vigencia de los mismos</t>
  </si>
  <si>
    <t xml:space="preserve">Eventos de origen natural que impidan la verificación de la vigencia de los elementos </t>
  </si>
  <si>
    <t>Detrimento patrimonial</t>
  </si>
  <si>
    <t>El servidor publico o contratista designado del grupo de recursos físicos valida la información y el diligenciamiento mensual del formato GREF-FM-005.
Como evidencia, se contará con el correo electronico informativo con los formatos consolidados.
En caso de evidenciar productos vencidos, informará al almacenista general el caso para continuar el trámite administrativo.</t>
  </si>
  <si>
    <t xml:space="preserve">Dar de baja a los elementos cuya fecha de vencimiento caducó </t>
  </si>
  <si>
    <t>Resolución de baja de elementos y/o el listado de los elementos a dar de baja para aprobacion del CIGD</t>
  </si>
  <si>
    <t xml:space="preserve">Por hurto o sustracción de elementos </t>
  </si>
  <si>
    <t>Afectación en las pólizas contratadas por la entidad.
Investigaciones Disciplinarias.
Detrimento patrimonial.</t>
  </si>
  <si>
    <t>El apoyo a la supervisión designado por el almacenista, verifica mensualmente el acompañamiento del personal de vigilancia en el ingreso y salida de bienes. 
Se deja como evidencia informes mensuales de actividades y bitácoras de novedades presentadas. 
En el caso en el que no se evidencia el acompañamiento se informará al supervisor de vigilancia para que realice las acciones pertinentes.</t>
  </si>
  <si>
    <t>X</t>
  </si>
  <si>
    <t xml:space="preserve">El servidor publico o contratista asignado por el grupo de recursos físicos, valida con el apoyo a la supervision y SST el ingreso y salida de los bienes de la entidad.
Se deja como evidencia los correos electronicos con la autorización de ingreso y la fecha del hecho.
En caso de que no se cumplan las condiciones de ingreso o salida, no se autoriza.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</si>
</sst>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_-&quot;$&quot;\ * #,##0_-;\-&quot;$&quot;\ * #,##0_-;_-&quot;$&quot;\ * &quot;-&quot;??_-;_-@_-"/>
    <numFmt numFmtId="166" formatCode="&quot;$&quot;\ #,##0.00"/>
  </numFmts>
  <fonts count="93"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8"/>
      <color theme="1"/>
      <name val="Calibri"/>
      <family val="2"/>
      <scheme val="minor"/>
    </font>
    <font>
      <sz val="11"/>
      <color rgb="FF002060"/>
      <name val="Calibri"/>
      <family val="2"/>
      <scheme val="minor"/>
    </font>
    <font>
      <sz val="16"/>
      <color rgb="FF002060"/>
      <name val="Arial Narrow"/>
      <family val="2"/>
    </font>
    <font>
      <b/>
      <sz val="11"/>
      <color rgb="FF002060"/>
      <name val="Arial Narrow"/>
      <family val="2"/>
    </font>
    <font>
      <sz val="14"/>
      <color theme="1"/>
      <name val="Arial"/>
      <family val="2"/>
    </font>
    <font>
      <sz val="20"/>
      <name val="Arial"/>
      <family val="2"/>
    </font>
    <font>
      <sz val="21"/>
      <color theme="1"/>
      <name val="Arial"/>
      <family val="2"/>
    </font>
    <font>
      <sz val="21"/>
      <name val="Arial"/>
      <family val="2"/>
    </font>
    <font>
      <b/>
      <sz val="20"/>
      <name val="Arial"/>
      <family val="2"/>
    </font>
    <font>
      <sz val="18"/>
      <color theme="1"/>
      <name val="Arial"/>
      <family val="2"/>
    </font>
    <font>
      <b/>
      <sz val="21"/>
      <color theme="1"/>
      <name val="Arial"/>
      <family val="2"/>
    </font>
    <font>
      <b/>
      <sz val="21"/>
      <name val="Arial"/>
      <family val="2"/>
    </font>
    <font>
      <sz val="21"/>
      <color rgb="FF7030A0"/>
      <name val="Arial"/>
      <family val="2"/>
    </font>
    <font>
      <b/>
      <sz val="21"/>
      <color rgb="FF7030A0"/>
      <name val="Arial"/>
      <family val="2"/>
    </font>
    <font>
      <sz val="21"/>
      <color rgb="FFFF0000"/>
      <name val="Arial"/>
      <family val="2"/>
    </font>
    <font>
      <sz val="22"/>
      <color theme="1"/>
      <name val="Arial"/>
      <family val="2"/>
    </font>
    <font>
      <b/>
      <sz val="22"/>
      <color theme="1"/>
      <name val="Arial"/>
      <family val="2"/>
    </font>
    <font>
      <b/>
      <sz val="22"/>
      <name val="Arial"/>
      <family val="2"/>
    </font>
    <font>
      <sz val="11"/>
      <color theme="1"/>
      <name val="Arial"/>
      <family val="2"/>
    </font>
    <font>
      <b/>
      <sz val="14"/>
      <name val="Arial"/>
      <family val="2"/>
    </font>
    <font>
      <b/>
      <sz val="10"/>
      <name val="Arial"/>
      <family val="2"/>
    </font>
    <font>
      <b/>
      <sz val="11"/>
      <color theme="1"/>
      <name val="Arial"/>
      <family val="2"/>
    </font>
    <font>
      <b/>
      <sz val="9"/>
      <color theme="1"/>
      <name val="Arial"/>
      <family val="2"/>
    </font>
    <font>
      <sz val="9"/>
      <color theme="1"/>
      <name val="Arial"/>
      <family val="2"/>
    </font>
    <font>
      <b/>
      <sz val="18"/>
      <color theme="1"/>
      <name val="Arial"/>
      <family val="2"/>
    </font>
    <font>
      <sz val="12"/>
      <color rgb="FF203764"/>
      <name val="Calibri"/>
      <family val="2"/>
      <scheme val="minor"/>
    </font>
    <font>
      <b/>
      <sz val="16"/>
      <name val="Arial"/>
      <family val="2"/>
    </font>
    <font>
      <sz val="12"/>
      <name val="Arial"/>
      <family val="2"/>
    </font>
    <font>
      <b/>
      <sz val="12"/>
      <name val="Arial"/>
      <family val="2"/>
    </font>
    <font>
      <sz val="26"/>
      <color theme="9" tint="-0.249977111117893"/>
      <name val="Arial Narrow"/>
      <family val="2"/>
    </font>
    <font>
      <b/>
      <sz val="11"/>
      <color theme="1"/>
      <name val="Calibri"/>
      <family val="2"/>
      <scheme val="minor"/>
    </font>
    <font>
      <b/>
      <sz val="11"/>
      <color rgb="FF000000"/>
      <name val="Calibri"/>
      <family val="2"/>
      <scheme val="minor"/>
    </font>
    <font>
      <sz val="16"/>
      <name val="Arial"/>
      <family val="2"/>
    </font>
    <font>
      <sz val="12"/>
      <color theme="1"/>
      <name val="Arial"/>
      <family val="2"/>
    </font>
    <font>
      <b/>
      <sz val="10"/>
      <color theme="0"/>
      <name val="Arial Narrow"/>
      <family val="2"/>
    </font>
    <font>
      <sz val="8"/>
      <name val="Calibri"/>
      <family val="2"/>
      <scheme val="minor"/>
    </font>
    <font>
      <b/>
      <sz val="16"/>
      <color theme="5" tint="-0.249977111117893"/>
      <name val="Arial"/>
      <family val="2"/>
    </font>
    <font>
      <b/>
      <sz val="24"/>
      <color theme="1"/>
      <name val="Arial Narrow"/>
      <family val="2"/>
    </font>
    <font>
      <sz val="13"/>
      <name val="Arial"/>
      <family val="2"/>
    </font>
    <font>
      <sz val="12"/>
      <color rgb="FF000000"/>
      <name val="Arial"/>
      <family val="2"/>
    </font>
  </fonts>
  <fills count="3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rgb="FFBDD7EE"/>
        <bgColor rgb="FF000000"/>
      </patternFill>
    </fill>
    <fill>
      <patternFill patternType="solid">
        <fgColor rgb="FFFFF2CC"/>
        <bgColor rgb="FF000000"/>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59999389629810485"/>
        <bgColor indexed="64"/>
      </patternFill>
    </fill>
  </fills>
  <borders count="11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dotted">
        <color rgb="FFF79646"/>
      </left>
      <right/>
      <top/>
      <bottom style="dotted">
        <color rgb="FFF79646"/>
      </bottom>
      <diagonal/>
    </border>
    <border>
      <left style="dotted">
        <color rgb="FFF79646"/>
      </left>
      <right/>
      <top style="dotted">
        <color rgb="FFF79646"/>
      </top>
      <bottom style="dotted">
        <color rgb="FFF79646"/>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diagonal/>
    </border>
    <border>
      <left style="hair">
        <color theme="6" tint="-0.499984740745262"/>
      </left>
      <right style="hair">
        <color theme="6" tint="-0.499984740745262"/>
      </right>
      <top/>
      <bottom style="hair">
        <color theme="6" tint="-0.499984740745262"/>
      </bottom>
      <diagonal/>
    </border>
    <border>
      <left/>
      <right style="hair">
        <color theme="6" tint="-0.499984740745262"/>
      </right>
      <top/>
      <bottom/>
      <diagonal/>
    </border>
    <border>
      <left style="medium">
        <color theme="6" tint="-0.499984740745262"/>
      </left>
      <right style="hair">
        <color theme="6" tint="-0.499984740745262"/>
      </right>
      <top style="medium">
        <color theme="6" tint="-0.499984740745262"/>
      </top>
      <bottom style="hair">
        <color theme="6" tint="-0.499984740745262"/>
      </bottom>
      <diagonal/>
    </border>
    <border>
      <left style="hair">
        <color theme="6" tint="-0.499984740745262"/>
      </left>
      <right style="hair">
        <color theme="6" tint="-0.499984740745262"/>
      </right>
      <top style="medium">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hair">
        <color theme="6" tint="-0.499984740745262"/>
      </bottom>
      <diagonal/>
    </border>
    <border>
      <left style="medium">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style="hair">
        <color theme="6" tint="-0.499984740745262"/>
      </top>
      <bottom style="medium">
        <color theme="6" tint="-0.499984740745262"/>
      </bottom>
      <diagonal/>
    </border>
    <border>
      <left style="hair">
        <color theme="6" tint="-0.499984740745262"/>
      </left>
      <right style="hair">
        <color theme="6" tint="-0.499984740745262"/>
      </right>
      <top/>
      <bottom/>
      <diagonal/>
    </border>
    <border>
      <left style="medium">
        <color indexed="64"/>
      </left>
      <right style="hair">
        <color theme="6" tint="-0.499984740745262"/>
      </right>
      <top style="medium">
        <color indexed="64"/>
      </top>
      <bottom style="hair">
        <color theme="6" tint="-0.499984740745262"/>
      </bottom>
      <diagonal/>
    </border>
    <border>
      <left style="hair">
        <color theme="6" tint="-0.499984740745262"/>
      </left>
      <right style="medium">
        <color indexed="64"/>
      </right>
      <top style="medium">
        <color indexed="64"/>
      </top>
      <bottom style="hair">
        <color theme="6" tint="-0.499984740745262"/>
      </bottom>
      <diagonal/>
    </border>
    <border>
      <left style="medium">
        <color indexed="64"/>
      </left>
      <right style="hair">
        <color theme="6" tint="-0.499984740745262"/>
      </right>
      <top style="hair">
        <color theme="6" tint="-0.499984740745262"/>
      </top>
      <bottom style="hair">
        <color theme="6" tint="-0.499984740745262"/>
      </bottom>
      <diagonal/>
    </border>
    <border>
      <left style="hair">
        <color theme="6" tint="-0.499984740745262"/>
      </left>
      <right style="medium">
        <color indexed="64"/>
      </right>
      <top style="hair">
        <color theme="6" tint="-0.499984740745262"/>
      </top>
      <bottom style="hair">
        <color theme="6" tint="-0.499984740745262"/>
      </bottom>
      <diagonal/>
    </border>
    <border>
      <left style="medium">
        <color indexed="64"/>
      </left>
      <right style="hair">
        <color theme="6" tint="-0.499984740745262"/>
      </right>
      <top style="hair">
        <color theme="6" tint="-0.499984740745262"/>
      </top>
      <bottom style="medium">
        <color indexed="64"/>
      </bottom>
      <diagonal/>
    </border>
    <border>
      <left style="hair">
        <color theme="6" tint="-0.499984740745262"/>
      </left>
      <right style="medium">
        <color indexed="64"/>
      </right>
      <top style="hair">
        <color theme="6" tint="-0.499984740745262"/>
      </top>
      <bottom style="medium">
        <color indexed="64"/>
      </bottom>
      <diagonal/>
    </border>
    <border>
      <left style="hair">
        <color theme="6" tint="-0.499984740745262"/>
      </left>
      <right/>
      <top/>
      <bottom style="hair">
        <color theme="6" tint="-0.499984740745262"/>
      </bottom>
      <diagonal/>
    </border>
    <border>
      <left/>
      <right/>
      <top/>
      <bottom style="hair">
        <color theme="6" tint="-0.499984740745262"/>
      </bottom>
      <diagonal/>
    </border>
    <border>
      <left/>
      <right style="hair">
        <color theme="6" tint="-0.499984740745262"/>
      </right>
      <top/>
      <bottom style="hair">
        <color theme="6" tint="-0.4999847407452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theme="6" tint="-0.499984740745262"/>
      </left>
      <right/>
      <top/>
      <bottom/>
      <diagonal/>
    </border>
    <border>
      <left style="hair">
        <color theme="6" tint="-0.499984740745262"/>
      </left>
      <right/>
      <top style="medium">
        <color theme="6" tint="-0.499984740745262"/>
      </top>
      <bottom style="hair">
        <color theme="6" tint="-0.499984740745262"/>
      </bottom>
      <diagonal/>
    </border>
    <border>
      <left style="hair">
        <color theme="6" tint="-0.499984740745262"/>
      </left>
      <right/>
      <top style="hair">
        <color theme="6" tint="-0.499984740745262"/>
      </top>
      <bottom style="medium">
        <color theme="6" tint="-0.499984740745262"/>
      </bottom>
      <diagonal/>
    </border>
    <border>
      <left style="hair">
        <color theme="6" tint="-0.499984740745262"/>
      </left>
      <right/>
      <top style="hair">
        <color theme="6" tint="-0.499984740745262"/>
      </top>
      <bottom style="hair">
        <color theme="6" tint="-0.499984740745262"/>
      </bottom>
      <diagonal/>
    </border>
  </borders>
  <cellStyleXfs count="7">
    <xf numFmtId="0" fontId="0" fillId="0" borderId="0"/>
    <xf numFmtId="9" fontId="12" fillId="0" borderId="0" applyFont="0" applyFill="0" applyBorder="0" applyAlignment="0" applyProtection="0"/>
    <xf numFmtId="0" fontId="42" fillId="0" borderId="0"/>
    <xf numFmtId="0" fontId="43" fillId="0" borderId="0"/>
    <xf numFmtId="0" fontId="4" fillId="0" borderId="0"/>
    <xf numFmtId="44" fontId="12" fillId="0" borderId="0" applyFont="0" applyFill="0" applyBorder="0" applyAlignment="0" applyProtection="0"/>
    <xf numFmtId="44" fontId="12" fillId="0" borderId="0" applyFont="0" applyFill="0" applyBorder="0" applyAlignment="0" applyProtection="0"/>
  </cellStyleXfs>
  <cellXfs count="574">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8" fillId="6" borderId="0" xfId="0" applyFont="1" applyFill="1" applyAlignment="1">
      <alignment horizontal="center" vertical="center" wrapText="1" readingOrder="1"/>
    </xf>
    <xf numFmtId="0" fontId="29" fillId="5" borderId="4"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0" xfId="0" applyFont="1" applyFill="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0" xfId="0" applyFont="1" applyFill="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0" fillId="3" borderId="0" xfId="0" applyFill="1"/>
    <xf numFmtId="0" fontId="44" fillId="3" borderId="40" xfId="2" applyFont="1" applyFill="1" applyBorder="1"/>
    <xf numFmtId="0" fontId="44" fillId="3" borderId="41" xfId="2" applyFont="1" applyFill="1" applyBorder="1"/>
    <xf numFmtId="0" fontId="44" fillId="3" borderId="42"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23" xfId="0" applyFont="1" applyFill="1" applyBorder="1" applyAlignment="1">
      <alignment horizontal="center" vertical="center" wrapText="1" readingOrder="1"/>
    </xf>
    <xf numFmtId="0" fontId="34" fillId="3" borderId="23" xfId="0" applyFont="1" applyFill="1" applyBorder="1" applyAlignment="1">
      <alignment horizontal="justify" vertical="center" wrapText="1" readingOrder="1"/>
    </xf>
    <xf numFmtId="9" fontId="33" fillId="3" borderId="32" xfId="0" applyNumberFormat="1"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justify" vertical="center" wrapText="1" readingOrder="1"/>
    </xf>
    <xf numFmtId="9" fontId="33" fillId="3" borderId="27" xfId="0" applyNumberFormat="1" applyFont="1" applyFill="1" applyBorder="1" applyAlignment="1">
      <alignment horizontal="center" vertical="center" wrapText="1" readingOrder="1"/>
    </xf>
    <xf numFmtId="0" fontId="34" fillId="3" borderId="27"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34" fillId="3" borderId="29" xfId="0" applyFont="1" applyFill="1" applyBorder="1" applyAlignment="1">
      <alignment horizontal="justify" vertical="center" wrapText="1" readingOrder="1"/>
    </xf>
    <xf numFmtId="0" fontId="34" fillId="3" borderId="30" xfId="0" applyFont="1" applyFill="1" applyBorder="1" applyAlignment="1">
      <alignment horizontal="center" vertical="center" wrapText="1" readingOrder="1"/>
    </xf>
    <xf numFmtId="0" fontId="41" fillId="3" borderId="0" xfId="0" applyFont="1" applyFill="1"/>
    <xf numFmtId="0" fontId="33" fillId="15" borderId="34" xfId="0" applyFont="1" applyFill="1" applyBorder="1" applyAlignment="1">
      <alignment horizontal="center" vertical="center" wrapText="1" readingOrder="1"/>
    </xf>
    <xf numFmtId="0" fontId="33" fillId="15" borderId="35" xfId="0" applyFont="1" applyFill="1" applyBorder="1" applyAlignment="1">
      <alignment horizontal="center" vertical="center" wrapText="1" readingOrder="1"/>
    </xf>
    <xf numFmtId="0" fontId="11" fillId="3" borderId="0" xfId="0" applyFont="1" applyFill="1"/>
    <xf numFmtId="0" fontId="10" fillId="3" borderId="0" xfId="0" applyFont="1" applyFill="1" applyAlignment="1">
      <alignment horizontal="justify" vertical="center" wrapText="1" readingOrder="1"/>
    </xf>
    <xf numFmtId="0" fontId="13" fillId="3" borderId="0" xfId="0" applyFont="1" applyFill="1"/>
    <xf numFmtId="0" fontId="3" fillId="3" borderId="0" xfId="0" applyFont="1" applyFill="1" applyAlignment="1">
      <alignment horizontal="left" vertical="center"/>
    </xf>
    <xf numFmtId="0" fontId="44" fillId="3" borderId="7" xfId="2" applyFont="1" applyFill="1" applyBorder="1"/>
    <xf numFmtId="0" fontId="49" fillId="3" borderId="0" xfId="0" applyFont="1" applyFill="1" applyAlignment="1">
      <alignment horizontal="left" vertical="center" wrapText="1"/>
    </xf>
    <xf numFmtId="0" fontId="50" fillId="3" borderId="0" xfId="0" applyFont="1" applyFill="1" applyAlignment="1">
      <alignment horizontal="left" vertical="top" wrapText="1"/>
    </xf>
    <xf numFmtId="0" fontId="44" fillId="3" borderId="0" xfId="2" applyFont="1" applyFill="1"/>
    <xf numFmtId="0" fontId="44" fillId="3" borderId="8" xfId="2" applyFont="1" applyFill="1" applyBorder="1"/>
    <xf numFmtId="0" fontId="44" fillId="3" borderId="9" xfId="2" applyFont="1" applyFill="1" applyBorder="1"/>
    <xf numFmtId="0" fontId="44" fillId="3" borderId="11" xfId="2" applyFont="1" applyFill="1" applyBorder="1"/>
    <xf numFmtId="0" fontId="44" fillId="3" borderId="10" xfId="2" applyFont="1" applyFill="1" applyBorder="1"/>
    <xf numFmtId="0" fontId="48" fillId="3" borderId="0" xfId="2" applyFont="1" applyFill="1" applyAlignment="1">
      <alignment horizontal="left" vertical="center" wrapText="1"/>
    </xf>
    <xf numFmtId="0" fontId="44" fillId="3" borderId="0" xfId="2" applyFont="1" applyFill="1" applyAlignment="1">
      <alignment horizontal="left" vertical="center" wrapText="1"/>
    </xf>
    <xf numFmtId="0" fontId="44" fillId="3" borderId="0" xfId="2" quotePrefix="1" applyFont="1" applyFill="1" applyAlignment="1">
      <alignment horizontal="left" vertical="center" wrapText="1"/>
    </xf>
    <xf numFmtId="0" fontId="46" fillId="3" borderId="7" xfId="2" quotePrefix="1" applyFont="1" applyFill="1" applyBorder="1" applyAlignment="1">
      <alignment horizontal="left" vertical="top" wrapText="1"/>
    </xf>
    <xf numFmtId="0" fontId="47" fillId="3" borderId="0" xfId="2" quotePrefix="1" applyFont="1" applyFill="1" applyAlignment="1">
      <alignment horizontal="left" vertical="top" wrapText="1"/>
    </xf>
    <xf numFmtId="0" fontId="47" fillId="3" borderId="8" xfId="2" quotePrefix="1" applyFont="1" applyFill="1" applyBorder="1" applyAlignment="1">
      <alignment horizontal="left" vertical="top" wrapText="1"/>
    </xf>
    <xf numFmtId="0" fontId="29" fillId="0" borderId="64" xfId="0" applyFont="1" applyBorder="1" applyAlignment="1">
      <alignment horizontal="justify" vertical="center" wrapText="1" readingOrder="1"/>
    </xf>
    <xf numFmtId="0" fontId="29" fillId="0" borderId="65" xfId="0" applyFont="1" applyBorder="1" applyAlignment="1">
      <alignment horizontal="justify" vertical="center" wrapText="1" readingOrder="1"/>
    </xf>
    <xf numFmtId="165" fontId="27" fillId="3" borderId="0" xfId="5" applyNumberFormat="1" applyFont="1" applyFill="1" applyAlignment="1">
      <alignment horizontal="center" vertical="center" wrapText="1"/>
    </xf>
    <xf numFmtId="165" fontId="0" fillId="3" borderId="0" xfId="5" applyNumberFormat="1" applyFont="1" applyFill="1" applyAlignment="1">
      <alignment horizontal="center" vertical="center"/>
    </xf>
    <xf numFmtId="0" fontId="54" fillId="3" borderId="0" xfId="0" applyFont="1" applyFill="1"/>
    <xf numFmtId="0" fontId="55" fillId="3" borderId="0" xfId="0" applyFont="1" applyFill="1" applyAlignment="1">
      <alignment horizontal="justify" vertical="center" wrapText="1" readingOrder="1"/>
    </xf>
    <xf numFmtId="0" fontId="54" fillId="0" borderId="0" xfId="0" applyFont="1"/>
    <xf numFmtId="0" fontId="56" fillId="3" borderId="0" xfId="0" applyFont="1" applyFill="1" applyAlignment="1">
      <alignment vertical="center"/>
    </xf>
    <xf numFmtId="44" fontId="0" fillId="3" borderId="0" xfId="5" applyFont="1" applyFill="1" applyAlignment="1">
      <alignment horizontal="left" vertical="center"/>
    </xf>
    <xf numFmtId="44" fontId="54" fillId="3" borderId="0" xfId="5" applyFont="1" applyFill="1" applyAlignment="1">
      <alignment horizontal="left" vertical="center"/>
    </xf>
    <xf numFmtId="44" fontId="0" fillId="0" borderId="0" xfId="5" applyFont="1" applyAlignment="1">
      <alignment horizontal="left" vertical="center"/>
    </xf>
    <xf numFmtId="44" fontId="26" fillId="0" borderId="0" xfId="5" applyFont="1" applyAlignment="1">
      <alignment horizontal="left" vertical="center"/>
    </xf>
    <xf numFmtId="0" fontId="0" fillId="0" borderId="0" xfId="0" applyAlignment="1">
      <alignment wrapText="1"/>
    </xf>
    <xf numFmtId="0" fontId="25" fillId="0" borderId="0" xfId="0" applyFont="1" applyAlignment="1">
      <alignment wrapText="1"/>
    </xf>
    <xf numFmtId="0" fontId="0" fillId="0" borderId="0" xfId="0" applyAlignment="1">
      <alignment vertical="center" wrapText="1"/>
    </xf>
    <xf numFmtId="0" fontId="57" fillId="0" borderId="0" xfId="0" applyFont="1"/>
    <xf numFmtId="0" fontId="58" fillId="0" borderId="0" xfId="0" applyFont="1"/>
    <xf numFmtId="0" fontId="59" fillId="0" borderId="0" xfId="0" applyFont="1"/>
    <xf numFmtId="0" fontId="60" fillId="0" borderId="0" xfId="0" applyFont="1" applyAlignment="1">
      <alignment wrapText="1"/>
    </xf>
    <xf numFmtId="0" fontId="59" fillId="0" borderId="0" xfId="0" applyFont="1" applyAlignment="1">
      <alignment wrapText="1"/>
    </xf>
    <xf numFmtId="0" fontId="57" fillId="0" borderId="8" xfId="0" applyFont="1" applyBorder="1"/>
    <xf numFmtId="0" fontId="62" fillId="0" borderId="8" xfId="0" applyFont="1" applyBorder="1"/>
    <xf numFmtId="0" fontId="63" fillId="19" borderId="69" xfId="0" applyFont="1" applyFill="1" applyBorder="1" applyAlignment="1">
      <alignment horizontal="center" vertical="center" wrapText="1"/>
    </xf>
    <xf numFmtId="0" fontId="64" fillId="19" borderId="10" xfId="0" applyFont="1" applyFill="1" applyBorder="1" applyAlignment="1">
      <alignment horizontal="center" vertical="center" wrapText="1"/>
    </xf>
    <xf numFmtId="0" fontId="63" fillId="19" borderId="33" xfId="0" applyFont="1" applyFill="1" applyBorder="1" applyAlignment="1">
      <alignment horizontal="center" vertical="center" wrapText="1"/>
    </xf>
    <xf numFmtId="0" fontId="62" fillId="0" borderId="0" xfId="0" applyFont="1"/>
    <xf numFmtId="0" fontId="63" fillId="19" borderId="69" xfId="0" applyFont="1" applyFill="1" applyBorder="1" applyAlignment="1">
      <alignment horizontal="center" vertical="center" textRotation="90" wrapText="1"/>
    </xf>
    <xf numFmtId="0" fontId="60" fillId="0" borderId="6" xfId="0" applyFont="1" applyBorder="1" applyAlignment="1">
      <alignment horizontal="justify" vertical="center" wrapText="1"/>
    </xf>
    <xf numFmtId="0" fontId="63" fillId="19" borderId="68" xfId="0" applyFont="1" applyFill="1" applyBorder="1" applyAlignment="1">
      <alignment horizontal="center" vertical="center" textRotation="90" wrapText="1"/>
    </xf>
    <xf numFmtId="0" fontId="60" fillId="0" borderId="68" xfId="0" applyFont="1" applyBorder="1" applyAlignment="1">
      <alignment horizontal="left" vertical="center" wrapText="1"/>
    </xf>
    <xf numFmtId="0" fontId="63" fillId="19" borderId="71" xfId="0" applyFont="1" applyFill="1" applyBorder="1" applyAlignment="1">
      <alignment horizontal="center" vertical="center" textRotation="90" wrapText="1"/>
    </xf>
    <xf numFmtId="0" fontId="60" fillId="0" borderId="69" xfId="0" applyFont="1" applyBorder="1" applyAlignment="1">
      <alignment horizontal="left" vertical="center" wrapText="1"/>
    </xf>
    <xf numFmtId="0" fontId="63" fillId="19" borderId="6" xfId="0" applyFont="1" applyFill="1" applyBorder="1" applyAlignment="1">
      <alignment horizontal="center" vertical="center" textRotation="90" wrapText="1"/>
    </xf>
    <xf numFmtId="0" fontId="67" fillId="0" borderId="68" xfId="0" applyFont="1" applyBorder="1" applyAlignment="1">
      <alignment horizontal="left" vertical="center" wrapText="1"/>
    </xf>
    <xf numFmtId="0" fontId="63" fillId="19" borderId="36" xfId="0" applyFont="1" applyFill="1" applyBorder="1" applyAlignment="1">
      <alignment horizontal="center" vertical="center" textRotation="90" wrapText="1"/>
    </xf>
    <xf numFmtId="0" fontId="68" fillId="0" borderId="8" xfId="0" applyFont="1" applyBorder="1"/>
    <xf numFmtId="0" fontId="69" fillId="20" borderId="6" xfId="0" applyFont="1" applyFill="1" applyBorder="1" applyAlignment="1">
      <alignment horizontal="center" vertical="center" textRotation="90" wrapText="1"/>
    </xf>
    <xf numFmtId="0" fontId="68" fillId="0" borderId="0" xfId="0" applyFont="1"/>
    <xf numFmtId="0" fontId="68" fillId="20" borderId="36" xfId="0" applyFont="1" applyFill="1" applyBorder="1"/>
    <xf numFmtId="0" fontId="70" fillId="20" borderId="69" xfId="0" applyFont="1" applyFill="1" applyBorder="1" applyAlignment="1">
      <alignment horizontal="center" vertical="center" wrapText="1"/>
    </xf>
    <xf numFmtId="0" fontId="69" fillId="20" borderId="69" xfId="0" applyFont="1" applyFill="1" applyBorder="1" applyAlignment="1">
      <alignment horizontal="center" vertical="center" wrapText="1"/>
    </xf>
    <xf numFmtId="0" fontId="64" fillId="0" borderId="0" xfId="0" applyFont="1" applyAlignment="1">
      <alignment horizontal="center" vertical="center"/>
    </xf>
    <xf numFmtId="0" fontId="63" fillId="0" borderId="0" xfId="0" applyFont="1" applyAlignment="1">
      <alignment horizontal="center" vertical="center"/>
    </xf>
    <xf numFmtId="0" fontId="60" fillId="0" borderId="0" xfId="0" applyFont="1"/>
    <xf numFmtId="0" fontId="71" fillId="0" borderId="0" xfId="0" applyFont="1" applyAlignment="1">
      <alignment vertical="center" wrapText="1"/>
    </xf>
    <xf numFmtId="0" fontId="71" fillId="0" borderId="73"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2" xfId="0" applyFont="1" applyBorder="1" applyAlignment="1">
      <alignment vertical="center" wrapText="1"/>
    </xf>
    <xf numFmtId="0" fontId="71" fillId="0" borderId="27" xfId="0" applyFont="1" applyBorder="1" applyAlignment="1">
      <alignment vertical="center" wrapText="1"/>
    </xf>
    <xf numFmtId="0" fontId="76" fillId="0" borderId="77" xfId="0" applyFont="1" applyBorder="1" applyAlignment="1">
      <alignment horizontal="justify" vertical="center" wrapText="1"/>
    </xf>
    <xf numFmtId="0" fontId="76" fillId="0" borderId="79" xfId="0" applyFont="1" applyBorder="1" applyAlignment="1">
      <alignment horizontal="justify" vertical="center" wrapText="1"/>
    </xf>
    <xf numFmtId="0" fontId="75" fillId="16" borderId="77" xfId="0" applyFont="1" applyFill="1" applyBorder="1" applyAlignment="1">
      <alignment horizontal="center" vertical="center" wrapText="1"/>
    </xf>
    <xf numFmtId="0" fontId="75" fillId="16" borderId="79" xfId="0" applyFont="1" applyFill="1" applyBorder="1" applyAlignment="1">
      <alignment horizontal="center" vertical="center" wrapText="1"/>
    </xf>
    <xf numFmtId="0" fontId="75" fillId="16" borderId="81" xfId="0" applyFont="1" applyFill="1" applyBorder="1" applyAlignment="1">
      <alignment horizontal="center" vertical="center" wrapText="1"/>
    </xf>
    <xf numFmtId="0" fontId="73" fillId="16" borderId="29" xfId="0" applyFont="1" applyFill="1" applyBorder="1" applyAlignment="1">
      <alignment horizontal="center" vertical="center" wrapText="1"/>
    </xf>
    <xf numFmtId="0" fontId="73" fillId="16" borderId="30" xfId="0" applyFont="1" applyFill="1" applyBorder="1" applyAlignment="1">
      <alignment horizontal="center" vertical="center" wrapText="1"/>
    </xf>
    <xf numFmtId="0" fontId="75" fillId="19" borderId="69" xfId="0" applyFont="1" applyFill="1" applyBorder="1" applyAlignment="1">
      <alignment horizontal="center" vertical="center" wrapText="1"/>
    </xf>
    <xf numFmtId="0" fontId="75" fillId="19" borderId="36" xfId="0" applyFont="1" applyFill="1" applyBorder="1" applyAlignment="1">
      <alignment horizontal="center" vertical="center" wrapText="1"/>
    </xf>
    <xf numFmtId="0" fontId="76" fillId="0" borderId="10" xfId="0" applyFont="1" applyBorder="1" applyAlignment="1">
      <alignment horizontal="justify" vertical="center" wrapText="1"/>
    </xf>
    <xf numFmtId="0" fontId="60" fillId="0" borderId="5" xfId="0" applyFont="1" applyBorder="1" applyAlignment="1">
      <alignment horizontal="justify" vertical="center" wrapText="1"/>
    </xf>
    <xf numFmtId="0" fontId="60" fillId="0" borderId="5" xfId="0" applyFont="1" applyBorder="1" applyAlignment="1">
      <alignment horizontal="left" vertical="center" wrapText="1"/>
    </xf>
    <xf numFmtId="0" fontId="59" fillId="0" borderId="24" xfId="0" applyFont="1" applyBorder="1" applyAlignment="1">
      <alignment horizontal="left" vertical="center" wrapText="1"/>
    </xf>
    <xf numFmtId="0" fontId="59" fillId="0" borderId="5" xfId="0" applyFont="1" applyBorder="1" applyAlignment="1">
      <alignment horizontal="justify" vertical="center" wrapText="1"/>
    </xf>
    <xf numFmtId="0" fontId="62" fillId="0" borderId="85" xfId="0" applyFont="1" applyBorder="1" applyAlignment="1">
      <alignment horizontal="center" vertical="center"/>
    </xf>
    <xf numFmtId="0" fontId="62" fillId="0" borderId="84" xfId="0" applyFont="1" applyBorder="1" applyAlignment="1">
      <alignment horizontal="center" vertical="center"/>
    </xf>
    <xf numFmtId="0" fontId="68" fillId="0" borderId="86" xfId="0" applyFont="1" applyBorder="1" applyAlignment="1">
      <alignment horizontal="center" vertical="center"/>
    </xf>
    <xf numFmtId="0" fontId="78" fillId="24" borderId="89" xfId="0" applyFont="1" applyFill="1" applyBorder="1" applyAlignment="1">
      <alignment horizontal="left" vertical="center" wrapText="1" readingOrder="1"/>
    </xf>
    <xf numFmtId="0" fontId="78" fillId="25" borderId="89" xfId="0" applyFont="1" applyFill="1" applyBorder="1" applyAlignment="1">
      <alignment horizontal="left" vertical="center" wrapText="1" readingOrder="1"/>
    </xf>
    <xf numFmtId="0" fontId="84" fillId="0" borderId="84" xfId="0" applyFont="1" applyBorder="1" applyAlignment="1">
      <alignment vertical="center" wrapText="1"/>
    </xf>
    <xf numFmtId="0" fontId="83" fillId="0" borderId="84" xfId="0" applyFont="1" applyBorder="1" applyAlignment="1">
      <alignment vertical="center"/>
    </xf>
    <xf numFmtId="0" fontId="83" fillId="0" borderId="84" xfId="0" applyFont="1" applyBorder="1" applyAlignment="1">
      <alignment vertical="center" wrapText="1"/>
    </xf>
    <xf numFmtId="0" fontId="83" fillId="26" borderId="0" xfId="0" applyFont="1" applyFill="1" applyAlignment="1">
      <alignment horizontal="center" vertical="center"/>
    </xf>
    <xf numFmtId="0" fontId="75" fillId="26" borderId="69" xfId="0" applyFont="1" applyFill="1" applyBorder="1" applyAlignment="1">
      <alignment horizontal="center" vertical="center" wrapText="1"/>
    </xf>
    <xf numFmtId="0" fontId="75" fillId="26" borderId="36" xfId="0" applyFont="1" applyFill="1" applyBorder="1" applyAlignment="1">
      <alignment horizontal="center" vertical="center" wrapText="1"/>
    </xf>
    <xf numFmtId="0" fontId="71" fillId="0" borderId="74"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7" xfId="0" applyFont="1" applyBorder="1" applyAlignment="1">
      <alignment horizontal="center" vertical="center" wrapText="1"/>
    </xf>
    <xf numFmtId="0" fontId="0" fillId="3" borderId="0" xfId="0" applyFill="1" applyAlignment="1">
      <alignment vertical="top"/>
    </xf>
    <xf numFmtId="44" fontId="0" fillId="3" borderId="0" xfId="5" applyFont="1" applyFill="1" applyAlignment="1">
      <alignment horizontal="left" vertical="top"/>
    </xf>
    <xf numFmtId="0" fontId="0" fillId="0" borderId="0" xfId="0" applyAlignment="1">
      <alignment vertical="top"/>
    </xf>
    <xf numFmtId="44" fontId="53" fillId="3" borderId="0" xfId="5" applyFont="1" applyFill="1" applyAlignment="1">
      <alignment vertical="top"/>
    </xf>
    <xf numFmtId="0" fontId="80" fillId="0" borderId="90" xfId="0" applyFont="1" applyBorder="1" applyAlignment="1" applyProtection="1">
      <alignment horizontal="center" vertical="center" wrapText="1"/>
      <protection locked="0"/>
    </xf>
    <xf numFmtId="0" fontId="80" fillId="0" borderId="90" xfId="0" applyFont="1" applyBorder="1" applyAlignment="1" applyProtection="1">
      <alignment horizontal="justify" vertical="center" wrapText="1"/>
      <protection locked="0"/>
    </xf>
    <xf numFmtId="0" fontId="80" fillId="0" borderId="90" xfId="0" applyFont="1" applyBorder="1" applyAlignment="1" applyProtection="1">
      <alignment horizontal="justify" vertical="center"/>
      <protection locked="0"/>
    </xf>
    <xf numFmtId="0" fontId="80" fillId="0" borderId="90" xfId="0" applyFont="1" applyBorder="1" applyAlignment="1" applyProtection="1">
      <alignment horizontal="center" vertical="center"/>
      <protection hidden="1"/>
    </xf>
    <xf numFmtId="0" fontId="80" fillId="0" borderId="90" xfId="0" applyFont="1" applyBorder="1" applyAlignment="1" applyProtection="1">
      <alignment horizontal="center" vertical="center" textRotation="90"/>
      <protection locked="0"/>
    </xf>
    <xf numFmtId="9" fontId="80" fillId="0" borderId="90" xfId="0" applyNumberFormat="1" applyFont="1" applyBorder="1" applyAlignment="1" applyProtection="1">
      <alignment horizontal="center" vertical="center"/>
      <protection hidden="1"/>
    </xf>
    <xf numFmtId="164" fontId="80" fillId="0" borderId="90" xfId="1" applyNumberFormat="1" applyFont="1" applyFill="1" applyBorder="1" applyAlignment="1">
      <alignment horizontal="center" vertical="center"/>
    </xf>
    <xf numFmtId="0" fontId="81" fillId="0" borderId="90" xfId="0" applyFont="1" applyBorder="1" applyAlignment="1" applyProtection="1">
      <alignment horizontal="center" vertical="center" textRotation="90" wrapText="1"/>
      <protection hidden="1"/>
    </xf>
    <xf numFmtId="0" fontId="81" fillId="0" borderId="90" xfId="0" applyFont="1" applyBorder="1" applyAlignment="1" applyProtection="1">
      <alignment horizontal="center" vertical="center" textRotation="90"/>
      <protection hidden="1"/>
    </xf>
    <xf numFmtId="0" fontId="80" fillId="0" borderId="90" xfId="0" applyFont="1" applyBorder="1" applyAlignment="1" applyProtection="1">
      <alignment horizontal="center" vertical="center" textRotation="90" wrapText="1"/>
      <protection locked="0"/>
    </xf>
    <xf numFmtId="0" fontId="80" fillId="0" borderId="90" xfId="0" applyFont="1" applyBorder="1" applyAlignment="1" applyProtection="1">
      <alignment horizontal="center" vertical="center"/>
      <protection locked="0"/>
    </xf>
    <xf numFmtId="14" fontId="80" fillId="0" borderId="90" xfId="0" applyNumberFormat="1" applyFont="1" applyBorder="1" applyAlignment="1" applyProtection="1">
      <alignment horizontal="center" vertical="center"/>
      <protection locked="0"/>
    </xf>
    <xf numFmtId="0" fontId="80" fillId="0" borderId="0" xfId="0" applyFont="1"/>
    <xf numFmtId="0" fontId="80" fillId="0" borderId="90" xfId="0" applyFont="1" applyBorder="1" applyAlignment="1" applyProtection="1">
      <alignment horizontal="justify" vertical="top" wrapText="1"/>
      <protection locked="0"/>
    </xf>
    <xf numFmtId="0" fontId="85" fillId="3" borderId="0" xfId="0" applyFont="1" applyFill="1"/>
    <xf numFmtId="0" fontId="85" fillId="0" borderId="0" xfId="0" applyFont="1"/>
    <xf numFmtId="0" fontId="80" fillId="3" borderId="0" xfId="0" applyFont="1" applyFill="1" applyAlignment="1">
      <alignment horizontal="center" vertical="center"/>
    </xf>
    <xf numFmtId="0" fontId="80" fillId="3" borderId="0" xfId="0" applyFont="1" applyFill="1" applyAlignment="1">
      <alignment horizontal="left" vertical="center"/>
    </xf>
    <xf numFmtId="0" fontId="80" fillId="3" borderId="0" xfId="0" applyFont="1" applyFill="1"/>
    <xf numFmtId="0" fontId="80" fillId="3" borderId="0" xfId="0" applyFont="1" applyFill="1" applyAlignment="1">
      <alignment horizontal="center"/>
    </xf>
    <xf numFmtId="0" fontId="81" fillId="0" borderId="0" xfId="0" applyFont="1" applyAlignment="1">
      <alignment horizontal="left" vertical="center"/>
    </xf>
    <xf numFmtId="0" fontId="80" fillId="0" borderId="0" xfId="0" applyFont="1" applyAlignment="1" applyProtection="1">
      <alignment horizontal="left" vertical="center" wrapText="1"/>
      <protection locked="0"/>
    </xf>
    <xf numFmtId="0" fontId="81" fillId="0" borderId="0" xfId="0" applyFont="1"/>
    <xf numFmtId="0" fontId="80" fillId="0" borderId="0" xfId="0" applyFont="1" applyAlignment="1">
      <alignment horizontal="left" wrapText="1"/>
    </xf>
    <xf numFmtId="0" fontId="81" fillId="16" borderId="90" xfId="0" applyFont="1" applyFill="1" applyBorder="1" applyAlignment="1">
      <alignment horizontal="center" vertical="center" textRotation="90"/>
    </xf>
    <xf numFmtId="0" fontId="81" fillId="3" borderId="0" xfId="0" applyFont="1" applyFill="1" applyAlignment="1">
      <alignment horizontal="center" vertical="center"/>
    </xf>
    <xf numFmtId="0" fontId="81" fillId="0" borderId="0" xfId="0" applyFont="1" applyAlignment="1">
      <alignment horizontal="center" vertical="center"/>
    </xf>
    <xf numFmtId="0" fontId="81" fillId="2" borderId="0" xfId="0" applyFont="1" applyFill="1" applyAlignment="1">
      <alignment horizontal="center" vertical="center"/>
    </xf>
    <xf numFmtId="0" fontId="80" fillId="0" borderId="90" xfId="0" applyFont="1" applyBorder="1" applyAlignment="1">
      <alignment horizontal="center" vertical="center"/>
    </xf>
    <xf numFmtId="0" fontId="80" fillId="0" borderId="0" xfId="0" applyFont="1" applyAlignment="1">
      <alignment vertical="center"/>
    </xf>
    <xf numFmtId="0" fontId="80" fillId="0" borderId="3" xfId="0" applyFont="1" applyBorder="1" applyAlignment="1">
      <alignment horizontal="center" vertical="center"/>
    </xf>
    <xf numFmtId="0" fontId="80" fillId="0" borderId="0" xfId="0" applyFont="1" applyAlignment="1">
      <alignment wrapText="1"/>
    </xf>
    <xf numFmtId="0" fontId="80" fillId="0" borderId="0" xfId="0" applyFont="1" applyAlignment="1">
      <alignment horizontal="center" vertical="center"/>
    </xf>
    <xf numFmtId="0" fontId="80" fillId="0" borderId="0" xfId="0" applyFont="1" applyAlignment="1">
      <alignment horizontal="center"/>
    </xf>
    <xf numFmtId="166" fontId="29" fillId="0" borderId="64" xfId="0" applyNumberFormat="1" applyFont="1" applyBorder="1" applyAlignment="1">
      <alignment horizontal="center" vertical="center" wrapText="1" readingOrder="1"/>
    </xf>
    <xf numFmtId="0" fontId="80" fillId="0" borderId="91" xfId="0" applyFont="1" applyBorder="1" applyAlignment="1" applyProtection="1">
      <alignment horizontal="center" vertical="center" wrapText="1"/>
      <protection locked="0"/>
    </xf>
    <xf numFmtId="0" fontId="80" fillId="0" borderId="99" xfId="0" applyFont="1" applyBorder="1" applyAlignment="1" applyProtection="1">
      <alignment horizontal="center" vertical="center" wrapText="1"/>
      <protection locked="0"/>
    </xf>
    <xf numFmtId="0" fontId="80" fillId="0" borderId="92" xfId="0" applyFont="1" applyBorder="1" applyAlignment="1" applyProtection="1">
      <alignment horizontal="center" vertical="center" wrapText="1"/>
      <protection locked="0"/>
    </xf>
    <xf numFmtId="0" fontId="81" fillId="16" borderId="92" xfId="0" applyFont="1" applyFill="1" applyBorder="1" applyAlignment="1">
      <alignment vertical="center"/>
    </xf>
    <xf numFmtId="0" fontId="0" fillId="21" borderId="7" xfId="0" applyFill="1" applyBorder="1"/>
    <xf numFmtId="0" fontId="0" fillId="21" borderId="0" xfId="0" applyFill="1"/>
    <xf numFmtId="0" fontId="0" fillId="0" borderId="8" xfId="0" applyBorder="1"/>
    <xf numFmtId="0" fontId="0" fillId="8" borderId="7" xfId="0" applyFill="1" applyBorder="1"/>
    <xf numFmtId="0" fontId="0" fillId="8" borderId="0" xfId="0" applyFill="1"/>
    <xf numFmtId="0" fontId="0" fillId="27" borderId="7" xfId="0" applyFill="1" applyBorder="1"/>
    <xf numFmtId="0" fontId="0" fillId="27" borderId="0" xfId="0" applyFill="1"/>
    <xf numFmtId="0" fontId="0" fillId="27" borderId="9" xfId="0" applyFill="1" applyBorder="1"/>
    <xf numFmtId="0" fontId="0" fillId="27" borderId="11" xfId="0" applyFill="1" applyBorder="1"/>
    <xf numFmtId="0" fontId="0" fillId="0" borderId="11" xfId="0" applyBorder="1"/>
    <xf numFmtId="0" fontId="0" fillId="0" borderId="10" xfId="0" applyBorder="1"/>
    <xf numFmtId="0" fontId="83" fillId="0" borderId="24" xfId="0" applyFont="1" applyBorder="1"/>
    <xf numFmtId="0" fontId="83" fillId="0" borderId="25" xfId="0" applyFont="1" applyBorder="1"/>
    <xf numFmtId="0" fontId="0" fillId="0" borderId="25" xfId="0" applyBorder="1"/>
    <xf numFmtId="0" fontId="0" fillId="0" borderId="36" xfId="0" applyBorder="1"/>
    <xf numFmtId="0" fontId="86" fillId="0" borderId="90" xfId="0" applyFont="1" applyBorder="1" applyAlignment="1" applyProtection="1">
      <alignment horizontal="justify" vertical="center" wrapText="1"/>
      <protection locked="0"/>
    </xf>
    <xf numFmtId="0" fontId="87" fillId="28" borderId="109" xfId="0" applyFont="1" applyFill="1" applyBorder="1" applyAlignment="1" applyProtection="1">
      <alignment horizontal="center" vertical="center" wrapText="1"/>
      <protection hidden="1"/>
    </xf>
    <xf numFmtId="0" fontId="87" fillId="28" borderId="110" xfId="0" applyFont="1" applyFill="1" applyBorder="1" applyAlignment="1" applyProtection="1">
      <alignment horizontal="center" vertical="center" wrapText="1"/>
      <protection hidden="1"/>
    </xf>
    <xf numFmtId="0" fontId="87" fillId="28" borderId="111" xfId="0" applyFont="1" applyFill="1" applyBorder="1" applyAlignment="1" applyProtection="1">
      <alignment horizontal="center" vertical="center" wrapText="1"/>
      <protection hidden="1"/>
    </xf>
    <xf numFmtId="0" fontId="0" fillId="3" borderId="0" xfId="0" applyFill="1" applyAlignment="1">
      <alignment horizontal="center" vertical="center"/>
    </xf>
    <xf numFmtId="14" fontId="0" fillId="3" borderId="0" xfId="0" applyNumberFormat="1" applyFill="1" applyAlignment="1">
      <alignment horizontal="center" vertical="center"/>
    </xf>
    <xf numFmtId="0" fontId="0" fillId="3" borderId="0" xfId="0" applyFill="1" applyAlignment="1">
      <alignment horizontal="center" vertical="center" wrapText="1"/>
    </xf>
    <xf numFmtId="0" fontId="71" fillId="0" borderId="0" xfId="0" applyFont="1" applyAlignment="1">
      <alignment vertical="center"/>
    </xf>
    <xf numFmtId="0" fontId="83" fillId="0" borderId="70" xfId="0" applyFont="1" applyBorder="1" applyAlignment="1">
      <alignment vertical="center"/>
    </xf>
    <xf numFmtId="0" fontId="83" fillId="3" borderId="0" xfId="0" applyFont="1" applyFill="1"/>
    <xf numFmtId="0" fontId="81" fillId="21" borderId="92" xfId="0" applyFont="1" applyFill="1" applyBorder="1" applyAlignment="1">
      <alignment horizontal="center" vertical="center" wrapText="1"/>
    </xf>
    <xf numFmtId="0" fontId="81" fillId="21" borderId="91" xfId="0" applyFont="1" applyFill="1" applyBorder="1" applyAlignment="1">
      <alignment horizontal="center" vertical="center" wrapText="1"/>
    </xf>
    <xf numFmtId="0" fontId="79" fillId="0" borderId="0" xfId="0" applyFont="1" applyAlignment="1">
      <alignment vertical="center"/>
    </xf>
    <xf numFmtId="0" fontId="89" fillId="0" borderId="0" xfId="0" applyFont="1" applyAlignment="1">
      <alignment vertical="center"/>
    </xf>
    <xf numFmtId="0" fontId="80" fillId="3" borderId="0" xfId="0" applyFont="1" applyFill="1" applyAlignment="1">
      <alignment wrapText="1"/>
    </xf>
    <xf numFmtId="0" fontId="80" fillId="0" borderId="0" xfId="0" applyFont="1" applyAlignment="1" applyProtection="1">
      <alignment vertical="center"/>
      <protection locked="0"/>
    </xf>
    <xf numFmtId="0" fontId="80" fillId="3" borderId="0" xfId="0" applyFont="1" applyFill="1" applyAlignment="1" applyProtection="1">
      <alignment vertical="center" wrapText="1"/>
      <protection locked="0"/>
    </xf>
    <xf numFmtId="0" fontId="81" fillId="3" borderId="0" xfId="0" applyFont="1" applyFill="1"/>
    <xf numFmtId="0" fontId="81" fillId="0" borderId="90" xfId="0" applyFont="1" applyBorder="1" applyAlignment="1">
      <alignment horizontal="center" vertical="center"/>
    </xf>
    <xf numFmtId="0" fontId="81" fillId="0" borderId="90" xfId="0" applyFont="1" applyBorder="1" applyAlignment="1" applyProtection="1">
      <alignment horizontal="center" vertical="center" wrapText="1"/>
      <protection hidden="1"/>
    </xf>
    <xf numFmtId="9" fontId="80" fillId="0" borderId="90" xfId="0" applyNumberFormat="1" applyFont="1" applyBorder="1" applyAlignment="1" applyProtection="1">
      <alignment horizontal="center" vertical="center" wrapText="1"/>
      <protection hidden="1"/>
    </xf>
    <xf numFmtId="0" fontId="81" fillId="0" borderId="90" xfId="0" applyFont="1" applyBorder="1" applyAlignment="1" applyProtection="1">
      <alignment horizontal="center" vertical="center"/>
      <protection hidden="1"/>
    </xf>
    <xf numFmtId="9" fontId="80" fillId="0" borderId="90" xfId="0" applyNumberFormat="1" applyFont="1" applyBorder="1" applyAlignment="1" applyProtection="1">
      <alignment horizontal="center" vertical="center" wrapText="1"/>
      <protection locked="0"/>
    </xf>
    <xf numFmtId="0" fontId="80" fillId="23" borderId="0" xfId="0" applyFont="1" applyFill="1" applyAlignment="1">
      <alignment horizontal="center" vertical="center"/>
    </xf>
    <xf numFmtId="0" fontId="80" fillId="23" borderId="0" xfId="0" applyFont="1" applyFill="1"/>
    <xf numFmtId="0" fontId="80" fillId="23" borderId="0" xfId="0" applyFont="1" applyFill="1" applyAlignment="1">
      <alignment horizontal="center"/>
    </xf>
    <xf numFmtId="0" fontId="80" fillId="23" borderId="0" xfId="0" applyFont="1" applyFill="1" applyAlignment="1">
      <alignment wrapText="1"/>
    </xf>
    <xf numFmtId="0" fontId="80" fillId="0" borderId="91" xfId="0" applyFont="1" applyBorder="1" applyAlignment="1" applyProtection="1">
      <alignment horizontal="justify" vertical="center" wrapText="1"/>
      <protection locked="0"/>
    </xf>
    <xf numFmtId="0" fontId="81" fillId="26" borderId="90" xfId="0" applyFont="1" applyFill="1" applyBorder="1" applyAlignment="1" applyProtection="1">
      <alignment horizontal="center" vertical="center" wrapText="1"/>
      <protection hidden="1"/>
    </xf>
    <xf numFmtId="9" fontId="80" fillId="26" borderId="90" xfId="0" applyNumberFormat="1" applyFont="1" applyFill="1" applyBorder="1" applyAlignment="1" applyProtection="1">
      <alignment horizontal="center" vertical="center" wrapText="1"/>
      <protection hidden="1"/>
    </xf>
    <xf numFmtId="0" fontId="81" fillId="26" borderId="90" xfId="0" applyFont="1" applyFill="1" applyBorder="1" applyAlignment="1" applyProtection="1">
      <alignment horizontal="center" vertical="center"/>
      <protection hidden="1"/>
    </xf>
    <xf numFmtId="0" fontId="81" fillId="26" borderId="90" xfId="0" applyFont="1" applyFill="1" applyBorder="1" applyAlignment="1" applyProtection="1">
      <alignment horizontal="center" vertical="center" textRotation="90" wrapText="1"/>
      <protection hidden="1"/>
    </xf>
    <xf numFmtId="0" fontId="81" fillId="26" borderId="90" xfId="0" applyFont="1" applyFill="1" applyBorder="1" applyAlignment="1" applyProtection="1">
      <alignment horizontal="center" vertical="center" textRotation="90"/>
      <protection hidden="1"/>
    </xf>
    <xf numFmtId="9" fontId="80" fillId="3" borderId="90" xfId="0" applyNumberFormat="1" applyFont="1" applyFill="1" applyBorder="1" applyAlignment="1" applyProtection="1">
      <alignment horizontal="center" vertical="center"/>
      <protection hidden="1"/>
    </xf>
    <xf numFmtId="0" fontId="45" fillId="23" borderId="37" xfId="2" applyFont="1" applyFill="1" applyBorder="1" applyAlignment="1">
      <alignment horizontal="center" vertical="center" wrapText="1"/>
    </xf>
    <xf numFmtId="0" fontId="45" fillId="23" borderId="38" xfId="2" applyFont="1" applyFill="1" applyBorder="1" applyAlignment="1">
      <alignment horizontal="center" vertical="center" wrapText="1"/>
    </xf>
    <xf numFmtId="0" fontId="45" fillId="23" borderId="39" xfId="2" applyFont="1" applyFill="1" applyBorder="1" applyAlignment="1">
      <alignment horizontal="center" vertical="center" wrapText="1"/>
    </xf>
    <xf numFmtId="0" fontId="44" fillId="0" borderId="7" xfId="2" quotePrefix="1" applyFont="1" applyBorder="1" applyAlignment="1">
      <alignment horizontal="left" vertical="center" wrapText="1"/>
    </xf>
    <xf numFmtId="0" fontId="44" fillId="0" borderId="0" xfId="2" quotePrefix="1" applyFont="1" applyAlignment="1">
      <alignment horizontal="left" vertical="center" wrapText="1"/>
    </xf>
    <xf numFmtId="0" fontId="44" fillId="0" borderId="8" xfId="2" quotePrefix="1" applyFont="1" applyBorder="1" applyAlignment="1">
      <alignment horizontal="left" vertical="center" wrapText="1"/>
    </xf>
    <xf numFmtId="0" fontId="44" fillId="0" borderId="57" xfId="2" quotePrefix="1" applyFont="1" applyBorder="1" applyAlignment="1">
      <alignment horizontal="left" vertical="center" wrapText="1"/>
    </xf>
    <xf numFmtId="0" fontId="44" fillId="0" borderId="58" xfId="2" quotePrefix="1" applyFont="1" applyBorder="1" applyAlignment="1">
      <alignment horizontal="left" vertical="center" wrapText="1"/>
    </xf>
    <xf numFmtId="0" fontId="44" fillId="0" borderId="59" xfId="2" quotePrefix="1" applyFont="1" applyBorder="1" applyAlignment="1">
      <alignment horizontal="left" vertical="center" wrapText="1"/>
    </xf>
    <xf numFmtId="0" fontId="46" fillId="3" borderId="40" xfId="2" quotePrefix="1" applyFont="1" applyFill="1" applyBorder="1" applyAlignment="1">
      <alignment horizontal="left" vertical="top" wrapText="1"/>
    </xf>
    <xf numFmtId="0" fontId="47" fillId="3" borderId="41" xfId="2" quotePrefix="1" applyFont="1" applyFill="1" applyBorder="1" applyAlignment="1">
      <alignment horizontal="left" vertical="top" wrapText="1"/>
    </xf>
    <xf numFmtId="0" fontId="47" fillId="3" borderId="42" xfId="2" quotePrefix="1" applyFont="1" applyFill="1" applyBorder="1" applyAlignment="1">
      <alignment horizontal="left" vertical="top" wrapText="1"/>
    </xf>
    <xf numFmtId="0" fontId="44" fillId="0" borderId="7" xfId="2" quotePrefix="1" applyFont="1" applyBorder="1" applyAlignment="1">
      <alignment horizontal="left" vertical="top" wrapText="1"/>
    </xf>
    <xf numFmtId="0" fontId="44" fillId="0" borderId="0" xfId="2" quotePrefix="1" applyFont="1" applyAlignment="1">
      <alignment horizontal="left" vertical="top" wrapText="1"/>
    </xf>
    <xf numFmtId="0" fontId="44" fillId="0" borderId="8" xfId="2" quotePrefix="1" applyFont="1" applyBorder="1" applyAlignment="1">
      <alignment horizontal="left" vertical="top" wrapText="1"/>
    </xf>
    <xf numFmtId="0" fontId="49" fillId="14" borderId="43" xfId="3" applyFont="1" applyFill="1" applyBorder="1" applyAlignment="1">
      <alignment horizontal="center" vertical="center" wrapText="1"/>
    </xf>
    <xf numFmtId="0" fontId="49" fillId="14" borderId="44" xfId="3" applyFont="1" applyFill="1" applyBorder="1" applyAlignment="1">
      <alignment horizontal="center" vertical="center" wrapText="1"/>
    </xf>
    <xf numFmtId="0" fontId="49" fillId="14" borderId="45" xfId="2" applyFont="1" applyFill="1" applyBorder="1" applyAlignment="1">
      <alignment horizontal="center" vertical="center"/>
    </xf>
    <xf numFmtId="0" fontId="49" fillId="14" borderId="46" xfId="2" applyFont="1" applyFill="1" applyBorder="1" applyAlignment="1">
      <alignment horizontal="center" vertical="center"/>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1" fillId="3" borderId="59" xfId="2" quotePrefix="1" applyFont="1" applyFill="1" applyBorder="1" applyAlignment="1">
      <alignment horizontal="justify" vertical="center" wrapText="1"/>
    </xf>
    <xf numFmtId="0" fontId="49" fillId="3" borderId="47" xfId="3" applyFont="1" applyFill="1" applyBorder="1" applyAlignment="1">
      <alignment horizontal="left" vertical="top" wrapText="1" readingOrder="1"/>
    </xf>
    <xf numFmtId="0" fontId="49" fillId="3" borderId="48" xfId="3" applyFont="1" applyFill="1" applyBorder="1" applyAlignment="1">
      <alignment horizontal="left" vertical="top" wrapText="1" readingOrder="1"/>
    </xf>
    <xf numFmtId="0" fontId="50" fillId="3" borderId="49" xfId="2" applyFont="1" applyFill="1" applyBorder="1" applyAlignment="1">
      <alignment horizontal="justify" vertical="center" wrapText="1"/>
    </xf>
    <xf numFmtId="0" fontId="50" fillId="3" borderId="50" xfId="2" applyFont="1" applyFill="1" applyBorder="1" applyAlignment="1">
      <alignment horizontal="justify" vertical="center" wrapText="1"/>
    </xf>
    <xf numFmtId="0" fontId="49" fillId="3" borderId="51" xfId="0" applyFont="1" applyFill="1" applyBorder="1" applyAlignment="1">
      <alignment horizontal="left" vertical="center" wrapText="1"/>
    </xf>
    <xf numFmtId="0" fontId="49" fillId="3" borderId="52" xfId="0" applyFont="1" applyFill="1" applyBorder="1" applyAlignment="1">
      <alignment horizontal="left" vertical="center" wrapText="1"/>
    </xf>
    <xf numFmtId="0" fontId="50" fillId="3" borderId="53" xfId="2" applyFont="1" applyFill="1" applyBorder="1" applyAlignment="1">
      <alignment horizontal="justify" vertical="center" wrapText="1"/>
    </xf>
    <xf numFmtId="0" fontId="50" fillId="3" borderId="54" xfId="2" applyFont="1" applyFill="1" applyBorder="1" applyAlignment="1">
      <alignment horizontal="justify" vertical="center" wrapText="1"/>
    </xf>
    <xf numFmtId="0" fontId="44" fillId="3" borderId="7" xfId="2" applyFont="1" applyFill="1" applyBorder="1" applyAlignment="1">
      <alignment horizontal="left" vertical="top" wrapText="1"/>
    </xf>
    <xf numFmtId="0" fontId="44" fillId="3" borderId="0" xfId="2" applyFont="1" applyFill="1" applyAlignment="1">
      <alignment horizontal="left" vertical="top" wrapText="1"/>
    </xf>
    <xf numFmtId="0" fontId="44" fillId="3" borderId="8" xfId="2" applyFont="1" applyFill="1" applyBorder="1" applyAlignment="1">
      <alignment horizontal="left" vertical="top" wrapText="1"/>
    </xf>
    <xf numFmtId="0" fontId="49" fillId="3" borderId="60" xfId="0" applyFont="1" applyFill="1" applyBorder="1" applyAlignment="1">
      <alignment horizontal="left" vertical="center" wrapText="1"/>
    </xf>
    <xf numFmtId="0" fontId="49" fillId="3" borderId="61" xfId="0" applyFont="1" applyFill="1" applyBorder="1" applyAlignment="1">
      <alignment horizontal="left" vertical="center" wrapText="1"/>
    </xf>
    <xf numFmtId="0" fontId="49" fillId="3" borderId="62" xfId="0" applyFont="1" applyFill="1" applyBorder="1" applyAlignment="1">
      <alignment horizontal="left" vertical="center" wrapText="1"/>
    </xf>
    <xf numFmtId="0" fontId="49" fillId="3" borderId="63" xfId="0" applyFont="1" applyFill="1" applyBorder="1" applyAlignment="1">
      <alignment horizontal="left" vertical="center" wrapText="1"/>
    </xf>
    <xf numFmtId="0" fontId="50" fillId="3" borderId="55" xfId="0" applyFont="1" applyFill="1" applyBorder="1" applyAlignment="1">
      <alignment horizontal="justify" vertical="center" wrapText="1"/>
    </xf>
    <xf numFmtId="0" fontId="50" fillId="3" borderId="56" xfId="0" applyFont="1" applyFill="1" applyBorder="1" applyAlignment="1">
      <alignment horizontal="justify" vertical="center" wrapText="1"/>
    </xf>
    <xf numFmtId="0" fontId="61" fillId="17" borderId="66" xfId="0" applyFont="1" applyFill="1" applyBorder="1" applyAlignment="1">
      <alignment horizontal="center" vertical="center" wrapText="1"/>
    </xf>
    <xf numFmtId="0" fontId="61" fillId="17" borderId="67" xfId="0" applyFont="1" applyFill="1" applyBorder="1" applyAlignment="1">
      <alignment horizontal="center" vertical="center" wrapText="1"/>
    </xf>
    <xf numFmtId="0" fontId="61" fillId="18" borderId="68" xfId="0" applyFont="1" applyFill="1" applyBorder="1" applyAlignment="1">
      <alignment horizontal="center" vertical="center" textRotation="90"/>
    </xf>
    <xf numFmtId="0" fontId="61" fillId="18" borderId="70" xfId="0" applyFont="1" applyFill="1" applyBorder="1" applyAlignment="1">
      <alignment horizontal="center" vertical="center" textRotation="90"/>
    </xf>
    <xf numFmtId="0" fontId="61" fillId="18" borderId="72" xfId="0" applyFont="1" applyFill="1" applyBorder="1" applyAlignment="1">
      <alignment horizontal="center" vertical="center" textRotation="90"/>
    </xf>
    <xf numFmtId="0" fontId="77" fillId="22" borderId="87" xfId="0" applyFont="1" applyFill="1" applyBorder="1" applyAlignment="1">
      <alignment horizontal="center" vertical="center"/>
    </xf>
    <xf numFmtId="0" fontId="77" fillId="22" borderId="88" xfId="0" applyFont="1" applyFill="1" applyBorder="1" applyAlignment="1">
      <alignment horizontal="center" vertical="center"/>
    </xf>
    <xf numFmtId="0" fontId="75" fillId="0" borderId="71"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83" xfId="0" applyFont="1" applyBorder="1" applyAlignment="1">
      <alignment horizontal="center" vertical="center" wrapText="1"/>
    </xf>
    <xf numFmtId="0" fontId="75" fillId="0" borderId="68" xfId="0" applyFont="1" applyBorder="1" applyAlignment="1">
      <alignment horizontal="center" vertical="center" wrapText="1"/>
    </xf>
    <xf numFmtId="0" fontId="81" fillId="16" borderId="106" xfId="0" applyFont="1" applyFill="1" applyBorder="1" applyAlignment="1">
      <alignment horizontal="center" vertical="center"/>
    </xf>
    <xf numFmtId="0" fontId="81" fillId="16" borderId="107" xfId="0" applyFont="1" applyFill="1" applyBorder="1" applyAlignment="1">
      <alignment horizontal="center" vertical="center"/>
    </xf>
    <xf numFmtId="0" fontId="81" fillId="16" borderId="108" xfId="0" applyFont="1" applyFill="1" applyBorder="1" applyAlignment="1">
      <alignment horizontal="center" vertical="center"/>
    </xf>
    <xf numFmtId="0" fontId="81" fillId="0" borderId="90" xfId="0" applyFont="1" applyBorder="1" applyAlignment="1" applyProtection="1">
      <alignment horizontal="center" vertical="center"/>
      <protection hidden="1"/>
    </xf>
    <xf numFmtId="0" fontId="81" fillId="16" borderId="90" xfId="0" applyFont="1" applyFill="1" applyBorder="1" applyAlignment="1">
      <alignment horizontal="center" vertical="center" textRotation="90" wrapText="1"/>
    </xf>
    <xf numFmtId="0" fontId="81" fillId="16" borderId="90" xfId="0" applyFont="1" applyFill="1" applyBorder="1" applyAlignment="1">
      <alignment horizontal="center" vertical="center" wrapText="1"/>
    </xf>
    <xf numFmtId="0" fontId="81" fillId="16" borderId="92" xfId="0" applyFont="1" applyFill="1" applyBorder="1" applyAlignment="1">
      <alignment horizontal="center" vertical="center"/>
    </xf>
    <xf numFmtId="9" fontId="80" fillId="0" borderId="90" xfId="0" applyNumberFormat="1" applyFont="1" applyBorder="1" applyAlignment="1" applyProtection="1">
      <alignment horizontal="center" vertical="center" wrapText="1"/>
      <protection hidden="1"/>
    </xf>
    <xf numFmtId="0" fontId="81" fillId="29" borderId="106" xfId="0" applyFont="1" applyFill="1" applyBorder="1" applyAlignment="1">
      <alignment horizontal="center" vertical="center"/>
    </xf>
    <xf numFmtId="0" fontId="81" fillId="29" borderId="107" xfId="0" applyFont="1" applyFill="1" applyBorder="1" applyAlignment="1">
      <alignment horizontal="center" vertical="center"/>
    </xf>
    <xf numFmtId="0" fontId="81" fillId="29" borderId="108" xfId="0" applyFont="1" applyFill="1" applyBorder="1" applyAlignment="1">
      <alignment horizontal="center" vertical="center"/>
    </xf>
    <xf numFmtId="0" fontId="80" fillId="0" borderId="91" xfId="0" applyFont="1" applyBorder="1" applyAlignment="1" applyProtection="1">
      <alignment horizontal="center" vertical="center" wrapText="1"/>
      <protection locked="0"/>
    </xf>
    <xf numFmtId="0" fontId="80" fillId="0" borderId="99" xfId="0" applyFont="1" applyBorder="1" applyAlignment="1" applyProtection="1">
      <alignment horizontal="center" vertical="center" wrapText="1"/>
      <protection locked="0"/>
    </xf>
    <xf numFmtId="0" fontId="80" fillId="0" borderId="92" xfId="0" applyFont="1" applyBorder="1" applyAlignment="1" applyProtection="1">
      <alignment horizontal="center" vertical="center" wrapText="1"/>
      <protection locked="0"/>
    </xf>
    <xf numFmtId="0" fontId="81" fillId="16" borderId="106" xfId="0" applyFont="1" applyFill="1" applyBorder="1" applyAlignment="1">
      <alignment horizontal="center" vertical="center" wrapText="1"/>
    </xf>
    <xf numFmtId="0" fontId="81" fillId="16" borderId="107" xfId="0" applyFont="1" applyFill="1" applyBorder="1" applyAlignment="1">
      <alignment horizontal="center" vertical="center" wrapText="1"/>
    </xf>
    <xf numFmtId="0" fontId="81" fillId="16" borderId="108" xfId="0" applyFont="1" applyFill="1" applyBorder="1" applyAlignment="1">
      <alignment horizontal="center" vertical="center" wrapText="1"/>
    </xf>
    <xf numFmtId="0" fontId="80" fillId="0" borderId="90" xfId="0" applyFont="1" applyBorder="1" applyAlignment="1" applyProtection="1">
      <alignment horizontal="center" vertical="center"/>
      <protection locked="0"/>
    </xf>
    <xf numFmtId="0" fontId="81" fillId="16" borderId="90" xfId="0" applyFont="1" applyFill="1" applyBorder="1" applyAlignment="1">
      <alignment horizontal="center" vertical="center"/>
    </xf>
    <xf numFmtId="9" fontId="80" fillId="0" borderId="90" xfId="0" applyNumberFormat="1" applyFont="1" applyBorder="1" applyAlignment="1" applyProtection="1">
      <alignment horizontal="center" vertical="center" wrapText="1"/>
      <protection locked="0"/>
    </xf>
    <xf numFmtId="0" fontId="81" fillId="21" borderId="112" xfId="0" applyFont="1" applyFill="1" applyBorder="1" applyAlignment="1">
      <alignment horizontal="center" vertical="center" wrapText="1"/>
    </xf>
    <xf numFmtId="0" fontId="81" fillId="21" borderId="93" xfId="0" applyFont="1" applyFill="1" applyBorder="1" applyAlignment="1">
      <alignment horizontal="center" vertical="center" wrapText="1"/>
    </xf>
    <xf numFmtId="0" fontId="81" fillId="0" borderId="90" xfId="0" applyFont="1" applyBorder="1" applyAlignment="1" applyProtection="1">
      <alignment horizontal="center" vertical="center" wrapText="1"/>
      <protection hidden="1"/>
    </xf>
    <xf numFmtId="0" fontId="81" fillId="27" borderId="90" xfId="0" applyFont="1" applyFill="1" applyBorder="1" applyAlignment="1">
      <alignment horizontal="center" vertical="center" textRotation="90"/>
    </xf>
    <xf numFmtId="0" fontId="81" fillId="27" borderId="90" xfId="0" applyFont="1" applyFill="1" applyBorder="1" applyAlignment="1">
      <alignment horizontal="center" vertical="center"/>
    </xf>
    <xf numFmtId="0" fontId="81" fillId="27" borderId="90" xfId="0" applyFont="1" applyFill="1" applyBorder="1" applyAlignment="1">
      <alignment horizontal="center" vertical="center" wrapText="1"/>
    </xf>
    <xf numFmtId="0" fontId="81" fillId="29" borderId="91" xfId="0" applyFont="1" applyFill="1" applyBorder="1" applyAlignment="1">
      <alignment horizontal="center" vertical="center" wrapText="1"/>
    </xf>
    <xf numFmtId="0" fontId="81" fillId="29" borderId="92" xfId="0" applyFont="1" applyFill="1" applyBorder="1" applyAlignment="1">
      <alignment horizontal="center" vertical="center" wrapText="1"/>
    </xf>
    <xf numFmtId="0" fontId="81" fillId="0" borderId="90" xfId="0" applyFont="1" applyBorder="1" applyAlignment="1">
      <alignment horizontal="center" vertical="center"/>
    </xf>
    <xf numFmtId="0" fontId="80" fillId="0" borderId="90" xfId="0" applyFont="1" applyBorder="1" applyAlignment="1" applyProtection="1">
      <alignment horizontal="center" vertical="center" wrapText="1"/>
      <protection locked="0"/>
    </xf>
    <xf numFmtId="0" fontId="92" fillId="0" borderId="90" xfId="0" applyFont="1" applyBorder="1" applyAlignment="1" applyProtection="1">
      <alignment horizontal="center" vertical="top" wrapText="1"/>
      <protection locked="0"/>
    </xf>
    <xf numFmtId="0" fontId="80" fillId="0" borderId="90" xfId="0" applyFont="1" applyBorder="1" applyAlignment="1" applyProtection="1">
      <alignment horizontal="center" vertical="top" wrapText="1"/>
      <protection locked="0"/>
    </xf>
    <xf numFmtId="0" fontId="80" fillId="0" borderId="90" xfId="0" applyFont="1" applyBorder="1" applyAlignment="1" applyProtection="1">
      <alignment horizontal="left" vertical="center" wrapText="1"/>
      <protection locked="0"/>
    </xf>
    <xf numFmtId="0" fontId="80" fillId="0" borderId="2" xfId="0" applyFont="1" applyBorder="1" applyAlignment="1">
      <alignment horizontal="left" vertical="center" wrapText="1"/>
    </xf>
    <xf numFmtId="0" fontId="80" fillId="0" borderId="21" xfId="0" applyFont="1" applyBorder="1" applyAlignment="1">
      <alignment horizontal="left" vertical="center" wrapText="1"/>
    </xf>
    <xf numFmtId="0" fontId="81" fillId="27" borderId="106" xfId="0" applyFont="1" applyFill="1" applyBorder="1" applyAlignment="1">
      <alignment horizontal="center" vertical="center"/>
    </xf>
    <xf numFmtId="0" fontId="81" fillId="27" borderId="107" xfId="0" applyFont="1" applyFill="1" applyBorder="1" applyAlignment="1">
      <alignment horizontal="center" vertical="center"/>
    </xf>
    <xf numFmtId="0" fontId="81" fillId="27" borderId="108" xfId="0" applyFont="1" applyFill="1" applyBorder="1" applyAlignment="1">
      <alignment horizontal="center" vertical="center"/>
    </xf>
    <xf numFmtId="0" fontId="80" fillId="3" borderId="24" xfId="0" applyFont="1" applyFill="1" applyBorder="1" applyAlignment="1" applyProtection="1">
      <alignment horizontal="center" vertical="center" wrapText="1"/>
      <protection locked="0"/>
    </xf>
    <xf numFmtId="0" fontId="80" fillId="3" borderId="25" xfId="0" applyFont="1" applyFill="1" applyBorder="1" applyAlignment="1" applyProtection="1">
      <alignment horizontal="center" vertical="center" wrapText="1"/>
      <protection locked="0"/>
    </xf>
    <xf numFmtId="0" fontId="80" fillId="3" borderId="36" xfId="0" applyFont="1" applyFill="1" applyBorder="1" applyAlignment="1" applyProtection="1">
      <alignment horizontal="center" vertical="center" wrapText="1"/>
      <protection locked="0"/>
    </xf>
    <xf numFmtId="0" fontId="79" fillId="0" borderId="5" xfId="0" applyFont="1" applyBorder="1" applyAlignment="1">
      <alignment horizontal="center" vertical="center"/>
    </xf>
    <xf numFmtId="0" fontId="79" fillId="0" borderId="12" xfId="0" applyFont="1" applyBorder="1" applyAlignment="1">
      <alignment horizontal="center" vertical="center"/>
    </xf>
    <xf numFmtId="0" fontId="79" fillId="0" borderId="6" xfId="0" applyFont="1" applyBorder="1" applyAlignment="1">
      <alignment horizontal="center" vertical="center"/>
    </xf>
    <xf numFmtId="0" fontId="79" fillId="0" borderId="9" xfId="0" applyFont="1" applyBorder="1" applyAlignment="1">
      <alignment horizontal="center" vertical="center"/>
    </xf>
    <xf numFmtId="0" fontId="79" fillId="0" borderId="11" xfId="0" applyFont="1" applyBorder="1" applyAlignment="1">
      <alignment horizontal="center" vertical="center"/>
    </xf>
    <xf numFmtId="0" fontId="79" fillId="0" borderId="10" xfId="0" applyFont="1" applyBorder="1" applyAlignment="1">
      <alignment horizontal="center" vertical="center"/>
    </xf>
    <xf numFmtId="0" fontId="79" fillId="0" borderId="24" xfId="0" applyFont="1" applyBorder="1" applyAlignment="1">
      <alignment horizontal="left" vertical="center"/>
    </xf>
    <xf numFmtId="0" fontId="79" fillId="0" borderId="25" xfId="0" applyFont="1" applyBorder="1" applyAlignment="1">
      <alignment horizontal="left" vertical="center"/>
    </xf>
    <xf numFmtId="0" fontId="79" fillId="0" borderId="36" xfId="0" applyFont="1" applyBorder="1" applyAlignment="1">
      <alignment horizontal="left" vertical="center"/>
    </xf>
    <xf numFmtId="0" fontId="85" fillId="0" borderId="94" xfId="0" applyFont="1" applyBorder="1" applyAlignment="1">
      <alignment horizontal="center" vertical="center"/>
    </xf>
    <xf numFmtId="0" fontId="85" fillId="0" borderId="95" xfId="0" applyFont="1" applyBorder="1" applyAlignment="1">
      <alignment horizontal="center" vertical="center"/>
    </xf>
    <xf numFmtId="0" fontId="85" fillId="0" borderId="113" xfId="0" applyFont="1" applyBorder="1" applyAlignment="1">
      <alignment horizontal="center" vertical="center"/>
    </xf>
    <xf numFmtId="0" fontId="85" fillId="0" borderId="96" xfId="0" applyFont="1" applyBorder="1" applyAlignment="1">
      <alignment horizontal="center" vertical="center"/>
    </xf>
    <xf numFmtId="0" fontId="85" fillId="0" borderId="90" xfId="0" applyFont="1" applyBorder="1" applyAlignment="1">
      <alignment horizontal="center" vertical="center"/>
    </xf>
    <xf numFmtId="0" fontId="85" fillId="0" borderId="115" xfId="0" applyFont="1" applyBorder="1" applyAlignment="1">
      <alignment horizontal="center" vertical="center"/>
    </xf>
    <xf numFmtId="0" fontId="85" fillId="0" borderId="97" xfId="0" applyFont="1" applyBorder="1" applyAlignment="1">
      <alignment horizontal="center" vertical="center"/>
    </xf>
    <xf numFmtId="0" fontId="85" fillId="0" borderId="98" xfId="0" applyFont="1" applyBorder="1" applyAlignment="1">
      <alignment horizontal="center" vertical="center"/>
    </xf>
    <xf numFmtId="0" fontId="85" fillId="0" borderId="114" xfId="0" applyFont="1" applyBorder="1" applyAlignment="1">
      <alignment horizontal="center" vertical="center"/>
    </xf>
    <xf numFmtId="0" fontId="80" fillId="3" borderId="0" xfId="0" applyFont="1" applyFill="1" applyAlignment="1">
      <alignment horizontal="left" wrapText="1"/>
    </xf>
    <xf numFmtId="0" fontId="79" fillId="0" borderId="0" xfId="0" applyFont="1" applyAlignment="1">
      <alignment horizontal="center" vertical="center"/>
    </xf>
    <xf numFmtId="0" fontId="79" fillId="0" borderId="0" xfId="0" applyFont="1" applyAlignment="1">
      <alignment horizontal="left" vertical="center"/>
    </xf>
    <xf numFmtId="0" fontId="81" fillId="21" borderId="100" xfId="0" applyFont="1" applyFill="1" applyBorder="1" applyAlignment="1">
      <alignment horizontal="left" vertical="center"/>
    </xf>
    <xf numFmtId="0" fontId="81" fillId="21" borderId="101" xfId="0" applyFont="1" applyFill="1" applyBorder="1" applyAlignment="1">
      <alignment horizontal="left" vertical="center"/>
    </xf>
    <xf numFmtId="0" fontId="81" fillId="21" borderId="102" xfId="0" applyFont="1" applyFill="1" applyBorder="1" applyAlignment="1">
      <alignment horizontal="left" vertical="center"/>
    </xf>
    <xf numFmtId="0" fontId="81" fillId="21" borderId="103" xfId="0" applyFont="1" applyFill="1" applyBorder="1" applyAlignment="1">
      <alignment horizontal="left" vertical="center"/>
    </xf>
    <xf numFmtId="0" fontId="81" fillId="21" borderId="104" xfId="0" applyFont="1" applyFill="1" applyBorder="1" applyAlignment="1">
      <alignment horizontal="left" vertical="center"/>
    </xf>
    <xf numFmtId="0" fontId="81" fillId="21" borderId="105" xfId="0" applyFont="1" applyFill="1" applyBorder="1" applyAlignment="1">
      <alignment horizontal="left" vertical="center"/>
    </xf>
    <xf numFmtId="0" fontId="81" fillId="3" borderId="0" xfId="0" applyFont="1" applyFill="1" applyAlignment="1">
      <alignment horizontal="left" vertical="center"/>
    </xf>
    <xf numFmtId="0" fontId="91" fillId="0" borderId="24" xfId="0" applyFont="1" applyBorder="1" applyAlignment="1" applyProtection="1">
      <alignment horizontal="center" vertical="center"/>
      <protection locked="0"/>
    </xf>
    <xf numFmtId="0" fontId="91" fillId="0" borderId="25" xfId="0" applyFont="1" applyBorder="1" applyAlignment="1" applyProtection="1">
      <alignment horizontal="center" vertical="center"/>
      <protection locked="0"/>
    </xf>
    <xf numFmtId="0" fontId="91" fillId="0" borderId="36" xfId="0" applyFont="1" applyBorder="1" applyAlignment="1" applyProtection="1">
      <alignment horizontal="center" vertical="center"/>
      <protection locked="0"/>
    </xf>
    <xf numFmtId="0" fontId="22" fillId="26" borderId="0" xfId="0" applyFont="1" applyFill="1" applyAlignment="1">
      <alignment horizontal="center" vertical="center" wrapText="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wrapText="1"/>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38" fillId="0" borderId="5" xfId="0" applyFont="1" applyBorder="1" applyAlignment="1">
      <alignment horizontal="center" vertical="center" wrapText="1"/>
    </xf>
    <xf numFmtId="0" fontId="38" fillId="0" borderId="12"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38" fillId="0" borderId="10" xfId="0" applyFont="1" applyBorder="1" applyAlignment="1">
      <alignment horizontal="center" vertical="center"/>
    </xf>
    <xf numFmtId="0" fontId="38" fillId="0" borderId="12" xfId="0" applyFont="1" applyBorder="1" applyAlignment="1">
      <alignment horizontal="center" vertical="center" wrapText="1"/>
    </xf>
    <xf numFmtId="0" fontId="37" fillId="11" borderId="13" xfId="0" applyFont="1" applyFill="1" applyBorder="1" applyAlignment="1">
      <alignment horizontal="center" vertical="center" wrapText="1" readingOrder="1"/>
    </xf>
    <xf numFmtId="0" fontId="37" fillId="11" borderId="14" xfId="0" applyFont="1" applyFill="1" applyBorder="1" applyAlignment="1">
      <alignment horizontal="center" vertical="center" wrapText="1" readingOrder="1"/>
    </xf>
    <xf numFmtId="0" fontId="37" fillId="11" borderId="15" xfId="0" applyFont="1" applyFill="1" applyBorder="1" applyAlignment="1">
      <alignment horizontal="center" vertical="center" wrapText="1" readingOrder="1"/>
    </xf>
    <xf numFmtId="0" fontId="37" fillId="11" borderId="16" xfId="0" applyFont="1" applyFill="1" applyBorder="1" applyAlignment="1">
      <alignment horizontal="center" vertical="center" wrapText="1" readingOrder="1"/>
    </xf>
    <xf numFmtId="0" fontId="37" fillId="11" borderId="0" xfId="0" applyFont="1" applyFill="1" applyAlignment="1">
      <alignment horizontal="center" vertical="center" wrapText="1" readingOrder="1"/>
    </xf>
    <xf numFmtId="0" fontId="37" fillId="11" borderId="17" xfId="0" applyFont="1" applyFill="1" applyBorder="1" applyAlignment="1">
      <alignment horizontal="center" vertical="center" wrapText="1" readingOrder="1"/>
    </xf>
    <xf numFmtId="0" fontId="37" fillId="11" borderId="18" xfId="0" applyFont="1" applyFill="1" applyBorder="1" applyAlignment="1">
      <alignment horizontal="center" vertical="center" wrapText="1" readingOrder="1"/>
    </xf>
    <xf numFmtId="0" fontId="37" fillId="11" borderId="19" xfId="0" applyFont="1" applyFill="1" applyBorder="1" applyAlignment="1">
      <alignment horizontal="center" vertical="center" wrapText="1" readingOrder="1"/>
    </xf>
    <xf numFmtId="0" fontId="37" fillId="11" borderId="20" xfId="0" applyFont="1" applyFill="1" applyBorder="1" applyAlignment="1">
      <alignment horizontal="center" vertical="center" wrapText="1" readingOrder="1"/>
    </xf>
    <xf numFmtId="0" fontId="38" fillId="0" borderId="7" xfId="0" applyFont="1" applyBorder="1" applyAlignment="1">
      <alignment horizontal="center" vertical="center" wrapText="1"/>
    </xf>
    <xf numFmtId="0" fontId="37" fillId="12" borderId="13" xfId="0" applyFont="1" applyFill="1" applyBorder="1" applyAlignment="1">
      <alignment horizontal="center" vertical="center" wrapText="1" readingOrder="1"/>
    </xf>
    <xf numFmtId="0" fontId="37" fillId="12" borderId="14" xfId="0" applyFont="1" applyFill="1" applyBorder="1" applyAlignment="1">
      <alignment horizontal="center" vertical="center" wrapText="1" readingOrder="1"/>
    </xf>
    <xf numFmtId="0" fontId="37" fillId="12" borderId="15" xfId="0" applyFont="1" applyFill="1" applyBorder="1" applyAlignment="1">
      <alignment horizontal="center" vertical="center" wrapText="1" readingOrder="1"/>
    </xf>
    <xf numFmtId="0" fontId="37" fillId="12" borderId="16" xfId="0" applyFont="1" applyFill="1" applyBorder="1" applyAlignment="1">
      <alignment horizontal="center" vertical="center" wrapText="1" readingOrder="1"/>
    </xf>
    <xf numFmtId="0" fontId="37" fillId="12" borderId="0" xfId="0" applyFont="1" applyFill="1" applyAlignment="1">
      <alignment horizontal="center" vertical="center" wrapText="1" readingOrder="1"/>
    </xf>
    <xf numFmtId="0" fontId="37" fillId="12" borderId="17" xfId="0" applyFont="1" applyFill="1" applyBorder="1" applyAlignment="1">
      <alignment horizontal="center" vertical="center" wrapText="1" readingOrder="1"/>
    </xf>
    <xf numFmtId="0" fontId="37" fillId="12" borderId="18" xfId="0" applyFont="1" applyFill="1" applyBorder="1" applyAlignment="1">
      <alignment horizontal="center" vertical="center" wrapText="1" readingOrder="1"/>
    </xf>
    <xf numFmtId="0" fontId="37" fillId="12" borderId="19" xfId="0" applyFont="1" applyFill="1" applyBorder="1" applyAlignment="1">
      <alignment horizontal="center" vertical="center" wrapText="1" readingOrder="1"/>
    </xf>
    <xf numFmtId="0" fontId="37" fillId="12" borderId="20" xfId="0" applyFont="1" applyFill="1" applyBorder="1" applyAlignment="1">
      <alignment horizontal="center" vertical="center" wrapText="1" readingOrder="1"/>
    </xf>
    <xf numFmtId="0" fontId="90" fillId="26" borderId="0" xfId="0" applyFont="1" applyFill="1" applyAlignment="1">
      <alignment horizontal="center" vertical="center" wrapText="1"/>
    </xf>
    <xf numFmtId="0" fontId="21" fillId="26" borderId="0" xfId="0" applyFont="1" applyFill="1" applyAlignment="1">
      <alignment horizontal="center" vertical="center" wrapText="1"/>
    </xf>
    <xf numFmtId="0" fontId="37" fillId="5" borderId="13" xfId="0" applyFont="1" applyFill="1" applyBorder="1" applyAlignment="1">
      <alignment horizontal="center" vertical="center" wrapText="1" readingOrder="1"/>
    </xf>
    <xf numFmtId="0" fontId="37" fillId="5" borderId="14" xfId="0" applyFont="1" applyFill="1" applyBorder="1" applyAlignment="1">
      <alignment horizontal="center" vertical="center" wrapText="1" readingOrder="1"/>
    </xf>
    <xf numFmtId="0" fontId="37" fillId="5" borderId="15" xfId="0" applyFont="1" applyFill="1" applyBorder="1" applyAlignment="1">
      <alignment horizontal="center" vertical="center" wrapText="1" readingOrder="1"/>
    </xf>
    <xf numFmtId="0" fontId="37" fillId="5" borderId="16" xfId="0" applyFont="1" applyFill="1" applyBorder="1" applyAlignment="1">
      <alignment horizontal="center" vertical="center" wrapText="1" readingOrder="1"/>
    </xf>
    <xf numFmtId="0" fontId="37" fillId="5" borderId="0" xfId="0" applyFont="1" applyFill="1" applyAlignment="1">
      <alignment horizontal="center" vertical="center" wrapText="1" readingOrder="1"/>
    </xf>
    <xf numFmtId="0" fontId="37" fillId="5" borderId="17" xfId="0" applyFont="1" applyFill="1" applyBorder="1" applyAlignment="1">
      <alignment horizontal="center" vertical="center" wrapText="1" readingOrder="1"/>
    </xf>
    <xf numFmtId="0" fontId="37" fillId="5" borderId="18" xfId="0" applyFont="1" applyFill="1" applyBorder="1" applyAlignment="1">
      <alignment horizontal="center" vertical="center" wrapText="1" readingOrder="1"/>
    </xf>
    <xf numFmtId="0" fontId="37" fillId="5" borderId="19" xfId="0" applyFont="1" applyFill="1" applyBorder="1" applyAlignment="1">
      <alignment horizontal="center" vertical="center" wrapText="1" readingOrder="1"/>
    </xf>
    <xf numFmtId="0" fontId="37" fillId="5" borderId="20" xfId="0" applyFont="1" applyFill="1" applyBorder="1" applyAlignment="1">
      <alignment horizontal="center" vertical="center" wrapText="1" readingOrder="1"/>
    </xf>
    <xf numFmtId="0" fontId="37" fillId="13" borderId="13" xfId="0" applyFont="1" applyFill="1" applyBorder="1" applyAlignment="1">
      <alignment horizontal="center" vertical="center" wrapText="1" readingOrder="1"/>
    </xf>
    <xf numFmtId="0" fontId="37" fillId="13" borderId="14" xfId="0" applyFont="1" applyFill="1" applyBorder="1" applyAlignment="1">
      <alignment horizontal="center" vertical="center" wrapText="1" readingOrder="1"/>
    </xf>
    <xf numFmtId="0" fontId="37" fillId="13" borderId="15" xfId="0" applyFont="1" applyFill="1" applyBorder="1" applyAlignment="1">
      <alignment horizontal="center" vertical="center" wrapText="1" readingOrder="1"/>
    </xf>
    <xf numFmtId="0" fontId="37" fillId="13" borderId="16" xfId="0" applyFont="1" applyFill="1" applyBorder="1" applyAlignment="1">
      <alignment horizontal="center" vertical="center" wrapText="1" readingOrder="1"/>
    </xf>
    <xf numFmtId="0" fontId="37" fillId="13" borderId="0" xfId="0" applyFont="1" applyFill="1" applyAlignment="1">
      <alignment horizontal="center" vertical="center" wrapText="1" readingOrder="1"/>
    </xf>
    <xf numFmtId="0" fontId="37" fillId="13" borderId="17" xfId="0" applyFont="1" applyFill="1" applyBorder="1" applyAlignment="1">
      <alignment horizontal="center" vertical="center" wrapText="1" readingOrder="1"/>
    </xf>
    <xf numFmtId="0" fontId="37" fillId="13" borderId="18" xfId="0" applyFont="1" applyFill="1" applyBorder="1" applyAlignment="1">
      <alignment horizontal="center" vertical="center" wrapText="1" readingOrder="1"/>
    </xf>
    <xf numFmtId="0" fontId="37" fillId="13" borderId="19" xfId="0" applyFont="1" applyFill="1" applyBorder="1" applyAlignment="1">
      <alignment horizontal="center" vertical="center" wrapText="1" readingOrder="1"/>
    </xf>
    <xf numFmtId="0" fontId="37" fillId="13" borderId="20" xfId="0" applyFont="1" applyFill="1" applyBorder="1" applyAlignment="1">
      <alignment horizontal="center" vertical="center" wrapText="1" readingOrder="1"/>
    </xf>
    <xf numFmtId="0" fontId="80" fillId="0" borderId="90" xfId="0" applyFont="1" applyBorder="1" applyAlignment="1" applyProtection="1">
      <alignment horizontal="justify" vertical="center" wrapText="1"/>
      <protection locked="0"/>
    </xf>
    <xf numFmtId="0" fontId="71" fillId="0" borderId="22" xfId="0" applyFont="1" applyBorder="1" applyAlignment="1">
      <alignment horizontal="left" vertical="center" wrapText="1"/>
    </xf>
    <xf numFmtId="0" fontId="72" fillId="16" borderId="24" xfId="0" applyFont="1" applyFill="1" applyBorder="1" applyAlignment="1">
      <alignment horizontal="center" vertical="center" wrapText="1"/>
    </xf>
    <xf numFmtId="0" fontId="72" fillId="16" borderId="25" xfId="0" applyFont="1" applyFill="1" applyBorder="1" applyAlignment="1">
      <alignment horizontal="center" vertical="center" wrapText="1"/>
    </xf>
    <xf numFmtId="0" fontId="72" fillId="16" borderId="36" xfId="0" applyFont="1" applyFill="1" applyBorder="1" applyAlignment="1">
      <alignment horizontal="center" vertical="center" wrapText="1"/>
    </xf>
    <xf numFmtId="0" fontId="73" fillId="16" borderId="73" xfId="0" applyFont="1" applyFill="1" applyBorder="1" applyAlignment="1">
      <alignment horizontal="center" vertical="center" wrapText="1"/>
    </xf>
    <xf numFmtId="0" fontId="73" fillId="16" borderId="28" xfId="0" applyFont="1" applyFill="1" applyBorder="1" applyAlignment="1">
      <alignment horizontal="center" vertical="center" wrapText="1"/>
    </xf>
    <xf numFmtId="0" fontId="73" fillId="16" borderId="74" xfId="0" applyFont="1" applyFill="1" applyBorder="1" applyAlignment="1">
      <alignment horizontal="center" vertical="center" wrapText="1"/>
    </xf>
    <xf numFmtId="0" fontId="73" fillId="16" borderId="29" xfId="0" applyFont="1" applyFill="1" applyBorder="1" applyAlignment="1">
      <alignment horizontal="center" vertical="center" wrapText="1"/>
    </xf>
    <xf numFmtId="0" fontId="73" fillId="16" borderId="75" xfId="0" applyFont="1" applyFill="1" applyBorder="1" applyAlignment="1">
      <alignment horizontal="center" vertical="center" wrapText="1"/>
    </xf>
    <xf numFmtId="0" fontId="71" fillId="0" borderId="74" xfId="0" applyFont="1" applyBorder="1" applyAlignment="1">
      <alignment horizontal="left" vertical="center" wrapText="1"/>
    </xf>
    <xf numFmtId="0" fontId="74" fillId="21" borderId="34" xfId="0" applyFont="1" applyFill="1" applyBorder="1" applyAlignment="1">
      <alignment horizontal="center" vertical="center" wrapText="1"/>
    </xf>
    <xf numFmtId="0" fontId="74" fillId="21" borderId="35" xfId="0" applyFont="1" applyFill="1" applyBorder="1" applyAlignment="1">
      <alignment horizontal="center" vertical="center" wrapText="1"/>
    </xf>
    <xf numFmtId="0" fontId="71" fillId="0" borderId="0" xfId="0" applyFont="1" applyAlignment="1">
      <alignment horizontal="left" vertical="center" wrapText="1"/>
    </xf>
    <xf numFmtId="0" fontId="71" fillId="0" borderId="0" xfId="0" applyFont="1" applyAlignment="1">
      <alignment horizontal="center" vertical="center" wrapText="1"/>
    </xf>
    <xf numFmtId="0" fontId="71" fillId="0" borderId="76" xfId="0" applyFont="1" applyBorder="1" applyAlignment="1">
      <alignment horizontal="left" vertical="center" wrapText="1"/>
    </xf>
    <xf numFmtId="0" fontId="74" fillId="21" borderId="33" xfId="0" applyFont="1" applyFill="1" applyBorder="1" applyAlignment="1">
      <alignment horizontal="center" vertical="center" wrapText="1"/>
    </xf>
    <xf numFmtId="0" fontId="81" fillId="17" borderId="91" xfId="0" applyFont="1" applyFill="1" applyBorder="1" applyAlignment="1">
      <alignment horizontal="center" vertical="center" wrapText="1"/>
    </xf>
    <xf numFmtId="0" fontId="81" fillId="17" borderId="92" xfId="0" applyFont="1" applyFill="1" applyBorder="1" applyAlignment="1">
      <alignment horizontal="center" vertical="center" wrapText="1"/>
    </xf>
    <xf numFmtId="0" fontId="81" fillId="17" borderId="90" xfId="0" applyFont="1" applyFill="1" applyBorder="1" applyAlignment="1">
      <alignment horizontal="center" vertical="center" wrapText="1"/>
    </xf>
    <xf numFmtId="0" fontId="81" fillId="21" borderId="106" xfId="0" applyFont="1" applyFill="1" applyBorder="1" applyAlignment="1">
      <alignment horizontal="center" vertical="center" wrapText="1"/>
    </xf>
    <xf numFmtId="0" fontId="81" fillId="21" borderId="108" xfId="0" applyFont="1" applyFill="1" applyBorder="1" applyAlignment="1">
      <alignment horizontal="center" vertical="center" wrapText="1"/>
    </xf>
    <xf numFmtId="0" fontId="21" fillId="0" borderId="0" xfId="0" applyFont="1" applyAlignment="1">
      <alignment horizontal="center" vertical="center"/>
    </xf>
    <xf numFmtId="0" fontId="40" fillId="0" borderId="0" xfId="0" applyFont="1" applyAlignment="1">
      <alignment horizontal="center" vertical="center"/>
    </xf>
    <xf numFmtId="0" fontId="75" fillId="16" borderId="82" xfId="0" applyFont="1" applyFill="1" applyBorder="1" applyAlignment="1">
      <alignment horizontal="center" vertical="center" wrapText="1"/>
    </xf>
    <xf numFmtId="0" fontId="75" fillId="16" borderId="80" xfId="0" applyFont="1" applyFill="1" applyBorder="1" applyAlignment="1">
      <alignment horizontal="center" vertical="center" wrapText="1"/>
    </xf>
    <xf numFmtId="0" fontId="75" fillId="16" borderId="78" xfId="0" applyFont="1" applyFill="1" applyBorder="1" applyAlignment="1">
      <alignment horizontal="center" vertical="center" wrapText="1"/>
    </xf>
    <xf numFmtId="0" fontId="76" fillId="0" borderId="82" xfId="0" applyFont="1" applyBorder="1" applyAlignment="1">
      <alignment horizontal="justify" vertical="center" wrapText="1"/>
    </xf>
    <xf numFmtId="0" fontId="76" fillId="0" borderId="80" xfId="0" applyFont="1" applyBorder="1" applyAlignment="1">
      <alignment horizontal="justify" vertical="center" wrapText="1"/>
    </xf>
    <xf numFmtId="0" fontId="76" fillId="0" borderId="78" xfId="0" applyFont="1" applyBorder="1" applyAlignment="1">
      <alignment horizontal="justify" vertical="center" wrapText="1"/>
    </xf>
    <xf numFmtId="0" fontId="36" fillId="15" borderId="24" xfId="0" applyFont="1" applyFill="1" applyBorder="1" applyAlignment="1">
      <alignment horizontal="center" vertical="center" wrapText="1" readingOrder="1"/>
    </xf>
    <xf numFmtId="0" fontId="36" fillId="15" borderId="25" xfId="0" applyFont="1" applyFill="1" applyBorder="1" applyAlignment="1">
      <alignment horizontal="center" vertical="center" wrapText="1" readingOrder="1"/>
    </xf>
    <xf numFmtId="0" fontId="36" fillId="15" borderId="36"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33" xfId="0" applyFont="1" applyFill="1" applyBorder="1" applyAlignment="1">
      <alignment horizontal="center" vertical="center" wrapText="1" readingOrder="1"/>
    </xf>
    <xf numFmtId="0" fontId="33" fillId="15" borderId="34" xfId="0" applyFont="1" applyFill="1" applyBorder="1" applyAlignment="1">
      <alignment horizontal="center" vertical="center" wrapText="1" readingOrder="1"/>
    </xf>
    <xf numFmtId="0" fontId="33" fillId="3" borderId="31" xfId="0" applyFont="1" applyFill="1" applyBorder="1" applyAlignment="1">
      <alignment horizontal="center" vertical="center" wrapText="1" readingOrder="1"/>
    </xf>
    <xf numFmtId="0" fontId="33" fillId="3" borderId="26" xfId="0" applyFont="1" applyFill="1" applyBorder="1" applyAlignment="1">
      <alignment horizontal="center" vertical="center" wrapText="1" readingOrder="1"/>
    </xf>
    <xf numFmtId="0" fontId="33" fillId="3" borderId="23"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3" fillId="3" borderId="29" xfId="0" applyFont="1" applyFill="1" applyBorder="1" applyAlignment="1">
      <alignment horizontal="center" vertical="center" wrapText="1" readingOrder="1"/>
    </xf>
    <xf numFmtId="0" fontId="80" fillId="0" borderId="91" xfId="0" applyFont="1" applyFill="1" applyBorder="1" applyAlignment="1" applyProtection="1">
      <alignment horizontal="center" vertical="center" wrapText="1"/>
      <protection locked="0"/>
    </xf>
  </cellXfs>
  <cellStyles count="7">
    <cellStyle name="Moneda" xfId="5" builtinId="4"/>
    <cellStyle name="Moneda 2" xfId="6" xr:uid="{00000000-0005-0000-0000-000001000000}"/>
    <cellStyle name="Normal" xfId="0" builtinId="0"/>
    <cellStyle name="Normal - Style1 2" xfId="2" xr:uid="{00000000-0005-0000-0000-000003000000}"/>
    <cellStyle name="Normal 2" xfId="4" xr:uid="{00000000-0005-0000-0000-000004000000}"/>
    <cellStyle name="Normal 2 2" xfId="3" xr:uid="{00000000-0005-0000-0000-000005000000}"/>
    <cellStyle name="Porcentaje" xfId="1" builtinId="5"/>
  </cellStyles>
  <dxfs count="701">
    <dxf>
      <font>
        <b val="0"/>
        <i val="0"/>
        <strike val="0"/>
        <condense val="0"/>
        <extend val="0"/>
        <outline val="0"/>
        <shadow val="0"/>
        <u val="none"/>
        <vertAlign val="baseline"/>
        <sz val="16"/>
        <color rgb="FFFF0000"/>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wrapText="1" readingOrder="0"/>
    </dxf>
    <dxf>
      <alignment vertical="center" readingOrder="0"/>
    </dxf>
    <dxf>
      <alignment wrapText="1" readingOrder="0"/>
    </dxf>
    <dxf>
      <alignment wrapText="1"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97695</xdr:rowOff>
    </xdr:from>
    <xdr:to>
      <xdr:col>19</xdr:col>
      <xdr:colOff>33704</xdr:colOff>
      <xdr:row>38</xdr:row>
      <xdr:rowOff>278780</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821" t="55142" r="5500" b="13845"/>
        <a:stretch/>
      </xdr:blipFill>
      <xdr:spPr>
        <a:xfrm>
          <a:off x="0" y="24186420"/>
          <a:ext cx="38333729" cy="88488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68036</xdr:rowOff>
    </xdr:from>
    <xdr:ext cx="1403803" cy="1123950"/>
    <xdr:pic>
      <xdr:nvPicPr>
        <xdr:cNvPr id="2" name="Imagen 1" descr="escudo negr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929" y="68036"/>
          <a:ext cx="1403803" cy="11239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CC31457F-ECBC-4BF6-A295-D24C77BD34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273353</xdr:colOff>
      <xdr:row>0</xdr:row>
      <xdr:rowOff>55034</xdr:rowOff>
    </xdr:from>
    <xdr:ext cx="1288747" cy="1107016"/>
    <xdr:pic>
      <xdr:nvPicPr>
        <xdr:cNvPr id="2" name="Imagen 1" descr="escudo negro">
          <a:extLst>
            <a:ext uri="{FF2B5EF4-FFF2-40B4-BE49-F238E27FC236}">
              <a16:creationId xmlns:a16="http://schemas.microsoft.com/office/drawing/2014/main" id="{4B130650-B5A7-4455-A04D-93F040AFD7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1503" y="55034"/>
          <a:ext cx="1288747" cy="110701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12</xdr:col>
      <xdr:colOff>182273</xdr:colOff>
      <xdr:row>29</xdr:row>
      <xdr:rowOff>172245</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8575" y="0"/>
          <a:ext cx="9297698" cy="5696745"/>
        </a:xfrm>
        <a:prstGeom prst="rect">
          <a:avLst/>
        </a:prstGeom>
      </xdr:spPr>
    </xdr:pic>
    <xdr:clientData/>
  </xdr:twoCellAnchor>
  <xdr:twoCellAnchor editAs="oneCell">
    <xdr:from>
      <xdr:col>0</xdr:col>
      <xdr:colOff>0</xdr:colOff>
      <xdr:row>31</xdr:row>
      <xdr:rowOff>0</xdr:rowOff>
    </xdr:from>
    <xdr:to>
      <xdr:col>11</xdr:col>
      <xdr:colOff>534644</xdr:colOff>
      <xdr:row>57</xdr:row>
      <xdr:rowOff>19744</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0" y="5905500"/>
          <a:ext cx="8916644" cy="4972744"/>
        </a:xfrm>
        <a:prstGeom prst="rect">
          <a:avLst/>
        </a:prstGeom>
      </xdr:spPr>
    </xdr:pic>
    <xdr:clientData/>
  </xdr:twoCellAnchor>
  <xdr:twoCellAnchor editAs="oneCell">
    <xdr:from>
      <xdr:col>12</xdr:col>
      <xdr:colOff>733425</xdr:colOff>
      <xdr:row>0</xdr:row>
      <xdr:rowOff>28575</xdr:rowOff>
    </xdr:from>
    <xdr:to>
      <xdr:col>25</xdr:col>
      <xdr:colOff>210859</xdr:colOff>
      <xdr:row>28</xdr:row>
      <xdr:rowOff>181741</xdr:rowOff>
    </xdr:to>
    <xdr:pic>
      <xdr:nvPicPr>
        <xdr:cNvPr id="4" name="Imagen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a:stretch>
          <a:fillRect/>
        </a:stretch>
      </xdr:blipFill>
      <xdr:spPr>
        <a:xfrm>
          <a:off x="9877425" y="28575"/>
          <a:ext cx="9383434" cy="5487166"/>
        </a:xfrm>
        <a:prstGeom prst="rect">
          <a:avLst/>
        </a:prstGeom>
      </xdr:spPr>
    </xdr:pic>
    <xdr:clientData/>
  </xdr:twoCellAnchor>
  <xdr:twoCellAnchor editAs="oneCell">
    <xdr:from>
      <xdr:col>13</xdr:col>
      <xdr:colOff>0</xdr:colOff>
      <xdr:row>32</xdr:row>
      <xdr:rowOff>0</xdr:rowOff>
    </xdr:from>
    <xdr:to>
      <xdr:col>25</xdr:col>
      <xdr:colOff>429961</xdr:colOff>
      <xdr:row>62</xdr:row>
      <xdr:rowOff>38903</xdr:rowOff>
    </xdr:to>
    <xdr:pic>
      <xdr:nvPicPr>
        <xdr:cNvPr id="5" name="Imagen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4"/>
        <a:stretch>
          <a:fillRect/>
        </a:stretch>
      </xdr:blipFill>
      <xdr:spPr>
        <a:xfrm>
          <a:off x="9906000" y="6096000"/>
          <a:ext cx="9573961" cy="57539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aermv-my.sharepoint.com/Users/natalia.norato/OneDrive%20-%20uaermv/NATA%20SIG/2018/12.%20DICIEMBRE/SIG-FM-007-V7%20Formato%20Mapa%20de%20Riesgos%20de%20Proceso%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ngela.cifuentes/Downloads/DESI-FM-018-V9_Formato_Mapa_de_Riesgos_de_Proce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2019"/>
      <sheetName val="FORMULAS"/>
      <sheetName val="TIPOLOGÍA DE RIESGOS"/>
      <sheetName val="PROBABILIDAD"/>
      <sheetName val="IMPACTO GESTIÓN"/>
      <sheetName val="IMPACTO CORRUPCIÓN"/>
      <sheetName val="IMPACTO SEGURIDAD I"/>
      <sheetName val="EJEMPLO CONTROLES"/>
      <sheetName val="OPCIONES DE MANEJO DEL RIESGO"/>
      <sheetName val="MAPA DE CALOR"/>
    </sheetNames>
    <sheetDataSet>
      <sheetData sheetId="0"/>
      <sheetData sheetId="1">
        <row r="4">
          <cell r="B4" t="str">
            <v>Direccionamiento estratégico e innovación</v>
          </cell>
          <cell r="C4" t="str">
            <v>Gestion</v>
          </cell>
          <cell r="E4" t="str">
            <v>Daño_fisico</v>
          </cell>
          <cell r="K4" t="str">
            <v>Aceptar el riesgo</v>
          </cell>
        </row>
        <row r="5">
          <cell r="C5" t="str">
            <v>Corrupcion</v>
          </cell>
          <cell r="E5" t="str">
            <v>Eventos_naturales</v>
          </cell>
          <cell r="K5" t="str">
            <v>Reducir el riesgo</v>
          </cell>
        </row>
        <row r="6">
          <cell r="C6" t="str">
            <v>Seguridad_de_la_informacion</v>
          </cell>
          <cell r="E6" t="str">
            <v>Perdidas_de_los_servicios_esenciales</v>
          </cell>
          <cell r="K6" t="str">
            <v>Evitar el riesgo</v>
          </cell>
        </row>
        <row r="7">
          <cell r="E7" t="str">
            <v>Perturbacion_debida_a_la_radiacion</v>
          </cell>
          <cell r="K7" t="str">
            <v>Compartir el riesgo</v>
          </cell>
        </row>
        <row r="8">
          <cell r="E8" t="str">
            <v>Compromiso_de_la_informacion</v>
          </cell>
        </row>
        <row r="9">
          <cell r="E9" t="str">
            <v>Fallas_tecnicas</v>
          </cell>
        </row>
        <row r="10">
          <cell r="E10" t="str">
            <v>Acciones_no_autorizadas</v>
          </cell>
        </row>
        <row r="11">
          <cell r="E11" t="str">
            <v>Compromiso_de_las_funciones</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sheetName val="MAPA DE RIESGOS PROCESOS"/>
      <sheetName val="TIPOLOGÍA DE RIESGOS"/>
      <sheetName val="PROBABILIDAD"/>
      <sheetName val="IMPACTO GESTIÓN"/>
      <sheetName val="IMPACTO SEGURIDAD I"/>
      <sheetName val="IMPACTO CORRUPCIÓN"/>
      <sheetName val="IMPACTO SOBORNO"/>
      <sheetName val="EJEMPLO CONTROLES"/>
      <sheetName val="OPCIONES DE MANEJO DEL RIESGO"/>
      <sheetName val="MAPA DE CAL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atalia Norato Mora" refreshedDate="44522.492354513888" createdVersion="6" refreshedVersion="6" minRefreshableVersion="3" recordCount="10" xr:uid="{00000000-000A-0000-FFFF-FFFF02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5">
        <s v="Afectación menor a 130 SMLMV ."/>
        <s v="Entre 130 y 650 SMLMV "/>
        <s v="Entre 650 y 1300 SMLMV "/>
        <s v="Entre 1300 y 6500 SMLMV "/>
        <s v="Mayor a 6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 v="Entre 100 y 500 SMLMV " u="1"/>
        <s v="Mayor a 500 SMLMV " u="1"/>
        <s v="Entre 50 y 100 SMLMV " u="1"/>
        <s v="Entre 10 y 50 SMLMV " u="1"/>
        <s v="Afectación menor a 10 SMLMV ."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TablaDinámica1" cacheId="1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5">
        <item m="1" x="14"/>
        <item x="5"/>
        <item x="6"/>
        <item x="7"/>
        <item x="8"/>
        <item x="9"/>
        <item m="1" x="13"/>
        <item m="1" x="12"/>
        <item m="1" x="10"/>
        <item m="1" x="11"/>
        <item x="0"/>
        <item x="1"/>
        <item x="2"/>
        <item x="3"/>
        <item x="4"/>
      </items>
    </pivotField>
  </pivotFields>
  <rowFields count="2">
    <field x="0"/>
    <field x="1"/>
  </rowFields>
  <rowItems count="12">
    <i>
      <x/>
    </i>
    <i r="1">
      <x v="10"/>
    </i>
    <i r="1">
      <x v="11"/>
    </i>
    <i r="1">
      <x v="12"/>
    </i>
    <i r="1">
      <x v="13"/>
    </i>
    <i r="1">
      <x v="14"/>
    </i>
    <i>
      <x v="1"/>
    </i>
    <i r="1">
      <x v="1"/>
    </i>
    <i r="1">
      <x v="2"/>
    </i>
    <i r="1">
      <x v="3"/>
    </i>
    <i r="1">
      <x v="4"/>
    </i>
    <i r="1">
      <x v="5"/>
    </i>
  </rowItems>
  <colItems count="1">
    <i/>
  </colItems>
  <formats count="4">
    <format dxfId="7">
      <pivotArea dataOnly="0" labelOnly="1" outline="0" fieldPosition="0">
        <references count="1">
          <reference field="0" count="1">
            <x v="1"/>
          </reference>
        </references>
      </pivotArea>
    </format>
    <format dxfId="6">
      <pivotArea dataOnly="0" labelOnly="1" outline="0" fieldPosition="0">
        <references count="2">
          <reference field="0" count="1" selected="0">
            <x v="1"/>
          </reference>
          <reference field="1" count="5">
            <x v="1"/>
            <x v="2"/>
            <x v="3"/>
            <x v="4"/>
            <x v="5"/>
          </reference>
        </references>
      </pivotArea>
    </format>
    <format dxfId="5">
      <pivotArea dataOnly="0" labelOnly="1" outline="0" fieldPosition="0">
        <references count="2">
          <reference field="0" count="1" selected="0">
            <x v="1"/>
          </reference>
          <reference field="1" count="5">
            <x v="1"/>
            <x v="2"/>
            <x v="3"/>
            <x v="4"/>
            <x v="5"/>
          </reference>
        </references>
      </pivotArea>
    </format>
    <format dxfId="4">
      <pivotArea dataOnly="0" labelOnly="1" outline="0" fieldPosition="0">
        <references count="1">
          <reference field="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316"/>
  <sheetViews>
    <sheetView topLeftCell="A23" zoomScale="110" zoomScaleNormal="110" workbookViewId="0">
      <selection activeCell="E23" sqref="E23:F23"/>
    </sheetView>
  </sheetViews>
  <sheetFormatPr baseColWidth="10" defaultColWidth="11.42578125" defaultRowHeight="15" x14ac:dyDescent="0.25"/>
  <cols>
    <col min="1" max="1" width="2.85546875" style="66" customWidth="1"/>
    <col min="2" max="3" width="24.7109375" style="66" customWidth="1"/>
    <col min="4" max="4" width="16" style="66" customWidth="1"/>
    <col min="5" max="5" width="24.7109375" style="66" customWidth="1"/>
    <col min="6" max="6" width="27.7109375" style="66" customWidth="1"/>
    <col min="7" max="8" width="24.7109375" style="66" customWidth="1"/>
    <col min="9" max="16384" width="11.42578125" style="66"/>
  </cols>
  <sheetData>
    <row r="1" spans="2:8" ht="15.75" thickBot="1" x14ac:dyDescent="0.3"/>
    <row r="2" spans="2:8" ht="18" x14ac:dyDescent="0.25">
      <c r="B2" s="274" t="s">
        <v>0</v>
      </c>
      <c r="C2" s="275"/>
      <c r="D2" s="275"/>
      <c r="E2" s="275"/>
      <c r="F2" s="275"/>
      <c r="G2" s="275"/>
      <c r="H2" s="276"/>
    </row>
    <row r="3" spans="2:8" x14ac:dyDescent="0.25">
      <c r="B3" s="67"/>
      <c r="C3" s="68"/>
      <c r="D3" s="68"/>
      <c r="E3" s="68"/>
      <c r="F3" s="68"/>
      <c r="G3" s="68"/>
      <c r="H3" s="69"/>
    </row>
    <row r="4" spans="2:8" ht="63" customHeight="1" x14ac:dyDescent="0.25">
      <c r="B4" s="277" t="s">
        <v>1</v>
      </c>
      <c r="C4" s="278"/>
      <c r="D4" s="278"/>
      <c r="E4" s="278"/>
      <c r="F4" s="278"/>
      <c r="G4" s="278"/>
      <c r="H4" s="279"/>
    </row>
    <row r="5" spans="2:8" ht="63" customHeight="1" x14ac:dyDescent="0.25">
      <c r="B5" s="280"/>
      <c r="C5" s="281"/>
      <c r="D5" s="281"/>
      <c r="E5" s="281"/>
      <c r="F5" s="281"/>
      <c r="G5" s="281"/>
      <c r="H5" s="282"/>
    </row>
    <row r="6" spans="2:8" ht="16.5" x14ac:dyDescent="0.25">
      <c r="B6" s="283" t="s">
        <v>2</v>
      </c>
      <c r="C6" s="284"/>
      <c r="D6" s="284"/>
      <c r="E6" s="284"/>
      <c r="F6" s="284"/>
      <c r="G6" s="284"/>
      <c r="H6" s="285"/>
    </row>
    <row r="7" spans="2:8" ht="95.25" customHeight="1" x14ac:dyDescent="0.25">
      <c r="B7" s="293" t="s">
        <v>3</v>
      </c>
      <c r="C7" s="294"/>
      <c r="D7" s="294"/>
      <c r="E7" s="294"/>
      <c r="F7" s="294"/>
      <c r="G7" s="294"/>
      <c r="H7" s="295"/>
    </row>
    <row r="8" spans="2:8" ht="16.5" x14ac:dyDescent="0.25">
      <c r="B8" s="101"/>
      <c r="C8" s="102"/>
      <c r="D8" s="102"/>
      <c r="E8" s="102"/>
      <c r="F8" s="102"/>
      <c r="G8" s="102"/>
      <c r="H8" s="103"/>
    </row>
    <row r="9" spans="2:8" ht="16.5" customHeight="1" x14ac:dyDescent="0.25">
      <c r="B9" s="286" t="s">
        <v>4</v>
      </c>
      <c r="C9" s="287"/>
      <c r="D9" s="287"/>
      <c r="E9" s="287"/>
      <c r="F9" s="287"/>
      <c r="G9" s="287"/>
      <c r="H9" s="288"/>
    </row>
    <row r="10" spans="2:8" ht="44.25" customHeight="1" x14ac:dyDescent="0.25">
      <c r="B10" s="286"/>
      <c r="C10" s="287"/>
      <c r="D10" s="287"/>
      <c r="E10" s="287"/>
      <c r="F10" s="287"/>
      <c r="G10" s="287"/>
      <c r="H10" s="288"/>
    </row>
    <row r="11" spans="2:8" ht="15.75" thickBot="1" x14ac:dyDescent="0.3">
      <c r="B11" s="90"/>
      <c r="C11" s="93"/>
      <c r="D11" s="98"/>
      <c r="E11" s="99"/>
      <c r="F11" s="99"/>
      <c r="G11" s="100"/>
      <c r="H11" s="94"/>
    </row>
    <row r="12" spans="2:8" ht="15.75" thickTop="1" x14ac:dyDescent="0.25">
      <c r="B12" s="90"/>
      <c r="C12" s="289" t="s">
        <v>5</v>
      </c>
      <c r="D12" s="290"/>
      <c r="E12" s="291" t="s">
        <v>6</v>
      </c>
      <c r="F12" s="292"/>
      <c r="G12" s="93"/>
      <c r="H12" s="94"/>
    </row>
    <row r="13" spans="2:8" ht="35.25" customHeight="1" x14ac:dyDescent="0.25">
      <c r="B13" s="90"/>
      <c r="C13" s="296" t="s">
        <v>7</v>
      </c>
      <c r="D13" s="297"/>
      <c r="E13" s="298" t="s">
        <v>8</v>
      </c>
      <c r="F13" s="299"/>
      <c r="G13" s="93"/>
      <c r="H13" s="94"/>
    </row>
    <row r="14" spans="2:8" ht="17.25" customHeight="1" x14ac:dyDescent="0.25">
      <c r="B14" s="90"/>
      <c r="C14" s="296" t="s">
        <v>9</v>
      </c>
      <c r="D14" s="297"/>
      <c r="E14" s="298" t="s">
        <v>10</v>
      </c>
      <c r="F14" s="299"/>
      <c r="G14" s="93"/>
      <c r="H14" s="94"/>
    </row>
    <row r="15" spans="2:8" ht="19.5" customHeight="1" x14ac:dyDescent="0.25">
      <c r="B15" s="90"/>
      <c r="C15" s="296" t="s">
        <v>11</v>
      </c>
      <c r="D15" s="297"/>
      <c r="E15" s="298" t="s">
        <v>12</v>
      </c>
      <c r="F15" s="299"/>
      <c r="G15" s="93"/>
      <c r="H15" s="94"/>
    </row>
    <row r="16" spans="2:8" ht="69.75" customHeight="1" x14ac:dyDescent="0.25">
      <c r="B16" s="90"/>
      <c r="C16" s="296" t="s">
        <v>13</v>
      </c>
      <c r="D16" s="297"/>
      <c r="E16" s="298" t="s">
        <v>14</v>
      </c>
      <c r="F16" s="299"/>
      <c r="G16" s="93"/>
      <c r="H16" s="94"/>
    </row>
    <row r="17" spans="2:8" ht="34.5" customHeight="1" x14ac:dyDescent="0.25">
      <c r="B17" s="90"/>
      <c r="C17" s="300" t="s">
        <v>15</v>
      </c>
      <c r="D17" s="301"/>
      <c r="E17" s="302" t="s">
        <v>16</v>
      </c>
      <c r="F17" s="303"/>
      <c r="G17" s="93"/>
      <c r="H17" s="94"/>
    </row>
    <row r="18" spans="2:8" ht="27.75" customHeight="1" x14ac:dyDescent="0.25">
      <c r="B18" s="90"/>
      <c r="C18" s="300" t="s">
        <v>17</v>
      </c>
      <c r="D18" s="301"/>
      <c r="E18" s="302" t="s">
        <v>18</v>
      </c>
      <c r="F18" s="303"/>
      <c r="G18" s="93"/>
      <c r="H18" s="94"/>
    </row>
    <row r="19" spans="2:8" ht="28.5" customHeight="1" x14ac:dyDescent="0.25">
      <c r="B19" s="90"/>
      <c r="C19" s="300" t="s">
        <v>19</v>
      </c>
      <c r="D19" s="301"/>
      <c r="E19" s="302" t="s">
        <v>20</v>
      </c>
      <c r="F19" s="303"/>
      <c r="G19" s="93"/>
      <c r="H19" s="94"/>
    </row>
    <row r="20" spans="2:8" ht="72.75" customHeight="1" x14ac:dyDescent="0.25">
      <c r="B20" s="90"/>
      <c r="C20" s="300" t="s">
        <v>21</v>
      </c>
      <c r="D20" s="301"/>
      <c r="E20" s="302" t="s">
        <v>22</v>
      </c>
      <c r="F20" s="303"/>
      <c r="G20" s="93"/>
      <c r="H20" s="94"/>
    </row>
    <row r="21" spans="2:8" ht="64.5" customHeight="1" x14ac:dyDescent="0.25">
      <c r="B21" s="90"/>
      <c r="C21" s="300" t="s">
        <v>23</v>
      </c>
      <c r="D21" s="301"/>
      <c r="E21" s="302" t="s">
        <v>24</v>
      </c>
      <c r="F21" s="303"/>
      <c r="G21" s="93"/>
      <c r="H21" s="94"/>
    </row>
    <row r="22" spans="2:8" ht="71.25" customHeight="1" x14ac:dyDescent="0.25">
      <c r="B22" s="90"/>
      <c r="C22" s="300" t="s">
        <v>25</v>
      </c>
      <c r="D22" s="301"/>
      <c r="E22" s="302" t="s">
        <v>26</v>
      </c>
      <c r="F22" s="303"/>
      <c r="G22" s="93"/>
      <c r="H22" s="94"/>
    </row>
    <row r="23" spans="2:8" ht="55.5" customHeight="1" x14ac:dyDescent="0.25">
      <c r="B23" s="90"/>
      <c r="C23" s="307" t="s">
        <v>27</v>
      </c>
      <c r="D23" s="308"/>
      <c r="E23" s="302" t="s">
        <v>28</v>
      </c>
      <c r="F23" s="303"/>
      <c r="G23" s="93"/>
      <c r="H23" s="94"/>
    </row>
    <row r="24" spans="2:8" ht="42" customHeight="1" x14ac:dyDescent="0.25">
      <c r="B24" s="90"/>
      <c r="C24" s="307" t="s">
        <v>29</v>
      </c>
      <c r="D24" s="308"/>
      <c r="E24" s="302" t="s">
        <v>30</v>
      </c>
      <c r="F24" s="303"/>
      <c r="G24" s="93"/>
      <c r="H24" s="94"/>
    </row>
    <row r="25" spans="2:8" ht="59.25" customHeight="1" x14ac:dyDescent="0.25">
      <c r="B25" s="90"/>
      <c r="C25" s="307" t="s">
        <v>31</v>
      </c>
      <c r="D25" s="308"/>
      <c r="E25" s="302" t="s">
        <v>32</v>
      </c>
      <c r="F25" s="303"/>
      <c r="G25" s="93"/>
      <c r="H25" s="94"/>
    </row>
    <row r="26" spans="2:8" ht="23.25" customHeight="1" x14ac:dyDescent="0.25">
      <c r="B26" s="90"/>
      <c r="C26" s="307" t="s">
        <v>33</v>
      </c>
      <c r="D26" s="308"/>
      <c r="E26" s="302" t="s">
        <v>34</v>
      </c>
      <c r="F26" s="303"/>
      <c r="G26" s="93"/>
      <c r="H26" s="94"/>
    </row>
    <row r="27" spans="2:8" ht="30.75" customHeight="1" x14ac:dyDescent="0.25">
      <c r="B27" s="90"/>
      <c r="C27" s="307" t="s">
        <v>35</v>
      </c>
      <c r="D27" s="308"/>
      <c r="E27" s="302" t="s">
        <v>36</v>
      </c>
      <c r="F27" s="303"/>
      <c r="G27" s="93"/>
      <c r="H27" s="94"/>
    </row>
    <row r="28" spans="2:8" ht="35.25" customHeight="1" x14ac:dyDescent="0.25">
      <c r="B28" s="90"/>
      <c r="C28" s="307" t="s">
        <v>37</v>
      </c>
      <c r="D28" s="308"/>
      <c r="E28" s="302" t="s">
        <v>38</v>
      </c>
      <c r="F28" s="303"/>
      <c r="G28" s="93"/>
      <c r="H28" s="94"/>
    </row>
    <row r="29" spans="2:8" ht="33" customHeight="1" x14ac:dyDescent="0.25">
      <c r="B29" s="90"/>
      <c r="C29" s="307" t="s">
        <v>37</v>
      </c>
      <c r="D29" s="308"/>
      <c r="E29" s="302" t="s">
        <v>38</v>
      </c>
      <c r="F29" s="303"/>
      <c r="G29" s="93"/>
      <c r="H29" s="94"/>
    </row>
    <row r="30" spans="2:8" ht="30" customHeight="1" x14ac:dyDescent="0.25">
      <c r="B30" s="90"/>
      <c r="C30" s="307" t="s">
        <v>39</v>
      </c>
      <c r="D30" s="308"/>
      <c r="E30" s="302" t="s">
        <v>40</v>
      </c>
      <c r="F30" s="303"/>
      <c r="G30" s="93"/>
      <c r="H30" s="94"/>
    </row>
    <row r="31" spans="2:8" ht="35.25" customHeight="1" x14ac:dyDescent="0.25">
      <c r="B31" s="90"/>
      <c r="C31" s="307" t="s">
        <v>41</v>
      </c>
      <c r="D31" s="308"/>
      <c r="E31" s="302" t="s">
        <v>42</v>
      </c>
      <c r="F31" s="303"/>
      <c r="G31" s="93"/>
      <c r="H31" s="94"/>
    </row>
    <row r="32" spans="2:8" ht="31.5" customHeight="1" x14ac:dyDescent="0.25">
      <c r="B32" s="90"/>
      <c r="C32" s="307" t="s">
        <v>43</v>
      </c>
      <c r="D32" s="308"/>
      <c r="E32" s="302" t="s">
        <v>44</v>
      </c>
      <c r="F32" s="303"/>
      <c r="G32" s="93"/>
      <c r="H32" s="94"/>
    </row>
    <row r="33" spans="2:8" ht="35.25" customHeight="1" x14ac:dyDescent="0.25">
      <c r="B33" s="90"/>
      <c r="C33" s="307" t="s">
        <v>45</v>
      </c>
      <c r="D33" s="308"/>
      <c r="E33" s="302" t="s">
        <v>46</v>
      </c>
      <c r="F33" s="303"/>
      <c r="G33" s="93"/>
      <c r="H33" s="94"/>
    </row>
    <row r="34" spans="2:8" ht="59.25" customHeight="1" x14ac:dyDescent="0.25">
      <c r="B34" s="90"/>
      <c r="C34" s="307" t="s">
        <v>47</v>
      </c>
      <c r="D34" s="308"/>
      <c r="E34" s="302" t="s">
        <v>48</v>
      </c>
      <c r="F34" s="303"/>
      <c r="G34" s="93"/>
      <c r="H34" s="94"/>
    </row>
    <row r="35" spans="2:8" ht="29.25" customHeight="1" x14ac:dyDescent="0.25">
      <c r="B35" s="90"/>
      <c r="C35" s="307" t="s">
        <v>49</v>
      </c>
      <c r="D35" s="308"/>
      <c r="E35" s="302" t="s">
        <v>50</v>
      </c>
      <c r="F35" s="303"/>
      <c r="G35" s="93"/>
      <c r="H35" s="94"/>
    </row>
    <row r="36" spans="2:8" ht="82.5" customHeight="1" x14ac:dyDescent="0.25">
      <c r="B36" s="90"/>
      <c r="C36" s="307" t="s">
        <v>51</v>
      </c>
      <c r="D36" s="308"/>
      <c r="E36" s="302" t="s">
        <v>52</v>
      </c>
      <c r="F36" s="303"/>
      <c r="G36" s="93"/>
      <c r="H36" s="94"/>
    </row>
    <row r="37" spans="2:8" ht="46.5" customHeight="1" x14ac:dyDescent="0.25">
      <c r="B37" s="90"/>
      <c r="C37" s="307" t="s">
        <v>53</v>
      </c>
      <c r="D37" s="308"/>
      <c r="E37" s="302" t="s">
        <v>54</v>
      </c>
      <c r="F37" s="303"/>
      <c r="G37" s="93"/>
      <c r="H37" s="94"/>
    </row>
    <row r="38" spans="2:8" ht="6.75" customHeight="1" thickBot="1" x14ac:dyDescent="0.3">
      <c r="B38" s="90"/>
      <c r="C38" s="309"/>
      <c r="D38" s="310"/>
      <c r="E38" s="311"/>
      <c r="F38" s="312"/>
      <c r="G38" s="93"/>
      <c r="H38" s="94"/>
    </row>
    <row r="39" spans="2:8" ht="15.75" thickTop="1" x14ac:dyDescent="0.25">
      <c r="B39" s="90"/>
      <c r="C39" s="91"/>
      <c r="D39" s="91"/>
      <c r="E39" s="92"/>
      <c r="F39" s="92"/>
      <c r="G39" s="93"/>
      <c r="H39" s="94"/>
    </row>
    <row r="40" spans="2:8" ht="21" customHeight="1" x14ac:dyDescent="0.25">
      <c r="B40" s="304" t="s">
        <v>55</v>
      </c>
      <c r="C40" s="305"/>
      <c r="D40" s="305"/>
      <c r="E40" s="305"/>
      <c r="F40" s="305"/>
      <c r="G40" s="305"/>
      <c r="H40" s="306"/>
    </row>
    <row r="41" spans="2:8" ht="20.25" customHeight="1" x14ac:dyDescent="0.25">
      <c r="B41" s="304" t="s">
        <v>56</v>
      </c>
      <c r="C41" s="305"/>
      <c r="D41" s="305"/>
      <c r="E41" s="305"/>
      <c r="F41" s="305"/>
      <c r="G41" s="305"/>
      <c r="H41" s="306"/>
    </row>
    <row r="42" spans="2:8" ht="20.25" customHeight="1" x14ac:dyDescent="0.25">
      <c r="B42" s="304" t="s">
        <v>57</v>
      </c>
      <c r="C42" s="305"/>
      <c r="D42" s="305"/>
      <c r="E42" s="305"/>
      <c r="F42" s="305"/>
      <c r="G42" s="305"/>
      <c r="H42" s="306"/>
    </row>
    <row r="43" spans="2:8" ht="20.25" customHeight="1" x14ac:dyDescent="0.25">
      <c r="B43" s="304" t="s">
        <v>58</v>
      </c>
      <c r="C43" s="305"/>
      <c r="D43" s="305"/>
      <c r="E43" s="305"/>
      <c r="F43" s="305"/>
      <c r="G43" s="305"/>
      <c r="H43" s="306"/>
    </row>
    <row r="44" spans="2:8" x14ac:dyDescent="0.25">
      <c r="B44" s="304" t="s">
        <v>59</v>
      </c>
      <c r="C44" s="305"/>
      <c r="D44" s="305"/>
      <c r="E44" s="305"/>
      <c r="F44" s="305"/>
      <c r="G44" s="305"/>
      <c r="H44" s="306"/>
    </row>
    <row r="45" spans="2:8" ht="15.75" thickBot="1" x14ac:dyDescent="0.3">
      <c r="B45" s="95"/>
      <c r="C45" s="96"/>
      <c r="D45" s="96"/>
      <c r="E45" s="96"/>
      <c r="F45" s="96"/>
      <c r="G45" s="96"/>
      <c r="H45" s="97"/>
    </row>
    <row r="47" spans="2:8" x14ac:dyDescent="0.25">
      <c r="B47" s="249" t="s">
        <v>60</v>
      </c>
    </row>
    <row r="48" spans="2:8" x14ac:dyDescent="0.25">
      <c r="B48" s="66" t="s">
        <v>61</v>
      </c>
    </row>
    <row r="49" spans="2:6" ht="25.5" x14ac:dyDescent="0.25">
      <c r="B49" s="241" t="s">
        <v>62</v>
      </c>
      <c r="C49" s="241" t="s">
        <v>63</v>
      </c>
      <c r="D49" s="241" t="s">
        <v>64</v>
      </c>
      <c r="E49" s="242" t="s">
        <v>65</v>
      </c>
      <c r="F49" s="243" t="s">
        <v>66</v>
      </c>
    </row>
    <row r="50" spans="2:6" x14ac:dyDescent="0.25">
      <c r="B50" s="244" t="s">
        <v>67</v>
      </c>
      <c r="C50" s="244" t="s">
        <v>68</v>
      </c>
      <c r="D50" s="245">
        <v>44957</v>
      </c>
      <c r="E50" s="244" t="s">
        <v>68</v>
      </c>
      <c r="F50" s="244" t="s">
        <v>68</v>
      </c>
    </row>
    <row r="51" spans="2:6" ht="30" x14ac:dyDescent="0.25">
      <c r="B51" s="244" t="s">
        <v>69</v>
      </c>
      <c r="C51" s="244" t="s">
        <v>70</v>
      </c>
      <c r="D51" s="245">
        <v>45016</v>
      </c>
      <c r="E51" s="244" t="s">
        <v>71</v>
      </c>
      <c r="F51" s="246" t="s">
        <v>72</v>
      </c>
    </row>
    <row r="300" spans="3:3" ht="31.5" x14ac:dyDescent="0.25">
      <c r="C300" s="170" t="s">
        <v>73</v>
      </c>
    </row>
    <row r="301" spans="3:3" ht="47.25" x14ac:dyDescent="0.25">
      <c r="C301" s="170" t="s">
        <v>74</v>
      </c>
    </row>
    <row r="302" spans="3:3" ht="31.5" x14ac:dyDescent="0.25">
      <c r="C302" s="171" t="s">
        <v>75</v>
      </c>
    </row>
    <row r="303" spans="3:3" ht="31.5" x14ac:dyDescent="0.25">
      <c r="C303" s="170" t="s">
        <v>76</v>
      </c>
    </row>
    <row r="304" spans="3:3" ht="47.25" x14ac:dyDescent="0.25">
      <c r="C304" s="170" t="s">
        <v>77</v>
      </c>
    </row>
    <row r="305" spans="3:3" ht="31.5" x14ac:dyDescent="0.25">
      <c r="C305" s="170" t="s">
        <v>78</v>
      </c>
    </row>
    <row r="306" spans="3:3" ht="47.25" x14ac:dyDescent="0.25">
      <c r="C306" s="171" t="s">
        <v>79</v>
      </c>
    </row>
    <row r="307" spans="3:3" ht="31.5" x14ac:dyDescent="0.25">
      <c r="C307" s="170" t="s">
        <v>80</v>
      </c>
    </row>
    <row r="308" spans="3:3" ht="15.75" x14ac:dyDescent="0.25">
      <c r="C308" s="170" t="s">
        <v>81</v>
      </c>
    </row>
    <row r="309" spans="3:3" ht="15.75" x14ac:dyDescent="0.25">
      <c r="C309" s="170" t="s">
        <v>82</v>
      </c>
    </row>
    <row r="310" spans="3:3" ht="31.5" x14ac:dyDescent="0.25">
      <c r="C310" s="170" t="s">
        <v>83</v>
      </c>
    </row>
    <row r="311" spans="3:3" ht="31.5" x14ac:dyDescent="0.25">
      <c r="C311" s="170" t="s">
        <v>84</v>
      </c>
    </row>
    <row r="312" spans="3:3" ht="15.75" x14ac:dyDescent="0.25">
      <c r="C312" s="170" t="s">
        <v>85</v>
      </c>
    </row>
    <row r="313" spans="3:3" ht="15.75" x14ac:dyDescent="0.25">
      <c r="C313" s="170" t="s">
        <v>86</v>
      </c>
    </row>
    <row r="314" spans="3:3" ht="15.75" x14ac:dyDescent="0.25">
      <c r="C314" s="170" t="s">
        <v>87</v>
      </c>
    </row>
    <row r="315" spans="3:3" ht="31.5" x14ac:dyDescent="0.25">
      <c r="C315" s="170" t="s">
        <v>88</v>
      </c>
    </row>
    <row r="316" spans="3:3" ht="31.5" x14ac:dyDescent="0.25">
      <c r="C316" s="170" t="s">
        <v>89</v>
      </c>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honeticPr fontId="88"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55"/>
  <sheetViews>
    <sheetView zoomScale="90" zoomScaleNormal="90" workbookViewId="0">
      <selection activeCell="B7" sqref="B7"/>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66"/>
      <c r="B1" s="553" t="s">
        <v>313</v>
      </c>
      <c r="C1" s="553"/>
      <c r="D1" s="553"/>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7" x14ac:dyDescent="0.2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row>
    <row r="3" spans="1:37" ht="25.5" x14ac:dyDescent="0.25">
      <c r="A3" s="66"/>
      <c r="B3" s="3"/>
      <c r="C3" s="4" t="s">
        <v>314</v>
      </c>
      <c r="D3" s="4" t="s">
        <v>264</v>
      </c>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1:37" ht="51" x14ac:dyDescent="0.25">
      <c r="A4" s="66"/>
      <c r="B4" s="5" t="s">
        <v>315</v>
      </c>
      <c r="C4" s="6" t="s">
        <v>316</v>
      </c>
      <c r="D4" s="7">
        <v>0.2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7" ht="51" x14ac:dyDescent="0.25">
      <c r="A5" s="66"/>
      <c r="B5" s="8" t="s">
        <v>317</v>
      </c>
      <c r="C5" s="9" t="s">
        <v>318</v>
      </c>
      <c r="D5" s="10">
        <v>0.4</v>
      </c>
      <c r="E5" s="66"/>
      <c r="F5" s="66"/>
      <c r="G5" s="66"/>
      <c r="H5" s="66"/>
      <c r="I5" s="66"/>
      <c r="J5" s="66"/>
      <c r="K5" s="66"/>
      <c r="L5" s="66"/>
      <c r="M5" s="66"/>
      <c r="N5" s="66"/>
      <c r="O5" s="66"/>
      <c r="P5" s="66"/>
      <c r="Q5" s="66"/>
      <c r="R5" s="66"/>
      <c r="S5" s="66"/>
      <c r="T5" s="66"/>
      <c r="U5" s="66"/>
      <c r="V5" s="66"/>
      <c r="W5" s="66"/>
      <c r="X5" s="66"/>
      <c r="Y5" s="66"/>
      <c r="Z5" s="66"/>
      <c r="AA5" s="66"/>
      <c r="AB5" s="66"/>
      <c r="AC5" s="66"/>
      <c r="AD5" s="66"/>
      <c r="AE5" s="66"/>
    </row>
    <row r="6" spans="1:37" ht="51" x14ac:dyDescent="0.25">
      <c r="A6" s="66"/>
      <c r="B6" s="11" t="s">
        <v>319</v>
      </c>
      <c r="C6" s="9" t="s">
        <v>320</v>
      </c>
      <c r="D6" s="10">
        <v>0.6</v>
      </c>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7" ht="76.5" x14ac:dyDescent="0.25">
      <c r="A7" s="66"/>
      <c r="B7" s="12" t="s">
        <v>321</v>
      </c>
      <c r="C7" s="9" t="s">
        <v>322</v>
      </c>
      <c r="D7" s="10">
        <v>0.8</v>
      </c>
      <c r="E7" s="66"/>
      <c r="F7" s="66"/>
      <c r="G7" s="66"/>
      <c r="H7" s="66"/>
      <c r="I7" s="66"/>
      <c r="J7" s="66"/>
      <c r="K7" s="66"/>
      <c r="L7" s="66"/>
      <c r="M7" s="66"/>
      <c r="N7" s="66"/>
      <c r="O7" s="66"/>
      <c r="P7" s="66"/>
      <c r="Q7" s="66"/>
      <c r="R7" s="66"/>
      <c r="S7" s="66"/>
      <c r="T7" s="66"/>
      <c r="U7" s="66"/>
      <c r="V7" s="66"/>
      <c r="W7" s="66"/>
      <c r="X7" s="66"/>
      <c r="Y7" s="66"/>
      <c r="Z7" s="66"/>
      <c r="AA7" s="66"/>
      <c r="AB7" s="66"/>
      <c r="AC7" s="66"/>
      <c r="AD7" s="66"/>
      <c r="AE7" s="66"/>
    </row>
    <row r="8" spans="1:37" ht="51" x14ac:dyDescent="0.25">
      <c r="A8" s="66"/>
      <c r="B8" s="13" t="s">
        <v>323</v>
      </c>
      <c r="C8" s="9" t="s">
        <v>324</v>
      </c>
      <c r="D8" s="10">
        <v>1</v>
      </c>
      <c r="E8" s="66"/>
      <c r="F8" s="66"/>
      <c r="G8" s="66"/>
      <c r="H8" s="66"/>
      <c r="I8" s="66"/>
      <c r="J8" s="66"/>
      <c r="K8" s="66"/>
      <c r="L8" s="66"/>
      <c r="M8" s="66"/>
      <c r="N8" s="66"/>
      <c r="O8" s="66"/>
      <c r="P8" s="66"/>
      <c r="Q8" s="66"/>
      <c r="R8" s="66"/>
      <c r="S8" s="66"/>
      <c r="T8" s="66"/>
      <c r="U8" s="66"/>
      <c r="V8" s="66"/>
      <c r="W8" s="66"/>
      <c r="X8" s="66"/>
      <c r="Y8" s="66"/>
      <c r="Z8" s="66"/>
      <c r="AA8" s="66"/>
      <c r="AB8" s="66"/>
      <c r="AC8" s="66"/>
      <c r="AD8" s="66"/>
      <c r="AE8" s="66"/>
    </row>
    <row r="9" spans="1:37" x14ac:dyDescent="0.25">
      <c r="A9" s="66"/>
      <c r="B9" s="88"/>
      <c r="C9" s="88"/>
      <c r="D9" s="88"/>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row>
    <row r="10" spans="1:37" ht="16.5" x14ac:dyDescent="0.25">
      <c r="A10" s="66"/>
      <c r="B10" s="89"/>
      <c r="C10" s="88"/>
      <c r="D10" s="88"/>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row>
    <row r="11" spans="1:37" x14ac:dyDescent="0.25">
      <c r="A11" s="66"/>
      <c r="B11" s="88"/>
      <c r="C11" s="88"/>
      <c r="D11" s="88"/>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row>
    <row r="12" spans="1:37" x14ac:dyDescent="0.25">
      <c r="A12" s="66"/>
      <c r="B12" s="88"/>
      <c r="C12" s="88"/>
      <c r="D12" s="88"/>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row>
    <row r="13" spans="1:37" x14ac:dyDescent="0.25">
      <c r="A13" s="66"/>
      <c r="B13" s="88"/>
      <c r="C13" s="88"/>
      <c r="D13" s="88"/>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row>
    <row r="14" spans="1:37" x14ac:dyDescent="0.25">
      <c r="A14" s="66"/>
      <c r="B14" s="88"/>
      <c r="C14" s="88"/>
      <c r="D14" s="88"/>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row>
    <row r="15" spans="1:37" x14ac:dyDescent="0.25">
      <c r="A15" s="66"/>
      <c r="B15" s="88"/>
      <c r="C15" s="88"/>
      <c r="D15" s="88"/>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row>
    <row r="16" spans="1:37" x14ac:dyDescent="0.25">
      <c r="A16" s="66"/>
      <c r="B16" s="88"/>
      <c r="C16" s="88"/>
      <c r="D16" s="88"/>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row>
    <row r="17" spans="1:37" x14ac:dyDescent="0.25">
      <c r="A17" s="66"/>
      <c r="B17" s="88"/>
      <c r="C17" s="88"/>
      <c r="D17" s="88"/>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row>
    <row r="18" spans="1:37" x14ac:dyDescent="0.25">
      <c r="A18" s="66"/>
      <c r="B18" s="88"/>
      <c r="C18" s="88"/>
      <c r="D18" s="88"/>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row>
    <row r="19" spans="1:37" x14ac:dyDescent="0.2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row>
    <row r="20" spans="1:37" x14ac:dyDescent="0.25">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row>
    <row r="21" spans="1:37" x14ac:dyDescent="0.2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row>
    <row r="22" spans="1:37" x14ac:dyDescent="0.2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row>
    <row r="23" spans="1:37" x14ac:dyDescent="0.2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row>
    <row r="24" spans="1:37" x14ac:dyDescent="0.2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row>
    <row r="25" spans="1:37" x14ac:dyDescent="0.2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row>
    <row r="26" spans="1:37" x14ac:dyDescent="0.2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row>
    <row r="27" spans="1:37" x14ac:dyDescent="0.2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row>
    <row r="28" spans="1:37" x14ac:dyDescent="0.2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row>
    <row r="29" spans="1:37" x14ac:dyDescent="0.2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row>
    <row r="30" spans="1:37" x14ac:dyDescent="0.2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row>
    <row r="31" spans="1:37" x14ac:dyDescent="0.2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row>
    <row r="32" spans="1:37" x14ac:dyDescent="0.2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row>
    <row r="33" spans="1:31" x14ac:dyDescent="0.25">
      <c r="A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row>
    <row r="34" spans="1:31" x14ac:dyDescent="0.25">
      <c r="A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row>
    <row r="35" spans="1:31" x14ac:dyDescent="0.25">
      <c r="A35" s="66"/>
    </row>
    <row r="36" spans="1:31" x14ac:dyDescent="0.25">
      <c r="A36" s="66"/>
    </row>
    <row r="37" spans="1:31" x14ac:dyDescent="0.25">
      <c r="A37" s="66"/>
    </row>
    <row r="38" spans="1:31" x14ac:dyDescent="0.25">
      <c r="A38" s="66"/>
    </row>
    <row r="39" spans="1:31" x14ac:dyDescent="0.25">
      <c r="A39" s="66"/>
    </row>
    <row r="40" spans="1:31" x14ac:dyDescent="0.25">
      <c r="A40" s="66"/>
    </row>
    <row r="41" spans="1:31" x14ac:dyDescent="0.25">
      <c r="A41" s="66"/>
    </row>
    <row r="42" spans="1:31" x14ac:dyDescent="0.25">
      <c r="A42" s="66"/>
    </row>
    <row r="43" spans="1:31" x14ac:dyDescent="0.25">
      <c r="A43" s="66"/>
    </row>
    <row r="44" spans="1:31" x14ac:dyDescent="0.25">
      <c r="A44" s="66"/>
    </row>
    <row r="45" spans="1:31" x14ac:dyDescent="0.25">
      <c r="A45" s="66"/>
    </row>
    <row r="46" spans="1:31" x14ac:dyDescent="0.25">
      <c r="A46" s="66"/>
    </row>
    <row r="47" spans="1:31" x14ac:dyDescent="0.25">
      <c r="A47" s="66"/>
    </row>
    <row r="48" spans="1:31" x14ac:dyDescent="0.25">
      <c r="A48" s="66"/>
    </row>
    <row r="49" spans="1:1" x14ac:dyDescent="0.25">
      <c r="A49" s="66"/>
    </row>
    <row r="50" spans="1:1" x14ac:dyDescent="0.25">
      <c r="A50" s="66"/>
    </row>
    <row r="51" spans="1:1" x14ac:dyDescent="0.25">
      <c r="A51" s="66"/>
    </row>
    <row r="52" spans="1:1" x14ac:dyDescent="0.25">
      <c r="A52" s="66"/>
    </row>
    <row r="53" spans="1:1" x14ac:dyDescent="0.25">
      <c r="A53" s="66"/>
    </row>
    <row r="54" spans="1:1" x14ac:dyDescent="0.25">
      <c r="A54" s="66"/>
    </row>
    <row r="55" spans="1:1" x14ac:dyDescent="0.25">
      <c r="A55" s="66"/>
    </row>
  </sheetData>
  <mergeCells count="1">
    <mergeCell ref="B1:D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U233"/>
  <sheetViews>
    <sheetView zoomScale="50" zoomScaleNormal="50" workbookViewId="0">
      <selection activeCell="D7" sqref="D7"/>
    </sheetView>
  </sheetViews>
  <sheetFormatPr baseColWidth="10" defaultColWidth="11.42578125" defaultRowHeight="15" x14ac:dyDescent="0.25"/>
  <cols>
    <col min="1" max="1" width="5.28515625" customWidth="1"/>
    <col min="2" max="2" width="56.85546875" customWidth="1"/>
    <col min="3" max="3" width="75.140625" customWidth="1"/>
    <col min="4" max="4" width="87.5703125" customWidth="1"/>
    <col min="5" max="5" width="46.42578125" customWidth="1"/>
    <col min="6" max="6" width="23.42578125" style="114" customWidth="1"/>
    <col min="7" max="7" width="26.85546875" customWidth="1"/>
  </cols>
  <sheetData>
    <row r="2" spans="1:21" s="184" customFormat="1" ht="45.75" customHeight="1" x14ac:dyDescent="0.25">
      <c r="A2" s="182"/>
      <c r="B2" s="554" t="s">
        <v>325</v>
      </c>
      <c r="C2" s="554"/>
      <c r="D2" s="554"/>
      <c r="E2" s="554"/>
      <c r="F2" s="183"/>
      <c r="G2" s="182"/>
      <c r="H2" s="182"/>
      <c r="I2" s="182"/>
      <c r="J2" s="182"/>
      <c r="K2" s="182"/>
      <c r="L2" s="182"/>
      <c r="M2" s="182"/>
      <c r="N2" s="182"/>
      <c r="O2" s="182"/>
      <c r="P2" s="182"/>
      <c r="Q2" s="182"/>
      <c r="R2" s="182"/>
      <c r="S2" s="182"/>
      <c r="T2" s="182"/>
      <c r="U2" s="182"/>
    </row>
    <row r="3" spans="1:21" s="184" customFormat="1" ht="18.75" customHeight="1" x14ac:dyDescent="0.25">
      <c r="A3" s="182"/>
      <c r="B3" s="185"/>
      <c r="C3" s="182"/>
      <c r="D3" s="182"/>
      <c r="E3" s="182"/>
      <c r="F3" s="183"/>
      <c r="G3" s="182"/>
      <c r="H3" s="182"/>
      <c r="I3" s="182"/>
      <c r="J3" s="182"/>
      <c r="K3" s="182"/>
      <c r="L3" s="182"/>
      <c r="M3" s="182"/>
      <c r="N3" s="182"/>
      <c r="O3" s="182"/>
      <c r="P3" s="182"/>
      <c r="Q3" s="182"/>
      <c r="R3" s="182"/>
      <c r="S3" s="182"/>
      <c r="T3" s="182"/>
      <c r="U3" s="182"/>
    </row>
    <row r="4" spans="1:21" ht="67.5" customHeight="1" x14ac:dyDescent="0.25">
      <c r="A4" s="66"/>
      <c r="B4" s="106"/>
      <c r="C4" s="21" t="s">
        <v>326</v>
      </c>
      <c r="D4" s="21" t="s">
        <v>327</v>
      </c>
      <c r="E4" s="21" t="s">
        <v>328</v>
      </c>
      <c r="F4" s="112"/>
      <c r="G4" s="66"/>
      <c r="H4" s="66"/>
      <c r="I4" s="66"/>
      <c r="J4" s="66"/>
      <c r="K4" s="66"/>
      <c r="L4" s="66"/>
      <c r="M4" s="66"/>
      <c r="N4" s="66"/>
      <c r="O4" s="66"/>
      <c r="P4" s="66"/>
      <c r="Q4" s="66"/>
      <c r="R4" s="66"/>
      <c r="S4" s="66"/>
      <c r="T4" s="66"/>
      <c r="U4" s="66"/>
    </row>
    <row r="5" spans="1:21" ht="67.5" customHeight="1" x14ac:dyDescent="0.25">
      <c r="A5" s="86" t="s">
        <v>329</v>
      </c>
      <c r="B5" s="22" t="s">
        <v>330</v>
      </c>
      <c r="C5" s="27" t="s">
        <v>331</v>
      </c>
      <c r="D5" s="104" t="s">
        <v>332</v>
      </c>
      <c r="E5" s="220">
        <f>908526*130</f>
        <v>118108380</v>
      </c>
      <c r="F5" s="66"/>
      <c r="G5" s="66"/>
      <c r="H5" s="66"/>
      <c r="I5" s="66"/>
      <c r="J5" s="66"/>
      <c r="K5" s="66"/>
      <c r="L5" s="66"/>
      <c r="M5" s="66"/>
      <c r="N5" s="66"/>
      <c r="O5" s="66"/>
      <c r="P5" s="66"/>
      <c r="Q5" s="66"/>
      <c r="R5" s="66"/>
      <c r="S5" s="66"/>
      <c r="T5" s="66"/>
      <c r="U5" s="66"/>
    </row>
    <row r="6" spans="1:21" ht="129" customHeight="1" x14ac:dyDescent="0.25">
      <c r="A6" s="86" t="s">
        <v>333</v>
      </c>
      <c r="B6" s="23" t="s">
        <v>334</v>
      </c>
      <c r="C6" s="28" t="s">
        <v>335</v>
      </c>
      <c r="D6" s="105" t="s">
        <v>336</v>
      </c>
      <c r="E6" s="220">
        <f>908526*650</f>
        <v>590541900</v>
      </c>
      <c r="F6" s="66"/>
      <c r="G6" s="66"/>
      <c r="H6" s="66"/>
      <c r="I6" s="66"/>
      <c r="J6" s="66"/>
      <c r="K6" s="66"/>
      <c r="L6" s="66"/>
      <c r="M6" s="66"/>
      <c r="N6" s="66"/>
      <c r="O6" s="66"/>
      <c r="P6" s="66"/>
      <c r="Q6" s="66"/>
      <c r="R6" s="66"/>
      <c r="S6" s="66"/>
      <c r="T6" s="66"/>
      <c r="U6" s="66"/>
    </row>
    <row r="7" spans="1:21" ht="101.25" x14ac:dyDescent="0.25">
      <c r="A7" s="86" t="s">
        <v>270</v>
      </c>
      <c r="B7" s="24" t="s">
        <v>337</v>
      </c>
      <c r="C7" s="28" t="s">
        <v>338</v>
      </c>
      <c r="D7" s="105" t="s">
        <v>339</v>
      </c>
      <c r="E7" s="220">
        <f>908526*1300</f>
        <v>1181083800</v>
      </c>
      <c r="F7" s="66"/>
      <c r="G7" s="66"/>
      <c r="H7" s="66"/>
      <c r="I7" s="66"/>
      <c r="J7" s="66"/>
      <c r="K7" s="66"/>
      <c r="L7" s="66"/>
      <c r="M7" s="66"/>
      <c r="N7" s="66"/>
      <c r="O7" s="66"/>
      <c r="P7" s="66"/>
      <c r="Q7" s="66"/>
      <c r="R7" s="66"/>
      <c r="S7" s="66"/>
      <c r="T7" s="66"/>
      <c r="U7" s="66"/>
    </row>
    <row r="8" spans="1:21" ht="135" x14ac:dyDescent="0.25">
      <c r="A8" s="86" t="s">
        <v>340</v>
      </c>
      <c r="B8" s="25" t="s">
        <v>341</v>
      </c>
      <c r="C8" s="28" t="s">
        <v>342</v>
      </c>
      <c r="D8" s="105" t="s">
        <v>343</v>
      </c>
      <c r="E8" s="220">
        <f>908526*6500</f>
        <v>5905419000</v>
      </c>
      <c r="F8" s="66"/>
      <c r="G8" s="66"/>
      <c r="H8" s="66"/>
      <c r="I8" s="66"/>
      <c r="J8" s="66"/>
      <c r="K8" s="66"/>
      <c r="L8" s="66"/>
      <c r="M8" s="66"/>
      <c r="N8" s="66"/>
      <c r="O8" s="66"/>
      <c r="P8" s="66"/>
      <c r="Q8" s="66"/>
      <c r="R8" s="66"/>
      <c r="S8" s="66"/>
      <c r="T8" s="66"/>
      <c r="U8" s="66"/>
    </row>
    <row r="9" spans="1:21" ht="101.25" x14ac:dyDescent="0.25">
      <c r="A9" s="86" t="s">
        <v>344</v>
      </c>
      <c r="B9" s="26" t="s">
        <v>345</v>
      </c>
      <c r="C9" s="28" t="s">
        <v>346</v>
      </c>
      <c r="D9" s="105" t="s">
        <v>347</v>
      </c>
      <c r="E9" s="220"/>
      <c r="F9" s="107"/>
      <c r="G9" s="107"/>
      <c r="H9" s="66"/>
      <c r="I9" s="66"/>
      <c r="J9" s="66"/>
      <c r="K9" s="66"/>
      <c r="L9" s="66"/>
      <c r="M9" s="66"/>
      <c r="N9" s="66"/>
      <c r="O9" s="66"/>
      <c r="P9" s="66"/>
      <c r="Q9" s="66"/>
      <c r="R9" s="66"/>
      <c r="S9" s="66"/>
      <c r="T9" s="66"/>
      <c r="U9" s="66"/>
    </row>
    <row r="10" spans="1:21" s="110" customFormat="1" ht="20.25" hidden="1" x14ac:dyDescent="0.25">
      <c r="A10" s="108"/>
      <c r="B10" s="108"/>
      <c r="C10" s="109"/>
      <c r="D10" s="109"/>
      <c r="E10" s="108"/>
      <c r="F10" s="108"/>
      <c r="G10" s="108"/>
      <c r="H10" s="108"/>
      <c r="I10" s="108"/>
      <c r="J10" s="108"/>
      <c r="K10" s="108"/>
      <c r="L10" s="108"/>
      <c r="M10" s="108"/>
      <c r="N10" s="108"/>
      <c r="O10" s="108"/>
      <c r="P10" s="108"/>
      <c r="Q10" s="108"/>
      <c r="R10" s="108"/>
      <c r="S10" s="108"/>
      <c r="T10" s="108"/>
      <c r="U10" s="108"/>
    </row>
    <row r="11" spans="1:21" s="110" customFormat="1" ht="16.5" hidden="1" x14ac:dyDescent="0.25">
      <c r="A11" s="108"/>
      <c r="B11" s="111"/>
      <c r="C11" s="111"/>
      <c r="D11" s="111"/>
      <c r="E11" s="108"/>
      <c r="F11" s="108"/>
      <c r="G11" s="108"/>
      <c r="H11" s="108"/>
      <c r="I11" s="108"/>
      <c r="J11" s="108"/>
      <c r="K11" s="108"/>
      <c r="L11" s="108"/>
      <c r="M11" s="108"/>
      <c r="N11" s="108"/>
      <c r="O11" s="108"/>
      <c r="P11" s="108"/>
      <c r="Q11" s="108"/>
      <c r="R11" s="108"/>
      <c r="S11" s="108"/>
      <c r="T11" s="108"/>
      <c r="U11" s="108"/>
    </row>
    <row r="12" spans="1:21" s="110" customFormat="1" hidden="1" x14ac:dyDescent="0.25">
      <c r="A12" s="108"/>
      <c r="B12" s="108" t="s">
        <v>348</v>
      </c>
      <c r="C12" s="108" t="s">
        <v>349</v>
      </c>
      <c r="D12" s="108" t="s">
        <v>350</v>
      </c>
      <c r="E12" s="108"/>
      <c r="F12" s="108"/>
      <c r="G12" s="108"/>
      <c r="H12" s="108"/>
      <c r="I12" s="108"/>
      <c r="J12" s="108"/>
      <c r="K12" s="108"/>
      <c r="L12" s="108"/>
      <c r="M12" s="108"/>
      <c r="N12" s="108"/>
      <c r="O12" s="108"/>
      <c r="P12" s="108"/>
      <c r="Q12" s="108"/>
      <c r="R12" s="108"/>
      <c r="S12" s="108"/>
      <c r="T12" s="108"/>
      <c r="U12" s="108"/>
    </row>
    <row r="13" spans="1:21" s="110" customFormat="1" hidden="1" x14ac:dyDescent="0.25">
      <c r="A13" s="108"/>
      <c r="B13" s="108" t="s">
        <v>351</v>
      </c>
      <c r="C13" s="108" t="s">
        <v>352</v>
      </c>
      <c r="D13" s="108" t="s">
        <v>353</v>
      </c>
      <c r="E13" s="108"/>
      <c r="F13" s="108"/>
      <c r="G13" s="108"/>
      <c r="H13" s="108"/>
      <c r="I13" s="108"/>
      <c r="J13" s="108"/>
      <c r="K13" s="108"/>
      <c r="L13" s="108"/>
      <c r="M13" s="108"/>
      <c r="N13" s="108"/>
      <c r="O13" s="108"/>
      <c r="P13" s="108"/>
      <c r="Q13" s="108"/>
      <c r="R13" s="108"/>
      <c r="S13" s="108"/>
      <c r="T13" s="108"/>
      <c r="U13" s="108"/>
    </row>
    <row r="14" spans="1:21" s="110" customFormat="1" hidden="1" x14ac:dyDescent="0.25">
      <c r="A14" s="108"/>
      <c r="B14" s="108"/>
      <c r="C14" s="108" t="s">
        <v>354</v>
      </c>
      <c r="D14" s="108" t="s">
        <v>253</v>
      </c>
      <c r="E14" s="108"/>
      <c r="F14" s="108"/>
      <c r="G14" s="108"/>
      <c r="H14" s="108"/>
      <c r="I14" s="108"/>
      <c r="J14" s="108"/>
      <c r="K14" s="108"/>
      <c r="L14" s="108"/>
      <c r="M14" s="108"/>
      <c r="N14" s="108"/>
      <c r="O14" s="108"/>
      <c r="P14" s="108"/>
      <c r="Q14" s="108"/>
      <c r="R14" s="108"/>
      <c r="S14" s="108"/>
      <c r="T14" s="108"/>
      <c r="U14" s="108"/>
    </row>
    <row r="15" spans="1:21" s="110" customFormat="1" hidden="1" x14ac:dyDescent="0.25">
      <c r="A15" s="108"/>
      <c r="B15" s="108"/>
      <c r="C15" s="108" t="s">
        <v>355</v>
      </c>
      <c r="D15" s="108" t="s">
        <v>356</v>
      </c>
      <c r="E15" s="108"/>
      <c r="F15" s="108"/>
      <c r="G15" s="108"/>
      <c r="H15" s="108"/>
      <c r="I15" s="108"/>
      <c r="J15" s="108"/>
      <c r="K15" s="108"/>
      <c r="L15" s="108"/>
      <c r="M15" s="108"/>
      <c r="N15" s="108"/>
      <c r="O15" s="108"/>
      <c r="P15" s="108"/>
      <c r="Q15" s="108"/>
      <c r="R15" s="108"/>
      <c r="S15" s="108"/>
      <c r="T15" s="108"/>
      <c r="U15" s="108"/>
    </row>
    <row r="16" spans="1:21" s="110" customFormat="1" hidden="1" x14ac:dyDescent="0.25">
      <c r="A16" s="108"/>
      <c r="B16" s="108"/>
      <c r="C16" s="108" t="s">
        <v>357</v>
      </c>
      <c r="D16" s="108" t="s">
        <v>358</v>
      </c>
      <c r="E16" s="108"/>
      <c r="F16" s="108"/>
      <c r="G16" s="108"/>
      <c r="H16" s="108"/>
      <c r="I16" s="108"/>
      <c r="J16" s="108"/>
      <c r="K16" s="108"/>
      <c r="L16" s="108"/>
      <c r="M16" s="108"/>
      <c r="N16" s="108"/>
      <c r="O16" s="108"/>
      <c r="P16" s="108"/>
      <c r="Q16" s="108"/>
      <c r="R16" s="108"/>
      <c r="S16" s="108"/>
      <c r="T16" s="108"/>
      <c r="U16" s="108"/>
    </row>
    <row r="17" spans="1:15" s="110" customFormat="1" hidden="1" x14ac:dyDescent="0.25">
      <c r="A17" s="108"/>
      <c r="B17" s="108"/>
      <c r="C17" s="108"/>
      <c r="D17" s="108"/>
      <c r="E17" s="108"/>
      <c r="F17" s="108"/>
      <c r="G17" s="108"/>
      <c r="H17" s="108"/>
      <c r="I17" s="108"/>
      <c r="J17" s="108"/>
      <c r="K17" s="108"/>
      <c r="L17" s="108"/>
      <c r="M17" s="108"/>
      <c r="N17" s="108"/>
      <c r="O17" s="108"/>
    </row>
    <row r="18" spans="1:15" s="110" customFormat="1" x14ac:dyDescent="0.25">
      <c r="A18" s="108"/>
      <c r="B18" s="108"/>
      <c r="C18" s="108"/>
      <c r="D18" s="108"/>
      <c r="E18" s="108"/>
      <c r="F18" s="108"/>
      <c r="G18" s="108"/>
      <c r="H18" s="108"/>
      <c r="I18" s="108"/>
      <c r="J18" s="108"/>
      <c r="K18" s="108"/>
      <c r="L18" s="108"/>
      <c r="M18" s="108"/>
      <c r="N18" s="108"/>
      <c r="O18" s="108"/>
    </row>
    <row r="19" spans="1:15" s="110" customFormat="1" x14ac:dyDescent="0.25">
      <c r="A19" s="108"/>
      <c r="B19" s="108"/>
      <c r="C19" s="108"/>
      <c r="D19" s="108"/>
      <c r="E19" s="108"/>
      <c r="F19" s="108"/>
      <c r="G19" s="108"/>
      <c r="H19" s="108"/>
      <c r="I19" s="108"/>
      <c r="J19" s="108"/>
      <c r="K19" s="108"/>
      <c r="L19" s="108"/>
      <c r="M19" s="108"/>
      <c r="N19" s="108"/>
      <c r="O19" s="108"/>
    </row>
    <row r="20" spans="1:15" s="110" customFormat="1" x14ac:dyDescent="0.25">
      <c r="A20" s="108"/>
      <c r="B20" s="108"/>
      <c r="C20" s="108"/>
      <c r="D20" s="108"/>
      <c r="E20" s="108"/>
      <c r="F20" s="108"/>
      <c r="G20" s="108"/>
      <c r="H20" s="108"/>
      <c r="I20" s="108"/>
      <c r="J20" s="108"/>
      <c r="K20" s="108"/>
      <c r="L20" s="108"/>
      <c r="M20" s="108"/>
      <c r="N20" s="108"/>
      <c r="O20" s="108"/>
    </row>
    <row r="21" spans="1:15" s="110" customFormat="1" x14ac:dyDescent="0.25">
      <c r="A21" s="108"/>
      <c r="B21" s="108"/>
      <c r="C21" s="108"/>
      <c r="D21" s="108"/>
      <c r="E21" s="108"/>
      <c r="F21" s="113"/>
      <c r="G21" s="108"/>
      <c r="H21" s="108"/>
      <c r="I21" s="108"/>
      <c r="J21" s="108"/>
      <c r="K21" s="108"/>
      <c r="L21" s="108"/>
      <c r="M21" s="108"/>
      <c r="N21" s="108"/>
      <c r="O21" s="108"/>
    </row>
    <row r="22" spans="1:15" s="110" customFormat="1" x14ac:dyDescent="0.25">
      <c r="A22" s="108"/>
      <c r="B22" s="108"/>
      <c r="C22" s="108"/>
      <c r="D22" s="108"/>
      <c r="E22" s="108"/>
      <c r="F22" s="113"/>
      <c r="G22" s="108"/>
      <c r="H22" s="108"/>
      <c r="I22" s="108"/>
      <c r="J22" s="108"/>
      <c r="K22" s="108"/>
      <c r="L22" s="108"/>
      <c r="M22" s="108"/>
      <c r="N22" s="108"/>
      <c r="O22" s="108"/>
    </row>
    <row r="23" spans="1:15" s="110" customFormat="1" ht="20.25" x14ac:dyDescent="0.25">
      <c r="A23" s="108"/>
      <c r="B23" s="108"/>
      <c r="C23" s="109"/>
      <c r="D23" s="109"/>
      <c r="E23" s="108"/>
      <c r="F23" s="113"/>
      <c r="G23" s="108"/>
      <c r="H23" s="108"/>
      <c r="I23" s="108"/>
      <c r="J23" s="108"/>
      <c r="K23" s="108"/>
      <c r="L23" s="108"/>
      <c r="M23" s="108"/>
      <c r="N23" s="108"/>
      <c r="O23" s="108"/>
    </row>
    <row r="24" spans="1:15" s="110" customFormat="1" ht="20.25" x14ac:dyDescent="0.25">
      <c r="A24" s="108"/>
      <c r="B24" s="108"/>
      <c r="C24" s="109"/>
      <c r="D24" s="109"/>
      <c r="E24" s="108"/>
      <c r="F24" s="113"/>
      <c r="G24" s="108"/>
      <c r="H24" s="108"/>
      <c r="I24" s="108"/>
      <c r="J24" s="108"/>
      <c r="K24" s="108"/>
      <c r="L24" s="108"/>
      <c r="M24" s="108"/>
      <c r="N24" s="108"/>
      <c r="O24" s="108"/>
    </row>
    <row r="25" spans="1:15" s="110" customFormat="1" ht="20.25" x14ac:dyDescent="0.25">
      <c r="A25" s="108"/>
      <c r="B25" s="108"/>
      <c r="C25" s="109"/>
      <c r="D25" s="109"/>
      <c r="E25" s="108"/>
      <c r="F25" s="113"/>
      <c r="G25" s="108"/>
      <c r="H25" s="108"/>
      <c r="I25" s="108"/>
      <c r="J25" s="108"/>
      <c r="K25" s="108"/>
      <c r="L25" s="108"/>
      <c r="M25" s="108"/>
      <c r="N25" s="108"/>
      <c r="O25" s="108"/>
    </row>
    <row r="26" spans="1:15" s="110" customFormat="1" ht="20.25" x14ac:dyDescent="0.25">
      <c r="A26" s="108"/>
      <c r="B26" s="108"/>
      <c r="C26" s="109"/>
      <c r="D26" s="109"/>
      <c r="E26" s="108"/>
      <c r="F26" s="113"/>
      <c r="G26" s="108"/>
      <c r="H26" s="108"/>
      <c r="I26" s="108"/>
      <c r="J26" s="108"/>
      <c r="K26" s="108"/>
      <c r="L26" s="108"/>
      <c r="M26" s="108"/>
      <c r="N26" s="108"/>
      <c r="O26" s="108"/>
    </row>
    <row r="27" spans="1:15" s="110" customFormat="1" ht="20.25" x14ac:dyDescent="0.25">
      <c r="A27" s="108"/>
      <c r="B27" s="108"/>
      <c r="C27" s="109"/>
      <c r="D27" s="109"/>
      <c r="E27" s="108"/>
      <c r="F27" s="113"/>
      <c r="G27" s="108"/>
      <c r="H27" s="108"/>
      <c r="I27" s="108"/>
      <c r="J27" s="108"/>
      <c r="K27" s="108"/>
      <c r="L27" s="108"/>
      <c r="M27" s="108"/>
      <c r="N27" s="108"/>
      <c r="O27" s="108"/>
    </row>
    <row r="28" spans="1:15" s="110" customFormat="1" ht="20.25" x14ac:dyDescent="0.25">
      <c r="A28" s="108"/>
      <c r="B28" s="108"/>
      <c r="C28" s="109"/>
      <c r="D28" s="109"/>
      <c r="E28" s="108"/>
      <c r="F28" s="113"/>
      <c r="G28" s="108"/>
      <c r="H28" s="108"/>
      <c r="I28" s="108"/>
      <c r="J28" s="108"/>
      <c r="K28" s="108"/>
      <c r="L28" s="108"/>
      <c r="M28" s="108"/>
      <c r="N28" s="108"/>
      <c r="O28" s="108"/>
    </row>
    <row r="29" spans="1:15" s="110" customFormat="1" ht="20.25" x14ac:dyDescent="0.25">
      <c r="A29" s="108"/>
      <c r="B29" s="108"/>
      <c r="C29" s="109"/>
      <c r="D29" s="109"/>
      <c r="E29" s="108"/>
      <c r="F29" s="113"/>
      <c r="G29" s="108"/>
      <c r="H29" s="108"/>
      <c r="I29" s="108"/>
      <c r="J29" s="108"/>
      <c r="K29" s="108"/>
      <c r="L29" s="108"/>
      <c r="M29" s="108"/>
      <c r="N29" s="108"/>
      <c r="O29" s="108"/>
    </row>
    <row r="30" spans="1:15" s="110" customFormat="1" ht="20.25" x14ac:dyDescent="0.25">
      <c r="A30" s="108"/>
      <c r="B30" s="108"/>
      <c r="C30" s="109"/>
      <c r="D30" s="109"/>
      <c r="E30" s="108"/>
      <c r="F30" s="113"/>
      <c r="G30" s="108"/>
      <c r="H30" s="108"/>
      <c r="I30" s="108"/>
      <c r="J30" s="108"/>
      <c r="K30" s="108"/>
      <c r="L30" s="108"/>
      <c r="M30" s="108"/>
      <c r="N30" s="108"/>
      <c r="O30" s="108"/>
    </row>
    <row r="31" spans="1:15" s="110" customFormat="1" ht="20.25" x14ac:dyDescent="0.25">
      <c r="A31" s="108"/>
      <c r="B31" s="108"/>
      <c r="C31" s="109"/>
      <c r="D31" s="109"/>
      <c r="E31" s="108"/>
      <c r="F31" s="113"/>
      <c r="G31" s="108"/>
      <c r="H31" s="108"/>
      <c r="I31" s="108"/>
      <c r="J31" s="108"/>
      <c r="K31" s="108"/>
      <c r="L31" s="108"/>
      <c r="M31" s="108"/>
      <c r="N31" s="108"/>
      <c r="O31" s="108"/>
    </row>
    <row r="32" spans="1:15" s="110" customFormat="1" ht="20.25" x14ac:dyDescent="0.25">
      <c r="A32" s="108"/>
      <c r="B32" s="108"/>
      <c r="C32" s="109"/>
      <c r="D32" s="109"/>
      <c r="E32" s="108"/>
      <c r="F32" s="113"/>
      <c r="G32" s="108"/>
      <c r="H32" s="108"/>
      <c r="I32" s="108"/>
      <c r="J32" s="108"/>
      <c r="K32" s="108"/>
      <c r="L32" s="108"/>
      <c r="M32" s="108"/>
      <c r="N32" s="108"/>
      <c r="O32" s="108"/>
    </row>
    <row r="33" spans="1:15" s="110" customFormat="1" ht="20.25" x14ac:dyDescent="0.25">
      <c r="A33" s="108"/>
      <c r="B33" s="108"/>
      <c r="C33" s="109"/>
      <c r="D33" s="109"/>
      <c r="E33" s="108"/>
      <c r="F33" s="113"/>
      <c r="G33" s="108"/>
      <c r="H33" s="108"/>
      <c r="I33" s="108"/>
      <c r="J33" s="108"/>
      <c r="K33" s="108"/>
      <c r="L33" s="108"/>
      <c r="M33" s="108"/>
      <c r="N33" s="108"/>
      <c r="O33" s="108"/>
    </row>
    <row r="34" spans="1:15" s="110" customFormat="1" ht="20.25" x14ac:dyDescent="0.25">
      <c r="A34" s="108"/>
      <c r="B34" s="108"/>
      <c r="C34" s="109"/>
      <c r="D34" s="109"/>
      <c r="E34" s="108"/>
      <c r="F34" s="113"/>
      <c r="G34" s="108"/>
      <c r="H34" s="108"/>
      <c r="I34" s="108"/>
      <c r="J34" s="108"/>
      <c r="K34" s="108"/>
      <c r="L34" s="108"/>
      <c r="M34" s="108"/>
      <c r="N34" s="108"/>
      <c r="O34" s="108"/>
    </row>
    <row r="35" spans="1:15" s="110" customFormat="1" ht="20.25" x14ac:dyDescent="0.25">
      <c r="A35" s="108"/>
      <c r="B35" s="108"/>
      <c r="C35" s="109"/>
      <c r="D35" s="109"/>
      <c r="E35" s="108"/>
      <c r="F35" s="113"/>
      <c r="G35" s="108"/>
      <c r="H35" s="108"/>
      <c r="I35" s="108"/>
      <c r="J35" s="108"/>
      <c r="K35" s="108"/>
      <c r="L35" s="108"/>
      <c r="M35" s="108"/>
      <c r="N35" s="108"/>
      <c r="O35" s="108"/>
    </row>
    <row r="36" spans="1:15" s="110" customFormat="1" ht="20.25" x14ac:dyDescent="0.25">
      <c r="A36" s="108"/>
      <c r="B36" s="108"/>
      <c r="C36" s="109"/>
      <c r="D36" s="109"/>
      <c r="E36" s="108"/>
      <c r="F36" s="113"/>
      <c r="G36" s="108"/>
      <c r="H36" s="108"/>
      <c r="I36" s="108"/>
      <c r="J36" s="108"/>
      <c r="K36" s="108"/>
      <c r="L36" s="108"/>
      <c r="M36" s="108"/>
      <c r="N36" s="108"/>
      <c r="O36" s="108"/>
    </row>
    <row r="37" spans="1:15" s="110" customFormat="1" ht="20.25" x14ac:dyDescent="0.25">
      <c r="A37" s="108"/>
      <c r="B37" s="108"/>
      <c r="C37" s="109"/>
      <c r="D37" s="109"/>
      <c r="E37" s="108"/>
      <c r="F37" s="113"/>
      <c r="G37" s="108"/>
      <c r="H37" s="108"/>
      <c r="I37" s="108"/>
      <c r="J37" s="108"/>
      <c r="K37" s="108"/>
      <c r="L37" s="108"/>
      <c r="M37" s="108"/>
      <c r="N37" s="108"/>
      <c r="O37" s="108"/>
    </row>
    <row r="38" spans="1:15" s="110" customFormat="1" ht="20.25" x14ac:dyDescent="0.25">
      <c r="A38" s="108"/>
      <c r="B38" s="108"/>
      <c r="C38" s="109"/>
      <c r="D38" s="109"/>
      <c r="E38" s="108"/>
      <c r="F38" s="113"/>
      <c r="G38" s="108"/>
      <c r="H38" s="108"/>
      <c r="I38" s="108"/>
      <c r="J38" s="108"/>
      <c r="K38" s="108"/>
      <c r="L38" s="108"/>
      <c r="M38" s="108"/>
      <c r="N38" s="108"/>
      <c r="O38" s="108"/>
    </row>
    <row r="39" spans="1:15" s="110" customFormat="1" ht="20.25" x14ac:dyDescent="0.25">
      <c r="A39" s="108"/>
      <c r="B39" s="108"/>
      <c r="C39" s="109"/>
      <c r="D39" s="109"/>
      <c r="E39" s="108"/>
      <c r="F39" s="113"/>
      <c r="G39" s="108"/>
      <c r="H39" s="108"/>
      <c r="I39" s="108"/>
      <c r="J39" s="108"/>
      <c r="K39" s="108"/>
      <c r="L39" s="108"/>
      <c r="M39" s="108"/>
      <c r="N39" s="108"/>
      <c r="O39" s="108"/>
    </row>
    <row r="40" spans="1:15" s="110" customFormat="1" ht="20.25" x14ac:dyDescent="0.25">
      <c r="A40" s="108"/>
      <c r="B40" s="108"/>
      <c r="C40" s="109"/>
      <c r="D40" s="109"/>
      <c r="E40" s="108"/>
      <c r="F40" s="113"/>
      <c r="G40" s="108"/>
      <c r="H40" s="108"/>
      <c r="I40" s="108"/>
      <c r="J40" s="108"/>
      <c r="K40" s="108"/>
      <c r="L40" s="108"/>
      <c r="M40" s="108"/>
      <c r="N40" s="108"/>
      <c r="O40" s="108"/>
    </row>
    <row r="41" spans="1:15" s="110" customFormat="1" ht="20.25" x14ac:dyDescent="0.25">
      <c r="A41" s="108"/>
      <c r="B41" s="108"/>
      <c r="C41" s="109"/>
      <c r="D41" s="109"/>
      <c r="E41" s="108"/>
      <c r="F41" s="113"/>
      <c r="G41" s="108"/>
      <c r="H41" s="108"/>
      <c r="I41" s="108"/>
      <c r="J41" s="108"/>
      <c r="K41" s="108"/>
      <c r="L41" s="108"/>
      <c r="M41" s="108"/>
      <c r="N41" s="108"/>
      <c r="O41" s="108"/>
    </row>
    <row r="42" spans="1:15" s="110" customFormat="1" ht="20.25" x14ac:dyDescent="0.25">
      <c r="A42" s="108"/>
      <c r="B42" s="108"/>
      <c r="C42" s="109"/>
      <c r="D42" s="109"/>
      <c r="E42" s="108"/>
      <c r="F42" s="113"/>
      <c r="G42" s="108"/>
      <c r="H42" s="108"/>
      <c r="I42" s="108"/>
      <c r="J42" s="108"/>
      <c r="K42" s="108"/>
      <c r="L42" s="108"/>
      <c r="M42" s="108"/>
      <c r="N42" s="108"/>
      <c r="O42" s="108"/>
    </row>
    <row r="43" spans="1:15" s="110" customFormat="1" ht="20.25" x14ac:dyDescent="0.25">
      <c r="A43" s="108"/>
      <c r="B43" s="108"/>
      <c r="C43" s="109"/>
      <c r="D43" s="109"/>
      <c r="E43" s="108"/>
      <c r="F43" s="113"/>
      <c r="G43" s="108"/>
      <c r="H43" s="108"/>
      <c r="I43" s="108"/>
      <c r="J43" s="108"/>
      <c r="K43" s="108"/>
      <c r="L43" s="108"/>
      <c r="M43" s="108"/>
      <c r="N43" s="108"/>
      <c r="O43" s="108"/>
    </row>
    <row r="44" spans="1:15" s="110" customFormat="1" ht="20.25" x14ac:dyDescent="0.25">
      <c r="A44" s="108"/>
      <c r="B44" s="108"/>
      <c r="C44" s="109"/>
      <c r="D44" s="109"/>
      <c r="E44" s="108"/>
      <c r="F44" s="113"/>
      <c r="G44" s="108"/>
      <c r="H44" s="108"/>
      <c r="I44" s="108"/>
      <c r="J44" s="108"/>
      <c r="K44" s="108"/>
      <c r="L44" s="108"/>
      <c r="M44" s="108"/>
      <c r="N44" s="108"/>
      <c r="O44" s="108"/>
    </row>
    <row r="45" spans="1:15" s="110" customFormat="1" ht="20.25" x14ac:dyDescent="0.25">
      <c r="A45" s="108"/>
      <c r="B45" s="108"/>
      <c r="C45" s="109"/>
      <c r="D45" s="109"/>
      <c r="E45" s="108"/>
      <c r="F45" s="113"/>
      <c r="G45" s="108"/>
      <c r="H45" s="108"/>
      <c r="I45" s="108"/>
      <c r="J45" s="108"/>
      <c r="K45" s="108"/>
      <c r="L45" s="108"/>
      <c r="M45" s="108"/>
      <c r="N45" s="108"/>
      <c r="O45" s="108"/>
    </row>
    <row r="46" spans="1:15" s="110" customFormat="1" ht="20.25" x14ac:dyDescent="0.25">
      <c r="A46" s="108"/>
      <c r="B46" s="108"/>
      <c r="C46" s="109"/>
      <c r="D46" s="109"/>
      <c r="E46" s="108"/>
      <c r="F46" s="113"/>
      <c r="G46" s="108"/>
      <c r="H46" s="108"/>
      <c r="I46" s="108"/>
      <c r="J46" s="108"/>
      <c r="K46" s="108"/>
      <c r="L46" s="108"/>
      <c r="M46" s="108"/>
      <c r="N46" s="108"/>
      <c r="O46" s="108"/>
    </row>
    <row r="47" spans="1:15" ht="20.25" x14ac:dyDescent="0.25">
      <c r="A47" s="86"/>
      <c r="B47" s="86"/>
      <c r="C47" s="87"/>
      <c r="D47" s="87"/>
      <c r="E47" s="66"/>
      <c r="F47" s="112"/>
      <c r="G47" s="66"/>
      <c r="H47" s="66"/>
      <c r="I47" s="66"/>
      <c r="J47" s="66"/>
      <c r="K47" s="66"/>
      <c r="L47" s="66"/>
      <c r="M47" s="66"/>
      <c r="N47" s="66"/>
      <c r="O47" s="66"/>
    </row>
    <row r="48" spans="1:15" ht="20.25" x14ac:dyDescent="0.25">
      <c r="A48" s="86"/>
      <c r="B48" s="86"/>
      <c r="C48" s="87"/>
      <c r="D48" s="87"/>
      <c r="E48" s="66"/>
      <c r="F48" s="112"/>
      <c r="G48" s="66"/>
      <c r="H48" s="66"/>
      <c r="I48" s="66"/>
      <c r="J48" s="66"/>
      <c r="K48" s="66"/>
      <c r="L48" s="66"/>
      <c r="M48" s="66"/>
      <c r="N48" s="66"/>
      <c r="O48" s="66"/>
    </row>
    <row r="49" spans="1:15" ht="20.25" x14ac:dyDescent="0.25">
      <c r="A49" s="86"/>
      <c r="B49" s="86"/>
      <c r="C49" s="87"/>
      <c r="D49" s="87"/>
      <c r="E49" s="66"/>
      <c r="F49" s="112"/>
      <c r="G49" s="66"/>
      <c r="H49" s="66"/>
      <c r="I49" s="66"/>
      <c r="J49" s="66"/>
      <c r="K49" s="66"/>
      <c r="L49" s="66"/>
      <c r="M49" s="66"/>
      <c r="N49" s="66"/>
      <c r="O49" s="66"/>
    </row>
    <row r="50" spans="1:15" ht="20.25" x14ac:dyDescent="0.25">
      <c r="A50" s="86"/>
      <c r="B50" s="86"/>
      <c r="C50" s="87"/>
      <c r="D50" s="87"/>
      <c r="E50" s="66"/>
      <c r="F50" s="112"/>
      <c r="G50" s="66"/>
      <c r="H50" s="66"/>
      <c r="I50" s="66"/>
      <c r="J50" s="66"/>
      <c r="K50" s="66"/>
      <c r="L50" s="66"/>
      <c r="M50" s="66"/>
      <c r="N50" s="66"/>
      <c r="O50" s="66"/>
    </row>
    <row r="51" spans="1:15" ht="20.25" x14ac:dyDescent="0.25">
      <c r="A51" s="86"/>
      <c r="B51" s="86"/>
      <c r="C51" s="87"/>
      <c r="D51" s="87"/>
      <c r="E51" s="66"/>
      <c r="F51" s="112"/>
      <c r="G51" s="66"/>
      <c r="H51" s="66"/>
      <c r="I51" s="66"/>
      <c r="J51" s="66"/>
      <c r="K51" s="66"/>
      <c r="L51" s="66"/>
      <c r="M51" s="66"/>
      <c r="N51" s="66"/>
      <c r="O51" s="66"/>
    </row>
    <row r="52" spans="1:15" ht="20.25" x14ac:dyDescent="0.25">
      <c r="A52" s="86"/>
      <c r="B52" s="86"/>
      <c r="C52" s="87"/>
      <c r="D52" s="87"/>
      <c r="E52" s="66"/>
      <c r="F52" s="112"/>
      <c r="G52" s="66"/>
      <c r="H52" s="66"/>
      <c r="I52" s="66"/>
      <c r="J52" s="66"/>
      <c r="K52" s="66"/>
      <c r="L52" s="66"/>
      <c r="M52" s="66"/>
      <c r="N52" s="66"/>
      <c r="O52" s="66"/>
    </row>
    <row r="53" spans="1:15" ht="20.25" x14ac:dyDescent="0.25">
      <c r="A53" s="86"/>
      <c r="B53" s="15"/>
      <c r="C53" s="20"/>
      <c r="D53" s="20"/>
    </row>
    <row r="54" spans="1:15" ht="20.25" x14ac:dyDescent="0.25">
      <c r="A54" s="86"/>
      <c r="B54" s="15"/>
      <c r="C54" s="20"/>
      <c r="D54" s="20"/>
    </row>
    <row r="55" spans="1:15" ht="20.25" x14ac:dyDescent="0.25">
      <c r="A55" s="86"/>
      <c r="B55" s="15"/>
      <c r="C55" s="20"/>
      <c r="D55" s="20"/>
    </row>
    <row r="56" spans="1:15" ht="20.25" x14ac:dyDescent="0.25">
      <c r="A56" s="86"/>
      <c r="B56" s="15"/>
      <c r="C56" s="20"/>
      <c r="D56" s="20"/>
    </row>
    <row r="57" spans="1:15" ht="20.25" x14ac:dyDescent="0.25">
      <c r="A57" s="86"/>
      <c r="B57" s="15"/>
      <c r="C57" s="20"/>
      <c r="D57" s="20"/>
    </row>
    <row r="58" spans="1:15" ht="20.25" x14ac:dyDescent="0.25">
      <c r="A58" s="86"/>
      <c r="B58" s="15"/>
      <c r="C58" s="20"/>
      <c r="D58" s="20"/>
    </row>
    <row r="59" spans="1:15" ht="20.25" x14ac:dyDescent="0.25">
      <c r="A59" s="86"/>
      <c r="B59" s="15"/>
      <c r="C59" s="20"/>
      <c r="D59" s="20"/>
    </row>
    <row r="60" spans="1:15" ht="20.25" x14ac:dyDescent="0.25">
      <c r="A60" s="86"/>
      <c r="B60" s="15"/>
      <c r="C60" s="20"/>
      <c r="D60" s="20"/>
    </row>
    <row r="61" spans="1:15" ht="20.25" x14ac:dyDescent="0.25">
      <c r="A61" s="86"/>
      <c r="B61" s="15"/>
      <c r="C61" s="20"/>
      <c r="D61" s="20"/>
    </row>
    <row r="62" spans="1:15" ht="20.25" x14ac:dyDescent="0.25">
      <c r="A62" s="86"/>
      <c r="B62" s="15"/>
      <c r="C62" s="20"/>
      <c r="D62" s="20"/>
    </row>
    <row r="63" spans="1:15" ht="20.25" x14ac:dyDescent="0.25">
      <c r="A63" s="86"/>
      <c r="B63" s="15"/>
      <c r="C63" s="20"/>
      <c r="D63" s="20"/>
    </row>
    <row r="64" spans="1:15" ht="20.25" x14ac:dyDescent="0.25">
      <c r="A64" s="86"/>
      <c r="B64" s="15"/>
      <c r="C64" s="20"/>
      <c r="D64" s="20"/>
    </row>
    <row r="65" spans="1:4" ht="20.25" x14ac:dyDescent="0.25">
      <c r="A65" s="86"/>
      <c r="B65" s="15"/>
      <c r="C65" s="20"/>
      <c r="D65" s="20"/>
    </row>
    <row r="66" spans="1:4" ht="20.25" x14ac:dyDescent="0.25">
      <c r="A66" s="86"/>
      <c r="B66" s="15"/>
      <c r="C66" s="20"/>
      <c r="D66" s="20"/>
    </row>
    <row r="67" spans="1:4" ht="20.25" x14ac:dyDescent="0.25">
      <c r="A67" s="86"/>
      <c r="B67" s="15"/>
      <c r="C67" s="20"/>
      <c r="D67" s="20"/>
    </row>
    <row r="68" spans="1:4" ht="20.25" x14ac:dyDescent="0.25">
      <c r="A68" s="86"/>
      <c r="B68" s="15"/>
      <c r="C68" s="20"/>
      <c r="D68" s="20"/>
    </row>
    <row r="69" spans="1:4" ht="20.25" x14ac:dyDescent="0.25">
      <c r="A69" s="86"/>
      <c r="B69" s="15"/>
      <c r="C69" s="20"/>
      <c r="D69" s="20"/>
    </row>
    <row r="70" spans="1:4" ht="20.25" x14ac:dyDescent="0.25">
      <c r="A70" s="86"/>
      <c r="B70" s="15"/>
      <c r="C70" s="20"/>
      <c r="D70" s="20"/>
    </row>
    <row r="71" spans="1:4" ht="20.25" x14ac:dyDescent="0.25">
      <c r="A71" s="86"/>
      <c r="B71" s="15"/>
      <c r="C71" s="20"/>
      <c r="D71" s="20"/>
    </row>
    <row r="72" spans="1:4" ht="20.25" x14ac:dyDescent="0.25">
      <c r="A72" s="86"/>
      <c r="B72" s="15"/>
      <c r="C72" s="20"/>
      <c r="D72" s="20"/>
    </row>
    <row r="73" spans="1:4" ht="20.25" x14ac:dyDescent="0.25">
      <c r="A73" s="86"/>
      <c r="B73" s="15"/>
      <c r="C73" s="20"/>
      <c r="D73" s="20"/>
    </row>
    <row r="74" spans="1:4" ht="20.25" x14ac:dyDescent="0.25">
      <c r="A74" s="86"/>
      <c r="B74" s="15"/>
      <c r="C74" s="20"/>
      <c r="D74" s="20"/>
    </row>
    <row r="75" spans="1:4" ht="20.25" x14ac:dyDescent="0.25">
      <c r="A75" s="86"/>
      <c r="B75" s="15"/>
      <c r="C75" s="20"/>
      <c r="D75" s="20"/>
    </row>
    <row r="76" spans="1:4" ht="20.25" x14ac:dyDescent="0.25">
      <c r="A76" s="86"/>
      <c r="B76" s="15"/>
      <c r="C76" s="20"/>
      <c r="D76" s="20"/>
    </row>
    <row r="77" spans="1:4" ht="20.25" x14ac:dyDescent="0.25">
      <c r="A77" s="86"/>
      <c r="B77" s="15"/>
      <c r="C77" s="20"/>
      <c r="D77" s="20"/>
    </row>
    <row r="78" spans="1:4" ht="20.25" x14ac:dyDescent="0.25">
      <c r="A78" s="86"/>
      <c r="B78" s="15"/>
      <c r="C78" s="20"/>
      <c r="D78" s="20"/>
    </row>
    <row r="79" spans="1:4" ht="20.25" x14ac:dyDescent="0.25">
      <c r="A79" s="86"/>
      <c r="B79" s="15"/>
      <c r="C79" s="20"/>
      <c r="D79" s="20"/>
    </row>
    <row r="80" spans="1:4" ht="20.25" x14ac:dyDescent="0.25">
      <c r="A80" s="86"/>
      <c r="B80" s="15"/>
      <c r="C80" s="20"/>
      <c r="D80" s="20"/>
    </row>
    <row r="81" spans="1:4" ht="20.25" x14ac:dyDescent="0.25">
      <c r="A81" s="86"/>
      <c r="B81" s="15"/>
      <c r="C81" s="20"/>
      <c r="D81" s="20"/>
    </row>
    <row r="82" spans="1:4" ht="20.25" x14ac:dyDescent="0.25">
      <c r="A82" s="86"/>
      <c r="B82" s="15"/>
      <c r="C82" s="20"/>
      <c r="D82" s="20"/>
    </row>
    <row r="83" spans="1:4" ht="20.25" x14ac:dyDescent="0.25">
      <c r="A83" s="86"/>
      <c r="B83" s="15"/>
      <c r="C83" s="20"/>
      <c r="D83" s="20"/>
    </row>
    <row r="84" spans="1:4" ht="20.25" x14ac:dyDescent="0.25">
      <c r="A84" s="86"/>
      <c r="B84" s="15"/>
      <c r="C84" s="20"/>
      <c r="D84" s="20"/>
    </row>
    <row r="85" spans="1:4" ht="20.25" x14ac:dyDescent="0.25">
      <c r="A85" s="86"/>
      <c r="B85" s="15"/>
      <c r="C85" s="20"/>
      <c r="D85" s="20"/>
    </row>
    <row r="86" spans="1:4" ht="20.25" x14ac:dyDescent="0.25">
      <c r="A86" s="86"/>
      <c r="B86" s="15"/>
      <c r="C86" s="20"/>
      <c r="D86" s="20"/>
    </row>
    <row r="87" spans="1:4" ht="20.25" x14ac:dyDescent="0.25">
      <c r="A87" s="86"/>
      <c r="B87" s="15"/>
      <c r="C87" s="20"/>
      <c r="D87" s="20"/>
    </row>
    <row r="88" spans="1:4" ht="20.25" x14ac:dyDescent="0.25">
      <c r="A88" s="86"/>
      <c r="B88" s="15"/>
      <c r="C88" s="20"/>
      <c r="D88" s="20"/>
    </row>
    <row r="89" spans="1:4" ht="20.25" x14ac:dyDescent="0.25">
      <c r="A89" s="86"/>
      <c r="B89" s="15"/>
      <c r="C89" s="20"/>
      <c r="D89" s="20"/>
    </row>
    <row r="90" spans="1:4" ht="20.25" x14ac:dyDescent="0.25">
      <c r="A90" s="86"/>
      <c r="B90" s="15"/>
      <c r="C90" s="20"/>
      <c r="D90" s="20"/>
    </row>
    <row r="91" spans="1:4" ht="20.25" x14ac:dyDescent="0.25">
      <c r="A91" s="86"/>
      <c r="B91" s="15"/>
      <c r="C91" s="20"/>
      <c r="D91" s="20"/>
    </row>
    <row r="92" spans="1:4" ht="20.25" x14ac:dyDescent="0.25">
      <c r="A92" s="86"/>
      <c r="B92" s="15"/>
      <c r="C92" s="20"/>
      <c r="D92" s="20"/>
    </row>
    <row r="93" spans="1:4" ht="20.25" x14ac:dyDescent="0.25">
      <c r="A93" s="86"/>
      <c r="B93" s="15"/>
      <c r="C93" s="20"/>
      <c r="D93" s="20"/>
    </row>
    <row r="94" spans="1:4" ht="20.25" x14ac:dyDescent="0.25">
      <c r="A94" s="86"/>
      <c r="B94" s="15"/>
      <c r="C94" s="20"/>
      <c r="D94" s="20"/>
    </row>
    <row r="95" spans="1:4" ht="20.25" x14ac:dyDescent="0.25">
      <c r="A95" s="86"/>
      <c r="B95" s="15"/>
      <c r="C95" s="20"/>
      <c r="D95" s="20"/>
    </row>
    <row r="96" spans="1:4" ht="20.25" x14ac:dyDescent="0.25">
      <c r="A96" s="86"/>
      <c r="B96" s="15"/>
      <c r="C96" s="20"/>
      <c r="D96" s="20"/>
    </row>
    <row r="97" spans="1:4" ht="20.25" x14ac:dyDescent="0.25">
      <c r="A97" s="86"/>
      <c r="B97" s="15"/>
      <c r="C97" s="20"/>
      <c r="D97" s="20"/>
    </row>
    <row r="98" spans="1:4" ht="20.25" x14ac:dyDescent="0.25">
      <c r="A98" s="86"/>
      <c r="B98" s="15"/>
      <c r="C98" s="20"/>
      <c r="D98" s="20"/>
    </row>
    <row r="99" spans="1:4" ht="20.25" x14ac:dyDescent="0.25">
      <c r="A99" s="86"/>
      <c r="B99" s="15"/>
      <c r="C99" s="20"/>
      <c r="D99" s="20"/>
    </row>
    <row r="100" spans="1:4" ht="20.25" x14ac:dyDescent="0.25">
      <c r="A100" s="86"/>
      <c r="B100" s="15"/>
      <c r="C100" s="20"/>
      <c r="D100" s="20"/>
    </row>
    <row r="101" spans="1:4" ht="20.25" x14ac:dyDescent="0.25">
      <c r="A101" s="86"/>
      <c r="B101" s="15"/>
      <c r="C101" s="20"/>
      <c r="D101" s="20"/>
    </row>
    <row r="102" spans="1:4" ht="20.25" x14ac:dyDescent="0.25">
      <c r="A102" s="86"/>
      <c r="B102" s="15"/>
      <c r="C102" s="20"/>
      <c r="D102" s="20"/>
    </row>
    <row r="103" spans="1:4" ht="20.25" x14ac:dyDescent="0.25">
      <c r="A103" s="86"/>
      <c r="B103" s="15"/>
      <c r="C103" s="20"/>
      <c r="D103" s="20"/>
    </row>
    <row r="104" spans="1:4" ht="20.25" x14ac:dyDescent="0.25">
      <c r="A104" s="86"/>
      <c r="B104" s="15"/>
      <c r="C104" s="20"/>
      <c r="D104" s="20"/>
    </row>
    <row r="105" spans="1:4" ht="20.25" x14ac:dyDescent="0.25">
      <c r="A105" s="86"/>
      <c r="B105" s="15"/>
      <c r="C105" s="20"/>
      <c r="D105" s="20"/>
    </row>
    <row r="106" spans="1:4" ht="20.25" x14ac:dyDescent="0.25">
      <c r="A106" s="86"/>
      <c r="B106" s="15"/>
      <c r="C106" s="20"/>
      <c r="D106" s="20"/>
    </row>
    <row r="107" spans="1:4" ht="20.25" x14ac:dyDescent="0.25">
      <c r="A107" s="86"/>
      <c r="B107" s="15"/>
      <c r="C107" s="20"/>
      <c r="D107" s="20"/>
    </row>
    <row r="108" spans="1:4" ht="20.25" x14ac:dyDescent="0.25">
      <c r="A108" s="86"/>
      <c r="B108" s="15"/>
      <c r="C108" s="20"/>
      <c r="D108" s="20"/>
    </row>
    <row r="109" spans="1:4" ht="20.25" x14ac:dyDescent="0.25">
      <c r="A109" s="86"/>
      <c r="B109" s="15"/>
      <c r="C109" s="20"/>
      <c r="D109" s="20"/>
    </row>
    <row r="110" spans="1:4" ht="20.25" x14ac:dyDescent="0.25">
      <c r="A110" s="86"/>
      <c r="B110" s="15"/>
      <c r="C110" s="20"/>
      <c r="D110" s="20"/>
    </row>
    <row r="111" spans="1:4" ht="20.25" x14ac:dyDescent="0.25">
      <c r="A111" s="86"/>
      <c r="B111" s="15"/>
      <c r="C111" s="20"/>
      <c r="D111" s="20"/>
    </row>
    <row r="112" spans="1:4" ht="20.25" x14ac:dyDescent="0.25">
      <c r="A112" s="86"/>
      <c r="B112" s="15"/>
      <c r="C112" s="20"/>
      <c r="D112" s="20"/>
    </row>
    <row r="113" spans="1:4" ht="20.25" x14ac:dyDescent="0.25">
      <c r="A113" s="86"/>
      <c r="B113" s="15"/>
      <c r="C113" s="20"/>
      <c r="D113" s="20"/>
    </row>
    <row r="114" spans="1:4" ht="20.25" x14ac:dyDescent="0.25">
      <c r="A114" s="86"/>
      <c r="B114" s="15"/>
      <c r="C114" s="20"/>
      <c r="D114" s="20"/>
    </row>
    <row r="115" spans="1:4" ht="20.25" x14ac:dyDescent="0.25">
      <c r="A115" s="86"/>
      <c r="B115" s="15"/>
      <c r="C115" s="20"/>
      <c r="D115" s="20"/>
    </row>
    <row r="116" spans="1:4" ht="20.25" x14ac:dyDescent="0.25">
      <c r="A116" s="86"/>
      <c r="B116" s="15"/>
      <c r="C116" s="20"/>
      <c r="D116" s="20"/>
    </row>
    <row r="117" spans="1:4" ht="20.25" x14ac:dyDescent="0.25">
      <c r="A117" s="86"/>
      <c r="B117" s="15"/>
      <c r="C117" s="20"/>
      <c r="D117" s="20"/>
    </row>
    <row r="118" spans="1:4" ht="20.25" x14ac:dyDescent="0.25">
      <c r="A118" s="86"/>
      <c r="B118" s="15"/>
      <c r="C118" s="20"/>
      <c r="D118" s="20"/>
    </row>
    <row r="119" spans="1:4" ht="20.25" x14ac:dyDescent="0.25">
      <c r="A119" s="86"/>
      <c r="B119" s="15"/>
      <c r="C119" s="20"/>
      <c r="D119" s="20"/>
    </row>
    <row r="120" spans="1:4" ht="20.25" x14ac:dyDescent="0.25">
      <c r="A120" s="86"/>
      <c r="B120" s="15"/>
      <c r="C120" s="20"/>
      <c r="D120" s="20"/>
    </row>
    <row r="121" spans="1:4" ht="20.25" x14ac:dyDescent="0.25">
      <c r="A121" s="86"/>
      <c r="B121" s="15"/>
      <c r="C121" s="20"/>
      <c r="D121" s="20"/>
    </row>
    <row r="122" spans="1:4" ht="20.25" x14ac:dyDescent="0.25">
      <c r="A122" s="86"/>
      <c r="B122" s="15"/>
      <c r="C122" s="20"/>
      <c r="D122" s="20"/>
    </row>
    <row r="123" spans="1:4" ht="20.25" x14ac:dyDescent="0.25">
      <c r="A123" s="86"/>
      <c r="B123" s="15"/>
      <c r="C123" s="20"/>
      <c r="D123" s="20"/>
    </row>
    <row r="124" spans="1:4" ht="20.25" x14ac:dyDescent="0.25">
      <c r="A124" s="86"/>
      <c r="B124" s="15"/>
      <c r="C124" s="20"/>
      <c r="D124" s="20"/>
    </row>
    <row r="125" spans="1:4" ht="20.25" x14ac:dyDescent="0.25">
      <c r="A125" s="86"/>
      <c r="B125" s="15"/>
      <c r="C125" s="20"/>
      <c r="D125" s="20"/>
    </row>
    <row r="126" spans="1:4" ht="20.25" x14ac:dyDescent="0.25">
      <c r="A126" s="86"/>
      <c r="B126" s="15"/>
      <c r="C126" s="20"/>
      <c r="D126" s="20"/>
    </row>
    <row r="127" spans="1:4" ht="20.25" x14ac:dyDescent="0.25">
      <c r="A127" s="86"/>
      <c r="B127" s="15"/>
      <c r="C127" s="20"/>
      <c r="D127" s="20"/>
    </row>
    <row r="128" spans="1:4" ht="20.25" x14ac:dyDescent="0.25">
      <c r="A128" s="86"/>
      <c r="B128" s="15"/>
      <c r="C128" s="20"/>
      <c r="D128" s="20"/>
    </row>
    <row r="129" spans="1:4" ht="20.25" x14ac:dyDescent="0.25">
      <c r="A129" s="86"/>
      <c r="B129" s="15"/>
      <c r="C129" s="20"/>
      <c r="D129" s="20"/>
    </row>
    <row r="130" spans="1:4" ht="20.25" x14ac:dyDescent="0.25">
      <c r="A130" s="86"/>
      <c r="B130" s="15"/>
      <c r="C130" s="20"/>
      <c r="D130" s="20"/>
    </row>
    <row r="131" spans="1:4" ht="20.25" x14ac:dyDescent="0.25">
      <c r="A131" s="86"/>
      <c r="B131" s="15"/>
      <c r="C131" s="20"/>
      <c r="D131" s="20"/>
    </row>
    <row r="132" spans="1:4" ht="20.25" x14ac:dyDescent="0.25">
      <c r="A132" s="86"/>
      <c r="B132" s="15"/>
      <c r="C132" s="20"/>
      <c r="D132" s="20"/>
    </row>
    <row r="133" spans="1:4" ht="20.25" x14ac:dyDescent="0.25">
      <c r="A133" s="86"/>
      <c r="B133" s="15"/>
      <c r="C133" s="20"/>
      <c r="D133" s="20"/>
    </row>
    <row r="134" spans="1:4" ht="20.25" x14ac:dyDescent="0.25">
      <c r="A134" s="86"/>
      <c r="B134" s="15"/>
      <c r="C134" s="20"/>
      <c r="D134" s="20"/>
    </row>
    <row r="135" spans="1:4" ht="20.25" x14ac:dyDescent="0.25">
      <c r="A135" s="86"/>
      <c r="B135" s="15"/>
      <c r="C135" s="20"/>
      <c r="D135" s="20"/>
    </row>
    <row r="136" spans="1:4" ht="20.25" x14ac:dyDescent="0.25">
      <c r="A136" s="86"/>
      <c r="B136" s="15"/>
      <c r="C136" s="20"/>
      <c r="D136" s="20"/>
    </row>
    <row r="137" spans="1:4" ht="20.25" x14ac:dyDescent="0.25">
      <c r="A137" s="86"/>
      <c r="B137" s="15"/>
      <c r="C137" s="20"/>
      <c r="D137" s="20"/>
    </row>
    <row r="138" spans="1:4" ht="20.25" x14ac:dyDescent="0.25">
      <c r="A138" s="86"/>
      <c r="B138" s="15"/>
      <c r="C138" s="20"/>
      <c r="D138" s="20"/>
    </row>
    <row r="139" spans="1:4" ht="20.25" x14ac:dyDescent="0.25">
      <c r="A139" s="86"/>
      <c r="B139" s="15"/>
      <c r="C139" s="20"/>
      <c r="D139" s="20"/>
    </row>
    <row r="140" spans="1:4" ht="20.25" x14ac:dyDescent="0.25">
      <c r="A140" s="86"/>
      <c r="B140" s="15"/>
      <c r="C140" s="20"/>
      <c r="D140" s="20"/>
    </row>
    <row r="141" spans="1:4" ht="20.25" x14ac:dyDescent="0.25">
      <c r="A141" s="86"/>
      <c r="B141" s="15"/>
      <c r="C141" s="20"/>
      <c r="D141" s="20"/>
    </row>
    <row r="142" spans="1:4" ht="20.25" x14ac:dyDescent="0.25">
      <c r="A142" s="86"/>
      <c r="B142" s="15"/>
      <c r="C142" s="20"/>
      <c r="D142" s="20"/>
    </row>
    <row r="143" spans="1:4" ht="20.25" x14ac:dyDescent="0.25">
      <c r="A143" s="86"/>
      <c r="B143" s="15"/>
      <c r="C143" s="20"/>
      <c r="D143" s="20"/>
    </row>
    <row r="144" spans="1:4" ht="20.25" x14ac:dyDescent="0.25">
      <c r="A144" s="86"/>
      <c r="B144" s="15"/>
      <c r="C144" s="20"/>
      <c r="D144" s="20"/>
    </row>
    <row r="145" spans="1:4" ht="20.25" x14ac:dyDescent="0.25">
      <c r="A145" s="86"/>
      <c r="B145" s="15"/>
      <c r="C145" s="20"/>
      <c r="D145" s="20"/>
    </row>
    <row r="146" spans="1:4" ht="20.25" x14ac:dyDescent="0.25">
      <c r="A146" s="86"/>
      <c r="B146" s="15"/>
      <c r="C146" s="20"/>
      <c r="D146" s="20"/>
    </row>
    <row r="147" spans="1:4" ht="20.25" x14ac:dyDescent="0.25">
      <c r="A147" s="86"/>
      <c r="B147" s="15"/>
      <c r="C147" s="20"/>
      <c r="D147" s="20"/>
    </row>
    <row r="148" spans="1:4" ht="20.25" x14ac:dyDescent="0.25">
      <c r="A148" s="86"/>
      <c r="B148" s="15"/>
      <c r="C148" s="20"/>
      <c r="D148" s="20"/>
    </row>
    <row r="149" spans="1:4" ht="20.25" x14ac:dyDescent="0.25">
      <c r="A149" s="86"/>
      <c r="B149" s="15"/>
      <c r="C149" s="20"/>
      <c r="D149" s="20"/>
    </row>
    <row r="150" spans="1:4" ht="20.25" x14ac:dyDescent="0.25">
      <c r="A150" s="86"/>
      <c r="B150" s="15"/>
      <c r="C150" s="20"/>
      <c r="D150" s="20"/>
    </row>
    <row r="151" spans="1:4" ht="20.25" x14ac:dyDescent="0.25">
      <c r="A151" s="86"/>
      <c r="B151" s="15"/>
      <c r="C151" s="20"/>
      <c r="D151" s="20"/>
    </row>
    <row r="152" spans="1:4" ht="20.25" x14ac:dyDescent="0.25">
      <c r="A152" s="86"/>
      <c r="B152" s="15"/>
      <c r="C152" s="20"/>
      <c r="D152" s="20"/>
    </row>
    <row r="153" spans="1:4" ht="20.25" x14ac:dyDescent="0.25">
      <c r="A153" s="86"/>
      <c r="B153" s="15"/>
      <c r="C153" s="20"/>
      <c r="D153" s="20"/>
    </row>
    <row r="154" spans="1:4" ht="20.25" x14ac:dyDescent="0.25">
      <c r="A154" s="86"/>
      <c r="B154" s="15"/>
      <c r="C154" s="20"/>
      <c r="D154" s="20"/>
    </row>
    <row r="155" spans="1:4" ht="20.25" x14ac:dyDescent="0.25">
      <c r="A155" s="86"/>
      <c r="B155" s="15"/>
      <c r="C155" s="20"/>
      <c r="D155" s="20"/>
    </row>
    <row r="156" spans="1:4" ht="20.25" x14ac:dyDescent="0.25">
      <c r="A156" s="86"/>
      <c r="B156" s="15"/>
      <c r="C156" s="20"/>
      <c r="D156" s="20"/>
    </row>
    <row r="157" spans="1:4" ht="20.25" x14ac:dyDescent="0.25">
      <c r="A157" s="86"/>
      <c r="B157" s="15"/>
      <c r="C157" s="20"/>
      <c r="D157" s="20"/>
    </row>
    <row r="158" spans="1:4" ht="20.25" x14ac:dyDescent="0.25">
      <c r="A158" s="86"/>
      <c r="B158" s="15"/>
      <c r="C158" s="20"/>
      <c r="D158" s="20"/>
    </row>
    <row r="159" spans="1:4" ht="20.25" x14ac:dyDescent="0.25">
      <c r="A159" s="86"/>
      <c r="B159" s="15"/>
      <c r="C159" s="20"/>
      <c r="D159" s="20"/>
    </row>
    <row r="160" spans="1:4" ht="20.25" x14ac:dyDescent="0.25">
      <c r="A160" s="86"/>
      <c r="B160" s="15"/>
      <c r="C160" s="20"/>
      <c r="D160" s="20"/>
    </row>
    <row r="161" spans="1:4" ht="20.25" x14ac:dyDescent="0.25">
      <c r="A161" s="86"/>
      <c r="B161" s="15"/>
      <c r="C161" s="20"/>
      <c r="D161" s="20"/>
    </row>
    <row r="162" spans="1:4" ht="20.25" x14ac:dyDescent="0.25">
      <c r="A162" s="86"/>
      <c r="B162" s="15"/>
      <c r="C162" s="20"/>
      <c r="D162" s="20"/>
    </row>
    <row r="163" spans="1:4" ht="20.25" x14ac:dyDescent="0.25">
      <c r="A163" s="86"/>
      <c r="B163" s="15"/>
      <c r="C163" s="20"/>
      <c r="D163" s="20"/>
    </row>
    <row r="164" spans="1:4" ht="20.25" x14ac:dyDescent="0.25">
      <c r="A164" s="86"/>
      <c r="B164" s="15"/>
      <c r="C164" s="20"/>
      <c r="D164" s="20"/>
    </row>
    <row r="165" spans="1:4" ht="20.25" x14ac:dyDescent="0.25">
      <c r="A165" s="86"/>
      <c r="B165" s="15"/>
      <c r="C165" s="20"/>
      <c r="D165" s="20"/>
    </row>
    <row r="166" spans="1:4" ht="20.25" x14ac:dyDescent="0.25">
      <c r="A166" s="86"/>
      <c r="B166" s="15"/>
      <c r="C166" s="20"/>
      <c r="D166" s="20"/>
    </row>
    <row r="167" spans="1:4" ht="20.25" x14ac:dyDescent="0.25">
      <c r="A167" s="86"/>
      <c r="B167" s="15"/>
      <c r="C167" s="20"/>
      <c r="D167" s="20"/>
    </row>
    <row r="168" spans="1:4" ht="20.25" x14ac:dyDescent="0.25">
      <c r="A168" s="86"/>
      <c r="B168" s="15"/>
      <c r="C168" s="20"/>
      <c r="D168" s="20"/>
    </row>
    <row r="169" spans="1:4" ht="20.25" x14ac:dyDescent="0.25">
      <c r="A169" s="86"/>
      <c r="B169" s="15"/>
      <c r="C169" s="20"/>
      <c r="D169" s="20"/>
    </row>
    <row r="170" spans="1:4" ht="20.25" x14ac:dyDescent="0.25">
      <c r="A170" s="86"/>
      <c r="B170" s="15"/>
      <c r="C170" s="20"/>
      <c r="D170" s="20"/>
    </row>
    <row r="171" spans="1:4" ht="20.25" x14ac:dyDescent="0.25">
      <c r="A171" s="86"/>
      <c r="B171" s="15"/>
      <c r="C171" s="20"/>
      <c r="D171" s="20"/>
    </row>
    <row r="172" spans="1:4" ht="20.25" x14ac:dyDescent="0.25">
      <c r="A172" s="86"/>
      <c r="B172" s="15"/>
      <c r="C172" s="20"/>
      <c r="D172" s="20"/>
    </row>
    <row r="173" spans="1:4" ht="20.25" x14ac:dyDescent="0.25">
      <c r="A173" s="86"/>
      <c r="B173" s="15"/>
      <c r="C173" s="20"/>
      <c r="D173" s="20"/>
    </row>
    <row r="174" spans="1:4" ht="20.25" x14ac:dyDescent="0.25">
      <c r="A174" s="86"/>
      <c r="B174" s="15"/>
      <c r="C174" s="20"/>
      <c r="D174" s="20"/>
    </row>
    <row r="175" spans="1:4" ht="20.25" x14ac:dyDescent="0.25">
      <c r="A175" s="86"/>
      <c r="B175" s="15"/>
      <c r="C175" s="20"/>
      <c r="D175" s="20"/>
    </row>
    <row r="176" spans="1:4" ht="20.25" x14ac:dyDescent="0.25">
      <c r="A176" s="86"/>
      <c r="B176" s="15"/>
      <c r="C176" s="20"/>
      <c r="D176" s="20"/>
    </row>
    <row r="177" spans="1:4" ht="20.25" x14ac:dyDescent="0.25">
      <c r="A177" s="86"/>
      <c r="B177" s="15"/>
      <c r="C177" s="20"/>
      <c r="D177" s="20"/>
    </row>
    <row r="178" spans="1:4" ht="20.25" x14ac:dyDescent="0.25">
      <c r="A178" s="86"/>
      <c r="B178" s="15"/>
      <c r="C178" s="20"/>
      <c r="D178" s="20"/>
    </row>
    <row r="179" spans="1:4" ht="20.25" x14ac:dyDescent="0.25">
      <c r="A179" s="86"/>
      <c r="B179" s="15"/>
      <c r="C179" s="20"/>
      <c r="D179" s="20"/>
    </row>
    <row r="180" spans="1:4" ht="20.25" x14ac:dyDescent="0.25">
      <c r="A180" s="86"/>
      <c r="B180" s="15"/>
      <c r="C180" s="20"/>
      <c r="D180" s="20"/>
    </row>
    <row r="181" spans="1:4" ht="20.25" x14ac:dyDescent="0.25">
      <c r="A181" s="86"/>
      <c r="B181" s="15"/>
      <c r="C181" s="20"/>
      <c r="D181" s="20"/>
    </row>
    <row r="182" spans="1:4" ht="20.25" x14ac:dyDescent="0.25">
      <c r="A182" s="86"/>
      <c r="B182" s="15"/>
      <c r="C182" s="20"/>
      <c r="D182" s="20"/>
    </row>
    <row r="183" spans="1:4" ht="20.25" x14ac:dyDescent="0.25">
      <c r="A183" s="86"/>
      <c r="B183" s="15"/>
      <c r="C183" s="20"/>
      <c r="D183" s="20"/>
    </row>
    <row r="184" spans="1:4" ht="20.25" x14ac:dyDescent="0.25">
      <c r="A184" s="86"/>
      <c r="B184" s="15"/>
      <c r="C184" s="20"/>
      <c r="D184" s="20"/>
    </row>
    <row r="185" spans="1:4" ht="20.25" x14ac:dyDescent="0.25">
      <c r="A185" s="86"/>
      <c r="B185" s="15"/>
      <c r="C185" s="20"/>
      <c r="D185" s="20"/>
    </row>
    <row r="186" spans="1:4" ht="20.25" x14ac:dyDescent="0.25">
      <c r="A186" s="86"/>
      <c r="B186" s="15"/>
      <c r="C186" s="20"/>
      <c r="D186" s="20"/>
    </row>
    <row r="187" spans="1:4" ht="20.25" x14ac:dyDescent="0.25">
      <c r="A187" s="86"/>
      <c r="B187" s="15"/>
      <c r="C187" s="20"/>
      <c r="D187" s="20"/>
    </row>
    <row r="188" spans="1:4" ht="20.25" x14ac:dyDescent="0.25">
      <c r="A188" s="86"/>
      <c r="B188" s="15"/>
      <c r="C188" s="20"/>
      <c r="D188" s="20"/>
    </row>
    <row r="189" spans="1:4" ht="20.25" x14ac:dyDescent="0.25">
      <c r="A189" s="86"/>
      <c r="B189" s="15"/>
      <c r="C189" s="20"/>
      <c r="D189" s="20"/>
    </row>
    <row r="190" spans="1:4" ht="20.25" x14ac:dyDescent="0.25">
      <c r="A190" s="86"/>
      <c r="B190" s="15"/>
      <c r="C190" s="20"/>
      <c r="D190" s="20"/>
    </row>
    <row r="191" spans="1:4" ht="20.25" x14ac:dyDescent="0.25">
      <c r="A191" s="86"/>
      <c r="B191" s="15"/>
      <c r="C191" s="20"/>
      <c r="D191" s="20"/>
    </row>
    <row r="192" spans="1:4" ht="20.25" x14ac:dyDescent="0.25">
      <c r="A192" s="86"/>
      <c r="B192" s="15"/>
      <c r="C192" s="20"/>
      <c r="D192" s="20"/>
    </row>
    <row r="193" spans="1:6" ht="20.25" x14ac:dyDescent="0.25">
      <c r="A193" s="86"/>
      <c r="B193" s="15"/>
      <c r="C193" s="20"/>
      <c r="D193" s="20"/>
    </row>
    <row r="194" spans="1:6" ht="20.25" x14ac:dyDescent="0.25">
      <c r="A194" s="86"/>
      <c r="B194" s="15"/>
      <c r="C194" s="20"/>
      <c r="D194" s="20"/>
    </row>
    <row r="195" spans="1:6" ht="20.25" x14ac:dyDescent="0.25">
      <c r="A195" s="86"/>
      <c r="B195" s="15"/>
      <c r="C195" s="20"/>
      <c r="D195" s="20"/>
    </row>
    <row r="196" spans="1:6" ht="20.25" x14ac:dyDescent="0.25">
      <c r="A196" s="86"/>
      <c r="B196" s="15"/>
      <c r="C196" s="20"/>
      <c r="D196" s="20"/>
    </row>
    <row r="197" spans="1:6" ht="20.25" x14ac:dyDescent="0.25">
      <c r="A197" s="86"/>
      <c r="B197" s="15"/>
      <c r="C197" s="20"/>
      <c r="D197" s="20"/>
    </row>
    <row r="198" spans="1:6" ht="20.25" x14ac:dyDescent="0.25">
      <c r="A198" s="86"/>
      <c r="B198" s="15"/>
      <c r="C198" s="20"/>
      <c r="D198" s="20"/>
    </row>
    <row r="199" spans="1:6" ht="20.25" x14ac:dyDescent="0.25">
      <c r="A199" s="86"/>
      <c r="B199" s="15"/>
      <c r="C199" s="20"/>
      <c r="D199" s="20"/>
    </row>
    <row r="200" spans="1:6" ht="20.25" x14ac:dyDescent="0.25">
      <c r="A200" s="86"/>
      <c r="B200" s="15"/>
      <c r="C200" s="20"/>
      <c r="D200" s="20"/>
    </row>
    <row r="201" spans="1:6" ht="20.25" x14ac:dyDescent="0.25">
      <c r="A201" s="86"/>
      <c r="B201" s="15"/>
      <c r="C201" s="20"/>
      <c r="D201" s="20"/>
    </row>
    <row r="202" spans="1:6" ht="20.25" x14ac:dyDescent="0.25">
      <c r="A202" s="86"/>
      <c r="B202" s="15"/>
      <c r="C202" s="20"/>
      <c r="D202" s="20"/>
    </row>
    <row r="203" spans="1:6" ht="20.25" x14ac:dyDescent="0.25">
      <c r="A203" s="86"/>
      <c r="B203" s="15"/>
      <c r="C203" s="20"/>
      <c r="D203" s="20"/>
    </row>
    <row r="204" spans="1:6" ht="20.25" x14ac:dyDescent="0.25">
      <c r="A204" s="86"/>
      <c r="B204" s="15"/>
      <c r="C204" s="20"/>
      <c r="D204" s="20"/>
    </row>
    <row r="205" spans="1:6" ht="20.25" x14ac:dyDescent="0.25">
      <c r="A205" s="86"/>
      <c r="B205" s="15"/>
      <c r="C205" s="20"/>
      <c r="D205" s="20"/>
    </row>
    <row r="206" spans="1:6" ht="20.25" x14ac:dyDescent="0.25">
      <c r="A206" s="86"/>
      <c r="B206" s="15"/>
      <c r="C206" s="20"/>
      <c r="D206" s="20"/>
    </row>
    <row r="207" spans="1:6" ht="20.25" x14ac:dyDescent="0.25">
      <c r="A207" s="86"/>
      <c r="B207" s="15"/>
      <c r="C207" s="20"/>
      <c r="D207" s="20"/>
    </row>
    <row r="208" spans="1:6" ht="20.25" x14ac:dyDescent="0.25">
      <c r="A208" s="86"/>
      <c r="B208" s="15"/>
      <c r="C208" s="20"/>
      <c r="D208" s="20"/>
      <c r="F208" s="114" t="s">
        <v>270</v>
      </c>
    </row>
    <row r="209" spans="1:8" x14ac:dyDescent="0.25">
      <c r="A209" s="66"/>
      <c r="B209" s="15"/>
      <c r="C209" s="15"/>
      <c r="D209" s="15"/>
      <c r="F209" s="114" t="s">
        <v>340</v>
      </c>
    </row>
    <row r="210" spans="1:8" ht="20.25" x14ac:dyDescent="0.25">
      <c r="A210" s="66"/>
      <c r="B210" s="16" t="s">
        <v>359</v>
      </c>
      <c r="C210" s="16" t="s">
        <v>360</v>
      </c>
      <c r="D210" s="19" t="s">
        <v>359</v>
      </c>
      <c r="E210" s="19" t="s">
        <v>360</v>
      </c>
      <c r="F210" s="114" t="s">
        <v>361</v>
      </c>
    </row>
    <row r="211" spans="1:8" ht="21" x14ac:dyDescent="0.35">
      <c r="A211" s="66"/>
      <c r="B211" s="17" t="s">
        <v>362</v>
      </c>
      <c r="C211" s="117" t="s">
        <v>363</v>
      </c>
      <c r="D211" s="116" t="s">
        <v>362</v>
      </c>
      <c r="F211" s="114" t="str">
        <f>IF(NOT(ISBLANK(D211)),D211,IF(NOT(ISBLANK(E211)),"     "&amp;E211,FALSE))</f>
        <v>Afectación Económica o presupuestal</v>
      </c>
      <c r="G211" t="s">
        <v>362</v>
      </c>
      <c r="H211" t="str">
        <f>IF(NOT(ISERROR(MATCH(G211,_xlfn.ANCHORARRAY(B222),0))),F224&amp;"Por favor no seleccionar los criterios de impacto",G211)</f>
        <v>❌Por favor no seleccionar los criterios de impacto</v>
      </c>
    </row>
    <row r="212" spans="1:8" ht="21" x14ac:dyDescent="0.35">
      <c r="A212" s="66"/>
      <c r="B212" s="17" t="s">
        <v>362</v>
      </c>
      <c r="C212" s="117" t="s">
        <v>335</v>
      </c>
      <c r="E212" t="s">
        <v>363</v>
      </c>
      <c r="F212" s="114" t="str">
        <f t="shared" ref="F212:F222" si="0">IF(NOT(ISBLANK(D212)),D212,IF(NOT(ISBLANK(E212)),"     "&amp;E212,FALSE))</f>
        <v xml:space="preserve">     Afectación menor a 130 SMLMV .</v>
      </c>
    </row>
    <row r="213" spans="1:8" ht="21" x14ac:dyDescent="0.35">
      <c r="A213" s="66"/>
      <c r="B213" s="17" t="s">
        <v>362</v>
      </c>
      <c r="C213" s="117" t="s">
        <v>338</v>
      </c>
      <c r="E213" t="s">
        <v>335</v>
      </c>
      <c r="F213" s="114" t="str">
        <f t="shared" si="0"/>
        <v xml:space="preserve">     Entre 130 y 650 SMLMV </v>
      </c>
    </row>
    <row r="214" spans="1:8" ht="21" x14ac:dyDescent="0.35">
      <c r="A214" s="66"/>
      <c r="B214" s="17" t="s">
        <v>362</v>
      </c>
      <c r="C214" s="117" t="s">
        <v>342</v>
      </c>
      <c r="E214" t="s">
        <v>338</v>
      </c>
      <c r="F214" s="114" t="str">
        <f t="shared" si="0"/>
        <v xml:space="preserve">     Entre 650 y 1300 SMLMV </v>
      </c>
    </row>
    <row r="215" spans="1:8" ht="21" x14ac:dyDescent="0.35">
      <c r="A215" s="66"/>
      <c r="B215" s="17" t="s">
        <v>362</v>
      </c>
      <c r="C215" s="117" t="s">
        <v>346</v>
      </c>
      <c r="E215" t="s">
        <v>342</v>
      </c>
      <c r="F215" s="114" t="str">
        <f t="shared" si="0"/>
        <v xml:space="preserve">     Entre 1300 y 6500 SMLMV </v>
      </c>
    </row>
    <row r="216" spans="1:8" ht="21" x14ac:dyDescent="0.35">
      <c r="A216" s="66"/>
      <c r="B216" s="17" t="s">
        <v>327</v>
      </c>
      <c r="C216" s="117" t="s">
        <v>332</v>
      </c>
      <c r="E216" t="s">
        <v>346</v>
      </c>
      <c r="F216" s="114" t="str">
        <f t="shared" si="0"/>
        <v xml:space="preserve">     Mayor a 6500 SMLMV </v>
      </c>
    </row>
    <row r="217" spans="1:8" ht="63" x14ac:dyDescent="0.35">
      <c r="A217" s="66"/>
      <c r="B217" s="17" t="s">
        <v>327</v>
      </c>
      <c r="C217" s="117" t="s">
        <v>336</v>
      </c>
      <c r="D217" s="116" t="s">
        <v>327</v>
      </c>
      <c r="F217" s="114" t="str">
        <f t="shared" si="0"/>
        <v>Pérdida Reputacional</v>
      </c>
    </row>
    <row r="218" spans="1:8" ht="42" x14ac:dyDescent="0.35">
      <c r="A218" s="66"/>
      <c r="B218" s="17" t="s">
        <v>327</v>
      </c>
      <c r="C218" s="117" t="s">
        <v>339</v>
      </c>
      <c r="D218" s="116"/>
      <c r="E218" s="118" t="s">
        <v>332</v>
      </c>
      <c r="F218" s="114" t="str">
        <f t="shared" si="0"/>
        <v xml:space="preserve">     El riesgo afecta la imagen de alguna área de la organización</v>
      </c>
    </row>
    <row r="219" spans="1:8" ht="63" x14ac:dyDescent="0.35">
      <c r="A219" s="66"/>
      <c r="B219" s="17" t="s">
        <v>327</v>
      </c>
      <c r="C219" s="117" t="s">
        <v>364</v>
      </c>
      <c r="D219" s="116"/>
      <c r="E219" s="118" t="s">
        <v>336</v>
      </c>
      <c r="F219" s="114" t="str">
        <f t="shared" si="0"/>
        <v xml:space="preserve">     El riesgo afecta la imagen de la entidad internamente, de conocimiento general, nivel interno, de junta dircetiva y accionistas y/o de provedores</v>
      </c>
    </row>
    <row r="220" spans="1:8" ht="45" x14ac:dyDescent="0.35">
      <c r="A220" s="66"/>
      <c r="B220" s="17" t="s">
        <v>327</v>
      </c>
      <c r="C220" s="117" t="s">
        <v>347</v>
      </c>
      <c r="D220" s="116"/>
      <c r="E220" s="118" t="s">
        <v>339</v>
      </c>
      <c r="F220" s="114" t="str">
        <f t="shared" si="0"/>
        <v xml:space="preserve">     El riesgo afecta la imagen de la entidad con algunos usuarios de relevancia frente al logro de los objetivos</v>
      </c>
    </row>
    <row r="221" spans="1:8" ht="45" x14ac:dyDescent="0.25">
      <c r="A221" s="66"/>
      <c r="B221" s="18"/>
      <c r="C221" s="18"/>
      <c r="D221" s="116"/>
      <c r="E221" s="118" t="s">
        <v>364</v>
      </c>
      <c r="F221" s="114" t="str">
        <f t="shared" si="0"/>
        <v xml:space="preserve">     El riesgo afecta la imagen de de la entidad con efecto publicitario sostenido a nivel de sector administrativo, nivel departamental o municipal</v>
      </c>
    </row>
    <row r="222" spans="1:8" ht="58.5" customHeight="1" x14ac:dyDescent="0.25">
      <c r="A222" s="66"/>
      <c r="B222" s="18" t="str" cm="1">
        <f t="array" ref="B222:B224">_xlfn.UNIQUE(Tabla1[[#All],[Criterios]])</f>
        <v>Criterios</v>
      </c>
      <c r="C222" s="18"/>
      <c r="D222" s="116"/>
      <c r="E222" s="118" t="s">
        <v>347</v>
      </c>
      <c r="F222" s="114" t="str">
        <f t="shared" si="0"/>
        <v xml:space="preserve">     El riesgo afecta la imagen de la entidad a nivel nacional, con efecto publicitarios sostenible a nivel país</v>
      </c>
    </row>
    <row r="223" spans="1:8" x14ac:dyDescent="0.25">
      <c r="A223" s="66"/>
      <c r="B223" s="18" t="str">
        <v>Afectación Económica o presupuestal</v>
      </c>
      <c r="C223" s="18"/>
    </row>
    <row r="224" spans="1:8" x14ac:dyDescent="0.25">
      <c r="B224" s="18" t="str">
        <v>Pérdida Reputacional</v>
      </c>
      <c r="C224" s="18"/>
      <c r="F224" s="115" t="s">
        <v>365</v>
      </c>
    </row>
    <row r="225" spans="2:6" x14ac:dyDescent="0.25">
      <c r="B225" s="14"/>
      <c r="C225" s="14"/>
      <c r="F225" s="115" t="s">
        <v>366</v>
      </c>
    </row>
    <row r="226" spans="2:6" x14ac:dyDescent="0.25">
      <c r="B226" s="14"/>
      <c r="C226" s="14"/>
    </row>
    <row r="227" spans="2:6" x14ac:dyDescent="0.25">
      <c r="B227" s="14"/>
      <c r="C227" s="14"/>
    </row>
    <row r="228" spans="2:6" x14ac:dyDescent="0.25">
      <c r="B228" s="14"/>
      <c r="C228" s="14"/>
      <c r="D228" s="14"/>
    </row>
    <row r="229" spans="2:6" x14ac:dyDescent="0.25">
      <c r="B229" s="14"/>
      <c r="C229" s="14"/>
      <c r="D229" s="14"/>
    </row>
    <row r="230" spans="2:6" x14ac:dyDescent="0.25">
      <c r="B230" s="14"/>
      <c r="C230" s="14"/>
      <c r="D230" s="14"/>
    </row>
    <row r="231" spans="2:6" x14ac:dyDescent="0.25">
      <c r="B231" s="14"/>
      <c r="C231" s="14"/>
      <c r="D231" s="14"/>
    </row>
    <row r="232" spans="2:6" x14ac:dyDescent="0.25">
      <c r="B232" s="14"/>
      <c r="C232" s="14"/>
      <c r="D232" s="14"/>
    </row>
    <row r="233" spans="2:6" x14ac:dyDescent="0.25">
      <c r="B233" s="14"/>
      <c r="C233" s="14"/>
      <c r="D233" s="14"/>
    </row>
  </sheetData>
  <mergeCells count="1">
    <mergeCell ref="B2:E2"/>
  </mergeCells>
  <dataValidations disablePrompts="1" count="1">
    <dataValidation type="list" allowBlank="1" showInputMessage="1" showErrorMessage="1" sqref="G211" xr:uid="{00000000-0002-0000-0A00-000000000000}">
      <formula1>$F$211:$F$222</formula1>
    </dataValidation>
  </dataValidations>
  <pageMargins left="0.7" right="0.7" top="0.75" bottom="0.75" header="0.3" footer="0.3"/>
  <pageSetup orientation="portrait"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X18"/>
  <sheetViews>
    <sheetView zoomScale="140" zoomScaleNormal="140" workbookViewId="0">
      <pane xSplit="4" ySplit="2" topLeftCell="E3" activePane="bottomRight" state="frozen"/>
      <selection pane="topRight" activeCell="E1" sqref="E1"/>
      <selection pane="bottomLeft" activeCell="A3" sqref="A3"/>
      <selection pane="bottomRight" activeCell="C3" sqref="C3:D3"/>
    </sheetView>
  </sheetViews>
  <sheetFormatPr baseColWidth="10" defaultColWidth="11.42578125" defaultRowHeight="15" x14ac:dyDescent="0.25"/>
  <cols>
    <col min="2" max="2" width="18" customWidth="1"/>
    <col min="3" max="3" width="26.5703125" customWidth="1"/>
    <col min="4" max="4" width="41.85546875" customWidth="1"/>
    <col min="50" max="50" width="15.42578125" customWidth="1"/>
  </cols>
  <sheetData>
    <row r="2" spans="2:50" ht="15.75" thickBot="1" x14ac:dyDescent="0.3"/>
    <row r="3" spans="2:50" ht="33.75" customHeight="1" thickBot="1" x14ac:dyDescent="0.3">
      <c r="B3" s="555" t="s">
        <v>367</v>
      </c>
      <c r="C3" s="155" t="s">
        <v>368</v>
      </c>
      <c r="D3" s="153" t="s">
        <v>369</v>
      </c>
      <c r="AX3" t="s">
        <v>367</v>
      </c>
    </row>
    <row r="4" spans="2:50" ht="48.75" thickBot="1" x14ac:dyDescent="0.3">
      <c r="B4" s="556"/>
      <c r="C4" s="156" t="s">
        <v>370</v>
      </c>
      <c r="D4" s="154" t="s">
        <v>371</v>
      </c>
      <c r="AX4" t="s">
        <v>146</v>
      </c>
    </row>
    <row r="5" spans="2:50" ht="48.75" thickBot="1" x14ac:dyDescent="0.3">
      <c r="B5" s="556"/>
      <c r="C5" s="156" t="s">
        <v>372</v>
      </c>
      <c r="D5" s="154" t="s">
        <v>373</v>
      </c>
      <c r="AX5" t="s">
        <v>374</v>
      </c>
    </row>
    <row r="6" spans="2:50" ht="36.75" thickBot="1" x14ac:dyDescent="0.3">
      <c r="B6" s="557"/>
      <c r="C6" s="156" t="s">
        <v>375</v>
      </c>
      <c r="D6" s="154" t="s">
        <v>376</v>
      </c>
    </row>
    <row r="7" spans="2:50" ht="36.75" thickBot="1" x14ac:dyDescent="0.3">
      <c r="B7" s="555" t="s">
        <v>146</v>
      </c>
      <c r="C7" s="156" t="s">
        <v>377</v>
      </c>
      <c r="D7" s="154" t="s">
        <v>378</v>
      </c>
    </row>
    <row r="8" spans="2:50" ht="108.75" thickBot="1" x14ac:dyDescent="0.3">
      <c r="B8" s="556"/>
      <c r="C8" s="156" t="s">
        <v>379</v>
      </c>
      <c r="D8" s="154" t="s">
        <v>380</v>
      </c>
    </row>
    <row r="9" spans="2:50" ht="48.75" thickBot="1" x14ac:dyDescent="0.3">
      <c r="B9" s="557"/>
      <c r="C9" s="156" t="s">
        <v>150</v>
      </c>
      <c r="D9" s="154" t="s">
        <v>381</v>
      </c>
    </row>
    <row r="10" spans="2:50" x14ac:dyDescent="0.25">
      <c r="B10" s="555" t="s">
        <v>374</v>
      </c>
      <c r="C10" s="157"/>
      <c r="D10" s="558" t="s">
        <v>382</v>
      </c>
    </row>
    <row r="11" spans="2:50" x14ac:dyDescent="0.25">
      <c r="B11" s="556"/>
      <c r="C11" s="157" t="s">
        <v>153</v>
      </c>
      <c r="D11" s="559"/>
    </row>
    <row r="12" spans="2:50" ht="15.75" thickBot="1" x14ac:dyDescent="0.3">
      <c r="B12" s="556"/>
      <c r="C12" s="156"/>
      <c r="D12" s="560"/>
    </row>
    <row r="13" spans="2:50" ht="22.5" customHeight="1" x14ac:dyDescent="0.25">
      <c r="B13" s="556"/>
      <c r="C13" s="157"/>
      <c r="D13" s="558" t="s">
        <v>383</v>
      </c>
    </row>
    <row r="14" spans="2:50" ht="22.5" customHeight="1" x14ac:dyDescent="0.25">
      <c r="B14" s="556"/>
      <c r="C14" s="157" t="s">
        <v>152</v>
      </c>
      <c r="D14" s="559"/>
    </row>
    <row r="15" spans="2:50" ht="22.5" customHeight="1" thickBot="1" x14ac:dyDescent="0.3">
      <c r="B15" s="556"/>
      <c r="C15" s="156"/>
      <c r="D15" s="560"/>
    </row>
    <row r="16" spans="2:50" ht="25.5" customHeight="1" x14ac:dyDescent="0.25">
      <c r="B16" s="556"/>
      <c r="C16" s="157"/>
      <c r="D16" s="558" t="s">
        <v>384</v>
      </c>
    </row>
    <row r="17" spans="2:4" ht="25.5" customHeight="1" x14ac:dyDescent="0.25">
      <c r="B17" s="556"/>
      <c r="C17" s="157" t="s">
        <v>154</v>
      </c>
      <c r="D17" s="559"/>
    </row>
    <row r="18" spans="2:4" ht="25.5" customHeight="1" thickBot="1" x14ac:dyDescent="0.3">
      <c r="B18" s="557"/>
      <c r="C18" s="156"/>
      <c r="D18" s="560"/>
    </row>
  </sheetData>
  <mergeCells count="6">
    <mergeCell ref="B3:B6"/>
    <mergeCell ref="B7:B9"/>
    <mergeCell ref="B10:B18"/>
    <mergeCell ref="D10:D12"/>
    <mergeCell ref="D13:D15"/>
    <mergeCell ref="D16:D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1:F48"/>
  <sheetViews>
    <sheetView topLeftCell="A3" zoomScale="110" zoomScaleNormal="110" workbookViewId="0">
      <selection activeCell="C14" sqref="C14"/>
    </sheetView>
  </sheetViews>
  <sheetFormatPr baseColWidth="10" defaultColWidth="11.42578125" defaultRowHeight="15" x14ac:dyDescent="0.25"/>
  <cols>
    <col min="1" max="1" width="3.7109375" customWidth="1"/>
    <col min="2" max="2" width="8.28515625" customWidth="1"/>
    <col min="3" max="3" width="27" customWidth="1"/>
    <col min="5" max="5" width="15" customWidth="1"/>
    <col min="6" max="6" width="33.42578125" customWidth="1"/>
  </cols>
  <sheetData>
    <row r="1" spans="3:6" ht="15.75" thickBot="1" x14ac:dyDescent="0.3">
      <c r="C1" s="175" t="s">
        <v>385</v>
      </c>
    </row>
    <row r="2" spans="3:6" ht="15.75" thickBot="1" x14ac:dyDescent="0.3">
      <c r="C2" s="173" t="s">
        <v>386</v>
      </c>
      <c r="E2" s="176" t="s">
        <v>159</v>
      </c>
      <c r="F2" s="177" t="s">
        <v>160</v>
      </c>
    </row>
    <row r="3" spans="3:6" ht="15.75" thickBot="1" x14ac:dyDescent="0.3">
      <c r="C3" s="173" t="s">
        <v>387</v>
      </c>
      <c r="E3" s="323" t="s">
        <v>158</v>
      </c>
      <c r="F3" s="162" t="s">
        <v>162</v>
      </c>
    </row>
    <row r="4" spans="3:6" ht="15.75" thickBot="1" x14ac:dyDescent="0.3">
      <c r="C4" s="173" t="s">
        <v>388</v>
      </c>
      <c r="E4" s="321"/>
      <c r="F4" s="162" t="s">
        <v>164</v>
      </c>
    </row>
    <row r="5" spans="3:6" ht="15.75" thickBot="1" x14ac:dyDescent="0.3">
      <c r="C5" s="173" t="s">
        <v>389</v>
      </c>
      <c r="E5" s="321"/>
      <c r="F5" s="162" t="s">
        <v>166</v>
      </c>
    </row>
    <row r="6" spans="3:6" ht="15.75" thickBot="1" x14ac:dyDescent="0.3">
      <c r="C6" s="173" t="s">
        <v>390</v>
      </c>
      <c r="E6" s="321"/>
      <c r="F6" s="162" t="s">
        <v>168</v>
      </c>
    </row>
    <row r="7" spans="3:6" ht="15.75" thickBot="1" x14ac:dyDescent="0.3">
      <c r="C7" s="174" t="s">
        <v>391</v>
      </c>
      <c r="E7" s="321"/>
      <c r="F7" s="162" t="s">
        <v>169</v>
      </c>
    </row>
    <row r="8" spans="3:6" ht="15.75" thickBot="1" x14ac:dyDescent="0.3">
      <c r="C8" s="173" t="s">
        <v>392</v>
      </c>
      <c r="E8" s="322"/>
      <c r="F8" s="162" t="s">
        <v>170</v>
      </c>
    </row>
    <row r="9" spans="3:6" ht="15.75" thickBot="1" x14ac:dyDescent="0.3">
      <c r="C9" s="173" t="s">
        <v>393</v>
      </c>
      <c r="E9" s="320" t="s">
        <v>167</v>
      </c>
      <c r="F9" s="162" t="s">
        <v>171</v>
      </c>
    </row>
    <row r="10" spans="3:6" ht="15.75" thickBot="1" x14ac:dyDescent="0.3">
      <c r="C10" s="172" t="s">
        <v>394</v>
      </c>
      <c r="E10" s="321"/>
      <c r="F10" s="162" t="s">
        <v>172</v>
      </c>
    </row>
    <row r="11" spans="3:6" ht="15.75" thickBot="1" x14ac:dyDescent="0.3">
      <c r="C11" s="248" t="s">
        <v>395</v>
      </c>
      <c r="E11" s="321"/>
      <c r="F11" s="162" t="s">
        <v>173</v>
      </c>
    </row>
    <row r="12" spans="3:6" ht="15.75" thickBot="1" x14ac:dyDescent="0.3">
      <c r="E12" s="321"/>
      <c r="F12" s="162" t="s">
        <v>174</v>
      </c>
    </row>
    <row r="13" spans="3:6" ht="15.75" thickBot="1" x14ac:dyDescent="0.3">
      <c r="E13" s="322"/>
      <c r="F13" s="162" t="s">
        <v>175</v>
      </c>
    </row>
    <row r="14" spans="3:6" ht="24.75" thickBot="1" x14ac:dyDescent="0.3">
      <c r="E14" s="320" t="s">
        <v>163</v>
      </c>
      <c r="F14" s="162" t="s">
        <v>176</v>
      </c>
    </row>
    <row r="15" spans="3:6" ht="15.75" thickBot="1" x14ac:dyDescent="0.3">
      <c r="E15" s="321"/>
      <c r="F15" s="162" t="s">
        <v>177</v>
      </c>
    </row>
    <row r="16" spans="3:6" ht="15.75" thickBot="1" x14ac:dyDescent="0.3">
      <c r="E16" s="322"/>
      <c r="F16" s="162" t="s">
        <v>178</v>
      </c>
    </row>
    <row r="17" spans="5:6" ht="15.75" thickBot="1" x14ac:dyDescent="0.3">
      <c r="E17" s="320" t="s">
        <v>165</v>
      </c>
      <c r="F17" s="162" t="s">
        <v>179</v>
      </c>
    </row>
    <row r="18" spans="5:6" ht="15.75" thickBot="1" x14ac:dyDescent="0.3">
      <c r="E18" s="321"/>
      <c r="F18" s="162" t="s">
        <v>180</v>
      </c>
    </row>
    <row r="19" spans="5:6" ht="15.75" thickBot="1" x14ac:dyDescent="0.3">
      <c r="E19" s="322"/>
      <c r="F19" s="162" t="s">
        <v>181</v>
      </c>
    </row>
    <row r="20" spans="5:6" ht="24.75" thickBot="1" x14ac:dyDescent="0.3">
      <c r="E20" s="320" t="s">
        <v>156</v>
      </c>
      <c r="F20" s="162" t="s">
        <v>182</v>
      </c>
    </row>
    <row r="21" spans="5:6" ht="15.75" thickBot="1" x14ac:dyDescent="0.3">
      <c r="E21" s="321"/>
      <c r="F21" s="162" t="s">
        <v>183</v>
      </c>
    </row>
    <row r="22" spans="5:6" ht="15.75" thickBot="1" x14ac:dyDescent="0.3">
      <c r="E22" s="321"/>
      <c r="F22" s="162" t="s">
        <v>184</v>
      </c>
    </row>
    <row r="23" spans="5:6" ht="15.75" thickBot="1" x14ac:dyDescent="0.3">
      <c r="E23" s="321"/>
      <c r="F23" s="162" t="s">
        <v>185</v>
      </c>
    </row>
    <row r="24" spans="5:6" ht="15.75" thickBot="1" x14ac:dyDescent="0.3">
      <c r="E24" s="321"/>
      <c r="F24" s="162" t="s">
        <v>186</v>
      </c>
    </row>
    <row r="25" spans="5:6" ht="24.75" thickBot="1" x14ac:dyDescent="0.3">
      <c r="E25" s="321"/>
      <c r="F25" s="162" t="s">
        <v>187</v>
      </c>
    </row>
    <row r="26" spans="5:6" ht="15.75" thickBot="1" x14ac:dyDescent="0.3">
      <c r="E26" s="321"/>
      <c r="F26" s="162" t="s">
        <v>188</v>
      </c>
    </row>
    <row r="27" spans="5:6" ht="24.75" thickBot="1" x14ac:dyDescent="0.3">
      <c r="E27" s="321"/>
      <c r="F27" s="162" t="s">
        <v>189</v>
      </c>
    </row>
    <row r="28" spans="5:6" ht="15.75" thickBot="1" x14ac:dyDescent="0.3">
      <c r="E28" s="321"/>
      <c r="F28" s="162" t="s">
        <v>190</v>
      </c>
    </row>
    <row r="29" spans="5:6" ht="15.75" thickBot="1" x14ac:dyDescent="0.3">
      <c r="E29" s="321"/>
      <c r="F29" s="162" t="s">
        <v>191</v>
      </c>
    </row>
    <row r="30" spans="5:6" ht="15.75" thickBot="1" x14ac:dyDescent="0.3">
      <c r="E30" s="322"/>
      <c r="F30" s="162" t="s">
        <v>192</v>
      </c>
    </row>
    <row r="31" spans="5:6" ht="15.75" thickBot="1" x14ac:dyDescent="0.3">
      <c r="E31" s="320" t="s">
        <v>161</v>
      </c>
      <c r="F31" s="162" t="s">
        <v>193</v>
      </c>
    </row>
    <row r="32" spans="5:6" ht="15.75" thickBot="1" x14ac:dyDescent="0.3">
      <c r="E32" s="321"/>
      <c r="F32" s="162" t="s">
        <v>194</v>
      </c>
    </row>
    <row r="33" spans="5:6" ht="15.75" thickBot="1" x14ac:dyDescent="0.3">
      <c r="E33" s="321"/>
      <c r="F33" s="162" t="s">
        <v>195</v>
      </c>
    </row>
    <row r="34" spans="5:6" ht="15.75" thickBot="1" x14ac:dyDescent="0.3">
      <c r="E34" s="321"/>
      <c r="F34" s="162" t="s">
        <v>196</v>
      </c>
    </row>
    <row r="35" spans="5:6" ht="24.75" thickBot="1" x14ac:dyDescent="0.3">
      <c r="E35" s="322"/>
      <c r="F35" s="162" t="s">
        <v>197</v>
      </c>
    </row>
    <row r="36" spans="5:6" ht="15.75" thickBot="1" x14ac:dyDescent="0.3">
      <c r="E36" s="320" t="s">
        <v>155</v>
      </c>
      <c r="F36" s="162" t="s">
        <v>198</v>
      </c>
    </row>
    <row r="37" spans="5:6" ht="15.75" thickBot="1" x14ac:dyDescent="0.3">
      <c r="E37" s="321"/>
      <c r="F37" s="162" t="s">
        <v>199</v>
      </c>
    </row>
    <row r="38" spans="5:6" ht="15.75" thickBot="1" x14ac:dyDescent="0.3">
      <c r="E38" s="321"/>
      <c r="F38" s="162" t="s">
        <v>200</v>
      </c>
    </row>
    <row r="39" spans="5:6" ht="15.75" thickBot="1" x14ac:dyDescent="0.3">
      <c r="E39" s="321"/>
      <c r="F39" s="162" t="s">
        <v>201</v>
      </c>
    </row>
    <row r="40" spans="5:6" ht="15.75" thickBot="1" x14ac:dyDescent="0.3">
      <c r="E40" s="322"/>
      <c r="F40" s="162" t="s">
        <v>202</v>
      </c>
    </row>
    <row r="41" spans="5:6" ht="15.75" thickBot="1" x14ac:dyDescent="0.3">
      <c r="E41" s="320" t="s">
        <v>157</v>
      </c>
      <c r="F41" s="162" t="s">
        <v>203</v>
      </c>
    </row>
    <row r="42" spans="5:6" ht="15.75" thickBot="1" x14ac:dyDescent="0.3">
      <c r="E42" s="321"/>
      <c r="F42" s="162" t="s">
        <v>204</v>
      </c>
    </row>
    <row r="43" spans="5:6" ht="15.75" thickBot="1" x14ac:dyDescent="0.3">
      <c r="E43" s="321"/>
      <c r="F43" s="162" t="s">
        <v>205</v>
      </c>
    </row>
    <row r="44" spans="5:6" ht="15.75" thickBot="1" x14ac:dyDescent="0.3">
      <c r="E44" s="321"/>
      <c r="F44" s="162" t="s">
        <v>206</v>
      </c>
    </row>
    <row r="45" spans="5:6" ht="24.75" thickBot="1" x14ac:dyDescent="0.3">
      <c r="E45" s="322"/>
      <c r="F45" s="162" t="s">
        <v>207</v>
      </c>
    </row>
    <row r="48" spans="5:6" ht="15" customHeight="1" x14ac:dyDescent="0.25"/>
  </sheetData>
  <mergeCells count="8">
    <mergeCell ref="E36:E40"/>
    <mergeCell ref="E41:E45"/>
    <mergeCell ref="E3:E8"/>
    <mergeCell ref="E9:E13"/>
    <mergeCell ref="E14:E16"/>
    <mergeCell ref="E17:E19"/>
    <mergeCell ref="E20:E30"/>
    <mergeCell ref="E31:E3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topLeftCell="A2" workbookViewId="0">
      <selection activeCell="AA44" sqref="AA44"/>
    </sheetView>
  </sheetViews>
  <sheetFormatPr baseColWidth="10" defaultColWidth="11.42578125" defaultRowHeight="15" x14ac:dyDescent="0.25"/>
  <cols>
    <col min="27" max="27" width="36" customWidth="1"/>
  </cols>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249977111117893"/>
  </sheetPr>
  <dimension ref="B1:F16"/>
  <sheetViews>
    <sheetView workbookViewId="0">
      <selection activeCell="B1" sqref="B1:F1"/>
    </sheetView>
  </sheetViews>
  <sheetFormatPr baseColWidth="10" defaultColWidth="14.28515625" defaultRowHeight="12.75" x14ac:dyDescent="0.2"/>
  <cols>
    <col min="1" max="2" width="14.28515625" style="71"/>
    <col min="3" max="3" width="17" style="71" customWidth="1"/>
    <col min="4" max="4" width="14.28515625" style="71"/>
    <col min="5" max="5" width="46" style="71" customWidth="1"/>
    <col min="6" max="16384" width="14.28515625" style="71"/>
  </cols>
  <sheetData>
    <row r="1" spans="2:6" ht="24" customHeight="1" thickBot="1" x14ac:dyDescent="0.25">
      <c r="B1" s="561" t="s">
        <v>396</v>
      </c>
      <c r="C1" s="562"/>
      <c r="D1" s="562"/>
      <c r="E1" s="562"/>
      <c r="F1" s="563"/>
    </row>
    <row r="2" spans="2:6" ht="16.5" thickBot="1" x14ac:dyDescent="0.3">
      <c r="B2" s="72"/>
      <c r="C2" s="72"/>
      <c r="D2" s="72"/>
      <c r="E2" s="72"/>
      <c r="F2" s="72"/>
    </row>
    <row r="3" spans="2:6" ht="16.5" thickBot="1" x14ac:dyDescent="0.25">
      <c r="B3" s="565" t="s">
        <v>397</v>
      </c>
      <c r="C3" s="566"/>
      <c r="D3" s="566"/>
      <c r="E3" s="84" t="s">
        <v>398</v>
      </c>
      <c r="F3" s="85" t="s">
        <v>399</v>
      </c>
    </row>
    <row r="4" spans="2:6" ht="31.5" x14ac:dyDescent="0.2">
      <c r="B4" s="567" t="s">
        <v>400</v>
      </c>
      <c r="C4" s="569" t="s">
        <v>247</v>
      </c>
      <c r="D4" s="73" t="s">
        <v>254</v>
      </c>
      <c r="E4" s="74" t="s">
        <v>401</v>
      </c>
      <c r="F4" s="75">
        <v>0.25</v>
      </c>
    </row>
    <row r="5" spans="2:6" ht="47.25" x14ac:dyDescent="0.2">
      <c r="B5" s="568"/>
      <c r="C5" s="570"/>
      <c r="D5" s="76" t="s">
        <v>259</v>
      </c>
      <c r="E5" s="77" t="s">
        <v>402</v>
      </c>
      <c r="F5" s="78">
        <v>0.15</v>
      </c>
    </row>
    <row r="6" spans="2:6" ht="47.25" x14ac:dyDescent="0.2">
      <c r="B6" s="568"/>
      <c r="C6" s="570"/>
      <c r="D6" s="76" t="s">
        <v>281</v>
      </c>
      <c r="E6" s="77" t="s">
        <v>403</v>
      </c>
      <c r="F6" s="78">
        <v>0.1</v>
      </c>
    </row>
    <row r="7" spans="2:6" ht="63" x14ac:dyDescent="0.2">
      <c r="B7" s="568"/>
      <c r="C7" s="570" t="s">
        <v>248</v>
      </c>
      <c r="D7" s="76" t="s">
        <v>404</v>
      </c>
      <c r="E7" s="77" t="s">
        <v>405</v>
      </c>
      <c r="F7" s="78">
        <v>0.25</v>
      </c>
    </row>
    <row r="8" spans="2:6" ht="31.5" x14ac:dyDescent="0.2">
      <c r="B8" s="568"/>
      <c r="C8" s="570"/>
      <c r="D8" s="76" t="s">
        <v>255</v>
      </c>
      <c r="E8" s="77" t="s">
        <v>406</v>
      </c>
      <c r="F8" s="78">
        <v>0.15</v>
      </c>
    </row>
    <row r="9" spans="2:6" ht="47.25" x14ac:dyDescent="0.2">
      <c r="B9" s="568" t="s">
        <v>407</v>
      </c>
      <c r="C9" s="570" t="s">
        <v>250</v>
      </c>
      <c r="D9" s="76" t="s">
        <v>256</v>
      </c>
      <c r="E9" s="77" t="s">
        <v>408</v>
      </c>
      <c r="F9" s="79" t="s">
        <v>409</v>
      </c>
    </row>
    <row r="10" spans="2:6" ht="63" x14ac:dyDescent="0.2">
      <c r="B10" s="568"/>
      <c r="C10" s="570"/>
      <c r="D10" s="76" t="s">
        <v>260</v>
      </c>
      <c r="E10" s="77" t="s">
        <v>410</v>
      </c>
      <c r="F10" s="79" t="s">
        <v>409</v>
      </c>
    </row>
    <row r="11" spans="2:6" ht="47.25" x14ac:dyDescent="0.2">
      <c r="B11" s="568"/>
      <c r="C11" s="570" t="s">
        <v>251</v>
      </c>
      <c r="D11" s="76" t="s">
        <v>257</v>
      </c>
      <c r="E11" s="77" t="s">
        <v>411</v>
      </c>
      <c r="F11" s="79" t="s">
        <v>409</v>
      </c>
    </row>
    <row r="12" spans="2:6" ht="47.25" x14ac:dyDescent="0.2">
      <c r="B12" s="568"/>
      <c r="C12" s="570"/>
      <c r="D12" s="76" t="s">
        <v>412</v>
      </c>
      <c r="E12" s="77" t="s">
        <v>413</v>
      </c>
      <c r="F12" s="79" t="s">
        <v>409</v>
      </c>
    </row>
    <row r="13" spans="2:6" ht="31.5" x14ac:dyDescent="0.2">
      <c r="B13" s="568"/>
      <c r="C13" s="570" t="s">
        <v>252</v>
      </c>
      <c r="D13" s="76" t="s">
        <v>258</v>
      </c>
      <c r="E13" s="77" t="s">
        <v>414</v>
      </c>
      <c r="F13" s="79" t="s">
        <v>409</v>
      </c>
    </row>
    <row r="14" spans="2:6" ht="32.25" thickBot="1" x14ac:dyDescent="0.25">
      <c r="B14" s="571"/>
      <c r="C14" s="572"/>
      <c r="D14" s="80" t="s">
        <v>415</v>
      </c>
      <c r="E14" s="81" t="s">
        <v>416</v>
      </c>
      <c r="F14" s="82" t="s">
        <v>409</v>
      </c>
    </row>
    <row r="15" spans="2:6" ht="49.5" customHeight="1" x14ac:dyDescent="0.2">
      <c r="B15" s="564" t="s">
        <v>417</v>
      </c>
      <c r="C15" s="564"/>
      <c r="D15" s="564"/>
      <c r="E15" s="564"/>
      <c r="F15" s="564"/>
    </row>
    <row r="16" spans="2:6" ht="27" customHeight="1" x14ac:dyDescent="0.25">
      <c r="B16" s="83"/>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254</v>
      </c>
    </row>
    <row r="4" spans="1:1" x14ac:dyDescent="0.2">
      <c r="A4" s="2" t="s">
        <v>259</v>
      </c>
    </row>
    <row r="5" spans="1:1" x14ac:dyDescent="0.2">
      <c r="A5" s="2" t="s">
        <v>281</v>
      </c>
    </row>
    <row r="6" spans="1:1" x14ac:dyDescent="0.2">
      <c r="A6" s="2" t="s">
        <v>404</v>
      </c>
    </row>
    <row r="7" spans="1:1" x14ac:dyDescent="0.2">
      <c r="A7" s="2" t="s">
        <v>255</v>
      </c>
    </row>
    <row r="8" spans="1:1" x14ac:dyDescent="0.2">
      <c r="A8" s="2" t="s">
        <v>256</v>
      </c>
    </row>
    <row r="9" spans="1:1" x14ac:dyDescent="0.2">
      <c r="A9" s="2" t="s">
        <v>260</v>
      </c>
    </row>
    <row r="10" spans="1:1" x14ac:dyDescent="0.2">
      <c r="A10" s="2" t="s">
        <v>257</v>
      </c>
    </row>
    <row r="11" spans="1:1" x14ac:dyDescent="0.2">
      <c r="A11" s="2" t="s">
        <v>412</v>
      </c>
    </row>
    <row r="12" spans="1:1" x14ac:dyDescent="0.2">
      <c r="A12" s="2" t="s">
        <v>418</v>
      </c>
    </row>
    <row r="13" spans="1:1" x14ac:dyDescent="0.2">
      <c r="A13" s="2" t="s">
        <v>419</v>
      </c>
    </row>
    <row r="14" spans="1:1" x14ac:dyDescent="0.2">
      <c r="A14" s="2" t="s">
        <v>420</v>
      </c>
    </row>
    <row r="16" spans="1:1" x14ac:dyDescent="0.2">
      <c r="A16" s="2" t="s">
        <v>421</v>
      </c>
    </row>
    <row r="17" spans="1:1" x14ac:dyDescent="0.2">
      <c r="A17" s="2" t="s">
        <v>117</v>
      </c>
    </row>
    <row r="18" spans="1:1" x14ac:dyDescent="0.2">
      <c r="A18" s="2" t="s">
        <v>119</v>
      </c>
    </row>
    <row r="20" spans="1:1" x14ac:dyDescent="0.2">
      <c r="A20" s="2" t="s">
        <v>129</v>
      </c>
    </row>
    <row r="21" spans="1:1" x14ac:dyDescent="0.2">
      <c r="A21" s="2"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topLeftCell="B1" zoomScale="50" zoomScaleNormal="50" workbookViewId="0">
      <selection activeCell="I4" sqref="I4"/>
    </sheetView>
  </sheetViews>
  <sheetFormatPr baseColWidth="10" defaultColWidth="11.42578125" defaultRowHeight="26.25" x14ac:dyDescent="0.35"/>
  <cols>
    <col min="1" max="1" width="11.85546875" style="119" customWidth="1"/>
    <col min="2" max="2" width="7.42578125" style="120" customWidth="1"/>
    <col min="3" max="3" width="36.85546875" style="121" customWidth="1"/>
    <col min="4" max="4" width="150" style="147" customWidth="1"/>
    <col min="5" max="5" width="168" style="121" customWidth="1"/>
    <col min="6" max="6" width="51.7109375" style="119" customWidth="1"/>
    <col min="7" max="16384" width="11.42578125" style="119"/>
  </cols>
  <sheetData>
    <row r="1" spans="1:6" x14ac:dyDescent="0.35">
      <c r="D1" s="122"/>
      <c r="E1" s="123"/>
    </row>
    <row r="2" spans="1:6" ht="40.5" customHeight="1" thickBot="1" x14ac:dyDescent="0.3">
      <c r="A2" s="124"/>
      <c r="B2" s="313" t="s">
        <v>90</v>
      </c>
      <c r="C2" s="313"/>
      <c r="D2" s="313"/>
      <c r="E2" s="314"/>
      <c r="F2" s="318" t="s">
        <v>91</v>
      </c>
    </row>
    <row r="3" spans="1:6" s="129" customFormat="1" ht="40.5" customHeight="1" thickBot="1" x14ac:dyDescent="0.4">
      <c r="A3" s="125"/>
      <c r="B3" s="315" t="s">
        <v>92</v>
      </c>
      <c r="C3" s="126" t="s">
        <v>93</v>
      </c>
      <c r="D3" s="127" t="s">
        <v>94</v>
      </c>
      <c r="E3" s="128" t="s">
        <v>95</v>
      </c>
      <c r="F3" s="319"/>
    </row>
    <row r="4" spans="1:6" s="129" customFormat="1" ht="228.75" customHeight="1" thickBot="1" x14ac:dyDescent="0.4">
      <c r="A4" s="125"/>
      <c r="B4" s="316"/>
      <c r="C4" s="130" t="s">
        <v>96</v>
      </c>
      <c r="D4" s="131" t="s">
        <v>97</v>
      </c>
      <c r="E4" s="163" t="s">
        <v>98</v>
      </c>
      <c r="F4" s="168" t="s">
        <v>99</v>
      </c>
    </row>
    <row r="5" spans="1:6" s="129" customFormat="1" ht="289.5" thickBot="1" x14ac:dyDescent="0.4">
      <c r="A5" s="125"/>
      <c r="B5" s="316"/>
      <c r="C5" s="132" t="s">
        <v>100</v>
      </c>
      <c r="D5" s="133" t="s">
        <v>101</v>
      </c>
      <c r="E5" s="164" t="s">
        <v>102</v>
      </c>
      <c r="F5" s="167" t="s">
        <v>103</v>
      </c>
    </row>
    <row r="6" spans="1:6" s="129" customFormat="1" ht="237" thickBot="1" x14ac:dyDescent="0.4">
      <c r="A6" s="125"/>
      <c r="B6" s="316"/>
      <c r="C6" s="134" t="s">
        <v>104</v>
      </c>
      <c r="D6" s="135" t="s">
        <v>105</v>
      </c>
      <c r="E6" s="165" t="s">
        <v>106</v>
      </c>
      <c r="F6" s="167"/>
    </row>
    <row r="7" spans="1:6" s="129" customFormat="1" ht="154.5" customHeight="1" thickBot="1" x14ac:dyDescent="0.4">
      <c r="A7" s="125"/>
      <c r="B7" s="316"/>
      <c r="C7" s="136" t="s">
        <v>107</v>
      </c>
      <c r="D7" s="137"/>
      <c r="E7" s="164"/>
      <c r="F7" s="167"/>
    </row>
    <row r="8" spans="1:6" s="129" customFormat="1" ht="169.5" thickBot="1" x14ac:dyDescent="0.4">
      <c r="A8" s="125"/>
      <c r="B8" s="316"/>
      <c r="C8" s="138" t="s">
        <v>108</v>
      </c>
      <c r="D8" s="135" t="s">
        <v>109</v>
      </c>
      <c r="E8" s="166" t="s">
        <v>110</v>
      </c>
      <c r="F8" s="167"/>
    </row>
    <row r="9" spans="1:6" s="129" customFormat="1" ht="163.5" thickBot="1" x14ac:dyDescent="0.4">
      <c r="A9" s="125"/>
      <c r="B9" s="316"/>
      <c r="C9" s="136" t="s">
        <v>111</v>
      </c>
      <c r="D9" s="133" t="s">
        <v>112</v>
      </c>
      <c r="E9" s="166" t="s">
        <v>113</v>
      </c>
      <c r="F9" s="167"/>
    </row>
    <row r="10" spans="1:6" s="141" customFormat="1" ht="263.25" thickBot="1" x14ac:dyDescent="0.4">
      <c r="A10" s="139"/>
      <c r="B10" s="316"/>
      <c r="C10" s="140" t="s">
        <v>114</v>
      </c>
      <c r="D10" s="133" t="s">
        <v>115</v>
      </c>
      <c r="E10" s="165" t="s">
        <v>116</v>
      </c>
      <c r="F10" s="169"/>
    </row>
    <row r="11" spans="1:6" s="141" customFormat="1" ht="28.5" thickBot="1" x14ac:dyDescent="0.4">
      <c r="A11" s="139"/>
      <c r="B11" s="317"/>
      <c r="C11" s="142"/>
      <c r="D11" s="143"/>
      <c r="E11" s="144"/>
    </row>
    <row r="12" spans="1:6" ht="27" x14ac:dyDescent="0.35">
      <c r="D12" s="145"/>
      <c r="E12" s="146"/>
    </row>
    <row r="17" spans="4:4" x14ac:dyDescent="0.35">
      <c r="D17" s="122"/>
    </row>
    <row r="18" spans="4:4" x14ac:dyDescent="0.35">
      <c r="D18" s="122"/>
    </row>
    <row r="19" spans="4:4" x14ac:dyDescent="0.35">
      <c r="D19" s="122"/>
    </row>
  </sheetData>
  <mergeCells count="3">
    <mergeCell ref="B2:E2"/>
    <mergeCell ref="B3:B11"/>
    <mergeCell ref="F2:F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71"/>
  <sheetViews>
    <sheetView workbookViewId="0">
      <selection activeCell="B35" sqref="B35"/>
    </sheetView>
  </sheetViews>
  <sheetFormatPr baseColWidth="10" defaultColWidth="11.42578125" defaultRowHeight="15" x14ac:dyDescent="0.25"/>
  <cols>
    <col min="2" max="2" width="22.85546875" customWidth="1"/>
    <col min="6" max="6" width="17.140625" customWidth="1"/>
    <col min="7" max="7" width="29.28515625" customWidth="1"/>
  </cols>
  <sheetData>
    <row r="2" spans="1:8" x14ac:dyDescent="0.25">
      <c r="B2" t="s">
        <v>117</v>
      </c>
      <c r="E2" t="s">
        <v>118</v>
      </c>
    </row>
    <row r="3" spans="1:8" x14ac:dyDescent="0.25">
      <c r="B3" t="s">
        <v>119</v>
      </c>
      <c r="E3" t="s">
        <v>120</v>
      </c>
    </row>
    <row r="4" spans="1:8" x14ac:dyDescent="0.25">
      <c r="B4" t="s">
        <v>121</v>
      </c>
      <c r="E4" t="s">
        <v>122</v>
      </c>
    </row>
    <row r="5" spans="1:8" x14ac:dyDescent="0.25">
      <c r="B5" t="s">
        <v>123</v>
      </c>
    </row>
    <row r="7" spans="1:8" x14ac:dyDescent="0.25">
      <c r="F7" t="s">
        <v>124</v>
      </c>
      <c r="H7" t="s">
        <v>125</v>
      </c>
    </row>
    <row r="8" spans="1:8" x14ac:dyDescent="0.25">
      <c r="B8" t="s">
        <v>126</v>
      </c>
      <c r="F8" t="s">
        <v>127</v>
      </c>
      <c r="H8" t="s">
        <v>128</v>
      </c>
    </row>
    <row r="9" spans="1:8" x14ac:dyDescent="0.25">
      <c r="B9" t="s">
        <v>129</v>
      </c>
      <c r="F9" t="s">
        <v>130</v>
      </c>
      <c r="H9" t="s">
        <v>131</v>
      </c>
    </row>
    <row r="10" spans="1:8" ht="15.75" thickBot="1" x14ac:dyDescent="0.3">
      <c r="B10" t="s">
        <v>132</v>
      </c>
      <c r="H10" t="s">
        <v>133</v>
      </c>
    </row>
    <row r="11" spans="1:8" ht="15.75" thickBot="1" x14ac:dyDescent="0.3">
      <c r="A11" s="236" t="s">
        <v>23</v>
      </c>
      <c r="B11" s="237"/>
      <c r="C11" s="238"/>
      <c r="D11" s="239"/>
      <c r="H11" t="s">
        <v>134</v>
      </c>
    </row>
    <row r="12" spans="1:8" x14ac:dyDescent="0.25">
      <c r="A12" s="225" t="s">
        <v>135</v>
      </c>
      <c r="B12" s="226" t="s">
        <v>136</v>
      </c>
      <c r="D12" s="227"/>
      <c r="H12" t="s">
        <v>137</v>
      </c>
    </row>
    <row r="13" spans="1:8" x14ac:dyDescent="0.25">
      <c r="A13" s="225"/>
      <c r="B13" s="226" t="s">
        <v>138</v>
      </c>
      <c r="D13" s="227"/>
      <c r="H13" t="s">
        <v>139</v>
      </c>
    </row>
    <row r="14" spans="1:8" x14ac:dyDescent="0.25">
      <c r="A14" s="225"/>
      <c r="B14" s="226" t="s">
        <v>140</v>
      </c>
      <c r="D14" s="227"/>
      <c r="H14" t="s">
        <v>141</v>
      </c>
    </row>
    <row r="15" spans="1:8" x14ac:dyDescent="0.25">
      <c r="A15" s="225"/>
      <c r="B15" s="226" t="s">
        <v>142</v>
      </c>
      <c r="D15" s="227"/>
      <c r="H15" t="s">
        <v>143</v>
      </c>
    </row>
    <row r="16" spans="1:8" x14ac:dyDescent="0.25">
      <c r="A16" s="225"/>
      <c r="B16" s="226" t="s">
        <v>144</v>
      </c>
      <c r="D16" s="227"/>
      <c r="H16" t="s">
        <v>145</v>
      </c>
    </row>
    <row r="17" spans="1:8" x14ac:dyDescent="0.25">
      <c r="A17" s="228" t="s">
        <v>146</v>
      </c>
      <c r="B17" s="229" t="s">
        <v>147</v>
      </c>
      <c r="D17" s="227"/>
      <c r="H17" t="s">
        <v>148</v>
      </c>
    </row>
    <row r="18" spans="1:8" x14ac:dyDescent="0.25">
      <c r="A18" s="228"/>
      <c r="B18" s="229" t="s">
        <v>149</v>
      </c>
      <c r="D18" s="227"/>
      <c r="H18" t="s">
        <v>137</v>
      </c>
    </row>
    <row r="19" spans="1:8" x14ac:dyDescent="0.25">
      <c r="A19" s="228"/>
      <c r="B19" s="229" t="s">
        <v>150</v>
      </c>
      <c r="D19" s="227"/>
    </row>
    <row r="20" spans="1:8" x14ac:dyDescent="0.25">
      <c r="A20" s="230" t="s">
        <v>151</v>
      </c>
      <c r="B20" s="231" t="s">
        <v>152</v>
      </c>
      <c r="D20" s="227"/>
    </row>
    <row r="21" spans="1:8" x14ac:dyDescent="0.25">
      <c r="A21" s="230"/>
      <c r="B21" s="231" t="s">
        <v>153</v>
      </c>
      <c r="D21" s="227"/>
    </row>
    <row r="22" spans="1:8" ht="15.75" thickBot="1" x14ac:dyDescent="0.3">
      <c r="A22" s="232"/>
      <c r="B22" s="233" t="s">
        <v>154</v>
      </c>
      <c r="C22" s="234"/>
      <c r="D22" s="235"/>
    </row>
    <row r="25" spans="1:8" x14ac:dyDescent="0.25">
      <c r="B25" t="s">
        <v>155</v>
      </c>
    </row>
    <row r="26" spans="1:8" x14ac:dyDescent="0.25">
      <c r="B26" t="s">
        <v>156</v>
      </c>
    </row>
    <row r="27" spans="1:8" ht="15.75" thickBot="1" x14ac:dyDescent="0.3">
      <c r="B27" t="s">
        <v>157</v>
      </c>
    </row>
    <row r="28" spans="1:8" ht="15.75" thickBot="1" x14ac:dyDescent="0.3">
      <c r="B28" t="s">
        <v>158</v>
      </c>
      <c r="F28" s="160" t="s">
        <v>159</v>
      </c>
      <c r="G28" s="161" t="s">
        <v>160</v>
      </c>
    </row>
    <row r="29" spans="1:8" ht="15.75" thickBot="1" x14ac:dyDescent="0.3">
      <c r="B29" t="s">
        <v>161</v>
      </c>
      <c r="F29" s="323" t="s">
        <v>158</v>
      </c>
      <c r="G29" s="162" t="s">
        <v>162</v>
      </c>
    </row>
    <row r="30" spans="1:8" ht="15.75" thickBot="1" x14ac:dyDescent="0.3">
      <c r="B30" t="s">
        <v>163</v>
      </c>
      <c r="F30" s="321"/>
      <c r="G30" s="162" t="s">
        <v>164</v>
      </c>
    </row>
    <row r="31" spans="1:8" ht="15.75" thickBot="1" x14ac:dyDescent="0.3">
      <c r="B31" t="s">
        <v>165</v>
      </c>
      <c r="F31" s="321"/>
      <c r="G31" s="162" t="s">
        <v>166</v>
      </c>
    </row>
    <row r="32" spans="1:8" ht="15.75" thickBot="1" x14ac:dyDescent="0.3">
      <c r="B32" t="s">
        <v>167</v>
      </c>
      <c r="F32" s="321"/>
      <c r="G32" s="162" t="s">
        <v>168</v>
      </c>
    </row>
    <row r="33" spans="6:7" ht="15.75" thickBot="1" x14ac:dyDescent="0.3">
      <c r="F33" s="321"/>
      <c r="G33" s="162" t="s">
        <v>169</v>
      </c>
    </row>
    <row r="34" spans="6:7" ht="15.75" thickBot="1" x14ac:dyDescent="0.3">
      <c r="F34" s="322"/>
      <c r="G34" s="162" t="s">
        <v>170</v>
      </c>
    </row>
    <row r="35" spans="6:7" ht="15.75" thickBot="1" x14ac:dyDescent="0.3">
      <c r="F35" s="320" t="s">
        <v>167</v>
      </c>
      <c r="G35" s="162" t="s">
        <v>171</v>
      </c>
    </row>
    <row r="36" spans="6:7" ht="15.75" thickBot="1" x14ac:dyDescent="0.3">
      <c r="F36" s="321"/>
      <c r="G36" s="162" t="s">
        <v>172</v>
      </c>
    </row>
    <row r="37" spans="6:7" ht="15.75" thickBot="1" x14ac:dyDescent="0.3">
      <c r="F37" s="321"/>
      <c r="G37" s="162" t="s">
        <v>173</v>
      </c>
    </row>
    <row r="38" spans="6:7" ht="21.75" customHeight="1" thickBot="1" x14ac:dyDescent="0.3">
      <c r="F38" s="321"/>
      <c r="G38" s="162" t="s">
        <v>174</v>
      </c>
    </row>
    <row r="39" spans="6:7" ht="15.75" thickBot="1" x14ac:dyDescent="0.3">
      <c r="F39" s="322"/>
      <c r="G39" s="162" t="s">
        <v>175</v>
      </c>
    </row>
    <row r="40" spans="6:7" ht="45.75" customHeight="1" thickBot="1" x14ac:dyDescent="0.3">
      <c r="F40" s="320" t="s">
        <v>163</v>
      </c>
      <c r="G40" s="162" t="s">
        <v>176</v>
      </c>
    </row>
    <row r="41" spans="6:7" ht="15.75" thickBot="1" x14ac:dyDescent="0.3">
      <c r="F41" s="321"/>
      <c r="G41" s="162" t="s">
        <v>177</v>
      </c>
    </row>
    <row r="42" spans="6:7" ht="30" customHeight="1" thickBot="1" x14ac:dyDescent="0.3">
      <c r="F42" s="322"/>
      <c r="G42" s="162" t="s">
        <v>178</v>
      </c>
    </row>
    <row r="43" spans="6:7" ht="15.75" thickBot="1" x14ac:dyDescent="0.3">
      <c r="F43" s="320" t="s">
        <v>165</v>
      </c>
      <c r="G43" s="162" t="s">
        <v>179</v>
      </c>
    </row>
    <row r="44" spans="6:7" ht="15.75" thickBot="1" x14ac:dyDescent="0.3">
      <c r="F44" s="321"/>
      <c r="G44" s="162" t="s">
        <v>180</v>
      </c>
    </row>
    <row r="45" spans="6:7" ht="15.75" thickBot="1" x14ac:dyDescent="0.3">
      <c r="F45" s="322"/>
      <c r="G45" s="162" t="s">
        <v>181</v>
      </c>
    </row>
    <row r="46" spans="6:7" ht="24.75" thickBot="1" x14ac:dyDescent="0.3">
      <c r="F46" s="320" t="s">
        <v>156</v>
      </c>
      <c r="G46" s="162" t="s">
        <v>182</v>
      </c>
    </row>
    <row r="47" spans="6:7" ht="15.75" thickBot="1" x14ac:dyDescent="0.3">
      <c r="F47" s="321"/>
      <c r="G47" s="162" t="s">
        <v>183</v>
      </c>
    </row>
    <row r="48" spans="6:7" ht="15.75" thickBot="1" x14ac:dyDescent="0.3">
      <c r="F48" s="321"/>
      <c r="G48" s="162" t="s">
        <v>184</v>
      </c>
    </row>
    <row r="49" spans="6:7" ht="15.75" thickBot="1" x14ac:dyDescent="0.3">
      <c r="F49" s="321"/>
      <c r="G49" s="162" t="s">
        <v>185</v>
      </c>
    </row>
    <row r="50" spans="6:7" ht="15.75" thickBot="1" x14ac:dyDescent="0.3">
      <c r="F50" s="321"/>
      <c r="G50" s="162" t="s">
        <v>186</v>
      </c>
    </row>
    <row r="51" spans="6:7" ht="24.75" thickBot="1" x14ac:dyDescent="0.3">
      <c r="F51" s="321"/>
      <c r="G51" s="162" t="s">
        <v>187</v>
      </c>
    </row>
    <row r="52" spans="6:7" ht="15.75" thickBot="1" x14ac:dyDescent="0.3">
      <c r="F52" s="321"/>
      <c r="G52" s="162" t="s">
        <v>188</v>
      </c>
    </row>
    <row r="53" spans="6:7" ht="24.75" thickBot="1" x14ac:dyDescent="0.3">
      <c r="F53" s="321"/>
      <c r="G53" s="162" t="s">
        <v>189</v>
      </c>
    </row>
    <row r="54" spans="6:7" ht="15.75" thickBot="1" x14ac:dyDescent="0.3">
      <c r="F54" s="321"/>
      <c r="G54" s="162" t="s">
        <v>190</v>
      </c>
    </row>
    <row r="55" spans="6:7" ht="15.75" thickBot="1" x14ac:dyDescent="0.3">
      <c r="F55" s="321"/>
      <c r="G55" s="162" t="s">
        <v>191</v>
      </c>
    </row>
    <row r="56" spans="6:7" ht="15.75" thickBot="1" x14ac:dyDescent="0.3">
      <c r="F56" s="322"/>
      <c r="G56" s="162" t="s">
        <v>192</v>
      </c>
    </row>
    <row r="57" spans="6:7" ht="15.75" thickBot="1" x14ac:dyDescent="0.3">
      <c r="F57" s="320" t="s">
        <v>161</v>
      </c>
      <c r="G57" s="162" t="s">
        <v>193</v>
      </c>
    </row>
    <row r="58" spans="6:7" ht="15.75" thickBot="1" x14ac:dyDescent="0.3">
      <c r="F58" s="321"/>
      <c r="G58" s="162" t="s">
        <v>194</v>
      </c>
    </row>
    <row r="59" spans="6:7" ht="24.75" thickBot="1" x14ac:dyDescent="0.3">
      <c r="F59" s="321"/>
      <c r="G59" s="162" t="s">
        <v>195</v>
      </c>
    </row>
    <row r="60" spans="6:7" ht="15.75" thickBot="1" x14ac:dyDescent="0.3">
      <c r="F60" s="321"/>
      <c r="G60" s="162" t="s">
        <v>196</v>
      </c>
    </row>
    <row r="61" spans="6:7" ht="36.75" thickBot="1" x14ac:dyDescent="0.3">
      <c r="F61" s="322"/>
      <c r="G61" s="162" t="s">
        <v>197</v>
      </c>
    </row>
    <row r="62" spans="6:7" ht="15.75" thickBot="1" x14ac:dyDescent="0.3">
      <c r="F62" s="320" t="s">
        <v>155</v>
      </c>
      <c r="G62" s="162" t="s">
        <v>198</v>
      </c>
    </row>
    <row r="63" spans="6:7" ht="15.75" thickBot="1" x14ac:dyDescent="0.3">
      <c r="F63" s="321"/>
      <c r="G63" s="162" t="s">
        <v>199</v>
      </c>
    </row>
    <row r="64" spans="6:7" ht="15.75" thickBot="1" x14ac:dyDescent="0.3">
      <c r="F64" s="321"/>
      <c r="G64" s="162" t="s">
        <v>200</v>
      </c>
    </row>
    <row r="65" spans="6:7" ht="15.75" thickBot="1" x14ac:dyDescent="0.3">
      <c r="F65" s="321"/>
      <c r="G65" s="162" t="s">
        <v>201</v>
      </c>
    </row>
    <row r="66" spans="6:7" ht="15.75" thickBot="1" x14ac:dyDescent="0.3">
      <c r="F66" s="322"/>
      <c r="G66" s="162" t="s">
        <v>202</v>
      </c>
    </row>
    <row r="67" spans="6:7" ht="15.75" thickBot="1" x14ac:dyDescent="0.3">
      <c r="F67" s="320" t="s">
        <v>157</v>
      </c>
      <c r="G67" s="162" t="s">
        <v>203</v>
      </c>
    </row>
    <row r="68" spans="6:7" ht="15.75" thickBot="1" x14ac:dyDescent="0.3">
      <c r="F68" s="321"/>
      <c r="G68" s="162" t="s">
        <v>204</v>
      </c>
    </row>
    <row r="69" spans="6:7" ht="15.75" thickBot="1" x14ac:dyDescent="0.3">
      <c r="F69" s="321"/>
      <c r="G69" s="162" t="s">
        <v>205</v>
      </c>
    </row>
    <row r="70" spans="6:7" ht="15.75" thickBot="1" x14ac:dyDescent="0.3">
      <c r="F70" s="321"/>
      <c r="G70" s="162" t="s">
        <v>206</v>
      </c>
    </row>
    <row r="71" spans="6:7" ht="24.75" thickBot="1" x14ac:dyDescent="0.3">
      <c r="F71" s="322"/>
      <c r="G71" s="162" t="s">
        <v>207</v>
      </c>
    </row>
  </sheetData>
  <sortState xmlns:xlrd2="http://schemas.microsoft.com/office/spreadsheetml/2017/richdata2" ref="B2:B5">
    <sortCondition ref="B2:B5"/>
  </sortState>
  <mergeCells count="8">
    <mergeCell ref="F62:F66"/>
    <mergeCell ref="F67:F71"/>
    <mergeCell ref="F29:F34"/>
    <mergeCell ref="F35:F39"/>
    <mergeCell ref="F40:F42"/>
    <mergeCell ref="F43:F45"/>
    <mergeCell ref="F46:F56"/>
    <mergeCell ref="F57:F6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JL61"/>
  <sheetViews>
    <sheetView topLeftCell="W8" zoomScale="60" zoomScaleNormal="60" zoomScaleSheetLayoutView="50" zoomScalePageLayoutView="60" workbookViewId="0">
      <selection activeCell="U13" sqref="U13:U15"/>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51.140625" style="218" customWidth="1"/>
    <col min="6" max="6" width="21" style="198" customWidth="1"/>
    <col min="7" max="7" width="17.7109375" style="198" customWidth="1"/>
    <col min="8" max="8" width="24.28515625" style="198" customWidth="1"/>
    <col min="9" max="10" width="29.42578125" style="198" customWidth="1"/>
    <col min="11" max="11" width="24.28515625" style="198" customWidth="1"/>
    <col min="12" max="12" width="22.5703125" style="198" customWidth="1"/>
    <col min="13" max="13" width="20.5703125" style="198" customWidth="1"/>
    <col min="14" max="14" width="16.7109375" style="219" customWidth="1"/>
    <col min="15" max="15" width="16.7109375" style="198" customWidth="1"/>
    <col min="16" max="16" width="20.42578125" style="198" hidden="1" customWidth="1"/>
    <col min="17" max="17" width="24.7109375" style="198" customWidth="1"/>
    <col min="18" max="18" width="35.85546875" style="198" hidden="1" customWidth="1"/>
    <col min="19" max="19" width="19" style="198" customWidth="1"/>
    <col min="20" max="20" width="17.5703125" style="198" hidden="1" customWidth="1"/>
    <col min="21" max="21" width="15" style="198" customWidth="1"/>
    <col min="22" max="22" width="16" style="198" customWidth="1"/>
    <col min="23" max="23" width="49.140625" style="198" customWidth="1"/>
    <col min="24" max="24" width="26.85546875" style="198" hidden="1" customWidth="1"/>
    <col min="25" max="25" width="5.85546875" style="198" customWidth="1"/>
    <col min="26" max="26" width="6.85546875" style="198" customWidth="1"/>
    <col min="27" max="27" width="5" style="198" hidden="1" customWidth="1"/>
    <col min="28" max="28" width="5.5703125" style="198" customWidth="1"/>
    <col min="29" max="29" width="7.140625" style="198" customWidth="1"/>
    <col min="30" max="30" width="6.7109375" style="198" customWidth="1"/>
    <col min="31" max="31" width="7.5703125" style="198" hidden="1" customWidth="1"/>
    <col min="32" max="32" width="8.5703125" style="198" customWidth="1"/>
    <col min="33" max="37" width="10.85546875" style="198" customWidth="1"/>
    <col min="38" max="38" width="38.28515625" style="217" customWidth="1"/>
    <col min="39" max="39" width="23" style="198" customWidth="1"/>
    <col min="40" max="40" width="18.85546875" style="198" customWidth="1"/>
    <col min="41" max="41" width="23.7109375" style="198" customWidth="1"/>
    <col min="42" max="42" width="22.42578125" style="198" customWidth="1"/>
    <col min="43" max="43" width="19" style="198" customWidth="1"/>
    <col min="44" max="44" width="20.5703125" style="198" customWidth="1"/>
    <col min="45" max="16384" width="11.42578125" style="198"/>
  </cols>
  <sheetData>
    <row r="1" spans="1:272" s="201" customFormat="1" ht="20.25" x14ac:dyDescent="0.3">
      <c r="A1" s="374"/>
      <c r="B1" s="375"/>
      <c r="C1" s="376"/>
      <c r="D1" s="365" t="s">
        <v>208</v>
      </c>
      <c r="E1" s="366"/>
      <c r="F1" s="366"/>
      <c r="G1" s="366"/>
      <c r="H1" s="366"/>
      <c r="I1" s="366"/>
      <c r="J1" s="366"/>
      <c r="K1" s="366"/>
      <c r="L1" s="366"/>
      <c r="M1" s="366"/>
      <c r="N1" s="366"/>
      <c r="O1" s="366"/>
      <c r="P1" s="366"/>
      <c r="Q1" s="366"/>
      <c r="R1" s="366"/>
      <c r="S1" s="366"/>
      <c r="T1" s="367"/>
      <c r="U1" s="252"/>
      <c r="V1" s="252"/>
      <c r="W1" s="252"/>
      <c r="X1" s="384"/>
      <c r="Y1" s="384"/>
      <c r="Z1" s="384"/>
      <c r="AA1" s="384"/>
      <c r="AB1" s="384"/>
      <c r="AC1" s="384"/>
      <c r="AD1" s="384"/>
      <c r="AE1" s="384"/>
      <c r="AF1" s="384"/>
      <c r="AG1" s="384"/>
      <c r="AH1" s="384"/>
      <c r="AI1" s="384"/>
      <c r="AJ1" s="384"/>
      <c r="AK1" s="384"/>
      <c r="AL1" s="384"/>
      <c r="AM1" s="384"/>
      <c r="AN1" s="384"/>
      <c r="AO1" s="384"/>
      <c r="AP1" s="384"/>
      <c r="AQ1" s="384"/>
      <c r="AR1" s="384"/>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2" s="201" customFormat="1" ht="21" thickBot="1" x14ac:dyDescent="0.35">
      <c r="A2" s="377"/>
      <c r="B2" s="378"/>
      <c r="C2" s="379"/>
      <c r="D2" s="368"/>
      <c r="E2" s="369"/>
      <c r="F2" s="369"/>
      <c r="G2" s="369"/>
      <c r="H2" s="369"/>
      <c r="I2" s="369"/>
      <c r="J2" s="369"/>
      <c r="K2" s="369"/>
      <c r="L2" s="369"/>
      <c r="M2" s="369"/>
      <c r="N2" s="369"/>
      <c r="O2" s="369"/>
      <c r="P2" s="369"/>
      <c r="Q2" s="369"/>
      <c r="R2" s="369"/>
      <c r="S2" s="369"/>
      <c r="T2" s="370"/>
      <c r="U2" s="252"/>
      <c r="V2" s="252"/>
      <c r="W2" s="252"/>
      <c r="X2" s="384"/>
      <c r="Y2" s="384"/>
      <c r="Z2" s="384"/>
      <c r="AA2" s="384"/>
      <c r="AB2" s="384"/>
      <c r="AC2" s="384"/>
      <c r="AD2" s="384"/>
      <c r="AE2" s="384"/>
      <c r="AF2" s="384"/>
      <c r="AG2" s="384"/>
      <c r="AH2" s="384"/>
      <c r="AI2" s="384"/>
      <c r="AJ2" s="384"/>
      <c r="AK2" s="384"/>
      <c r="AL2" s="384"/>
      <c r="AM2" s="384"/>
      <c r="AN2" s="384"/>
      <c r="AO2" s="384"/>
      <c r="AP2" s="384"/>
      <c r="AQ2" s="384"/>
      <c r="AR2" s="384"/>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2" s="201" customFormat="1" ht="27.75" customHeight="1" thickBot="1" x14ac:dyDescent="0.35">
      <c r="A3" s="377"/>
      <c r="B3" s="378"/>
      <c r="C3" s="379"/>
      <c r="D3" s="371" t="s">
        <v>209</v>
      </c>
      <c r="E3" s="372"/>
      <c r="F3" s="372"/>
      <c r="G3" s="372"/>
      <c r="H3" s="372"/>
      <c r="I3" s="373"/>
      <c r="J3" s="371" t="s">
        <v>210</v>
      </c>
      <c r="K3" s="372"/>
      <c r="L3" s="372"/>
      <c r="M3" s="372"/>
      <c r="N3" s="372"/>
      <c r="O3" s="372"/>
      <c r="P3" s="372"/>
      <c r="Q3" s="372"/>
      <c r="R3" s="372"/>
      <c r="S3" s="372"/>
      <c r="T3" s="373"/>
      <c r="U3" s="253"/>
      <c r="V3" s="253"/>
      <c r="W3" s="252"/>
      <c r="X3" s="385"/>
      <c r="Y3" s="385"/>
      <c r="Z3" s="385"/>
      <c r="AA3" s="385"/>
      <c r="AB3" s="385"/>
      <c r="AC3" s="385"/>
      <c r="AD3" s="385"/>
      <c r="AE3" s="385"/>
      <c r="AF3" s="385"/>
      <c r="AG3" s="385"/>
      <c r="AH3" s="385"/>
      <c r="AI3" s="385"/>
      <c r="AJ3" s="385"/>
      <c r="AK3" s="385"/>
      <c r="AL3" s="385"/>
      <c r="AM3" s="385"/>
      <c r="AN3" s="385"/>
      <c r="AO3" s="385"/>
      <c r="AP3" s="385"/>
      <c r="AQ3" s="385"/>
      <c r="AR3" s="385"/>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2" s="201" customFormat="1" ht="27.75" customHeight="1" thickBot="1" x14ac:dyDescent="0.35">
      <c r="A4" s="380"/>
      <c r="B4" s="381"/>
      <c r="C4" s="382"/>
      <c r="D4" s="371" t="s">
        <v>422</v>
      </c>
      <c r="E4" s="372"/>
      <c r="F4" s="372"/>
      <c r="G4" s="372"/>
      <c r="H4" s="372"/>
      <c r="I4" s="372"/>
      <c r="J4" s="372"/>
      <c r="K4" s="372"/>
      <c r="L4" s="372"/>
      <c r="M4" s="372"/>
      <c r="N4" s="372"/>
      <c r="O4" s="372"/>
      <c r="P4" s="372"/>
      <c r="Q4" s="372"/>
      <c r="R4" s="372"/>
      <c r="S4" s="372"/>
      <c r="T4" s="373"/>
      <c r="U4" s="252"/>
      <c r="V4" s="252"/>
      <c r="W4" s="252"/>
      <c r="X4" s="385"/>
      <c r="Y4" s="385"/>
      <c r="Z4" s="385"/>
      <c r="AA4" s="385"/>
      <c r="AB4" s="385"/>
      <c r="AC4" s="385"/>
      <c r="AD4" s="385"/>
      <c r="AE4" s="385"/>
      <c r="AF4" s="385"/>
      <c r="AG4" s="385"/>
      <c r="AH4" s="385"/>
      <c r="AI4" s="385"/>
      <c r="AJ4" s="385"/>
      <c r="AK4" s="385"/>
      <c r="AL4" s="385"/>
      <c r="AM4" s="385"/>
      <c r="AN4" s="385"/>
      <c r="AO4" s="385"/>
      <c r="AP4" s="385"/>
      <c r="AQ4" s="385"/>
      <c r="AR4" s="385"/>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2"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2" ht="27" customHeight="1" thickBot="1" x14ac:dyDescent="0.25">
      <c r="A6" s="386" t="s">
        <v>211</v>
      </c>
      <c r="B6" s="387"/>
      <c r="C6" s="393" t="s">
        <v>80</v>
      </c>
      <c r="D6" s="394"/>
      <c r="E6" s="394"/>
      <c r="F6" s="394"/>
      <c r="G6" s="394"/>
      <c r="H6" s="394"/>
      <c r="I6" s="394"/>
      <c r="J6" s="394"/>
      <c r="K6" s="394"/>
      <c r="L6" s="394"/>
      <c r="M6" s="394"/>
      <c r="N6" s="394"/>
      <c r="O6" s="394"/>
      <c r="P6" s="394"/>
      <c r="Q6" s="394"/>
      <c r="R6" s="394"/>
      <c r="S6" s="394"/>
      <c r="T6" s="395"/>
      <c r="U6" s="255"/>
      <c r="V6" s="255"/>
      <c r="W6" s="392"/>
      <c r="X6" s="392"/>
      <c r="Y6" s="392"/>
      <c r="Z6" s="383"/>
      <c r="AA6" s="383"/>
      <c r="AB6" s="383"/>
      <c r="AC6" s="383"/>
      <c r="AD6" s="383"/>
      <c r="AE6" s="383"/>
      <c r="AF6" s="383"/>
      <c r="AG6" s="383"/>
      <c r="AH6" s="383"/>
      <c r="AI6" s="383"/>
      <c r="AJ6" s="383"/>
      <c r="AK6" s="383"/>
      <c r="AL6" s="383"/>
      <c r="AM6" s="383"/>
      <c r="AN6" s="383"/>
      <c r="AO6" s="383"/>
      <c r="AP6" s="383"/>
      <c r="AQ6" s="383"/>
      <c r="AR6" s="383"/>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2" ht="39.75" customHeight="1" thickBot="1" x14ac:dyDescent="0.3">
      <c r="A7" s="388" t="s">
        <v>212</v>
      </c>
      <c r="B7" s="389"/>
      <c r="C7" s="362" t="s">
        <v>426</v>
      </c>
      <c r="D7" s="363"/>
      <c r="E7" s="363"/>
      <c r="F7" s="363"/>
      <c r="G7" s="363"/>
      <c r="H7" s="363"/>
      <c r="I7" s="363"/>
      <c r="J7" s="363"/>
      <c r="K7" s="363"/>
      <c r="L7" s="363"/>
      <c r="M7" s="363"/>
      <c r="N7" s="363"/>
      <c r="O7" s="363"/>
      <c r="P7" s="363"/>
      <c r="Q7" s="363"/>
      <c r="R7" s="363"/>
      <c r="S7" s="363"/>
      <c r="T7" s="364"/>
      <c r="U7" s="256"/>
      <c r="V7" s="256"/>
      <c r="W7" s="257"/>
      <c r="X7" s="257"/>
      <c r="Y7" s="257"/>
      <c r="Z7" s="383"/>
      <c r="AA7" s="383"/>
      <c r="AB7" s="383"/>
      <c r="AC7" s="383"/>
      <c r="AD7" s="383"/>
      <c r="AE7" s="383"/>
      <c r="AF7" s="383"/>
      <c r="AG7" s="383"/>
      <c r="AH7" s="383"/>
      <c r="AI7" s="383"/>
      <c r="AJ7" s="383"/>
      <c r="AK7" s="383"/>
      <c r="AL7" s="383"/>
      <c r="AM7" s="383"/>
      <c r="AN7" s="383"/>
      <c r="AO7" s="383"/>
      <c r="AP7" s="383"/>
      <c r="AQ7" s="383"/>
      <c r="AR7" s="383"/>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2" ht="43.5" customHeight="1" thickBot="1" x14ac:dyDescent="0.3">
      <c r="A8" s="390" t="s">
        <v>213</v>
      </c>
      <c r="B8" s="391"/>
      <c r="C8" s="362" t="s">
        <v>427</v>
      </c>
      <c r="D8" s="363"/>
      <c r="E8" s="363"/>
      <c r="F8" s="363"/>
      <c r="G8" s="363"/>
      <c r="H8" s="363"/>
      <c r="I8" s="363"/>
      <c r="J8" s="363"/>
      <c r="K8" s="363"/>
      <c r="L8" s="363"/>
      <c r="M8" s="363"/>
      <c r="N8" s="363"/>
      <c r="O8" s="363"/>
      <c r="P8" s="363"/>
      <c r="Q8" s="363"/>
      <c r="R8" s="363"/>
      <c r="S8" s="363"/>
      <c r="T8" s="364"/>
      <c r="U8" s="256"/>
      <c r="V8" s="256"/>
      <c r="W8" s="257"/>
      <c r="X8" s="257"/>
      <c r="Y8" s="257"/>
      <c r="Z8" s="383"/>
      <c r="AA8" s="383"/>
      <c r="AB8" s="383"/>
      <c r="AC8" s="383"/>
      <c r="AD8" s="383"/>
      <c r="AE8" s="383"/>
      <c r="AF8" s="383"/>
      <c r="AG8" s="383"/>
      <c r="AH8" s="383"/>
      <c r="AI8" s="383"/>
      <c r="AJ8" s="383"/>
      <c r="AK8" s="383"/>
      <c r="AL8" s="383"/>
      <c r="AM8" s="383"/>
      <c r="AN8" s="383"/>
      <c r="AO8" s="383"/>
      <c r="AP8" s="383"/>
      <c r="AQ8" s="383"/>
      <c r="AR8" s="383"/>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2"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2" ht="27.75" customHeight="1" x14ac:dyDescent="0.2">
      <c r="A10" s="359" t="s">
        <v>214</v>
      </c>
      <c r="B10" s="360"/>
      <c r="C10" s="360"/>
      <c r="D10" s="360"/>
      <c r="E10" s="360"/>
      <c r="F10" s="361"/>
      <c r="G10" s="332" t="s">
        <v>215</v>
      </c>
      <c r="H10" s="333"/>
      <c r="I10" s="333"/>
      <c r="J10" s="333"/>
      <c r="K10" s="334"/>
      <c r="L10" s="344" t="s">
        <v>216</v>
      </c>
      <c r="M10" s="345"/>
      <c r="N10" s="324" t="s">
        <v>217</v>
      </c>
      <c r="O10" s="325"/>
      <c r="P10" s="325"/>
      <c r="Q10" s="325"/>
      <c r="R10" s="325"/>
      <c r="S10" s="325"/>
      <c r="T10" s="325"/>
      <c r="U10" s="325"/>
      <c r="V10" s="326"/>
      <c r="W10" s="330" t="s">
        <v>218</v>
      </c>
      <c r="X10" s="330"/>
      <c r="Y10" s="330"/>
      <c r="Z10" s="330"/>
      <c r="AA10" s="330"/>
      <c r="AB10" s="330"/>
      <c r="AC10" s="330"/>
      <c r="AD10" s="330"/>
      <c r="AE10" s="330"/>
      <c r="AF10" s="338" t="s">
        <v>219</v>
      </c>
      <c r="AG10" s="339"/>
      <c r="AH10" s="339"/>
      <c r="AI10" s="339"/>
      <c r="AJ10" s="340"/>
      <c r="AK10" s="324" t="s">
        <v>423</v>
      </c>
      <c r="AL10" s="325"/>
      <c r="AM10" s="325"/>
      <c r="AN10" s="325"/>
      <c r="AO10" s="326"/>
      <c r="AP10" s="324" t="s">
        <v>424</v>
      </c>
      <c r="AQ10" s="325"/>
      <c r="AR10" s="326"/>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row>
    <row r="11" spans="1:272" ht="15.75" x14ac:dyDescent="0.2">
      <c r="A11" s="347" t="s">
        <v>222</v>
      </c>
      <c r="B11" s="348" t="s">
        <v>15</v>
      </c>
      <c r="C11" s="349" t="s">
        <v>17</v>
      </c>
      <c r="D11" s="349" t="s">
        <v>19</v>
      </c>
      <c r="E11" s="348" t="s">
        <v>21</v>
      </c>
      <c r="F11" s="349" t="s">
        <v>23</v>
      </c>
      <c r="G11" s="350" t="s">
        <v>124</v>
      </c>
      <c r="H11" s="350" t="s">
        <v>223</v>
      </c>
      <c r="I11" s="350" t="s">
        <v>224</v>
      </c>
      <c r="J11" s="350" t="s">
        <v>225</v>
      </c>
      <c r="K11" s="350" t="s">
        <v>226</v>
      </c>
      <c r="L11" s="344"/>
      <c r="M11" s="345"/>
      <c r="N11" s="329" t="s">
        <v>227</v>
      </c>
      <c r="O11" s="329" t="s">
        <v>228</v>
      </c>
      <c r="P11" s="342" t="s">
        <v>229</v>
      </c>
      <c r="Q11" s="329" t="s">
        <v>230</v>
      </c>
      <c r="R11" s="329" t="s">
        <v>231</v>
      </c>
      <c r="S11" s="329" t="s">
        <v>232</v>
      </c>
      <c r="T11" s="342" t="s">
        <v>229</v>
      </c>
      <c r="U11" s="329" t="s">
        <v>29</v>
      </c>
      <c r="V11" s="328" t="s">
        <v>233</v>
      </c>
      <c r="W11" s="329" t="s">
        <v>31</v>
      </c>
      <c r="X11" s="329" t="s">
        <v>33</v>
      </c>
      <c r="Y11" s="329" t="s">
        <v>234</v>
      </c>
      <c r="Z11" s="329"/>
      <c r="AA11" s="329"/>
      <c r="AB11" s="329"/>
      <c r="AC11" s="329"/>
      <c r="AD11" s="329"/>
      <c r="AE11" s="328" t="s">
        <v>235</v>
      </c>
      <c r="AF11" s="328" t="s">
        <v>236</v>
      </c>
      <c r="AG11" s="328" t="s">
        <v>229</v>
      </c>
      <c r="AH11" s="328" t="s">
        <v>237</v>
      </c>
      <c r="AI11" s="328" t="s">
        <v>229</v>
      </c>
      <c r="AJ11" s="328" t="s">
        <v>238</v>
      </c>
      <c r="AK11" s="328" t="s">
        <v>49</v>
      </c>
      <c r="AL11" s="329" t="s">
        <v>239</v>
      </c>
      <c r="AM11" s="329" t="s">
        <v>240</v>
      </c>
      <c r="AN11" s="329" t="s">
        <v>241</v>
      </c>
      <c r="AO11" s="329" t="s">
        <v>242</v>
      </c>
      <c r="AP11" s="329" t="s">
        <v>239</v>
      </c>
      <c r="AQ11" s="329" t="s">
        <v>241</v>
      </c>
      <c r="AR11" s="329" t="s">
        <v>240</v>
      </c>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row>
    <row r="12" spans="1:272" s="213" customFormat="1" ht="98.25" x14ac:dyDescent="0.25">
      <c r="A12" s="347"/>
      <c r="B12" s="348"/>
      <c r="C12" s="349"/>
      <c r="D12" s="349"/>
      <c r="E12" s="348"/>
      <c r="F12" s="349"/>
      <c r="G12" s="351"/>
      <c r="H12" s="351"/>
      <c r="I12" s="351"/>
      <c r="J12" s="351"/>
      <c r="K12" s="351"/>
      <c r="L12" s="250" t="s">
        <v>425</v>
      </c>
      <c r="M12" s="250" t="s">
        <v>246</v>
      </c>
      <c r="N12" s="329"/>
      <c r="O12" s="329"/>
      <c r="P12" s="342"/>
      <c r="Q12" s="329"/>
      <c r="R12" s="329"/>
      <c r="S12" s="342"/>
      <c r="T12" s="342"/>
      <c r="U12" s="329"/>
      <c r="V12" s="328"/>
      <c r="W12" s="329"/>
      <c r="X12" s="329"/>
      <c r="Y12" s="210" t="s">
        <v>247</v>
      </c>
      <c r="Z12" s="210" t="s">
        <v>248</v>
      </c>
      <c r="AA12" s="210" t="s">
        <v>249</v>
      </c>
      <c r="AB12" s="210" t="s">
        <v>250</v>
      </c>
      <c r="AC12" s="210" t="s">
        <v>251</v>
      </c>
      <c r="AD12" s="210" t="s">
        <v>252</v>
      </c>
      <c r="AE12" s="328"/>
      <c r="AF12" s="328"/>
      <c r="AG12" s="328"/>
      <c r="AH12" s="328"/>
      <c r="AI12" s="328"/>
      <c r="AJ12" s="328"/>
      <c r="AK12" s="328"/>
      <c r="AL12" s="329"/>
      <c r="AM12" s="329"/>
      <c r="AN12" s="329"/>
      <c r="AO12" s="329"/>
      <c r="AP12" s="329"/>
      <c r="AQ12" s="329"/>
      <c r="AR12" s="329"/>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row>
    <row r="13" spans="1:272" s="215" customFormat="1" ht="189" customHeight="1" x14ac:dyDescent="0.25">
      <c r="A13" s="258">
        <v>1</v>
      </c>
      <c r="B13" s="186" t="s">
        <v>122</v>
      </c>
      <c r="C13" s="221" t="s">
        <v>428</v>
      </c>
      <c r="D13" s="221" t="s">
        <v>453</v>
      </c>
      <c r="E13" s="267" t="s">
        <v>452</v>
      </c>
      <c r="F13" s="186" t="s">
        <v>138</v>
      </c>
      <c r="G13" s="221" t="s">
        <v>127</v>
      </c>
      <c r="H13" s="221" t="s">
        <v>454</v>
      </c>
      <c r="I13" s="221" t="s">
        <v>429</v>
      </c>
      <c r="J13" s="221" t="s">
        <v>430</v>
      </c>
      <c r="K13" s="221" t="s">
        <v>431</v>
      </c>
      <c r="L13" s="221" t="s">
        <v>133</v>
      </c>
      <c r="M13" s="573" t="s">
        <v>141</v>
      </c>
      <c r="N13" s="196">
        <v>48</v>
      </c>
      <c r="O13" s="259" t="str">
        <f>IF(N13&lt;=0,"",IF(N13&lt;=2,"Muy Baja",IF(N13&lt;=24,"Baja",IF(N13&lt;=500,"Media",IF(N13&lt;=5000,"Alta","Muy Alta")))))</f>
        <v>Media</v>
      </c>
      <c r="P13" s="260">
        <f>IF(O13="","",IF(O13="Muy Baja",0.2,IF(O13="Baja",0.4,IF(O13="Media",0.6,IF(O13="Alta",0.8,IF(O13="Muy Alta",1,))))))</f>
        <v>0.6</v>
      </c>
      <c r="Q13" s="262" t="s">
        <v>253</v>
      </c>
      <c r="R13" s="260" t="str">
        <f>IF(NOT(ISERROR(MATCH(Q13,'Tabla Impacto'!$B$222:$B$224,0))),'Tabla Impacto'!$F$224&amp;"Por favor no seleccionar los criterios de impacto(Afectación Económica o presupuestal y Pérdida Reputacional)",Q13)</f>
        <v xml:space="preserve">     El riesgo afecta la imagen de la entidad con algunos usuarios de relevancia frente al logro de los objetivos</v>
      </c>
      <c r="S13" s="259" t="str">
        <f>IF(OR(R13='Tabla Impacto'!$C$12,R13='Tabla Impacto'!$D$12),"Leve",IF(OR(R13='Tabla Impacto'!$C$13,R13='Tabla Impacto'!$D$13),"Menor",IF(OR(R13='Tabla Impacto'!$C$14,R13='Tabla Impacto'!$D$14),"Moderado",IF(OR(R13='Tabla Impacto'!$C$15,R13='Tabla Impacto'!$D$15),"Mayor",IF(OR(R13='Tabla Impacto'!$C$16,R13='Tabla Impacto'!$D$16),"Catastrófico","")))))</f>
        <v>Moderado</v>
      </c>
      <c r="T13" s="260">
        <f>IF(S13="","",IF(S13="Leve",0.2,IF(S13="Menor",0.4,IF(S13="Moderado",0.6,IF(S13="Mayor",0.8,IF(S13="Catastrófico",1,))))))</f>
        <v>0.6</v>
      </c>
      <c r="U13" s="261"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Moderado</v>
      </c>
      <c r="V13" s="214">
        <v>1</v>
      </c>
      <c r="W13" s="240" t="s">
        <v>455</v>
      </c>
      <c r="X13" s="189" t="str">
        <f t="shared" ref="X13" si="0">IF(OR(Y13="Preventivo",Y13="Detectivo"),"Probabilidad",IF(Y13="Correctivo","Impacto",""))</f>
        <v>Probabilidad</v>
      </c>
      <c r="Y13" s="190" t="s">
        <v>254</v>
      </c>
      <c r="Z13" s="190" t="s">
        <v>255</v>
      </c>
      <c r="AA13" s="191" t="str">
        <f>IF(AND(Y13="Preventivo",Z13="Automático"),"50%",IF(AND(Y13="Preventivo",Z13="Manual"),"40%",IF(AND(Y13="Detectivo",Z13="Automático"),"40%",IF(AND(Y13="Detectivo",Z13="Manual"),"30%",IF(AND(Y13="Correctivo",Z13="Automático"),"35%",IF(AND(Y13="Correctivo",Z13="Manual"),"25%",""))))))</f>
        <v>40%</v>
      </c>
      <c r="AB13" s="190" t="s">
        <v>256</v>
      </c>
      <c r="AC13" s="190" t="s">
        <v>257</v>
      </c>
      <c r="AD13" s="190" t="s">
        <v>258</v>
      </c>
      <c r="AE13" s="192">
        <f>IFERROR(IF(X13="Probabilidad",(P13-(+P13*AA13)),IF(X13="Impacto",P13,"")),"")</f>
        <v>0.36</v>
      </c>
      <c r="AF13" s="193" t="str">
        <f>IFERROR(IF(AE13="","",IF(AE13&lt;=0.2,"Muy Baja",IF(AE13&lt;=0.4,"Baja",IF(AE13&lt;=0.6,"Media",IF(AE13&lt;=0.8,"Alta","Muy Alta"))))),"")</f>
        <v>Baja</v>
      </c>
      <c r="AG13" s="191">
        <f>+AE13</f>
        <v>0.36</v>
      </c>
      <c r="AH13" s="193" t="str">
        <f>IFERROR(IF(AI13="","",IF(AI13&lt;=0.2,"Leve",IF(AI13&lt;=0.4,"Menor",IF(AI13&lt;=0.6,"Moderado",IF(AI13&lt;=0.8,"Mayor","Catastrófico"))))),"")</f>
        <v>Moderado</v>
      </c>
      <c r="AI13" s="191">
        <f>IFERROR(IF(X13="Impacto",(T13-(+T13*AA13)),IF(X13="Probabilidad",T13,"")),"")</f>
        <v>0.6</v>
      </c>
      <c r="AJ13" s="194"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Moderado</v>
      </c>
      <c r="AK13" s="195" t="s">
        <v>123</v>
      </c>
      <c r="AL13" s="186" t="s">
        <v>457</v>
      </c>
      <c r="AM13" s="186" t="s">
        <v>432</v>
      </c>
      <c r="AN13" s="186" t="s">
        <v>433</v>
      </c>
      <c r="AO13" s="197" t="s">
        <v>456</v>
      </c>
      <c r="AP13" s="186" t="s">
        <v>435</v>
      </c>
      <c r="AQ13" s="186" t="s">
        <v>458</v>
      </c>
      <c r="AR13" s="186" t="s">
        <v>459</v>
      </c>
    </row>
    <row r="14" spans="1:272" ht="231" customHeight="1" x14ac:dyDescent="0.2">
      <c r="A14" s="258">
        <v>2</v>
      </c>
      <c r="B14" s="186" t="s">
        <v>120</v>
      </c>
      <c r="C14" s="186" t="s">
        <v>436</v>
      </c>
      <c r="D14" s="186" t="s">
        <v>437</v>
      </c>
      <c r="E14" s="187" t="s">
        <v>460</v>
      </c>
      <c r="F14" s="186" t="s">
        <v>140</v>
      </c>
      <c r="G14" s="221" t="s">
        <v>127</v>
      </c>
      <c r="H14" s="221" t="s">
        <v>438</v>
      </c>
      <c r="I14" s="221" t="s">
        <v>440</v>
      </c>
      <c r="J14" s="221" t="s">
        <v>439</v>
      </c>
      <c r="K14" s="221" t="s">
        <v>461</v>
      </c>
      <c r="L14" s="221" t="s">
        <v>137</v>
      </c>
      <c r="M14" s="221" t="s">
        <v>137</v>
      </c>
      <c r="N14" s="196">
        <v>365</v>
      </c>
      <c r="O14" s="259" t="str">
        <f>IF(N14&lt;=0,"",IF(N14&lt;=2,"Muy Baja",IF(N14&lt;=24,"Baja",IF(N14&lt;=500,"Media",IF(N14&lt;=5000,"Alta","Muy Alta")))))</f>
        <v>Media</v>
      </c>
      <c r="P14" s="260">
        <f>IF(O14="","",IF(O14="Muy Baja",0.2,IF(O14="Baja",0.4,IF(O14="Media",0.6,IF(O14="Alta",0.8,IF(O14="Muy Alta",1,))))))</f>
        <v>0.6</v>
      </c>
      <c r="Q14" s="262" t="s">
        <v>350</v>
      </c>
      <c r="R14" s="260" t="str">
        <f>IF(NOT(ISERROR(MATCH(Q14,'Tabla Impacto'!$B$222:$B$224,0))),'Tabla Impacto'!$F$224&amp;"Por favor no seleccionar los criterios de impacto(Afectación Económica o presupuestal y Pérdida Reputacional)",Q14)</f>
        <v xml:space="preserve">     El riesgo afecta la imagen de alguna área de la organización</v>
      </c>
      <c r="S14" s="268" t="str">
        <f>IF(OR(R14='Tabla Impacto'!$C$12,R14='Tabla Impacto'!$D$12),"Leve",IF(OR(R14='Tabla Impacto'!$C$13,R14='Tabla Impacto'!$D$13),"Menor",IF(OR(R14='Tabla Impacto'!$C$14,R14='Tabla Impacto'!$D$14),"Moderado",IF(OR(R14='Tabla Impacto'!$C$15,R14='Tabla Impacto'!$D$15),"Mayor",IF(OR(R14='Tabla Impacto'!$C$16,R14='Tabla Impacto'!$D$16),"Catastrófico","")))))</f>
        <v>Leve</v>
      </c>
      <c r="T14" s="269">
        <f>IF(S14="","",IF(S14="Leve",0.2,IF(S14="Menor",0.4,IF(S14="Moderado",0.6,IF(S14="Mayor",0.8,IF(S14="Catastrófico",1,))))))</f>
        <v>0.2</v>
      </c>
      <c r="U14" s="270" t="str">
        <f>IF(OR(AND(O14="Muy Baja",S14="Leve"),AND(O14="Muy Baja",S14="Menor"),AND(O14="Baja",S14="Leve")),"Bajo",IF(OR(AND(O14="Muy baja",S14="Moderado"),AND(O14="Baja",S14="Menor"),AND(O14="Baja",S14="Moderado"),AND(O14="Media",S14="Leve"),AND(O14="Media",S14="Menor"),AND(O14="Media",S14="Moderado"),AND(O14="Alta",S14="Leve"),AND(O14="Alta",S14="Menor")),"Moderado",IF(OR(AND(O14="Muy Baja",S14="Mayor"),AND(O14="Baja",S14="Mayor"),AND(O14="Media",S14="Mayor"),AND(O14="Alta",S14="Moderado"),AND(O14="Alta",S14="Mayor"),AND(O14="Muy Alta",S14="Leve"),AND(O14="Muy Alta",S14="Menor"),AND(O14="Muy Alta",S14="Moderado"),AND(O14="Muy Alta",S14="Mayor")),"Alto",IF(OR(AND(O14="Muy Baja",S14="Catastrófico"),AND(O14="Baja",S14="Catastrófico"),AND(O14="Media",S14="Catastrófico"),AND(O14="Alta",S14="Catastrófico"),AND(O14="Muy Alta",S14="Catastrófico")),"Extremo",""))))</f>
        <v>Moderado</v>
      </c>
      <c r="V14" s="214">
        <v>1</v>
      </c>
      <c r="W14" s="187" t="s">
        <v>462</v>
      </c>
      <c r="X14" s="189" t="str">
        <f>IF(OR(Y14="Preventivo",Y14="Detectivo"),"Probabilidad",IF(Y14="Correctivo","Impacto",""))</f>
        <v>Probabilidad</v>
      </c>
      <c r="Y14" s="190" t="s">
        <v>254</v>
      </c>
      <c r="Z14" s="190" t="s">
        <v>255</v>
      </c>
      <c r="AA14" s="191" t="str">
        <f>IF(AND(Y14="Preventivo",Z14="Automático"),"50%",IF(AND(Y14="Preventivo",Z14="Manual"),"40%",IF(AND(Y14="Detectivo",Z14="Automático"),"40%",IF(AND(Y14="Detectivo",Z14="Manual"),"30%",IF(AND(Y14="Correctivo",Z14="Automático"),"35%",IF(AND(Y14="Correctivo",Z14="Manual"),"25%",""))))))</f>
        <v>40%</v>
      </c>
      <c r="AB14" s="190" t="s">
        <v>256</v>
      </c>
      <c r="AC14" s="190" t="s">
        <v>412</v>
      </c>
      <c r="AD14" s="190" t="s">
        <v>258</v>
      </c>
      <c r="AE14" s="192">
        <f>IFERROR(IF(X14="Probabilidad",(P14-(+P14*AA14)),IF(X14="Impacto",P14,"")),"")</f>
        <v>0.36</v>
      </c>
      <c r="AF14" s="193" t="str">
        <f>IFERROR(IF(AE14="","",IF(AE14&lt;=0.2,"Muy Baja",IF(AE14&lt;=0.4,"Baja",IF(AE14&lt;=0.6,"Media",IF(AE14&lt;=0.8,"Alta","Muy Alta"))))),"")</f>
        <v>Baja</v>
      </c>
      <c r="AG14" s="191">
        <f>+AE14</f>
        <v>0.36</v>
      </c>
      <c r="AH14" s="271" t="str">
        <f>IFERROR(IF(AI14="","",IF(AI14&lt;=0.2,"Leve",IF(AI14&lt;=0.4,"Menor",IF(AI14&lt;=0.6,"Moderado",IF(AI14&lt;=0.8,"Mayor","Catastrófico"))))),"")</f>
        <v>Leve</v>
      </c>
      <c r="AI14" s="273">
        <f t="shared" ref="AI14" si="1">IFERROR(IF(X14="Impacto",(T14-(+T14*AA14)),IF(X14="Probabilidad",T14,"")),"")</f>
        <v>0.2</v>
      </c>
      <c r="AJ14" s="272" t="str">
        <f>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Bajo</v>
      </c>
      <c r="AK14" s="195" t="s">
        <v>117</v>
      </c>
      <c r="AL14" s="186"/>
      <c r="AM14" s="186"/>
      <c r="AN14" s="196"/>
      <c r="AO14" s="197"/>
      <c r="AP14" s="186" t="s">
        <v>463</v>
      </c>
      <c r="AQ14" s="186" t="s">
        <v>464</v>
      </c>
      <c r="AR14" s="186" t="s">
        <v>465</v>
      </c>
    </row>
    <row r="15" spans="1:272" ht="170.25" customHeight="1" x14ac:dyDescent="0.2">
      <c r="A15" s="258">
        <v>3</v>
      </c>
      <c r="B15" s="186" t="s">
        <v>118</v>
      </c>
      <c r="C15" s="186" t="s">
        <v>466</v>
      </c>
      <c r="D15" s="186" t="s">
        <v>467</v>
      </c>
      <c r="E15" s="187" t="s">
        <v>468</v>
      </c>
      <c r="F15" s="186" t="s">
        <v>140</v>
      </c>
      <c r="G15" s="221" t="s">
        <v>127</v>
      </c>
      <c r="H15" s="221" t="s">
        <v>469</v>
      </c>
      <c r="I15" s="221" t="s">
        <v>470</v>
      </c>
      <c r="J15" s="221" t="s">
        <v>471</v>
      </c>
      <c r="K15" s="221" t="s">
        <v>472</v>
      </c>
      <c r="L15" s="221" t="s">
        <v>133</v>
      </c>
      <c r="M15" s="221" t="s">
        <v>141</v>
      </c>
      <c r="N15" s="196">
        <v>365</v>
      </c>
      <c r="O15" s="259" t="str">
        <f>IF(N15&lt;=0,"",IF(N15&lt;=2,"Muy Baja",IF(N15&lt;=24,"Baja",IF(N15&lt;=500,"Media",IF(N15&lt;=5000,"Alta","Muy Alta")))))</f>
        <v>Media</v>
      </c>
      <c r="P15" s="260">
        <f>IF(O15="","",IF(O15="Muy Baja",0.2,IF(O15="Baja",0.4,IF(O15="Media",0.6,IF(O15="Alta",0.8,IF(O15="Muy Alta",1,))))))</f>
        <v>0.6</v>
      </c>
      <c r="Q15" s="262" t="s">
        <v>349</v>
      </c>
      <c r="R15" s="260" t="str">
        <f>IF(NOT(ISERROR(MATCH(Q15,'Tabla Impacto'!$B$222:$B$224,0))),'Tabla Impacto'!$F$224&amp;"Por favor no seleccionar los criterios de impacto(Afectación Económica o presupuestal y Pérdida Reputacional)",Q15)</f>
        <v xml:space="preserve">     Afectación menor a 130 SMLMV .</v>
      </c>
      <c r="S15" s="259" t="str">
        <f>IF(OR(R15='Tabla Impacto'!$C$12,R15='Tabla Impacto'!$D$12),"Leve",IF(OR(R15='Tabla Impacto'!$C$13,R15='Tabla Impacto'!$D$13),"Menor",IF(OR(R15='Tabla Impacto'!$C$14,R15='Tabla Impacto'!$D$14),"Moderado",IF(OR(R15='Tabla Impacto'!$C$15,R15='Tabla Impacto'!$D$15),"Mayor",IF(OR(R15='Tabla Impacto'!$C$16,R15='Tabla Impacto'!$D$16),"Catastrófico","")))))</f>
        <v>Leve</v>
      </c>
      <c r="T15" s="260">
        <f>IF(S15="","",IF(S15="Leve",0.2,IF(S15="Menor",0.4,IF(S15="Moderado",0.6,IF(S15="Mayor",0.8,IF(S15="Catastrófico",1,))))))</f>
        <v>0.2</v>
      </c>
      <c r="U15" s="261" t="str">
        <f>IF(OR(AND(O15="Muy Baja",S15="Leve"),AND(O15="Muy Baja",S15="Menor"),AND(O15="Baja",S15="Leve")),"Bajo",IF(OR(AND(O15="Muy baja",S15="Moderado"),AND(O15="Baja",S15="Menor"),AND(O15="Baja",S15="Moderado"),AND(O15="Media",S15="Leve"),AND(O15="Media",S15="Menor"),AND(O15="Media",S15="Moderado"),AND(O15="Alta",S15="Leve"),AND(O15="Alta",S15="Menor")),"Moderado",IF(OR(AND(O15="Muy Baja",S15="Mayor"),AND(O15="Baja",S15="Mayor"),AND(O15="Media",S15="Mayor"),AND(O15="Alta",S15="Moderado"),AND(O15="Alta",S15="Mayor"),AND(O15="Muy Alta",S15="Leve"),AND(O15="Muy Alta",S15="Menor"),AND(O15="Muy Alta",S15="Moderado"),AND(O15="Muy Alta",S15="Mayor")),"Alto",IF(OR(AND(O15="Muy Baja",S15="Catastrófico"),AND(O15="Baja",S15="Catastrófico"),AND(O15="Media",S15="Catastrófico"),AND(O15="Alta",S15="Catastrófico"),AND(O15="Muy Alta",S15="Catastrófico")),"Extremo",""))))</f>
        <v>Moderado</v>
      </c>
      <c r="V15" s="214">
        <v>1</v>
      </c>
      <c r="W15" s="187" t="s">
        <v>473</v>
      </c>
      <c r="X15" s="189" t="str">
        <f>IF(OR(Y15="Preventivo",Y15="Detectivo"),"Probabilidad",IF(Y15="Correctivo","Impacto",""))</f>
        <v>Probabilidad</v>
      </c>
      <c r="Y15" s="190" t="s">
        <v>254</v>
      </c>
      <c r="Z15" s="190" t="s">
        <v>255</v>
      </c>
      <c r="AA15" s="191" t="str">
        <f>IF(AND(Y15="Preventivo",Z15="Automático"),"50%",IF(AND(Y15="Preventivo",Z15="Manual"),"40%",IF(AND(Y15="Detectivo",Z15="Automático"),"40%",IF(AND(Y15="Detectivo",Z15="Manual"),"30%",IF(AND(Y15="Correctivo",Z15="Automático"),"35%",IF(AND(Y15="Correctivo",Z15="Manual"),"25%",""))))))</f>
        <v>40%</v>
      </c>
      <c r="AB15" s="190" t="s">
        <v>256</v>
      </c>
      <c r="AC15" s="190" t="s">
        <v>257</v>
      </c>
      <c r="AD15" s="190" t="s">
        <v>258</v>
      </c>
      <c r="AE15" s="192">
        <f>IFERROR(IF(X15="Probabilidad",(P15-(+P15*AA15)),IF(X15="Impacto",P15,"")),"")</f>
        <v>0.36</v>
      </c>
      <c r="AF15" s="193" t="str">
        <f>IFERROR(IF(AE15="","",IF(AE15&lt;=0.2,"Muy Baja",IF(AE15&lt;=0.4,"Baja",IF(AE15&lt;=0.6,"Media",IF(AE15&lt;=0.8,"Alta","Muy Alta"))))),"")</f>
        <v>Baja</v>
      </c>
      <c r="AG15" s="191">
        <f>+AE15</f>
        <v>0.36</v>
      </c>
      <c r="AH15" s="193" t="str">
        <f>IFERROR(IF(AI15="","",IF(AI15&lt;=0.2,"Leve",IF(AI15&lt;=0.4,"Menor",IF(AI15&lt;=0.6,"Moderado",IF(AI15&lt;=0.8,"Mayor","Catastrófico"))))),"")</f>
        <v>Leve</v>
      </c>
      <c r="AI15" s="191">
        <f t="shared" ref="AI15" si="2">IFERROR(IF(X15="Impacto",(T15-(+T15*AA15)),IF(X15="Probabilidad",T15,"")),"")</f>
        <v>0.2</v>
      </c>
      <c r="AJ15" s="194" t="str">
        <f>IFERROR(IF(OR(AND(AF15="Muy Baja",AH15="Leve"),AND(AF15="Muy Baja",AH15="Menor"),AND(AF15="Baja",AH15="Leve")),"Bajo",IF(OR(AND(AF15="Muy baja",AH15="Moderado"),AND(AF15="Baja",AH15="Menor"),AND(AF15="Baja",AH15="Moderado"),AND(AF15="Media",AH15="Leve"),AND(AF15="Media",AH15="Menor"),AND(AF15="Media",AH15="Moderado"),AND(AF15="Alta",AH15="Leve"),AND(AF15="Alta",AH15="Menor")),"Moderado",IF(OR(AND(AF15="Muy Baja",AH15="Mayor"),AND(AF15="Baja",AH15="Mayor"),AND(AF15="Media",AH15="Mayor"),AND(AF15="Alta",AH15="Moderado"),AND(AF15="Alta",AH15="Mayor"),AND(AF15="Muy Alta",AH15="Leve"),AND(AF15="Muy Alta",AH15="Menor"),AND(AF15="Muy Alta",AH15="Moderado"),AND(AF15="Muy Alta",AH15="Mayor")),"Alto",IF(OR(AND(AF15="Muy Baja",AH15="Catastrófico"),AND(AF15="Baja",AH15="Catastrófico"),AND(AF15="Media",AH15="Catastrófico"),AND(AF15="Alta",AH15="Catastrófico"),AND(AF15="Muy Alta",AH15="Catastrófico")),"Extremo","")))),"")</f>
        <v>Bajo</v>
      </c>
      <c r="AK15" s="195" t="s">
        <v>117</v>
      </c>
      <c r="AL15" s="186"/>
      <c r="AM15" s="196"/>
      <c r="AN15" s="196"/>
      <c r="AO15" s="197"/>
      <c r="AP15" s="186" t="s">
        <v>474</v>
      </c>
      <c r="AQ15" s="186" t="s">
        <v>475</v>
      </c>
      <c r="AR15" s="186" t="s">
        <v>465</v>
      </c>
    </row>
    <row r="16" spans="1:272" x14ac:dyDescent="0.2">
      <c r="A16" s="352">
        <v>4</v>
      </c>
      <c r="B16" s="353"/>
      <c r="C16" s="353"/>
      <c r="D16" s="353"/>
      <c r="E16" s="354"/>
      <c r="F16" s="353"/>
      <c r="G16" s="335"/>
      <c r="H16" s="335"/>
      <c r="I16" s="335"/>
      <c r="J16" s="335"/>
      <c r="K16" s="335"/>
      <c r="L16" s="335"/>
      <c r="M16" s="335"/>
      <c r="N16" s="341"/>
      <c r="O16" s="346" t="str">
        <f>IF(N16&lt;=0,"",IF(N16&lt;=2,"Muy Baja",IF(N16&lt;=24,"Baja",IF(N16&lt;=500,"Media",IF(N16&lt;=5000,"Alta","Muy Alta")))))</f>
        <v/>
      </c>
      <c r="P16" s="331" t="str">
        <f>IF(O16="","",IF(O16="Muy Baja",0.2,IF(O16="Baja",0.4,IF(O16="Media",0.6,IF(O16="Alta",0.8,IF(O16="Muy Alta",1,))))))</f>
        <v/>
      </c>
      <c r="Q16" s="343"/>
      <c r="R16" s="331">
        <f>IF(NOT(ISERROR(MATCH(Q16,'Tabla Impacto'!$B$222:$B$224,0))),'Tabla Impacto'!$F$224&amp;"Por favor no seleccionar los criterios de impacto(Afectación Económica o presupuestal y Pérdida Reputacional)",Q16)</f>
        <v>0</v>
      </c>
      <c r="S16" s="346" t="str">
        <f>IF(OR(R16='Tabla Impacto'!$C$12,R16='Tabla Impacto'!$D$12),"Leve",IF(OR(R16='Tabla Impacto'!$C$13,R16='Tabla Impacto'!$D$13),"Menor",IF(OR(R16='Tabla Impacto'!$C$14,R16='Tabla Impacto'!$D$14),"Moderado",IF(OR(R16='Tabla Impacto'!$C$15,R16='Tabla Impacto'!$D$15),"Mayor",IF(OR(R16='Tabla Impacto'!$C$16,R16='Tabla Impacto'!$D$16),"Catastrófico","")))))</f>
        <v/>
      </c>
      <c r="T16" s="331" t="str">
        <f>IF(S16="","",IF(S16="Leve",0.2,IF(S16="Menor",0.4,IF(S16="Moderado",0.6,IF(S16="Mayor",0.8,IF(S16="Catastrófico",1,))))))</f>
        <v/>
      </c>
      <c r="U16" s="327" t="str">
        <f>IF(OR(AND(O16="Muy Baja",S16="Leve"),AND(O16="Muy Baja",S16="Menor"),AND(O16="Baja",S16="Leve")),"Bajo",IF(OR(AND(O16="Muy baja",S16="Moderado"),AND(O16="Baja",S16="Menor"),AND(O16="Baja",S16="Moderado"),AND(O16="Media",S16="Leve"),AND(O16="Media",S16="Menor"),AND(O16="Media",S16="Moderado"),AND(O16="Alta",S16="Leve"),AND(O16="Alta",S16="Menor")),"Moderado",IF(OR(AND(O16="Muy Baja",S16="Mayor"),AND(O16="Baja",S16="Mayor"),AND(O16="Media",S16="Mayor"),AND(O16="Alta",S16="Moderado"),AND(O16="Alta",S16="Mayor"),AND(O16="Muy Alta",S16="Leve"),AND(O16="Muy Alta",S16="Menor"),AND(O16="Muy Alta",S16="Moderado"),AND(O16="Muy Alta",S16="Mayor")),"Alto",IF(OR(AND(O16="Muy Baja",S16="Catastrófico"),AND(O16="Baja",S16="Catastrófico"),AND(O16="Media",S16="Catastrófico"),AND(O16="Alta",S16="Catastrófico"),AND(O16="Muy Alta",S16="Catastrófico")),"Extremo",""))))</f>
        <v/>
      </c>
      <c r="V16" s="214">
        <v>1</v>
      </c>
      <c r="W16" s="187"/>
      <c r="X16" s="189" t="str">
        <f>IF(OR(Y16="Preventivo",Y16="Detectivo"),"Probabilidad",IF(Y16="Correctivo","Impacto",""))</f>
        <v/>
      </c>
      <c r="Y16" s="190"/>
      <c r="Z16" s="190"/>
      <c r="AA16" s="191" t="str">
        <f>IF(AND(Y16="Preventivo",Z16="Automático"),"50%",IF(AND(Y16="Preventivo",Z16="Manual"),"40%",IF(AND(Y16="Detectivo",Z16="Automático"),"40%",IF(AND(Y16="Detectivo",Z16="Manual"),"30%",IF(AND(Y16="Correctivo",Z16="Automático"),"35%",IF(AND(Y16="Correctivo",Z16="Manual"),"25%",""))))))</f>
        <v/>
      </c>
      <c r="AB16" s="190"/>
      <c r="AC16" s="190"/>
      <c r="AD16" s="190"/>
      <c r="AE16" s="192" t="str">
        <f>IFERROR(IF(X16="Probabilidad",(P16-(+P16*AA16)),IF(X16="Impacto",P16,"")),"")</f>
        <v/>
      </c>
      <c r="AF16" s="193" t="str">
        <f>IFERROR(IF(AE16="","",IF(AE16&lt;=0.2,"Muy Baja",IF(AE16&lt;=0.4,"Baja",IF(AE16&lt;=0.6,"Media",IF(AE16&lt;=0.8,"Alta","Muy Alta"))))),"")</f>
        <v/>
      </c>
      <c r="AG16" s="191" t="str">
        <f>+AE16</f>
        <v/>
      </c>
      <c r="AH16" s="193" t="str">
        <f>IFERROR(IF(AI16="","",IF(AI16&lt;=0.2,"Leve",IF(AI16&lt;=0.4,"Menor",IF(AI16&lt;=0.6,"Moderado",IF(AI16&lt;=0.8,"Mayor","Catastrófico"))))),"")</f>
        <v/>
      </c>
      <c r="AI16" s="191" t="str">
        <f t="shared" ref="AI16" si="3">IFERROR(IF(X16="Impacto",(T16-(+T16*AA16)),IF(X16="Probabilidad",T16,"")),"")</f>
        <v/>
      </c>
      <c r="AJ16" s="194" t="str">
        <f>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95"/>
      <c r="AL16" s="186"/>
      <c r="AM16" s="196"/>
      <c r="AN16" s="196"/>
      <c r="AO16" s="197"/>
      <c r="AP16" s="341"/>
      <c r="AQ16" s="341"/>
      <c r="AR16" s="341"/>
    </row>
    <row r="17" spans="1:44" x14ac:dyDescent="0.2">
      <c r="A17" s="352"/>
      <c r="B17" s="353"/>
      <c r="C17" s="353"/>
      <c r="D17" s="353"/>
      <c r="E17" s="355"/>
      <c r="F17" s="353"/>
      <c r="G17" s="336"/>
      <c r="H17" s="336"/>
      <c r="I17" s="336"/>
      <c r="J17" s="336"/>
      <c r="K17" s="336"/>
      <c r="L17" s="336"/>
      <c r="M17" s="336"/>
      <c r="N17" s="341"/>
      <c r="O17" s="346"/>
      <c r="P17" s="331"/>
      <c r="Q17" s="343"/>
      <c r="R17" s="331">
        <f>IF(NOT(ISERROR(MATCH(Q17,_xlfn.ANCHORARRAY(E28),0))),P30&amp;"Por favor no seleccionar los criterios de impacto",Q17)</f>
        <v>0</v>
      </c>
      <c r="S17" s="346"/>
      <c r="T17" s="331"/>
      <c r="U17" s="327"/>
      <c r="V17" s="214">
        <v>2</v>
      </c>
      <c r="W17" s="187"/>
      <c r="X17" s="189" t="str">
        <f>IF(OR(Y17="Preventivo",Y17="Detectivo"),"Probabilidad",IF(Y17="Correctivo","Impacto",""))</f>
        <v/>
      </c>
      <c r="Y17" s="190"/>
      <c r="Z17" s="190"/>
      <c r="AA17" s="191" t="str">
        <f t="shared" ref="AA17:AA21" si="4">IF(AND(Y17="Preventivo",Z17="Automático"),"50%",IF(AND(Y17="Preventivo",Z17="Manual"),"40%",IF(AND(Y17="Detectivo",Z17="Automático"),"40%",IF(AND(Y17="Detectivo",Z17="Manual"),"30%",IF(AND(Y17="Correctivo",Z17="Automático"),"35%",IF(AND(Y17="Correctivo",Z17="Manual"),"25%",""))))))</f>
        <v/>
      </c>
      <c r="AB17" s="190"/>
      <c r="AC17" s="190"/>
      <c r="AD17" s="190"/>
      <c r="AE17" s="192" t="str">
        <f>IFERROR(IF(AND(X16="Probabilidad",X17="Probabilidad"),(AG16-(+AG16*AA17)),IF(X17="Probabilidad",(P16-(+P16*AA17)),IF(X17="Impacto",AG16,""))),"")</f>
        <v/>
      </c>
      <c r="AF17" s="193" t="str">
        <f t="shared" ref="AF17:AF57" si="5">IFERROR(IF(AE17="","",IF(AE17&lt;=0.2,"Muy Baja",IF(AE17&lt;=0.4,"Baja",IF(AE17&lt;=0.6,"Media",IF(AE17&lt;=0.8,"Alta","Muy Alta"))))),"")</f>
        <v/>
      </c>
      <c r="AG17" s="191" t="str">
        <f t="shared" ref="AG17:AG21" si="6">+AE17</f>
        <v/>
      </c>
      <c r="AH17" s="193" t="str">
        <f t="shared" ref="AH17:AH57" si="7">IFERROR(IF(AI17="","",IF(AI17&lt;=0.2,"Leve",IF(AI17&lt;=0.4,"Menor",IF(AI17&lt;=0.6,"Moderado",IF(AI17&lt;=0.8,"Mayor","Catastrófico"))))),"")</f>
        <v/>
      </c>
      <c r="AI17" s="191" t="str">
        <f t="shared" ref="AI17" si="8">IFERROR(IF(AND(X16="Impacto",X17="Impacto"),(AI16-(+AI16*AA17)),IF(X17="Impacto",($T$13-(+$T$13*AA17)),IF(X17="Probabilidad",AI16,""))),"")</f>
        <v/>
      </c>
      <c r="AJ17" s="194" t="str">
        <f t="shared" ref="AJ17:AJ18" si="9">IFERROR(IF(OR(AND(AF17="Muy Baja",AH17="Leve"),AND(AF17="Muy Baja",AH17="Menor"),AND(AF17="Baja",AH17="Leve")),"Bajo",IF(OR(AND(AF17="Muy baja",AH17="Moderado"),AND(AF17="Baja",AH17="Menor"),AND(AF17="Baja",AH17="Moderado"),AND(AF17="Media",AH17="Leve"),AND(AF17="Media",AH17="Menor"),AND(AF17="Media",AH17="Moderado"),AND(AF17="Alta",AH17="Leve"),AND(AF17="Alta",AH17="Menor")),"Moderado",IF(OR(AND(AF17="Muy Baja",AH17="Mayor"),AND(AF17="Baja",AH17="Mayor"),AND(AF17="Media",AH17="Mayor"),AND(AF17="Alta",AH17="Moderado"),AND(AF17="Alta",AH17="Mayor"),AND(AF17="Muy Alta",AH17="Leve"),AND(AF17="Muy Alta",AH17="Menor"),AND(AF17="Muy Alta",AH17="Moderado"),AND(AF17="Muy Alta",AH17="Mayor")),"Alto",IF(OR(AND(AF17="Muy Baja",AH17="Catastrófico"),AND(AF17="Baja",AH17="Catastrófico"),AND(AF17="Media",AH17="Catastrófico"),AND(AF17="Alta",AH17="Catastrófico"),AND(AF17="Muy Alta",AH17="Catastrófico")),"Extremo","")))),"")</f>
        <v/>
      </c>
      <c r="AK17" s="195"/>
      <c r="AL17" s="186"/>
      <c r="AM17" s="196"/>
      <c r="AN17" s="196"/>
      <c r="AO17" s="197"/>
      <c r="AP17" s="341"/>
      <c r="AQ17" s="341"/>
      <c r="AR17" s="341"/>
    </row>
    <row r="18" spans="1:44" x14ac:dyDescent="0.2">
      <c r="A18" s="352"/>
      <c r="B18" s="353"/>
      <c r="C18" s="353"/>
      <c r="D18" s="353"/>
      <c r="E18" s="355"/>
      <c r="F18" s="353"/>
      <c r="G18" s="336"/>
      <c r="H18" s="336"/>
      <c r="I18" s="336"/>
      <c r="J18" s="336"/>
      <c r="K18" s="336"/>
      <c r="L18" s="336"/>
      <c r="M18" s="336"/>
      <c r="N18" s="341"/>
      <c r="O18" s="346"/>
      <c r="P18" s="331"/>
      <c r="Q18" s="343"/>
      <c r="R18" s="331">
        <f>IF(NOT(ISERROR(MATCH(Q18,_xlfn.ANCHORARRAY(E29),0))),P31&amp;"Por favor no seleccionar los criterios de impacto",Q18)</f>
        <v>0</v>
      </c>
      <c r="S18" s="346"/>
      <c r="T18" s="331"/>
      <c r="U18" s="327"/>
      <c r="V18" s="214">
        <v>3</v>
      </c>
      <c r="W18" s="188"/>
      <c r="X18" s="189" t="str">
        <f>IF(OR(Y18="Preventivo",Y18="Detectivo"),"Probabilidad",IF(Y18="Correctivo","Impacto",""))</f>
        <v/>
      </c>
      <c r="Y18" s="190"/>
      <c r="Z18" s="190"/>
      <c r="AA18" s="191" t="str">
        <f t="shared" si="4"/>
        <v/>
      </c>
      <c r="AB18" s="190"/>
      <c r="AC18" s="190"/>
      <c r="AD18" s="190"/>
      <c r="AE18" s="192" t="str">
        <f>IFERROR(IF(AND(X17="Probabilidad",X18="Probabilidad"),(AG17-(+AG17*AA18)),IF(AND(X17="Impacto",X18="Probabilidad"),(AG16-(+AG16*AA18)),IF(X18="Impacto",AG17,""))),"")</f>
        <v/>
      </c>
      <c r="AF18" s="193" t="str">
        <f t="shared" si="5"/>
        <v/>
      </c>
      <c r="AG18" s="191" t="str">
        <f t="shared" si="6"/>
        <v/>
      </c>
      <c r="AH18" s="193" t="str">
        <f t="shared" si="7"/>
        <v/>
      </c>
      <c r="AI18" s="191" t="str">
        <f t="shared" ref="AI18" si="10">IFERROR(IF(AND(X17="Impacto",X18="Impacto"),(AI17-(+AI17*AA18)),IF(AND(X17="Probabilidad",X18="Impacto"),(AI16-(+AI16*AA18)),IF(X18="Probabilidad",AI17,""))),"")</f>
        <v/>
      </c>
      <c r="AJ18" s="194" t="str">
        <f t="shared" si="9"/>
        <v/>
      </c>
      <c r="AK18" s="195"/>
      <c r="AL18" s="186"/>
      <c r="AM18" s="196"/>
      <c r="AN18" s="196"/>
      <c r="AO18" s="197"/>
      <c r="AP18" s="341"/>
      <c r="AQ18" s="341"/>
      <c r="AR18" s="341"/>
    </row>
    <row r="19" spans="1:44" x14ac:dyDescent="0.2">
      <c r="A19" s="352"/>
      <c r="B19" s="353"/>
      <c r="C19" s="353"/>
      <c r="D19" s="353"/>
      <c r="E19" s="355"/>
      <c r="F19" s="353"/>
      <c r="G19" s="336"/>
      <c r="H19" s="336"/>
      <c r="I19" s="336"/>
      <c r="J19" s="336"/>
      <c r="K19" s="336"/>
      <c r="L19" s="336"/>
      <c r="M19" s="336"/>
      <c r="N19" s="341"/>
      <c r="O19" s="346"/>
      <c r="P19" s="331"/>
      <c r="Q19" s="343"/>
      <c r="R19" s="331">
        <f>IF(NOT(ISERROR(MATCH(Q19,_xlfn.ANCHORARRAY(E30),0))),P32&amp;"Por favor no seleccionar los criterios de impacto",Q19)</f>
        <v>0</v>
      </c>
      <c r="S19" s="346"/>
      <c r="T19" s="331"/>
      <c r="U19" s="327"/>
      <c r="V19" s="214">
        <v>4</v>
      </c>
      <c r="W19" s="187"/>
      <c r="X19" s="189" t="str">
        <f t="shared" ref="X19:X21" si="11">IF(OR(Y19="Preventivo",Y19="Detectivo"),"Probabilidad",IF(Y19="Correctivo","Impacto",""))</f>
        <v/>
      </c>
      <c r="Y19" s="190"/>
      <c r="Z19" s="190"/>
      <c r="AA19" s="191" t="str">
        <f t="shared" si="4"/>
        <v/>
      </c>
      <c r="AB19" s="190"/>
      <c r="AC19" s="190"/>
      <c r="AD19" s="190"/>
      <c r="AE19" s="192" t="str">
        <f t="shared" ref="AE19:AE21" si="12">IFERROR(IF(AND(X18="Probabilidad",X19="Probabilidad"),(AG18-(+AG18*AA19)),IF(AND(X18="Impacto",X19="Probabilidad"),(AG17-(+AG17*AA19)),IF(X19="Impacto",AG18,""))),"")</f>
        <v/>
      </c>
      <c r="AF19" s="193" t="str">
        <f t="shared" si="5"/>
        <v/>
      </c>
      <c r="AG19" s="191" t="str">
        <f t="shared" si="6"/>
        <v/>
      </c>
      <c r="AH19" s="193" t="str">
        <f t="shared" si="7"/>
        <v/>
      </c>
      <c r="AI19" s="191" t="str">
        <f t="shared" ref="AI19:AI57" si="13">IFERROR(IF(AND(X18="Impacto",X19="Impacto"),(AI18-(+AI18*AA19)),IF(AND(X18="Probabilidad",X19="Impacto"),(AI17-(+AI17*AA19)),IF(X19="Probabilidad",AI18,""))),"")</f>
        <v/>
      </c>
      <c r="AJ19" s="194" t="str">
        <f>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
      </c>
      <c r="AK19" s="195"/>
      <c r="AL19" s="186"/>
      <c r="AM19" s="196"/>
      <c r="AN19" s="196"/>
      <c r="AO19" s="197"/>
      <c r="AP19" s="341"/>
      <c r="AQ19" s="341"/>
      <c r="AR19" s="341"/>
    </row>
    <row r="20" spans="1:44" x14ac:dyDescent="0.2">
      <c r="A20" s="352"/>
      <c r="B20" s="353"/>
      <c r="C20" s="353"/>
      <c r="D20" s="353"/>
      <c r="E20" s="355"/>
      <c r="F20" s="353"/>
      <c r="G20" s="336"/>
      <c r="H20" s="336"/>
      <c r="I20" s="336"/>
      <c r="J20" s="336"/>
      <c r="K20" s="336"/>
      <c r="L20" s="336"/>
      <c r="M20" s="336"/>
      <c r="N20" s="341"/>
      <c r="O20" s="346"/>
      <c r="P20" s="331"/>
      <c r="Q20" s="343"/>
      <c r="R20" s="331">
        <f>IF(NOT(ISERROR(MATCH(Q20,_xlfn.ANCHORARRAY(E31),0))),P33&amp;"Por favor no seleccionar los criterios de impacto",Q20)</f>
        <v>0</v>
      </c>
      <c r="S20" s="346"/>
      <c r="T20" s="331"/>
      <c r="U20" s="327"/>
      <c r="V20" s="214">
        <v>5</v>
      </c>
      <c r="W20" s="187"/>
      <c r="X20" s="189" t="str">
        <f t="shared" si="11"/>
        <v/>
      </c>
      <c r="Y20" s="190"/>
      <c r="Z20" s="190"/>
      <c r="AA20" s="191" t="str">
        <f t="shared" si="4"/>
        <v/>
      </c>
      <c r="AB20" s="190"/>
      <c r="AC20" s="190"/>
      <c r="AD20" s="190"/>
      <c r="AE20" s="192" t="str">
        <f t="shared" si="12"/>
        <v/>
      </c>
      <c r="AF20" s="193" t="str">
        <f>IFERROR(IF(AE20="","",IF(AE20&lt;=0.2,"Muy Baja",IF(AE20&lt;=0.4,"Baja",IF(AE20&lt;=0.6,"Media",IF(AE20&lt;=0.8,"Alta","Muy Alta"))))),"")</f>
        <v/>
      </c>
      <c r="AG20" s="191" t="str">
        <f t="shared" si="6"/>
        <v/>
      </c>
      <c r="AH20" s="193" t="str">
        <f t="shared" si="7"/>
        <v/>
      </c>
      <c r="AI20" s="191" t="str">
        <f t="shared" si="13"/>
        <v/>
      </c>
      <c r="AJ20" s="194" t="str">
        <f t="shared" ref="AJ20:AJ21" si="14">IFERROR(IF(OR(AND(AF20="Muy Baja",AH20="Leve"),AND(AF20="Muy Baja",AH20="Menor"),AND(AF20="Baja",AH20="Leve")),"Bajo",IF(OR(AND(AF20="Muy baja",AH20="Moderado"),AND(AF20="Baja",AH20="Menor"),AND(AF20="Baja",AH20="Moderado"),AND(AF20="Media",AH20="Leve"),AND(AF20="Media",AH20="Menor"),AND(AF20="Media",AH20="Moderado"),AND(AF20="Alta",AH20="Leve"),AND(AF20="Alta",AH20="Menor")),"Moderado",IF(OR(AND(AF20="Muy Baja",AH20="Mayor"),AND(AF20="Baja",AH20="Mayor"),AND(AF20="Media",AH20="Mayor"),AND(AF20="Alta",AH20="Moderado"),AND(AF20="Alta",AH20="Mayor"),AND(AF20="Muy Alta",AH20="Leve"),AND(AF20="Muy Alta",AH20="Menor"),AND(AF20="Muy Alta",AH20="Moderado"),AND(AF20="Muy Alta",AH20="Mayor")),"Alto",IF(OR(AND(AF20="Muy Baja",AH20="Catastrófico"),AND(AF20="Baja",AH20="Catastrófico"),AND(AF20="Media",AH20="Catastrófico"),AND(AF20="Alta",AH20="Catastrófico"),AND(AF20="Muy Alta",AH20="Catastrófico")),"Extremo","")))),"")</f>
        <v/>
      </c>
      <c r="AK20" s="195"/>
      <c r="AL20" s="186"/>
      <c r="AM20" s="196"/>
      <c r="AN20" s="196"/>
      <c r="AO20" s="197"/>
      <c r="AP20" s="341"/>
      <c r="AQ20" s="341"/>
      <c r="AR20" s="341"/>
    </row>
    <row r="21" spans="1:44" x14ac:dyDescent="0.2">
      <c r="A21" s="352"/>
      <c r="B21" s="353"/>
      <c r="C21" s="353"/>
      <c r="D21" s="353"/>
      <c r="E21" s="355"/>
      <c r="F21" s="353"/>
      <c r="G21" s="337"/>
      <c r="H21" s="337"/>
      <c r="I21" s="337"/>
      <c r="J21" s="337"/>
      <c r="K21" s="337"/>
      <c r="L21" s="337"/>
      <c r="M21" s="337"/>
      <c r="N21" s="341"/>
      <c r="O21" s="346"/>
      <c r="P21" s="331"/>
      <c r="Q21" s="343"/>
      <c r="R21" s="331">
        <f>IF(NOT(ISERROR(MATCH(Q21,_xlfn.ANCHORARRAY(E32),0))),P34&amp;"Por favor no seleccionar los criterios de impacto",Q21)</f>
        <v>0</v>
      </c>
      <c r="S21" s="346"/>
      <c r="T21" s="331"/>
      <c r="U21" s="327"/>
      <c r="V21" s="214">
        <v>6</v>
      </c>
      <c r="W21" s="187"/>
      <c r="X21" s="189" t="str">
        <f t="shared" si="11"/>
        <v/>
      </c>
      <c r="Y21" s="190"/>
      <c r="Z21" s="190"/>
      <c r="AA21" s="191" t="str">
        <f t="shared" si="4"/>
        <v/>
      </c>
      <c r="AB21" s="190"/>
      <c r="AC21" s="190"/>
      <c r="AD21" s="190"/>
      <c r="AE21" s="192" t="str">
        <f t="shared" si="12"/>
        <v/>
      </c>
      <c r="AF21" s="193" t="str">
        <f t="shared" si="5"/>
        <v/>
      </c>
      <c r="AG21" s="191" t="str">
        <f t="shared" si="6"/>
        <v/>
      </c>
      <c r="AH21" s="193" t="str">
        <f t="shared" si="7"/>
        <v/>
      </c>
      <c r="AI21" s="191" t="str">
        <f t="shared" si="13"/>
        <v/>
      </c>
      <c r="AJ21" s="194" t="str">
        <f t="shared" si="14"/>
        <v/>
      </c>
      <c r="AK21" s="195"/>
      <c r="AL21" s="186"/>
      <c r="AM21" s="196"/>
      <c r="AN21" s="196"/>
      <c r="AO21" s="197"/>
      <c r="AP21" s="341"/>
      <c r="AQ21" s="341"/>
      <c r="AR21" s="341"/>
    </row>
    <row r="22" spans="1:44" x14ac:dyDescent="0.2">
      <c r="A22" s="352">
        <v>5</v>
      </c>
      <c r="B22" s="353"/>
      <c r="C22" s="353"/>
      <c r="D22" s="353"/>
      <c r="E22" s="353"/>
      <c r="F22" s="353"/>
      <c r="G22" s="335"/>
      <c r="H22" s="335"/>
      <c r="I22" s="335"/>
      <c r="J22" s="335"/>
      <c r="K22" s="335"/>
      <c r="L22" s="335"/>
      <c r="M22" s="335"/>
      <c r="N22" s="341"/>
      <c r="O22" s="346" t="str">
        <f>IF(N22&lt;=0,"",IF(N22&lt;=2,"Muy Baja",IF(N22&lt;=24,"Baja",IF(N22&lt;=500,"Media",IF(N22&lt;=5000,"Alta","Muy Alta")))))</f>
        <v/>
      </c>
      <c r="P22" s="331" t="str">
        <f>IF(O22="","",IF(O22="Muy Baja",0.2,IF(O22="Baja",0.4,IF(O22="Media",0.6,IF(O22="Alta",0.8,IF(O22="Muy Alta",1,))))))</f>
        <v/>
      </c>
      <c r="Q22" s="343"/>
      <c r="R22" s="331">
        <f>IF(NOT(ISERROR(MATCH(Q22,'Tabla Impacto'!$B$222:$B$224,0))),'Tabla Impacto'!$F$224&amp;"Por favor no seleccionar los criterios de impacto(Afectación Económica o presupuestal y Pérdida Reputacional)",Q22)</f>
        <v>0</v>
      </c>
      <c r="S22" s="346" t="str">
        <f>IF(OR(R22='Tabla Impacto'!$C$12,R22='Tabla Impacto'!$D$12),"Leve",IF(OR(R22='Tabla Impacto'!$C$13,R22='Tabla Impacto'!$D$13),"Menor",IF(OR(R22='Tabla Impacto'!$C$14,R22='Tabla Impacto'!$D$14),"Moderado",IF(OR(R22='Tabla Impacto'!$C$15,R22='Tabla Impacto'!$D$15),"Mayor",IF(OR(R22='Tabla Impacto'!$C$16,R22='Tabla Impacto'!$D$16),"Catastrófico","")))))</f>
        <v/>
      </c>
      <c r="T22" s="331" t="str">
        <f>IF(S22="","",IF(S22="Leve",0.2,IF(S22="Menor",0.4,IF(S22="Moderado",0.6,IF(S22="Mayor",0.8,IF(S22="Catastrófico",1,))))))</f>
        <v/>
      </c>
      <c r="U22" s="327" t="str">
        <f>IF(OR(AND(O22="Muy Baja",S22="Leve"),AND(O22="Muy Baja",S22="Menor"),AND(O22="Baja",S22="Leve")),"Bajo",IF(OR(AND(O22="Muy baja",S22="Moderado"),AND(O22="Baja",S22="Menor"),AND(O22="Baja",S22="Moderado"),AND(O22="Media",S22="Leve"),AND(O22="Media",S22="Menor"),AND(O22="Media",S22="Moderado"),AND(O22="Alta",S22="Leve"),AND(O22="Alta",S22="Menor")),"Moderado",IF(OR(AND(O22="Muy Baja",S22="Mayor"),AND(O22="Baja",S22="Mayor"),AND(O22="Media",S22="Mayor"),AND(O22="Alta",S22="Moderado"),AND(O22="Alta",S22="Mayor"),AND(O22="Muy Alta",S22="Leve"),AND(O22="Muy Alta",S22="Menor"),AND(O22="Muy Alta",S22="Moderado"),AND(O22="Muy Alta",S22="Mayor")),"Alto",IF(OR(AND(O22="Muy Baja",S22="Catastrófico"),AND(O22="Baja",S22="Catastrófico"),AND(O22="Media",S22="Catastrófico"),AND(O22="Alta",S22="Catastrófico"),AND(O22="Muy Alta",S22="Catastrófico")),"Extremo",""))))</f>
        <v/>
      </c>
      <c r="V22" s="214">
        <v>1</v>
      </c>
      <c r="W22" s="187"/>
      <c r="X22" s="189" t="str">
        <f>IF(OR(Y22="Preventivo",Y22="Detectivo"),"Probabilidad",IF(Y22="Correctivo","Impacto",""))</f>
        <v/>
      </c>
      <c r="Y22" s="190"/>
      <c r="Z22" s="190"/>
      <c r="AA22" s="191" t="str">
        <f>IF(AND(Y22="Preventivo",Z22="Automático"),"50%",IF(AND(Y22="Preventivo",Z22="Manual"),"40%",IF(AND(Y22="Detectivo",Z22="Automático"),"40%",IF(AND(Y22="Detectivo",Z22="Manual"),"30%",IF(AND(Y22="Correctivo",Z22="Automático"),"35%",IF(AND(Y22="Correctivo",Z22="Manual"),"25%",""))))))</f>
        <v/>
      </c>
      <c r="AB22" s="190"/>
      <c r="AC22" s="190"/>
      <c r="AD22" s="190"/>
      <c r="AE22" s="192" t="str">
        <f>IFERROR(IF(X22="Probabilidad",(P22-(+P22*AA22)),IF(X22="Impacto",P22,"")),"")</f>
        <v/>
      </c>
      <c r="AF22" s="193" t="str">
        <f>IFERROR(IF(AE22="","",IF(AE22&lt;=0.2,"Muy Baja",IF(AE22&lt;=0.4,"Baja",IF(AE22&lt;=0.6,"Media",IF(AE22&lt;=0.8,"Alta","Muy Alta"))))),"")</f>
        <v/>
      </c>
      <c r="AG22" s="191" t="str">
        <f>+AE22</f>
        <v/>
      </c>
      <c r="AH22" s="193" t="str">
        <f>IFERROR(IF(AI22="","",IF(AI22&lt;=0.2,"Leve",IF(AI22&lt;=0.4,"Menor",IF(AI22&lt;=0.6,"Moderado",IF(AI22&lt;=0.8,"Mayor","Catastrófico"))))),"")</f>
        <v/>
      </c>
      <c r="AI22" s="191" t="str">
        <f t="shared" ref="AI22" si="15">IFERROR(IF(X22="Impacto",(T22-(+T22*AA22)),IF(X22="Probabilidad",T22,"")),"")</f>
        <v/>
      </c>
      <c r="AJ22" s="194" t="str">
        <f>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95"/>
      <c r="AL22" s="186"/>
      <c r="AM22" s="196"/>
      <c r="AN22" s="196"/>
      <c r="AO22" s="197"/>
      <c r="AP22" s="341"/>
      <c r="AQ22" s="341"/>
      <c r="AR22" s="341"/>
    </row>
    <row r="23" spans="1:44" x14ac:dyDescent="0.2">
      <c r="A23" s="352"/>
      <c r="B23" s="353"/>
      <c r="C23" s="353"/>
      <c r="D23" s="353"/>
      <c r="E23" s="353"/>
      <c r="F23" s="353"/>
      <c r="G23" s="336"/>
      <c r="H23" s="336"/>
      <c r="I23" s="336"/>
      <c r="J23" s="336"/>
      <c r="K23" s="336"/>
      <c r="L23" s="336"/>
      <c r="M23" s="336"/>
      <c r="N23" s="341"/>
      <c r="O23" s="346"/>
      <c r="P23" s="331"/>
      <c r="Q23" s="343"/>
      <c r="R23" s="331">
        <f>IF(NOT(ISERROR(MATCH(Q23,_xlfn.ANCHORARRAY(E34),0))),P36&amp;"Por favor no seleccionar los criterios de impacto",Q23)</f>
        <v>0</v>
      </c>
      <c r="S23" s="346"/>
      <c r="T23" s="331"/>
      <c r="U23" s="327"/>
      <c r="V23" s="214">
        <v>2</v>
      </c>
      <c r="W23" s="187"/>
      <c r="X23" s="189" t="str">
        <f>IF(OR(Y23="Preventivo",Y23="Detectivo"),"Probabilidad",IF(Y23="Correctivo","Impacto",""))</f>
        <v/>
      </c>
      <c r="Y23" s="190"/>
      <c r="Z23" s="190"/>
      <c r="AA23" s="191" t="str">
        <f t="shared" ref="AA23:AA27" si="16">IF(AND(Y23="Preventivo",Z23="Automático"),"50%",IF(AND(Y23="Preventivo",Z23="Manual"),"40%",IF(AND(Y23="Detectivo",Z23="Automático"),"40%",IF(AND(Y23="Detectivo",Z23="Manual"),"30%",IF(AND(Y23="Correctivo",Z23="Automático"),"35%",IF(AND(Y23="Correctivo",Z23="Manual"),"25%",""))))))</f>
        <v/>
      </c>
      <c r="AB23" s="190"/>
      <c r="AC23" s="190"/>
      <c r="AD23" s="190"/>
      <c r="AE23" s="192" t="str">
        <f>IFERROR(IF(AND(X22="Probabilidad",X23="Probabilidad"),(AG22-(+AG22*AA23)),IF(X23="Probabilidad",(P22-(+P22*AA23)),IF(X23="Impacto",AG22,""))),"")</f>
        <v/>
      </c>
      <c r="AF23" s="193" t="str">
        <f t="shared" si="5"/>
        <v/>
      </c>
      <c r="AG23" s="191" t="str">
        <f t="shared" ref="AG23:AG27" si="17">+AE23</f>
        <v/>
      </c>
      <c r="AH23" s="193" t="str">
        <f t="shared" si="7"/>
        <v/>
      </c>
      <c r="AI23" s="191" t="str">
        <f t="shared" ref="AI23" si="18">IFERROR(IF(AND(X22="Impacto",X23="Impacto"),(AI22-(+AI22*AA23)),IF(X23="Impacto",($T$13-(+$T$13*AA23)),IF(X23="Probabilidad",AI22,""))),"")</f>
        <v/>
      </c>
      <c r="AJ23" s="194" t="str">
        <f t="shared" ref="AJ23:AJ24" si="19">IFERROR(IF(OR(AND(AF23="Muy Baja",AH23="Leve"),AND(AF23="Muy Baja",AH23="Menor"),AND(AF23="Baja",AH23="Leve")),"Bajo",IF(OR(AND(AF23="Muy baja",AH23="Moderado"),AND(AF23="Baja",AH23="Menor"),AND(AF23="Baja",AH23="Moderado"),AND(AF23="Media",AH23="Leve"),AND(AF23="Media",AH23="Menor"),AND(AF23="Media",AH23="Moderado"),AND(AF23="Alta",AH23="Leve"),AND(AF23="Alta",AH23="Menor")),"Moderado",IF(OR(AND(AF23="Muy Baja",AH23="Mayor"),AND(AF23="Baja",AH23="Mayor"),AND(AF23="Media",AH23="Mayor"),AND(AF23="Alta",AH23="Moderado"),AND(AF23="Alta",AH23="Mayor"),AND(AF23="Muy Alta",AH23="Leve"),AND(AF23="Muy Alta",AH23="Menor"),AND(AF23="Muy Alta",AH23="Moderado"),AND(AF23="Muy Alta",AH23="Mayor")),"Alto",IF(OR(AND(AF23="Muy Baja",AH23="Catastrófico"),AND(AF23="Baja",AH23="Catastrófico"),AND(AF23="Media",AH23="Catastrófico"),AND(AF23="Alta",AH23="Catastrófico"),AND(AF23="Muy Alta",AH23="Catastrófico")),"Extremo","")))),"")</f>
        <v/>
      </c>
      <c r="AK23" s="195"/>
      <c r="AL23" s="186"/>
      <c r="AM23" s="196"/>
      <c r="AN23" s="196"/>
      <c r="AO23" s="197"/>
      <c r="AP23" s="341"/>
      <c r="AQ23" s="341"/>
      <c r="AR23" s="341"/>
    </row>
    <row r="24" spans="1:44" x14ac:dyDescent="0.2">
      <c r="A24" s="352"/>
      <c r="B24" s="353"/>
      <c r="C24" s="353"/>
      <c r="D24" s="353"/>
      <c r="E24" s="353"/>
      <c r="F24" s="353"/>
      <c r="G24" s="336"/>
      <c r="H24" s="336"/>
      <c r="I24" s="336"/>
      <c r="J24" s="336"/>
      <c r="K24" s="336"/>
      <c r="L24" s="336"/>
      <c r="M24" s="336"/>
      <c r="N24" s="341"/>
      <c r="O24" s="346"/>
      <c r="P24" s="331"/>
      <c r="Q24" s="343"/>
      <c r="R24" s="331">
        <f>IF(NOT(ISERROR(MATCH(Q24,_xlfn.ANCHORARRAY(E35),0))),P37&amp;"Por favor no seleccionar los criterios de impacto",Q24)</f>
        <v>0</v>
      </c>
      <c r="S24" s="346"/>
      <c r="T24" s="331"/>
      <c r="U24" s="327"/>
      <c r="V24" s="214">
        <v>3</v>
      </c>
      <c r="W24" s="188"/>
      <c r="X24" s="189" t="str">
        <f>IF(OR(Y24="Preventivo",Y24="Detectivo"),"Probabilidad",IF(Y24="Correctivo","Impacto",""))</f>
        <v/>
      </c>
      <c r="Y24" s="190"/>
      <c r="Z24" s="190"/>
      <c r="AA24" s="191" t="str">
        <f t="shared" si="16"/>
        <v/>
      </c>
      <c r="AB24" s="190"/>
      <c r="AC24" s="190"/>
      <c r="AD24" s="190"/>
      <c r="AE24" s="192" t="str">
        <f>IFERROR(IF(AND(X23="Probabilidad",X24="Probabilidad"),(AG23-(+AG23*AA24)),IF(AND(X23="Impacto",X24="Probabilidad"),(AG22-(+AG22*AA24)),IF(X24="Impacto",AG23,""))),"")</f>
        <v/>
      </c>
      <c r="AF24" s="193" t="str">
        <f t="shared" si="5"/>
        <v/>
      </c>
      <c r="AG24" s="191" t="str">
        <f t="shared" si="17"/>
        <v/>
      </c>
      <c r="AH24" s="193" t="str">
        <f t="shared" si="7"/>
        <v/>
      </c>
      <c r="AI24" s="191" t="str">
        <f t="shared" ref="AI24" si="20">IFERROR(IF(AND(X23="Impacto",X24="Impacto"),(AI23-(+AI23*AA24)),IF(AND(X23="Probabilidad",X24="Impacto"),(AI22-(+AI22*AA24)),IF(X24="Probabilidad",AI23,""))),"")</f>
        <v/>
      </c>
      <c r="AJ24" s="194" t="str">
        <f t="shared" si="19"/>
        <v/>
      </c>
      <c r="AK24" s="195"/>
      <c r="AL24" s="186"/>
      <c r="AM24" s="196"/>
      <c r="AN24" s="196"/>
      <c r="AO24" s="197"/>
      <c r="AP24" s="341"/>
      <c r="AQ24" s="341"/>
      <c r="AR24" s="341"/>
    </row>
    <row r="25" spans="1:44" x14ac:dyDescent="0.2">
      <c r="A25" s="352"/>
      <c r="B25" s="353"/>
      <c r="C25" s="353"/>
      <c r="D25" s="353"/>
      <c r="E25" s="353"/>
      <c r="F25" s="353"/>
      <c r="G25" s="336"/>
      <c r="H25" s="336"/>
      <c r="I25" s="336"/>
      <c r="J25" s="336"/>
      <c r="K25" s="336"/>
      <c r="L25" s="336"/>
      <c r="M25" s="336"/>
      <c r="N25" s="341"/>
      <c r="O25" s="346"/>
      <c r="P25" s="331"/>
      <c r="Q25" s="343"/>
      <c r="R25" s="331">
        <f>IF(NOT(ISERROR(MATCH(Q25,_xlfn.ANCHORARRAY(E36),0))),P38&amp;"Por favor no seleccionar los criterios de impacto",Q25)</f>
        <v>0</v>
      </c>
      <c r="S25" s="346"/>
      <c r="T25" s="331"/>
      <c r="U25" s="327"/>
      <c r="V25" s="214">
        <v>4</v>
      </c>
      <c r="W25" s="187"/>
      <c r="X25" s="189" t="str">
        <f t="shared" ref="X25:X27" si="21">IF(OR(Y25="Preventivo",Y25="Detectivo"),"Probabilidad",IF(Y25="Correctivo","Impacto",""))</f>
        <v/>
      </c>
      <c r="Y25" s="190"/>
      <c r="Z25" s="190"/>
      <c r="AA25" s="191" t="str">
        <f t="shared" si="16"/>
        <v/>
      </c>
      <c r="AB25" s="190"/>
      <c r="AC25" s="190"/>
      <c r="AD25" s="190"/>
      <c r="AE25" s="192" t="str">
        <f t="shared" ref="AE25:AE27" si="22">IFERROR(IF(AND(X24="Probabilidad",X25="Probabilidad"),(AG24-(+AG24*AA25)),IF(AND(X24="Impacto",X25="Probabilidad"),(AG23-(+AG23*AA25)),IF(X25="Impacto",AG24,""))),"")</f>
        <v/>
      </c>
      <c r="AF25" s="193" t="str">
        <f t="shared" si="5"/>
        <v/>
      </c>
      <c r="AG25" s="191" t="str">
        <f t="shared" si="17"/>
        <v/>
      </c>
      <c r="AH25" s="193" t="str">
        <f t="shared" si="7"/>
        <v/>
      </c>
      <c r="AI25" s="191" t="str">
        <f t="shared" si="13"/>
        <v/>
      </c>
      <c r="AJ25" s="194" t="str">
        <f>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195"/>
      <c r="AL25" s="186"/>
      <c r="AM25" s="196"/>
      <c r="AN25" s="196"/>
      <c r="AO25" s="197"/>
      <c r="AP25" s="341"/>
      <c r="AQ25" s="341"/>
      <c r="AR25" s="341"/>
    </row>
    <row r="26" spans="1:44" x14ac:dyDescent="0.2">
      <c r="A26" s="352"/>
      <c r="B26" s="353"/>
      <c r="C26" s="353"/>
      <c r="D26" s="353"/>
      <c r="E26" s="353"/>
      <c r="F26" s="353"/>
      <c r="G26" s="336"/>
      <c r="H26" s="336"/>
      <c r="I26" s="336"/>
      <c r="J26" s="336"/>
      <c r="K26" s="336"/>
      <c r="L26" s="336"/>
      <c r="M26" s="336"/>
      <c r="N26" s="341"/>
      <c r="O26" s="346"/>
      <c r="P26" s="331"/>
      <c r="Q26" s="343"/>
      <c r="R26" s="331">
        <f>IF(NOT(ISERROR(MATCH(Q26,_xlfn.ANCHORARRAY(E37),0))),P39&amp;"Por favor no seleccionar los criterios de impacto",Q26)</f>
        <v>0</v>
      </c>
      <c r="S26" s="346"/>
      <c r="T26" s="331"/>
      <c r="U26" s="327"/>
      <c r="V26" s="214">
        <v>5</v>
      </c>
      <c r="W26" s="187"/>
      <c r="X26" s="189" t="str">
        <f t="shared" si="21"/>
        <v/>
      </c>
      <c r="Y26" s="190"/>
      <c r="Z26" s="190"/>
      <c r="AA26" s="191" t="str">
        <f t="shared" si="16"/>
        <v/>
      </c>
      <c r="AB26" s="190"/>
      <c r="AC26" s="190"/>
      <c r="AD26" s="190"/>
      <c r="AE26" s="192" t="str">
        <f t="shared" si="22"/>
        <v/>
      </c>
      <c r="AF26" s="193" t="str">
        <f t="shared" si="5"/>
        <v/>
      </c>
      <c r="AG26" s="191" t="str">
        <f t="shared" si="17"/>
        <v/>
      </c>
      <c r="AH26" s="193" t="str">
        <f t="shared" si="7"/>
        <v/>
      </c>
      <c r="AI26" s="191" t="str">
        <f t="shared" si="13"/>
        <v/>
      </c>
      <c r="AJ26" s="194" t="str">
        <f t="shared" ref="AJ26:AJ27" si="23">IFERROR(IF(OR(AND(AF26="Muy Baja",AH26="Leve"),AND(AF26="Muy Baja",AH26="Menor"),AND(AF26="Baja",AH26="Leve")),"Bajo",IF(OR(AND(AF26="Muy baja",AH26="Moderado"),AND(AF26="Baja",AH26="Menor"),AND(AF26="Baja",AH26="Moderado"),AND(AF26="Media",AH26="Leve"),AND(AF26="Media",AH26="Menor"),AND(AF26="Media",AH26="Moderado"),AND(AF26="Alta",AH26="Leve"),AND(AF26="Alta",AH26="Menor")),"Moderado",IF(OR(AND(AF26="Muy Baja",AH26="Mayor"),AND(AF26="Baja",AH26="Mayor"),AND(AF26="Media",AH26="Mayor"),AND(AF26="Alta",AH26="Moderado"),AND(AF26="Alta",AH26="Mayor"),AND(AF26="Muy Alta",AH26="Leve"),AND(AF26="Muy Alta",AH26="Menor"),AND(AF26="Muy Alta",AH26="Moderado"),AND(AF26="Muy Alta",AH26="Mayor")),"Alto",IF(OR(AND(AF26="Muy Baja",AH26="Catastrófico"),AND(AF26="Baja",AH26="Catastrófico"),AND(AF26="Media",AH26="Catastrófico"),AND(AF26="Alta",AH26="Catastrófico"),AND(AF26="Muy Alta",AH26="Catastrófico")),"Extremo","")))),"")</f>
        <v/>
      </c>
      <c r="AK26" s="195"/>
      <c r="AL26" s="186"/>
      <c r="AM26" s="196"/>
      <c r="AN26" s="196"/>
      <c r="AO26" s="197"/>
      <c r="AP26" s="341"/>
      <c r="AQ26" s="341"/>
      <c r="AR26" s="341"/>
    </row>
    <row r="27" spans="1:44" x14ac:dyDescent="0.2">
      <c r="A27" s="352"/>
      <c r="B27" s="353"/>
      <c r="C27" s="353"/>
      <c r="D27" s="353"/>
      <c r="E27" s="353"/>
      <c r="F27" s="353"/>
      <c r="G27" s="337"/>
      <c r="H27" s="337"/>
      <c r="I27" s="337"/>
      <c r="J27" s="337"/>
      <c r="K27" s="337"/>
      <c r="L27" s="337"/>
      <c r="M27" s="337"/>
      <c r="N27" s="341"/>
      <c r="O27" s="346"/>
      <c r="P27" s="331"/>
      <c r="Q27" s="343"/>
      <c r="R27" s="331">
        <f>IF(NOT(ISERROR(MATCH(Q27,_xlfn.ANCHORARRAY(E38),0))),P40&amp;"Por favor no seleccionar los criterios de impacto",Q27)</f>
        <v>0</v>
      </c>
      <c r="S27" s="346"/>
      <c r="T27" s="331"/>
      <c r="U27" s="327"/>
      <c r="V27" s="214">
        <v>6</v>
      </c>
      <c r="W27" s="187"/>
      <c r="X27" s="189" t="str">
        <f t="shared" si="21"/>
        <v/>
      </c>
      <c r="Y27" s="190"/>
      <c r="Z27" s="190"/>
      <c r="AA27" s="191" t="str">
        <f t="shared" si="16"/>
        <v/>
      </c>
      <c r="AB27" s="190"/>
      <c r="AC27" s="190"/>
      <c r="AD27" s="190"/>
      <c r="AE27" s="192" t="str">
        <f t="shared" si="22"/>
        <v/>
      </c>
      <c r="AF27" s="193" t="str">
        <f t="shared" si="5"/>
        <v/>
      </c>
      <c r="AG27" s="191" t="str">
        <f t="shared" si="17"/>
        <v/>
      </c>
      <c r="AH27" s="193" t="str">
        <f t="shared" si="7"/>
        <v/>
      </c>
      <c r="AI27" s="191" t="str">
        <f t="shared" si="13"/>
        <v/>
      </c>
      <c r="AJ27" s="194" t="str">
        <f t="shared" si="23"/>
        <v/>
      </c>
      <c r="AK27" s="195"/>
      <c r="AL27" s="186"/>
      <c r="AM27" s="196"/>
      <c r="AN27" s="196"/>
      <c r="AO27" s="197"/>
      <c r="AP27" s="341"/>
      <c r="AQ27" s="341"/>
      <c r="AR27" s="341"/>
    </row>
    <row r="28" spans="1:44" x14ac:dyDescent="0.2">
      <c r="A28" s="352">
        <v>6</v>
      </c>
      <c r="B28" s="353"/>
      <c r="C28" s="353"/>
      <c r="D28" s="353"/>
      <c r="E28" s="335"/>
      <c r="F28" s="353"/>
      <c r="G28" s="335"/>
      <c r="H28" s="335"/>
      <c r="I28" s="335"/>
      <c r="J28" s="335"/>
      <c r="K28" s="335"/>
      <c r="L28" s="335"/>
      <c r="M28" s="335"/>
      <c r="N28" s="341"/>
      <c r="O28" s="346" t="str">
        <f>IF(N28&lt;=0,"",IF(N28&lt;=2,"Muy Baja",IF(N28&lt;=24,"Baja",IF(N28&lt;=500,"Media",IF(N28&lt;=5000,"Alta","Muy Alta")))))</f>
        <v/>
      </c>
      <c r="P28" s="331" t="str">
        <f>IF(O28="","",IF(O28="Muy Baja",0.2,IF(O28="Baja",0.4,IF(O28="Media",0.6,IF(O28="Alta",0.8,IF(O28="Muy Alta",1,))))))</f>
        <v/>
      </c>
      <c r="Q28" s="343"/>
      <c r="R28" s="331">
        <f>IF(NOT(ISERROR(MATCH(Q28,'Tabla Impacto'!$B$222:$B$224,0))),'Tabla Impacto'!$F$224&amp;"Por favor no seleccionar los criterios de impacto(Afectación Económica o presupuestal y Pérdida Reputacional)",Q28)</f>
        <v>0</v>
      </c>
      <c r="S28" s="346" t="str">
        <f>IF(OR(R28='Tabla Impacto'!$C$12,R28='Tabla Impacto'!$D$12),"Leve",IF(OR(R28='Tabla Impacto'!$C$13,R28='Tabla Impacto'!$D$13),"Menor",IF(OR(R28='Tabla Impacto'!$C$14,R28='Tabla Impacto'!$D$14),"Moderado",IF(OR(R28='Tabla Impacto'!$C$15,R28='Tabla Impacto'!$D$15),"Mayor",IF(OR(R28='Tabla Impacto'!$C$16,R28='Tabla Impacto'!$D$16),"Catastrófico","")))))</f>
        <v/>
      </c>
      <c r="T28" s="331" t="str">
        <f>IF(S28="","",IF(S28="Leve",0.2,IF(S28="Menor",0.4,IF(S28="Moderado",0.6,IF(S28="Mayor",0.8,IF(S28="Catastrófico",1,))))))</f>
        <v/>
      </c>
      <c r="U28" s="327" t="str">
        <f>IF(OR(AND(O28="Muy Baja",S28="Leve"),AND(O28="Muy Baja",S28="Menor"),AND(O28="Baja",S28="Leve")),"Bajo",IF(OR(AND(O28="Muy baja",S28="Moderado"),AND(O28="Baja",S28="Menor"),AND(O28="Baja",S28="Moderado"),AND(O28="Media",S28="Leve"),AND(O28="Media",S28="Menor"),AND(O28="Media",S28="Moderado"),AND(O28="Alta",S28="Leve"),AND(O28="Alta",S28="Menor")),"Moderado",IF(OR(AND(O28="Muy Baja",S28="Mayor"),AND(O28="Baja",S28="Mayor"),AND(O28="Media",S28="Mayor"),AND(O28="Alta",S28="Moderado"),AND(O28="Alta",S28="Mayor"),AND(O28="Muy Alta",S28="Leve"),AND(O28="Muy Alta",S28="Menor"),AND(O28="Muy Alta",S28="Moderado"),AND(O28="Muy Alta",S28="Mayor")),"Alto",IF(OR(AND(O28="Muy Baja",S28="Catastrófico"),AND(O28="Baja",S28="Catastrófico"),AND(O28="Media",S28="Catastrófico"),AND(O28="Alta",S28="Catastrófico"),AND(O28="Muy Alta",S28="Catastrófico")),"Extremo",""))))</f>
        <v/>
      </c>
      <c r="V28" s="214">
        <v>1</v>
      </c>
      <c r="W28" s="187"/>
      <c r="X28" s="189" t="str">
        <f>IF(OR(Y28="Preventivo",Y28="Detectivo"),"Probabilidad",IF(Y28="Correctivo","Impacto",""))</f>
        <v/>
      </c>
      <c r="Y28" s="190"/>
      <c r="Z28" s="190"/>
      <c r="AA28" s="191" t="str">
        <f>IF(AND(Y28="Preventivo",Z28="Automático"),"50%",IF(AND(Y28="Preventivo",Z28="Manual"),"40%",IF(AND(Y28="Detectivo",Z28="Automático"),"40%",IF(AND(Y28="Detectivo",Z28="Manual"),"30%",IF(AND(Y28="Correctivo",Z28="Automático"),"35%",IF(AND(Y28="Correctivo",Z28="Manual"),"25%",""))))))</f>
        <v/>
      </c>
      <c r="AB28" s="190"/>
      <c r="AC28" s="190"/>
      <c r="AD28" s="190"/>
      <c r="AE28" s="192" t="str">
        <f>IFERROR(IF(X28="Probabilidad",(P28-(+P28*AA28)),IF(X28="Impacto",P28,"")),"")</f>
        <v/>
      </c>
      <c r="AF28" s="193" t="str">
        <f>IFERROR(IF(AE28="","",IF(AE28&lt;=0.2,"Muy Baja",IF(AE28&lt;=0.4,"Baja",IF(AE28&lt;=0.6,"Media",IF(AE28&lt;=0.8,"Alta","Muy Alta"))))),"")</f>
        <v/>
      </c>
      <c r="AG28" s="191" t="str">
        <f>+AE28</f>
        <v/>
      </c>
      <c r="AH28" s="193" t="str">
        <f>IFERROR(IF(AI28="","",IF(AI28&lt;=0.2,"Leve",IF(AI28&lt;=0.4,"Menor",IF(AI28&lt;=0.6,"Moderado",IF(AI28&lt;=0.8,"Mayor","Catastrófico"))))),"")</f>
        <v/>
      </c>
      <c r="AI28" s="191" t="str">
        <f t="shared" ref="AI28" si="24">IFERROR(IF(X28="Impacto",(T28-(+T28*AA28)),IF(X28="Probabilidad",T28,"")),"")</f>
        <v/>
      </c>
      <c r="AJ28" s="194" t="str">
        <f>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90"/>
      <c r="AL28" s="186"/>
      <c r="AM28" s="196"/>
      <c r="AN28" s="196"/>
      <c r="AO28" s="197"/>
      <c r="AP28" s="341"/>
      <c r="AQ28" s="341"/>
      <c r="AR28" s="341"/>
    </row>
    <row r="29" spans="1:44" x14ac:dyDescent="0.2">
      <c r="A29" s="352"/>
      <c r="B29" s="353"/>
      <c r="C29" s="353"/>
      <c r="D29" s="353"/>
      <c r="E29" s="336"/>
      <c r="F29" s="353"/>
      <c r="G29" s="336"/>
      <c r="H29" s="336"/>
      <c r="I29" s="336"/>
      <c r="J29" s="336"/>
      <c r="K29" s="336"/>
      <c r="L29" s="336"/>
      <c r="M29" s="336"/>
      <c r="N29" s="341"/>
      <c r="O29" s="346"/>
      <c r="P29" s="331"/>
      <c r="Q29" s="343"/>
      <c r="R29" s="331">
        <f>IF(NOT(ISERROR(MATCH(Q29,_xlfn.ANCHORARRAY(E40),0))),P42&amp;"Por favor no seleccionar los criterios de impacto",Q29)</f>
        <v>0</v>
      </c>
      <c r="S29" s="346"/>
      <c r="T29" s="331"/>
      <c r="U29" s="327"/>
      <c r="V29" s="214">
        <v>2</v>
      </c>
      <c r="W29" s="187"/>
      <c r="X29" s="189" t="str">
        <f>IF(OR(Y29="Preventivo",Y29="Detectivo"),"Probabilidad",IF(Y29="Correctivo","Impacto",""))</f>
        <v/>
      </c>
      <c r="Y29" s="190"/>
      <c r="Z29" s="190"/>
      <c r="AA29" s="191" t="str">
        <f t="shared" ref="AA29:AA33" si="25">IF(AND(Y29="Preventivo",Z29="Automático"),"50%",IF(AND(Y29="Preventivo",Z29="Manual"),"40%",IF(AND(Y29="Detectivo",Z29="Automático"),"40%",IF(AND(Y29="Detectivo",Z29="Manual"),"30%",IF(AND(Y29="Correctivo",Z29="Automático"),"35%",IF(AND(Y29="Correctivo",Z29="Manual"),"25%",""))))))</f>
        <v/>
      </c>
      <c r="AB29" s="190"/>
      <c r="AC29" s="190"/>
      <c r="AD29" s="190"/>
      <c r="AE29" s="192" t="str">
        <f>IFERROR(IF(AND(X28="Probabilidad",X29="Probabilidad"),(AG28-(+AG28*AA29)),IF(X29="Probabilidad",(P28-(+P28*AA29)),IF(X29="Impacto",AG28,""))),"")</f>
        <v/>
      </c>
      <c r="AF29" s="193" t="str">
        <f t="shared" si="5"/>
        <v/>
      </c>
      <c r="AG29" s="191" t="str">
        <f t="shared" ref="AG29:AG33" si="26">+AE29</f>
        <v/>
      </c>
      <c r="AH29" s="193" t="str">
        <f t="shared" si="7"/>
        <v/>
      </c>
      <c r="AI29" s="191" t="str">
        <f t="shared" ref="AI29" si="27">IFERROR(IF(AND(X28="Impacto",X29="Impacto"),(AI28-(+AI28*AA29)),IF(X29="Impacto",($T$13-(+$T$13*AA29)),IF(X29="Probabilidad",AI28,""))),"")</f>
        <v/>
      </c>
      <c r="AJ29" s="194" t="str">
        <f t="shared" ref="AJ29:AJ30" si="28">IFERROR(IF(OR(AND(AF29="Muy Baja",AH29="Leve"),AND(AF29="Muy Baja",AH29="Menor"),AND(AF29="Baja",AH29="Leve")),"Bajo",IF(OR(AND(AF29="Muy baja",AH29="Moderado"),AND(AF29="Baja",AH29="Menor"),AND(AF29="Baja",AH29="Moderado"),AND(AF29="Media",AH29="Leve"),AND(AF29="Media",AH29="Menor"),AND(AF29="Media",AH29="Moderado"),AND(AF29="Alta",AH29="Leve"),AND(AF29="Alta",AH29="Menor")),"Moderado",IF(OR(AND(AF29="Muy Baja",AH29="Mayor"),AND(AF29="Baja",AH29="Mayor"),AND(AF29="Media",AH29="Mayor"),AND(AF29="Alta",AH29="Moderado"),AND(AF29="Alta",AH29="Mayor"),AND(AF29="Muy Alta",AH29="Leve"),AND(AF29="Muy Alta",AH29="Menor"),AND(AF29="Muy Alta",AH29="Moderado"),AND(AF29="Muy Alta",AH29="Mayor")),"Alto",IF(OR(AND(AF29="Muy Baja",AH29="Catastrófico"),AND(AF29="Baja",AH29="Catastrófico"),AND(AF29="Media",AH29="Catastrófico"),AND(AF29="Alta",AH29="Catastrófico"),AND(AF29="Muy Alta",AH29="Catastrófico")),"Extremo","")))),"")</f>
        <v/>
      </c>
      <c r="AK29" s="195"/>
      <c r="AL29" s="186"/>
      <c r="AM29" s="196"/>
      <c r="AN29" s="196"/>
      <c r="AO29" s="197"/>
      <c r="AP29" s="341"/>
      <c r="AQ29" s="341"/>
      <c r="AR29" s="341"/>
    </row>
    <row r="30" spans="1:44" x14ac:dyDescent="0.2">
      <c r="A30" s="352"/>
      <c r="B30" s="353"/>
      <c r="C30" s="353"/>
      <c r="D30" s="353"/>
      <c r="E30" s="336"/>
      <c r="F30" s="353"/>
      <c r="G30" s="336"/>
      <c r="H30" s="336"/>
      <c r="I30" s="336"/>
      <c r="J30" s="336"/>
      <c r="K30" s="336"/>
      <c r="L30" s="336"/>
      <c r="M30" s="336"/>
      <c r="N30" s="341"/>
      <c r="O30" s="346"/>
      <c r="P30" s="331"/>
      <c r="Q30" s="343"/>
      <c r="R30" s="331">
        <f>IF(NOT(ISERROR(MATCH(Q30,_xlfn.ANCHORARRAY(E41),0))),P43&amp;"Por favor no seleccionar los criterios de impacto",Q30)</f>
        <v>0</v>
      </c>
      <c r="S30" s="346"/>
      <c r="T30" s="331"/>
      <c r="U30" s="327"/>
      <c r="V30" s="214">
        <v>3</v>
      </c>
      <c r="W30" s="188"/>
      <c r="X30" s="189" t="str">
        <f>IF(OR(Y30="Preventivo",Y30="Detectivo"),"Probabilidad",IF(Y30="Correctivo","Impacto",""))</f>
        <v/>
      </c>
      <c r="Y30" s="190"/>
      <c r="Z30" s="190"/>
      <c r="AA30" s="191" t="str">
        <f t="shared" si="25"/>
        <v/>
      </c>
      <c r="AB30" s="190"/>
      <c r="AC30" s="190"/>
      <c r="AD30" s="190"/>
      <c r="AE30" s="192" t="str">
        <f>IFERROR(IF(AND(X29="Probabilidad",X30="Probabilidad"),(AG29-(+AG29*AA30)),IF(AND(X29="Impacto",X30="Probabilidad"),(AG28-(+AG28*AA30)),IF(X30="Impacto",AG29,""))),"")</f>
        <v/>
      </c>
      <c r="AF30" s="193" t="str">
        <f t="shared" si="5"/>
        <v/>
      </c>
      <c r="AG30" s="191" t="str">
        <f t="shared" si="26"/>
        <v/>
      </c>
      <c r="AH30" s="193" t="str">
        <f t="shared" si="7"/>
        <v/>
      </c>
      <c r="AI30" s="191" t="str">
        <f t="shared" ref="AI30" si="29">IFERROR(IF(AND(X29="Impacto",X30="Impacto"),(AI29-(+AI29*AA30)),IF(AND(X29="Probabilidad",X30="Impacto"),(AI28-(+AI28*AA30)),IF(X30="Probabilidad",AI29,""))),"")</f>
        <v/>
      </c>
      <c r="AJ30" s="194" t="str">
        <f t="shared" si="28"/>
        <v/>
      </c>
      <c r="AK30" s="195"/>
      <c r="AL30" s="186"/>
      <c r="AM30" s="196"/>
      <c r="AN30" s="196"/>
      <c r="AO30" s="197"/>
      <c r="AP30" s="341"/>
      <c r="AQ30" s="341"/>
      <c r="AR30" s="341"/>
    </row>
    <row r="31" spans="1:44" x14ac:dyDescent="0.2">
      <c r="A31" s="352"/>
      <c r="B31" s="353"/>
      <c r="C31" s="353"/>
      <c r="D31" s="353"/>
      <c r="E31" s="336"/>
      <c r="F31" s="353"/>
      <c r="G31" s="336"/>
      <c r="H31" s="336"/>
      <c r="I31" s="336"/>
      <c r="J31" s="336"/>
      <c r="K31" s="336"/>
      <c r="L31" s="336"/>
      <c r="M31" s="336"/>
      <c r="N31" s="341"/>
      <c r="O31" s="346"/>
      <c r="P31" s="331"/>
      <c r="Q31" s="343"/>
      <c r="R31" s="331">
        <f>IF(NOT(ISERROR(MATCH(Q31,_xlfn.ANCHORARRAY(E42),0))),P44&amp;"Por favor no seleccionar los criterios de impacto",Q31)</f>
        <v>0</v>
      </c>
      <c r="S31" s="346"/>
      <c r="T31" s="331"/>
      <c r="U31" s="327"/>
      <c r="V31" s="214">
        <v>4</v>
      </c>
      <c r="W31" s="187"/>
      <c r="X31" s="189" t="str">
        <f t="shared" ref="X31:X33" si="30">IF(OR(Y31="Preventivo",Y31="Detectivo"),"Probabilidad",IF(Y31="Correctivo","Impacto",""))</f>
        <v/>
      </c>
      <c r="Y31" s="190"/>
      <c r="Z31" s="190"/>
      <c r="AA31" s="191" t="str">
        <f t="shared" si="25"/>
        <v/>
      </c>
      <c r="AB31" s="190"/>
      <c r="AC31" s="190"/>
      <c r="AD31" s="190"/>
      <c r="AE31" s="192" t="str">
        <f t="shared" ref="AE31:AE33" si="31">IFERROR(IF(AND(X30="Probabilidad",X31="Probabilidad"),(AG30-(+AG30*AA31)),IF(AND(X30="Impacto",X31="Probabilidad"),(AG29-(+AG29*AA31)),IF(X31="Impacto",AG30,""))),"")</f>
        <v/>
      </c>
      <c r="AF31" s="193" t="str">
        <f t="shared" si="5"/>
        <v/>
      </c>
      <c r="AG31" s="191" t="str">
        <f t="shared" si="26"/>
        <v/>
      </c>
      <c r="AH31" s="193" t="str">
        <f t="shared" si="7"/>
        <v/>
      </c>
      <c r="AI31" s="191" t="str">
        <f t="shared" si="13"/>
        <v/>
      </c>
      <c r="AJ31" s="194" t="str">
        <f>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95"/>
      <c r="AL31" s="186"/>
      <c r="AM31" s="196"/>
      <c r="AN31" s="196"/>
      <c r="AO31" s="197"/>
      <c r="AP31" s="341"/>
      <c r="AQ31" s="341"/>
      <c r="AR31" s="341"/>
    </row>
    <row r="32" spans="1:44" x14ac:dyDescent="0.2">
      <c r="A32" s="352"/>
      <c r="B32" s="353"/>
      <c r="C32" s="353"/>
      <c r="D32" s="353"/>
      <c r="E32" s="336"/>
      <c r="F32" s="353"/>
      <c r="G32" s="336"/>
      <c r="H32" s="336"/>
      <c r="I32" s="336"/>
      <c r="J32" s="336"/>
      <c r="K32" s="336"/>
      <c r="L32" s="336"/>
      <c r="M32" s="336"/>
      <c r="N32" s="341"/>
      <c r="O32" s="346"/>
      <c r="P32" s="331"/>
      <c r="Q32" s="343"/>
      <c r="R32" s="331">
        <f>IF(NOT(ISERROR(MATCH(Q32,_xlfn.ANCHORARRAY(E43),0))),P45&amp;"Por favor no seleccionar los criterios de impacto",Q32)</f>
        <v>0</v>
      </c>
      <c r="S32" s="346"/>
      <c r="T32" s="331"/>
      <c r="U32" s="327"/>
      <c r="V32" s="214">
        <v>5</v>
      </c>
      <c r="W32" s="187"/>
      <c r="X32" s="189" t="str">
        <f t="shared" si="30"/>
        <v/>
      </c>
      <c r="Y32" s="190"/>
      <c r="Z32" s="190"/>
      <c r="AA32" s="191" t="str">
        <f t="shared" si="25"/>
        <v/>
      </c>
      <c r="AB32" s="190"/>
      <c r="AC32" s="190"/>
      <c r="AD32" s="190"/>
      <c r="AE32" s="192" t="str">
        <f t="shared" si="31"/>
        <v/>
      </c>
      <c r="AF32" s="193" t="str">
        <f t="shared" si="5"/>
        <v/>
      </c>
      <c r="AG32" s="191" t="str">
        <f t="shared" si="26"/>
        <v/>
      </c>
      <c r="AH32" s="193" t="str">
        <f t="shared" si="7"/>
        <v/>
      </c>
      <c r="AI32" s="191" t="str">
        <f t="shared" si="13"/>
        <v/>
      </c>
      <c r="AJ32" s="194" t="str">
        <f t="shared" ref="AJ32" si="32">IFERROR(IF(OR(AND(AF32="Muy Baja",AH32="Leve"),AND(AF32="Muy Baja",AH32="Menor"),AND(AF32="Baja",AH32="Leve")),"Bajo",IF(OR(AND(AF32="Muy baja",AH32="Moderado"),AND(AF32="Baja",AH32="Menor"),AND(AF32="Baja",AH32="Moderado"),AND(AF32="Media",AH32="Leve"),AND(AF32="Media",AH32="Menor"),AND(AF32="Media",AH32="Moderado"),AND(AF32="Alta",AH32="Leve"),AND(AF32="Alta",AH32="Menor")),"Moderado",IF(OR(AND(AF32="Muy Baja",AH32="Mayor"),AND(AF32="Baja",AH32="Mayor"),AND(AF32="Media",AH32="Mayor"),AND(AF32="Alta",AH32="Moderado"),AND(AF32="Alta",AH32="Mayor"),AND(AF32="Muy Alta",AH32="Leve"),AND(AF32="Muy Alta",AH32="Menor"),AND(AF32="Muy Alta",AH32="Moderado"),AND(AF32="Muy Alta",AH32="Mayor")),"Alto",IF(OR(AND(AF32="Muy Baja",AH32="Catastrófico"),AND(AF32="Baja",AH32="Catastrófico"),AND(AF32="Media",AH32="Catastrófico"),AND(AF32="Alta",AH32="Catastrófico"),AND(AF32="Muy Alta",AH32="Catastrófico")),"Extremo","")))),"")</f>
        <v/>
      </c>
      <c r="AK32" s="195"/>
      <c r="AL32" s="186"/>
      <c r="AM32" s="196"/>
      <c r="AN32" s="196"/>
      <c r="AO32" s="197"/>
      <c r="AP32" s="341"/>
      <c r="AQ32" s="341"/>
      <c r="AR32" s="341"/>
    </row>
    <row r="33" spans="1:44" x14ac:dyDescent="0.2">
      <c r="A33" s="352"/>
      <c r="B33" s="353"/>
      <c r="C33" s="353"/>
      <c r="D33" s="353"/>
      <c r="E33" s="337"/>
      <c r="F33" s="353"/>
      <c r="G33" s="337"/>
      <c r="H33" s="337"/>
      <c r="I33" s="337"/>
      <c r="J33" s="337"/>
      <c r="K33" s="337"/>
      <c r="L33" s="337"/>
      <c r="M33" s="337"/>
      <c r="N33" s="341"/>
      <c r="O33" s="346"/>
      <c r="P33" s="331"/>
      <c r="Q33" s="343"/>
      <c r="R33" s="331">
        <f>IF(NOT(ISERROR(MATCH(Q33,_xlfn.ANCHORARRAY(E44),0))),P46&amp;"Por favor no seleccionar los criterios de impacto",Q33)</f>
        <v>0</v>
      </c>
      <c r="S33" s="346"/>
      <c r="T33" s="331"/>
      <c r="U33" s="327"/>
      <c r="V33" s="214">
        <v>6</v>
      </c>
      <c r="W33" s="187"/>
      <c r="X33" s="189" t="str">
        <f t="shared" si="30"/>
        <v/>
      </c>
      <c r="Y33" s="190"/>
      <c r="Z33" s="190"/>
      <c r="AA33" s="191" t="str">
        <f t="shared" si="25"/>
        <v/>
      </c>
      <c r="AB33" s="190"/>
      <c r="AC33" s="190"/>
      <c r="AD33" s="190"/>
      <c r="AE33" s="192" t="str">
        <f t="shared" si="31"/>
        <v/>
      </c>
      <c r="AF33" s="193" t="str">
        <f t="shared" si="5"/>
        <v/>
      </c>
      <c r="AG33" s="191" t="str">
        <f t="shared" si="26"/>
        <v/>
      </c>
      <c r="AH33" s="193" t="str">
        <f>IFERROR(IF(AI33="","",IF(AI33&lt;=0.2,"Leve",IF(AI33&lt;=0.4,"Menor",IF(AI33&lt;=0.6,"Moderado",IF(AI33&lt;=0.8,"Mayor","Catastrófico"))))),"")</f>
        <v/>
      </c>
      <c r="AI33" s="191" t="str">
        <f t="shared" si="13"/>
        <v/>
      </c>
      <c r="AJ33" s="194" t="str">
        <f>IFERROR(IF(OR(AND(AF33="Muy Baja",AH33="Leve"),AND(AF33="Muy Baja",AH33="Menor"),AND(AF33="Baja",AH33="Leve")),"Bajo",IF(OR(AND(AF33="Muy baja",AH33="Moderado"),AND(AF33="Baja",AH33="Menor"),AND(AF33="Baja",AH33="Moderado"),AND(AF33="Media",AH33="Leve"),AND(AF33="Media",AH33="Menor"),AND(AF33="Media",AH33="Moderado"),AND(AF33="Alta",AH33="Leve"),AND(AF33="Alta",AH33="Menor")),"Moderado",IF(OR(AND(AF33="Muy Baja",AH33="Mayor"),AND(AF33="Baja",AH33="Mayor"),AND(AF33="Media",AH33="Mayor"),AND(AF33="Alta",AH33="Moderado"),AND(AF33="Alta",AH33="Mayor"),AND(AF33="Muy Alta",AH33="Leve"),AND(AF33="Muy Alta",AH33="Menor"),AND(AF33="Muy Alta",AH33="Moderado"),AND(AF33="Muy Alta",AH33="Mayor")),"Alto",IF(OR(AND(AF33="Muy Baja",AH33="Catastrófico"),AND(AF33="Baja",AH33="Catastrófico"),AND(AF33="Media",AH33="Catastrófico"),AND(AF33="Alta",AH33="Catastrófico"),AND(AF33="Muy Alta",AH33="Catastrófico")),"Extremo","")))),"")</f>
        <v/>
      </c>
      <c r="AK33" s="195"/>
      <c r="AL33" s="186"/>
      <c r="AM33" s="196"/>
      <c r="AN33" s="196"/>
      <c r="AO33" s="197"/>
      <c r="AP33" s="341"/>
      <c r="AQ33" s="341"/>
      <c r="AR33" s="341"/>
    </row>
    <row r="34" spans="1:44" x14ac:dyDescent="0.2">
      <c r="A34" s="352">
        <v>7</v>
      </c>
      <c r="B34" s="353"/>
      <c r="C34" s="353"/>
      <c r="D34" s="356"/>
      <c r="E34" s="353"/>
      <c r="F34" s="353"/>
      <c r="G34" s="335"/>
      <c r="H34" s="335"/>
      <c r="I34" s="335"/>
      <c r="J34" s="335"/>
      <c r="K34" s="335"/>
      <c r="L34" s="335"/>
      <c r="M34" s="335"/>
      <c r="N34" s="341"/>
      <c r="O34" s="346" t="str">
        <f>IF(N34&lt;=0,"",IF(N34&lt;=2,"Muy Baja",IF(N34&lt;=24,"Baja",IF(N34&lt;=500,"Media",IF(N34&lt;=5000,"Alta","Muy Alta")))))</f>
        <v/>
      </c>
      <c r="P34" s="331" t="str">
        <f>IF(O34="","",IF(O34="Muy Baja",0.2,IF(O34="Baja",0.4,IF(O34="Media",0.6,IF(O34="Alta",0.8,IF(O34="Muy Alta",1,))))))</f>
        <v/>
      </c>
      <c r="Q34" s="343"/>
      <c r="R34" s="331">
        <f>IF(NOT(ISERROR(MATCH(Q34,'Tabla Impacto'!$B$222:$B$224,0))),'Tabla Impacto'!$F$224&amp;"Por favor no seleccionar los criterios de impacto(Afectación Económica o presupuestal y Pérdida Reputacional)",Q34)</f>
        <v>0</v>
      </c>
      <c r="S34" s="346" t="str">
        <f>IF(OR(R34='Tabla Impacto'!$C$12,R34='Tabla Impacto'!$D$12),"Leve",IF(OR(R34='Tabla Impacto'!$C$13,R34='Tabla Impacto'!$D$13),"Menor",IF(OR(R34='Tabla Impacto'!$C$14,R34='Tabla Impacto'!$D$14),"Moderado",IF(OR(R34='Tabla Impacto'!$C$15,R34='Tabla Impacto'!$D$15),"Mayor",IF(OR(R34='Tabla Impacto'!$C$16,R34='Tabla Impacto'!$D$16),"Catastrófico","")))))</f>
        <v/>
      </c>
      <c r="T34" s="331" t="str">
        <f>IF(S34="","",IF(S34="Leve",0.2,IF(S34="Menor",0.4,IF(S34="Moderado",0.6,IF(S34="Mayor",0.8,IF(S34="Catastrófico",1,))))))</f>
        <v/>
      </c>
      <c r="U34" s="327" t="str">
        <f>IF(OR(AND(O34="Muy Baja",S34="Leve"),AND(O34="Muy Baja",S34="Menor"),AND(O34="Baja",S34="Leve")),"Bajo",IF(OR(AND(O34="Muy baja",S34="Moderado"),AND(O34="Baja",S34="Menor"),AND(O34="Baja",S34="Moderado"),AND(O34="Media",S34="Leve"),AND(O34="Media",S34="Menor"),AND(O34="Media",S34="Moderado"),AND(O34="Alta",S34="Leve"),AND(O34="Alta",S34="Menor")),"Moderado",IF(OR(AND(O34="Muy Baja",S34="Mayor"),AND(O34="Baja",S34="Mayor"),AND(O34="Media",S34="Mayor"),AND(O34="Alta",S34="Moderado"),AND(O34="Alta",S34="Mayor"),AND(O34="Muy Alta",S34="Leve"),AND(O34="Muy Alta",S34="Menor"),AND(O34="Muy Alta",S34="Moderado"),AND(O34="Muy Alta",S34="Mayor")),"Alto",IF(OR(AND(O34="Muy Baja",S34="Catastrófico"),AND(O34="Baja",S34="Catastrófico"),AND(O34="Media",S34="Catastrófico"),AND(O34="Alta",S34="Catastrófico"),AND(O34="Muy Alta",S34="Catastrófico")),"Extremo",""))))</f>
        <v/>
      </c>
      <c r="V34" s="214">
        <v>1</v>
      </c>
      <c r="W34" s="199"/>
      <c r="X34" s="189" t="str">
        <f>IF(OR(Y34="Preventivo",Y34="Detectivo"),"Probabilidad",IF(Y34="Correctivo","Impacto",""))</f>
        <v/>
      </c>
      <c r="Y34" s="190"/>
      <c r="Z34" s="190"/>
      <c r="AA34" s="191" t="str">
        <f>IF(AND(Y34="Preventivo",Z34="Automático"),"50%",IF(AND(Y34="Preventivo",Z34="Manual"),"40%",IF(AND(Y34="Detectivo",Z34="Automático"),"40%",IF(AND(Y34="Detectivo",Z34="Manual"),"30%",IF(AND(Y34="Correctivo",Z34="Automático"),"35%",IF(AND(Y34="Correctivo",Z34="Manual"),"25%",""))))))</f>
        <v/>
      </c>
      <c r="AB34" s="190"/>
      <c r="AC34" s="190"/>
      <c r="AD34" s="190"/>
      <c r="AE34" s="192" t="str">
        <f>IFERROR(IF(X34="Probabilidad",(P34-(+P34*AA34)),IF(X34="Impacto",P34,"")),"")</f>
        <v/>
      </c>
      <c r="AF34" s="193" t="str">
        <f>IFERROR(IF(AE34="","",IF(AE34&lt;=0.2,"Muy Baja",IF(AE34&lt;=0.4,"Baja",IF(AE34&lt;=0.6,"Media",IF(AE34&lt;=0.8,"Alta","Muy Alta"))))),"")</f>
        <v/>
      </c>
      <c r="AG34" s="191" t="str">
        <f>+AE34</f>
        <v/>
      </c>
      <c r="AH34" s="193" t="str">
        <f>IFERROR(IF(AI34="","",IF(AI34&lt;=0.2,"Leve",IF(AI34&lt;=0.4,"Menor",IF(AI34&lt;=0.6,"Moderado",IF(AI34&lt;=0.8,"Mayor","Catastrófico"))))),"")</f>
        <v/>
      </c>
      <c r="AI34" s="191" t="str">
        <f t="shared" ref="AI34" si="33">IFERROR(IF(X34="Impacto",(T34-(+T34*AA34)),IF(X34="Probabilidad",T34,"")),"")</f>
        <v/>
      </c>
      <c r="AJ34" s="194" t="str">
        <f>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95"/>
      <c r="AL34" s="186"/>
      <c r="AM34" s="196"/>
      <c r="AN34" s="196"/>
      <c r="AO34" s="197"/>
      <c r="AP34" s="341"/>
      <c r="AQ34" s="341"/>
      <c r="AR34" s="341"/>
    </row>
    <row r="35" spans="1:44" x14ac:dyDescent="0.2">
      <c r="A35" s="352"/>
      <c r="B35" s="353"/>
      <c r="C35" s="353"/>
      <c r="D35" s="356"/>
      <c r="E35" s="353"/>
      <c r="F35" s="353"/>
      <c r="G35" s="336"/>
      <c r="H35" s="336"/>
      <c r="I35" s="336"/>
      <c r="J35" s="336"/>
      <c r="K35" s="336"/>
      <c r="L35" s="336"/>
      <c r="M35" s="336"/>
      <c r="N35" s="341"/>
      <c r="O35" s="346"/>
      <c r="P35" s="331"/>
      <c r="Q35" s="343"/>
      <c r="R35" s="331">
        <f>IF(NOT(ISERROR(MATCH(Q35,_xlfn.ANCHORARRAY(E46),0))),P48&amp;"Por favor no seleccionar los criterios de impacto",Q35)</f>
        <v>0</v>
      </c>
      <c r="S35" s="346"/>
      <c r="T35" s="331"/>
      <c r="U35" s="327"/>
      <c r="V35" s="214">
        <v>2</v>
      </c>
      <c r="W35" s="187"/>
      <c r="X35" s="189" t="str">
        <f>IF(OR(Y35="Preventivo",Y35="Detectivo"),"Probabilidad",IF(Y35="Correctivo","Impacto",""))</f>
        <v/>
      </c>
      <c r="Y35" s="190"/>
      <c r="Z35" s="190"/>
      <c r="AA35" s="191" t="str">
        <f t="shared" ref="AA35:AA39" si="34">IF(AND(Y35="Preventivo",Z35="Automático"),"50%",IF(AND(Y35="Preventivo",Z35="Manual"),"40%",IF(AND(Y35="Detectivo",Z35="Automático"),"40%",IF(AND(Y35="Detectivo",Z35="Manual"),"30%",IF(AND(Y35="Correctivo",Z35="Automático"),"35%",IF(AND(Y35="Correctivo",Z35="Manual"),"25%",""))))))</f>
        <v/>
      </c>
      <c r="AB35" s="190"/>
      <c r="AC35" s="190"/>
      <c r="AD35" s="190"/>
      <c r="AE35" s="192" t="str">
        <f>IFERROR(IF(AND(X34="Probabilidad",X35="Probabilidad"),(AG34-(+AG34*AA35)),IF(X35="Probabilidad",(P34-(+P34*AA35)),IF(X35="Impacto",AG34,""))),"")</f>
        <v/>
      </c>
      <c r="AF35" s="193" t="str">
        <f t="shared" si="5"/>
        <v/>
      </c>
      <c r="AG35" s="191" t="str">
        <f t="shared" ref="AG35:AG39" si="35">+AE35</f>
        <v/>
      </c>
      <c r="AH35" s="193" t="str">
        <f t="shared" si="7"/>
        <v/>
      </c>
      <c r="AI35" s="191" t="str">
        <f t="shared" ref="AI35" si="36">IFERROR(IF(AND(X34="Impacto",X35="Impacto"),(AI34-(+AI34*AA35)),IF(X35="Impacto",($T$13-(+$T$13*AA35)),IF(X35="Probabilidad",AI34,""))),"")</f>
        <v/>
      </c>
      <c r="AJ35" s="194" t="str">
        <f t="shared" ref="AJ35:AJ36" si="37">IFERROR(IF(OR(AND(AF35="Muy Baja",AH35="Leve"),AND(AF35="Muy Baja",AH35="Menor"),AND(AF35="Baja",AH35="Leve")),"Bajo",IF(OR(AND(AF35="Muy baja",AH35="Moderado"),AND(AF35="Baja",AH35="Menor"),AND(AF35="Baja",AH35="Moderado"),AND(AF35="Media",AH35="Leve"),AND(AF35="Media",AH35="Menor"),AND(AF35="Media",AH35="Moderado"),AND(AF35="Alta",AH35="Leve"),AND(AF35="Alta",AH35="Menor")),"Moderado",IF(OR(AND(AF35="Muy Baja",AH35="Mayor"),AND(AF35="Baja",AH35="Mayor"),AND(AF35="Media",AH35="Mayor"),AND(AF35="Alta",AH35="Moderado"),AND(AF35="Alta",AH35="Mayor"),AND(AF35="Muy Alta",AH35="Leve"),AND(AF35="Muy Alta",AH35="Menor"),AND(AF35="Muy Alta",AH35="Moderado"),AND(AF35="Muy Alta",AH35="Mayor")),"Alto",IF(OR(AND(AF35="Muy Baja",AH35="Catastrófico"),AND(AF35="Baja",AH35="Catastrófico"),AND(AF35="Media",AH35="Catastrófico"),AND(AF35="Alta",AH35="Catastrófico"),AND(AF35="Muy Alta",AH35="Catastrófico")),"Extremo","")))),"")</f>
        <v/>
      </c>
      <c r="AK35" s="195"/>
      <c r="AL35" s="186"/>
      <c r="AM35" s="196"/>
      <c r="AN35" s="196"/>
      <c r="AO35" s="197"/>
      <c r="AP35" s="341"/>
      <c r="AQ35" s="341"/>
      <c r="AR35" s="341"/>
    </row>
    <row r="36" spans="1:44" x14ac:dyDescent="0.2">
      <c r="A36" s="352"/>
      <c r="B36" s="353"/>
      <c r="C36" s="353"/>
      <c r="D36" s="356"/>
      <c r="E36" s="353"/>
      <c r="F36" s="353"/>
      <c r="G36" s="336"/>
      <c r="H36" s="336"/>
      <c r="I36" s="336"/>
      <c r="J36" s="336"/>
      <c r="K36" s="336"/>
      <c r="L36" s="336"/>
      <c r="M36" s="336"/>
      <c r="N36" s="341"/>
      <c r="O36" s="346"/>
      <c r="P36" s="331"/>
      <c r="Q36" s="343"/>
      <c r="R36" s="331">
        <f>IF(NOT(ISERROR(MATCH(Q36,_xlfn.ANCHORARRAY(E47),0))),P49&amp;"Por favor no seleccionar los criterios de impacto",Q36)</f>
        <v>0</v>
      </c>
      <c r="S36" s="346"/>
      <c r="T36" s="331"/>
      <c r="U36" s="327"/>
      <c r="V36" s="214">
        <v>3</v>
      </c>
      <c r="W36" s="188"/>
      <c r="X36" s="189" t="str">
        <f>IF(OR(Y36="Preventivo",Y36="Detectivo"),"Probabilidad",IF(Y36="Correctivo","Impacto",""))</f>
        <v/>
      </c>
      <c r="Y36" s="190"/>
      <c r="Z36" s="190"/>
      <c r="AA36" s="191" t="str">
        <f t="shared" si="34"/>
        <v/>
      </c>
      <c r="AB36" s="190"/>
      <c r="AC36" s="190"/>
      <c r="AD36" s="190"/>
      <c r="AE36" s="192" t="str">
        <f>IFERROR(IF(AND(X35="Probabilidad",X36="Probabilidad"),(AG35-(+AG35*AA36)),IF(AND(X35="Impacto",X36="Probabilidad"),(AG34-(+AG34*AA36)),IF(X36="Impacto",AG35,""))),"")</f>
        <v/>
      </c>
      <c r="AF36" s="193" t="str">
        <f t="shared" si="5"/>
        <v/>
      </c>
      <c r="AG36" s="191" t="str">
        <f t="shared" si="35"/>
        <v/>
      </c>
      <c r="AH36" s="193" t="str">
        <f t="shared" si="7"/>
        <v/>
      </c>
      <c r="AI36" s="191" t="str">
        <f t="shared" ref="AI36" si="38">IFERROR(IF(AND(X35="Impacto",X36="Impacto"),(AI35-(+AI35*AA36)),IF(AND(X35="Probabilidad",X36="Impacto"),(AI34-(+AI34*AA36)),IF(X36="Probabilidad",AI35,""))),"")</f>
        <v/>
      </c>
      <c r="AJ36" s="194" t="str">
        <f t="shared" si="37"/>
        <v/>
      </c>
      <c r="AK36" s="195"/>
      <c r="AL36" s="186"/>
      <c r="AM36" s="196"/>
      <c r="AN36" s="196"/>
      <c r="AO36" s="197"/>
      <c r="AP36" s="341"/>
      <c r="AQ36" s="341"/>
      <c r="AR36" s="341"/>
    </row>
    <row r="37" spans="1:44" x14ac:dyDescent="0.2">
      <c r="A37" s="352"/>
      <c r="B37" s="353"/>
      <c r="C37" s="353"/>
      <c r="D37" s="356"/>
      <c r="E37" s="353"/>
      <c r="F37" s="353"/>
      <c r="G37" s="336"/>
      <c r="H37" s="336"/>
      <c r="I37" s="336"/>
      <c r="J37" s="336"/>
      <c r="K37" s="336"/>
      <c r="L37" s="336"/>
      <c r="M37" s="336"/>
      <c r="N37" s="341"/>
      <c r="O37" s="346"/>
      <c r="P37" s="331"/>
      <c r="Q37" s="343"/>
      <c r="R37" s="331">
        <f>IF(NOT(ISERROR(MATCH(Q37,_xlfn.ANCHORARRAY(E48),0))),P50&amp;"Por favor no seleccionar los criterios de impacto",Q37)</f>
        <v>0</v>
      </c>
      <c r="S37" s="346"/>
      <c r="T37" s="331"/>
      <c r="U37" s="327"/>
      <c r="V37" s="214">
        <v>4</v>
      </c>
      <c r="W37" s="187"/>
      <c r="X37" s="189" t="str">
        <f t="shared" ref="X37:X39" si="39">IF(OR(Y37="Preventivo",Y37="Detectivo"),"Probabilidad",IF(Y37="Correctivo","Impacto",""))</f>
        <v/>
      </c>
      <c r="Y37" s="190"/>
      <c r="Z37" s="190"/>
      <c r="AA37" s="191" t="str">
        <f t="shared" si="34"/>
        <v/>
      </c>
      <c r="AB37" s="190"/>
      <c r="AC37" s="190"/>
      <c r="AD37" s="190"/>
      <c r="AE37" s="192" t="str">
        <f t="shared" ref="AE37:AE39" si="40">IFERROR(IF(AND(X36="Probabilidad",X37="Probabilidad"),(AG36-(+AG36*AA37)),IF(AND(X36="Impacto",X37="Probabilidad"),(AG35-(+AG35*AA37)),IF(X37="Impacto",AG36,""))),"")</f>
        <v/>
      </c>
      <c r="AF37" s="193" t="str">
        <f t="shared" si="5"/>
        <v/>
      </c>
      <c r="AG37" s="191" t="str">
        <f t="shared" si="35"/>
        <v/>
      </c>
      <c r="AH37" s="193" t="str">
        <f t="shared" si="7"/>
        <v/>
      </c>
      <c r="AI37" s="191" t="str">
        <f t="shared" si="13"/>
        <v/>
      </c>
      <c r="AJ37" s="194" t="str">
        <f>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95"/>
      <c r="AL37" s="186"/>
      <c r="AM37" s="196"/>
      <c r="AN37" s="196"/>
      <c r="AO37" s="197"/>
      <c r="AP37" s="341"/>
      <c r="AQ37" s="341"/>
      <c r="AR37" s="341"/>
    </row>
    <row r="38" spans="1:44" x14ac:dyDescent="0.2">
      <c r="A38" s="352"/>
      <c r="B38" s="353"/>
      <c r="C38" s="353"/>
      <c r="D38" s="356"/>
      <c r="E38" s="353"/>
      <c r="F38" s="353"/>
      <c r="G38" s="336"/>
      <c r="H38" s="336"/>
      <c r="I38" s="336"/>
      <c r="J38" s="336"/>
      <c r="K38" s="336"/>
      <c r="L38" s="336"/>
      <c r="M38" s="336"/>
      <c r="N38" s="341"/>
      <c r="O38" s="346"/>
      <c r="P38" s="331"/>
      <c r="Q38" s="343"/>
      <c r="R38" s="331">
        <f>IF(NOT(ISERROR(MATCH(Q38,_xlfn.ANCHORARRAY(E49),0))),P51&amp;"Por favor no seleccionar los criterios de impacto",Q38)</f>
        <v>0</v>
      </c>
      <c r="S38" s="346"/>
      <c r="T38" s="331"/>
      <c r="U38" s="327"/>
      <c r="V38" s="214">
        <v>5</v>
      </c>
      <c r="W38" s="187"/>
      <c r="X38" s="189" t="str">
        <f t="shared" si="39"/>
        <v/>
      </c>
      <c r="Y38" s="190"/>
      <c r="Z38" s="190"/>
      <c r="AA38" s="191" t="str">
        <f t="shared" si="34"/>
        <v/>
      </c>
      <c r="AB38" s="190"/>
      <c r="AC38" s="190"/>
      <c r="AD38" s="190"/>
      <c r="AE38" s="192" t="str">
        <f t="shared" si="40"/>
        <v/>
      </c>
      <c r="AF38" s="193" t="str">
        <f t="shared" si="5"/>
        <v/>
      </c>
      <c r="AG38" s="191" t="str">
        <f t="shared" si="35"/>
        <v/>
      </c>
      <c r="AH38" s="193" t="str">
        <f t="shared" si="7"/>
        <v/>
      </c>
      <c r="AI38" s="191" t="str">
        <f t="shared" si="13"/>
        <v/>
      </c>
      <c r="AJ38" s="194" t="str">
        <f t="shared" ref="AJ38:AJ39" si="41">IFERROR(IF(OR(AND(AF38="Muy Baja",AH38="Leve"),AND(AF38="Muy Baja",AH38="Menor"),AND(AF38="Baja",AH38="Leve")),"Bajo",IF(OR(AND(AF38="Muy baja",AH38="Moderado"),AND(AF38="Baja",AH38="Menor"),AND(AF38="Baja",AH38="Moderado"),AND(AF38="Media",AH38="Leve"),AND(AF38="Media",AH38="Menor"),AND(AF38="Media",AH38="Moderado"),AND(AF38="Alta",AH38="Leve"),AND(AF38="Alta",AH38="Menor")),"Moderado",IF(OR(AND(AF38="Muy Baja",AH38="Mayor"),AND(AF38="Baja",AH38="Mayor"),AND(AF38="Media",AH38="Mayor"),AND(AF38="Alta",AH38="Moderado"),AND(AF38="Alta",AH38="Mayor"),AND(AF38="Muy Alta",AH38="Leve"),AND(AF38="Muy Alta",AH38="Menor"),AND(AF38="Muy Alta",AH38="Moderado"),AND(AF38="Muy Alta",AH38="Mayor")),"Alto",IF(OR(AND(AF38="Muy Baja",AH38="Catastrófico"),AND(AF38="Baja",AH38="Catastrófico"),AND(AF38="Media",AH38="Catastrófico"),AND(AF38="Alta",AH38="Catastrófico"),AND(AF38="Muy Alta",AH38="Catastrófico")),"Extremo","")))),"")</f>
        <v/>
      </c>
      <c r="AK38" s="195"/>
      <c r="AL38" s="186"/>
      <c r="AM38" s="196"/>
      <c r="AN38" s="196"/>
      <c r="AO38" s="197"/>
      <c r="AP38" s="341"/>
      <c r="AQ38" s="341"/>
      <c r="AR38" s="341"/>
    </row>
    <row r="39" spans="1:44" x14ac:dyDescent="0.2">
      <c r="A39" s="352"/>
      <c r="B39" s="353"/>
      <c r="C39" s="353"/>
      <c r="D39" s="356"/>
      <c r="E39" s="353"/>
      <c r="F39" s="353"/>
      <c r="G39" s="337"/>
      <c r="H39" s="337"/>
      <c r="I39" s="337"/>
      <c r="J39" s="337"/>
      <c r="K39" s="337"/>
      <c r="L39" s="337"/>
      <c r="M39" s="337"/>
      <c r="N39" s="341"/>
      <c r="O39" s="346"/>
      <c r="P39" s="331"/>
      <c r="Q39" s="343"/>
      <c r="R39" s="331">
        <f>IF(NOT(ISERROR(MATCH(Q39,_xlfn.ANCHORARRAY(E50),0))),P52&amp;"Por favor no seleccionar los criterios de impacto",Q39)</f>
        <v>0</v>
      </c>
      <c r="S39" s="346"/>
      <c r="T39" s="331"/>
      <c r="U39" s="327"/>
      <c r="V39" s="214">
        <v>6</v>
      </c>
      <c r="W39" s="187"/>
      <c r="X39" s="189" t="str">
        <f t="shared" si="39"/>
        <v/>
      </c>
      <c r="Y39" s="190"/>
      <c r="Z39" s="190"/>
      <c r="AA39" s="191" t="str">
        <f t="shared" si="34"/>
        <v/>
      </c>
      <c r="AB39" s="190"/>
      <c r="AC39" s="190"/>
      <c r="AD39" s="190"/>
      <c r="AE39" s="192" t="str">
        <f t="shared" si="40"/>
        <v/>
      </c>
      <c r="AF39" s="193" t="str">
        <f t="shared" si="5"/>
        <v/>
      </c>
      <c r="AG39" s="191" t="str">
        <f t="shared" si="35"/>
        <v/>
      </c>
      <c r="AH39" s="193" t="str">
        <f t="shared" si="7"/>
        <v/>
      </c>
      <c r="AI39" s="191" t="str">
        <f t="shared" si="13"/>
        <v/>
      </c>
      <c r="AJ39" s="194" t="str">
        <f t="shared" si="41"/>
        <v/>
      </c>
      <c r="AK39" s="195"/>
      <c r="AL39" s="186"/>
      <c r="AM39" s="196"/>
      <c r="AN39" s="196"/>
      <c r="AO39" s="197"/>
      <c r="AP39" s="341"/>
      <c r="AQ39" s="341"/>
      <c r="AR39" s="341"/>
    </row>
    <row r="40" spans="1:44" x14ac:dyDescent="0.2">
      <c r="A40" s="352">
        <v>8</v>
      </c>
      <c r="B40" s="353"/>
      <c r="C40" s="353"/>
      <c r="D40" s="353"/>
      <c r="E40" s="353"/>
      <c r="F40" s="353"/>
      <c r="G40" s="335"/>
      <c r="H40" s="335"/>
      <c r="I40" s="335"/>
      <c r="J40" s="335"/>
      <c r="K40" s="335"/>
      <c r="L40" s="335"/>
      <c r="M40" s="335"/>
      <c r="N40" s="341"/>
      <c r="O40" s="346" t="str">
        <f>IF(N40&lt;=0,"",IF(N40&lt;=2,"Muy Baja",IF(N40&lt;=24,"Baja",IF(N40&lt;=500,"Media",IF(N40&lt;=5000,"Alta","Muy Alta")))))</f>
        <v/>
      </c>
      <c r="P40" s="331" t="str">
        <f>IF(O40="","",IF(O40="Muy Baja",0.2,IF(O40="Baja",0.4,IF(O40="Media",0.6,IF(O40="Alta",0.8,IF(O40="Muy Alta",1,))))))</f>
        <v/>
      </c>
      <c r="Q40" s="343"/>
      <c r="R40" s="331">
        <f>IF(NOT(ISERROR(MATCH(Q40,'Tabla Impacto'!$B$222:$B$224,0))),'Tabla Impacto'!$F$224&amp;"Por favor no seleccionar los criterios de impacto(Afectación Económica o presupuestal y Pérdida Reputacional)",Q40)</f>
        <v>0</v>
      </c>
      <c r="S40" s="346" t="str">
        <f>IF(OR(R40='Tabla Impacto'!$C$12,R40='Tabla Impacto'!$D$12),"Leve",IF(OR(R40='Tabla Impacto'!$C$13,R40='Tabla Impacto'!$D$13),"Menor",IF(OR(R40='Tabla Impacto'!$C$14,R40='Tabla Impacto'!$D$14),"Moderado",IF(OR(R40='Tabla Impacto'!$C$15,R40='Tabla Impacto'!$D$15),"Mayor",IF(OR(R40='Tabla Impacto'!$C$16,R40='Tabla Impacto'!$D$16),"Catastrófico","")))))</f>
        <v/>
      </c>
      <c r="T40" s="331" t="str">
        <f>IF(S40="","",IF(S40="Leve",0.2,IF(S40="Menor",0.4,IF(S40="Moderado",0.6,IF(S40="Mayor",0.8,IF(S40="Catastrófico",1,))))))</f>
        <v/>
      </c>
      <c r="U40" s="327" t="str">
        <f>IF(OR(AND(O40="Muy Baja",S40="Leve"),AND(O40="Muy Baja",S40="Menor"),AND(O40="Baja",S40="Leve")),"Bajo",IF(OR(AND(O40="Muy baja",S40="Moderado"),AND(O40="Baja",S40="Menor"),AND(O40="Baja",S40="Moderado"),AND(O40="Media",S40="Leve"),AND(O40="Media",S40="Menor"),AND(O40="Media",S40="Moderado"),AND(O40="Alta",S40="Leve"),AND(O40="Alta",S40="Menor")),"Moderado",IF(OR(AND(O40="Muy Baja",S40="Mayor"),AND(O40="Baja",S40="Mayor"),AND(O40="Media",S40="Mayor"),AND(O40="Alta",S40="Moderado"),AND(O40="Alta",S40="Mayor"),AND(O40="Muy Alta",S40="Leve"),AND(O40="Muy Alta",S40="Menor"),AND(O40="Muy Alta",S40="Moderado"),AND(O40="Muy Alta",S40="Mayor")),"Alto",IF(OR(AND(O40="Muy Baja",S40="Catastrófico"),AND(O40="Baja",S40="Catastrófico"),AND(O40="Media",S40="Catastrófico"),AND(O40="Alta",S40="Catastrófico"),AND(O40="Muy Alta",S40="Catastrófico")),"Extremo",""))))</f>
        <v/>
      </c>
      <c r="V40" s="214">
        <v>1</v>
      </c>
      <c r="W40" s="187"/>
      <c r="X40" s="189" t="str">
        <f>IF(OR(Y40="Preventivo",Y40="Detectivo"),"Probabilidad",IF(Y40="Correctivo","Impacto",""))</f>
        <v/>
      </c>
      <c r="Y40" s="190"/>
      <c r="Z40" s="190"/>
      <c r="AA40" s="191" t="str">
        <f>IF(AND(Y40="Preventivo",Z40="Automático"),"50%",IF(AND(Y40="Preventivo",Z40="Manual"),"40%",IF(AND(Y40="Detectivo",Z40="Automático"),"40%",IF(AND(Y40="Detectivo",Z40="Manual"),"30%",IF(AND(Y40="Correctivo",Z40="Automático"),"35%",IF(AND(Y40="Correctivo",Z40="Manual"),"25%",""))))))</f>
        <v/>
      </c>
      <c r="AB40" s="190"/>
      <c r="AC40" s="190"/>
      <c r="AD40" s="190"/>
      <c r="AE40" s="192" t="str">
        <f>IFERROR(IF(X40="Probabilidad",(P40-(+P40*AA40)),IF(X40="Impacto",P40,"")),"")</f>
        <v/>
      </c>
      <c r="AF40" s="193" t="str">
        <f>IFERROR(IF(AE40="","",IF(AE40&lt;=0.2,"Muy Baja",IF(AE40&lt;=0.4,"Baja",IF(AE40&lt;=0.6,"Media",IF(AE40&lt;=0.8,"Alta","Muy Alta"))))),"")</f>
        <v/>
      </c>
      <c r="AG40" s="191" t="str">
        <f>+AE40</f>
        <v/>
      </c>
      <c r="AH40" s="193" t="str">
        <f>IFERROR(IF(AI40="","",IF(AI40&lt;=0.2,"Leve",IF(AI40&lt;=0.4,"Menor",IF(AI40&lt;=0.6,"Moderado",IF(AI40&lt;=0.8,"Mayor","Catastrófico"))))),"")</f>
        <v/>
      </c>
      <c r="AI40" s="191" t="str">
        <f t="shared" ref="AI40" si="42">IFERROR(IF(X40="Impacto",(T40-(+T40*AA40)),IF(X40="Probabilidad",T40,"")),"")</f>
        <v/>
      </c>
      <c r="AJ40" s="194" t="str">
        <f>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95"/>
      <c r="AL40" s="186"/>
      <c r="AM40" s="196"/>
      <c r="AN40" s="196"/>
      <c r="AO40" s="197"/>
      <c r="AP40" s="341"/>
      <c r="AQ40" s="341"/>
      <c r="AR40" s="341"/>
    </row>
    <row r="41" spans="1:44" x14ac:dyDescent="0.2">
      <c r="A41" s="352"/>
      <c r="B41" s="353"/>
      <c r="C41" s="353"/>
      <c r="D41" s="353"/>
      <c r="E41" s="353"/>
      <c r="F41" s="353"/>
      <c r="G41" s="336"/>
      <c r="H41" s="336"/>
      <c r="I41" s="336"/>
      <c r="J41" s="336"/>
      <c r="K41" s="336"/>
      <c r="L41" s="336"/>
      <c r="M41" s="336"/>
      <c r="N41" s="341"/>
      <c r="O41" s="346"/>
      <c r="P41" s="331"/>
      <c r="Q41" s="343"/>
      <c r="R41" s="331">
        <f>IF(NOT(ISERROR(MATCH(Q41,_xlfn.ANCHORARRAY(E52),0))),P54&amp;"Por favor no seleccionar los criterios de impacto",Q41)</f>
        <v>0</v>
      </c>
      <c r="S41" s="346"/>
      <c r="T41" s="331"/>
      <c r="U41" s="327"/>
      <c r="V41" s="214">
        <v>2</v>
      </c>
      <c r="W41" s="187"/>
      <c r="X41" s="189" t="str">
        <f>IF(OR(Y41="Preventivo",Y41="Detectivo"),"Probabilidad",IF(Y41="Correctivo","Impacto",""))</f>
        <v/>
      </c>
      <c r="Y41" s="190"/>
      <c r="Z41" s="190"/>
      <c r="AA41" s="191" t="str">
        <f t="shared" ref="AA41:AA45" si="43">IF(AND(Y41="Preventivo",Z41="Automático"),"50%",IF(AND(Y41="Preventivo",Z41="Manual"),"40%",IF(AND(Y41="Detectivo",Z41="Automático"),"40%",IF(AND(Y41="Detectivo",Z41="Manual"),"30%",IF(AND(Y41="Correctivo",Z41="Automático"),"35%",IF(AND(Y41="Correctivo",Z41="Manual"),"25%",""))))))</f>
        <v/>
      </c>
      <c r="AB41" s="190"/>
      <c r="AC41" s="190"/>
      <c r="AD41" s="190"/>
      <c r="AE41" s="192" t="str">
        <f>IFERROR(IF(AND(X40="Probabilidad",X41="Probabilidad"),(AG40-(+AG40*AA41)),IF(X41="Probabilidad",(P40-(+P40*AA41)),IF(X41="Impacto",AG40,""))),"")</f>
        <v/>
      </c>
      <c r="AF41" s="193" t="str">
        <f t="shared" si="5"/>
        <v/>
      </c>
      <c r="AG41" s="191" t="str">
        <f t="shared" ref="AG41:AG45" si="44">+AE41</f>
        <v/>
      </c>
      <c r="AH41" s="193" t="str">
        <f t="shared" si="7"/>
        <v/>
      </c>
      <c r="AI41" s="191" t="str">
        <f t="shared" ref="AI41" si="45">IFERROR(IF(AND(X40="Impacto",X41="Impacto"),(AI40-(+AI40*AA41)),IF(X41="Impacto",($T$13-(+$T$13*AA41)),IF(X41="Probabilidad",AI40,""))),"")</f>
        <v/>
      </c>
      <c r="AJ41" s="194" t="str">
        <f t="shared" ref="AJ41:AJ42" si="46">IFERROR(IF(OR(AND(AF41="Muy Baja",AH41="Leve"),AND(AF41="Muy Baja",AH41="Menor"),AND(AF41="Baja",AH41="Leve")),"Bajo",IF(OR(AND(AF41="Muy baja",AH41="Moderado"),AND(AF41="Baja",AH41="Menor"),AND(AF41="Baja",AH41="Moderado"),AND(AF41="Media",AH41="Leve"),AND(AF41="Media",AH41="Menor"),AND(AF41="Media",AH41="Moderado"),AND(AF41="Alta",AH41="Leve"),AND(AF41="Alta",AH41="Menor")),"Moderado",IF(OR(AND(AF41="Muy Baja",AH41="Mayor"),AND(AF41="Baja",AH41="Mayor"),AND(AF41="Media",AH41="Mayor"),AND(AF41="Alta",AH41="Moderado"),AND(AF41="Alta",AH41="Mayor"),AND(AF41="Muy Alta",AH41="Leve"),AND(AF41="Muy Alta",AH41="Menor"),AND(AF41="Muy Alta",AH41="Moderado"),AND(AF41="Muy Alta",AH41="Mayor")),"Alto",IF(OR(AND(AF41="Muy Baja",AH41="Catastrófico"),AND(AF41="Baja",AH41="Catastrófico"),AND(AF41="Media",AH41="Catastrófico"),AND(AF41="Alta",AH41="Catastrófico"),AND(AF41="Muy Alta",AH41="Catastrófico")),"Extremo","")))),"")</f>
        <v/>
      </c>
      <c r="AK41" s="195"/>
      <c r="AL41" s="186"/>
      <c r="AM41" s="196"/>
      <c r="AN41" s="196"/>
      <c r="AO41" s="197"/>
      <c r="AP41" s="341"/>
      <c r="AQ41" s="341"/>
      <c r="AR41" s="341"/>
    </row>
    <row r="42" spans="1:44" x14ac:dyDescent="0.2">
      <c r="A42" s="352"/>
      <c r="B42" s="353"/>
      <c r="C42" s="353"/>
      <c r="D42" s="353"/>
      <c r="E42" s="353"/>
      <c r="F42" s="353"/>
      <c r="G42" s="336"/>
      <c r="H42" s="336"/>
      <c r="I42" s="336"/>
      <c r="J42" s="336"/>
      <c r="K42" s="336"/>
      <c r="L42" s="336"/>
      <c r="M42" s="336"/>
      <c r="N42" s="341"/>
      <c r="O42" s="346"/>
      <c r="P42" s="331"/>
      <c r="Q42" s="343"/>
      <c r="R42" s="331">
        <f>IF(NOT(ISERROR(MATCH(Q42,_xlfn.ANCHORARRAY(E53),0))),P55&amp;"Por favor no seleccionar los criterios de impacto",Q42)</f>
        <v>0</v>
      </c>
      <c r="S42" s="346"/>
      <c r="T42" s="331"/>
      <c r="U42" s="327"/>
      <c r="V42" s="214">
        <v>3</v>
      </c>
      <c r="W42" s="188"/>
      <c r="X42" s="189" t="str">
        <f>IF(OR(Y42="Preventivo",Y42="Detectivo"),"Probabilidad",IF(Y42="Correctivo","Impacto",""))</f>
        <v/>
      </c>
      <c r="Y42" s="190"/>
      <c r="Z42" s="190"/>
      <c r="AA42" s="191" t="str">
        <f t="shared" si="43"/>
        <v/>
      </c>
      <c r="AB42" s="190"/>
      <c r="AC42" s="190"/>
      <c r="AD42" s="190"/>
      <c r="AE42" s="192" t="str">
        <f>IFERROR(IF(AND(X41="Probabilidad",X42="Probabilidad"),(AG41-(+AG41*AA42)),IF(AND(X41="Impacto",X42="Probabilidad"),(AG40-(+AG40*AA42)),IF(X42="Impacto",AG41,""))),"")</f>
        <v/>
      </c>
      <c r="AF42" s="193" t="str">
        <f t="shared" si="5"/>
        <v/>
      </c>
      <c r="AG42" s="191" t="str">
        <f t="shared" si="44"/>
        <v/>
      </c>
      <c r="AH42" s="193" t="str">
        <f t="shared" si="7"/>
        <v/>
      </c>
      <c r="AI42" s="191" t="str">
        <f t="shared" ref="AI42" si="47">IFERROR(IF(AND(X41="Impacto",X42="Impacto"),(AI41-(+AI41*AA42)),IF(AND(X41="Probabilidad",X42="Impacto"),(AI40-(+AI40*AA42)),IF(X42="Probabilidad",AI41,""))),"")</f>
        <v/>
      </c>
      <c r="AJ42" s="194" t="str">
        <f t="shared" si="46"/>
        <v/>
      </c>
      <c r="AK42" s="195"/>
      <c r="AL42" s="186"/>
      <c r="AM42" s="196"/>
      <c r="AN42" s="196"/>
      <c r="AO42" s="197"/>
      <c r="AP42" s="341"/>
      <c r="AQ42" s="341"/>
      <c r="AR42" s="341"/>
    </row>
    <row r="43" spans="1:44" x14ac:dyDescent="0.2">
      <c r="A43" s="352"/>
      <c r="B43" s="353"/>
      <c r="C43" s="353"/>
      <c r="D43" s="353"/>
      <c r="E43" s="353"/>
      <c r="F43" s="353"/>
      <c r="G43" s="336"/>
      <c r="H43" s="336"/>
      <c r="I43" s="336"/>
      <c r="J43" s="336"/>
      <c r="K43" s="336"/>
      <c r="L43" s="336"/>
      <c r="M43" s="336"/>
      <c r="N43" s="341"/>
      <c r="O43" s="346"/>
      <c r="P43" s="331"/>
      <c r="Q43" s="343"/>
      <c r="R43" s="331">
        <f>IF(NOT(ISERROR(MATCH(Q43,_xlfn.ANCHORARRAY(E54),0))),P56&amp;"Por favor no seleccionar los criterios de impacto",Q43)</f>
        <v>0</v>
      </c>
      <c r="S43" s="346"/>
      <c r="T43" s="331"/>
      <c r="U43" s="327"/>
      <c r="V43" s="214">
        <v>4</v>
      </c>
      <c r="W43" s="187"/>
      <c r="X43" s="189" t="str">
        <f t="shared" ref="X43:X45" si="48">IF(OR(Y43="Preventivo",Y43="Detectivo"),"Probabilidad",IF(Y43="Correctivo","Impacto",""))</f>
        <v/>
      </c>
      <c r="Y43" s="190"/>
      <c r="Z43" s="190"/>
      <c r="AA43" s="191" t="str">
        <f t="shared" si="43"/>
        <v/>
      </c>
      <c r="AB43" s="190"/>
      <c r="AC43" s="190"/>
      <c r="AD43" s="190"/>
      <c r="AE43" s="192" t="str">
        <f t="shared" ref="AE43:AE45" si="49">IFERROR(IF(AND(X42="Probabilidad",X43="Probabilidad"),(AG42-(+AG42*AA43)),IF(AND(X42="Impacto",X43="Probabilidad"),(AG41-(+AG41*AA43)),IF(X43="Impacto",AG42,""))),"")</f>
        <v/>
      </c>
      <c r="AF43" s="193" t="str">
        <f t="shared" si="5"/>
        <v/>
      </c>
      <c r="AG43" s="191" t="str">
        <f t="shared" si="44"/>
        <v/>
      </c>
      <c r="AH43" s="193" t="str">
        <f t="shared" si="7"/>
        <v/>
      </c>
      <c r="AI43" s="191" t="str">
        <f t="shared" si="13"/>
        <v/>
      </c>
      <c r="AJ43" s="194" t="str">
        <f>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95"/>
      <c r="AL43" s="186"/>
      <c r="AM43" s="196"/>
      <c r="AN43" s="196"/>
      <c r="AO43" s="197"/>
      <c r="AP43" s="341"/>
      <c r="AQ43" s="341"/>
      <c r="AR43" s="341"/>
    </row>
    <row r="44" spans="1:44" x14ac:dyDescent="0.2">
      <c r="A44" s="352"/>
      <c r="B44" s="353"/>
      <c r="C44" s="353"/>
      <c r="D44" s="353"/>
      <c r="E44" s="353"/>
      <c r="F44" s="353"/>
      <c r="G44" s="336"/>
      <c r="H44" s="336"/>
      <c r="I44" s="336"/>
      <c r="J44" s="336"/>
      <c r="K44" s="336"/>
      <c r="L44" s="336"/>
      <c r="M44" s="336"/>
      <c r="N44" s="341"/>
      <c r="O44" s="346"/>
      <c r="P44" s="331"/>
      <c r="Q44" s="343"/>
      <c r="R44" s="331">
        <f>IF(NOT(ISERROR(MATCH(Q44,_xlfn.ANCHORARRAY(E55),0))),P57&amp;"Por favor no seleccionar los criterios de impacto",Q44)</f>
        <v>0</v>
      </c>
      <c r="S44" s="346"/>
      <c r="T44" s="331"/>
      <c r="U44" s="327"/>
      <c r="V44" s="214">
        <v>5</v>
      </c>
      <c r="W44" s="187"/>
      <c r="X44" s="189" t="str">
        <f t="shared" si="48"/>
        <v/>
      </c>
      <c r="Y44" s="190"/>
      <c r="Z44" s="190"/>
      <c r="AA44" s="191" t="str">
        <f t="shared" si="43"/>
        <v/>
      </c>
      <c r="AB44" s="190"/>
      <c r="AC44" s="190"/>
      <c r="AD44" s="190"/>
      <c r="AE44" s="192" t="str">
        <f t="shared" si="49"/>
        <v/>
      </c>
      <c r="AF44" s="193" t="str">
        <f t="shared" si="5"/>
        <v/>
      </c>
      <c r="AG44" s="191" t="str">
        <f t="shared" si="44"/>
        <v/>
      </c>
      <c r="AH44" s="193" t="str">
        <f t="shared" si="7"/>
        <v/>
      </c>
      <c r="AI44" s="191" t="str">
        <f t="shared" si="13"/>
        <v/>
      </c>
      <c r="AJ44" s="194" t="str">
        <f t="shared" ref="AJ44:AJ45" si="50">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95"/>
      <c r="AL44" s="186"/>
      <c r="AM44" s="196"/>
      <c r="AN44" s="196"/>
      <c r="AO44" s="197"/>
      <c r="AP44" s="341"/>
      <c r="AQ44" s="341"/>
      <c r="AR44" s="341"/>
    </row>
    <row r="45" spans="1:44" x14ac:dyDescent="0.2">
      <c r="A45" s="352"/>
      <c r="B45" s="353"/>
      <c r="C45" s="353"/>
      <c r="D45" s="353"/>
      <c r="E45" s="353"/>
      <c r="F45" s="353"/>
      <c r="G45" s="337"/>
      <c r="H45" s="337"/>
      <c r="I45" s="337"/>
      <c r="J45" s="337"/>
      <c r="K45" s="337"/>
      <c r="L45" s="337"/>
      <c r="M45" s="337"/>
      <c r="N45" s="341"/>
      <c r="O45" s="346"/>
      <c r="P45" s="331"/>
      <c r="Q45" s="343"/>
      <c r="R45" s="331">
        <f>IF(NOT(ISERROR(MATCH(Q45,_xlfn.ANCHORARRAY(E56),0))),Q58&amp;"Por favor no seleccionar los criterios de impacto",Q45)</f>
        <v>0</v>
      </c>
      <c r="S45" s="346"/>
      <c r="T45" s="331"/>
      <c r="U45" s="327"/>
      <c r="V45" s="214">
        <v>6</v>
      </c>
      <c r="W45" s="187"/>
      <c r="X45" s="189" t="str">
        <f t="shared" si="48"/>
        <v/>
      </c>
      <c r="Y45" s="190"/>
      <c r="Z45" s="190"/>
      <c r="AA45" s="191" t="str">
        <f t="shared" si="43"/>
        <v/>
      </c>
      <c r="AB45" s="190"/>
      <c r="AC45" s="190"/>
      <c r="AD45" s="190"/>
      <c r="AE45" s="192" t="str">
        <f t="shared" si="49"/>
        <v/>
      </c>
      <c r="AF45" s="193" t="str">
        <f t="shared" si="5"/>
        <v/>
      </c>
      <c r="AG45" s="191" t="str">
        <f t="shared" si="44"/>
        <v/>
      </c>
      <c r="AH45" s="193" t="str">
        <f t="shared" si="7"/>
        <v/>
      </c>
      <c r="AI45" s="191" t="str">
        <f t="shared" si="13"/>
        <v/>
      </c>
      <c r="AJ45" s="194" t="str">
        <f t="shared" si="50"/>
        <v/>
      </c>
      <c r="AK45" s="195"/>
      <c r="AL45" s="186"/>
      <c r="AM45" s="196"/>
      <c r="AN45" s="196"/>
      <c r="AO45" s="197"/>
      <c r="AP45" s="341"/>
      <c r="AQ45" s="341"/>
      <c r="AR45" s="341"/>
    </row>
    <row r="46" spans="1:44" x14ac:dyDescent="0.2">
      <c r="A46" s="352">
        <v>9</v>
      </c>
      <c r="B46" s="353"/>
      <c r="C46" s="353"/>
      <c r="D46" s="353"/>
      <c r="E46" s="353"/>
      <c r="F46" s="353"/>
      <c r="G46" s="335"/>
      <c r="H46" s="335"/>
      <c r="I46" s="221"/>
      <c r="J46" s="221"/>
      <c r="K46" s="221"/>
      <c r="L46" s="335"/>
      <c r="M46" s="335"/>
      <c r="N46" s="341"/>
      <c r="O46" s="346" t="str">
        <f>IF(N46&lt;=0,"",IF(N46&lt;=2,"Muy Baja",IF(N46&lt;=24,"Baja",IF(N46&lt;=500,"Media",IF(N46&lt;=5000,"Alta","Muy Alta")))))</f>
        <v/>
      </c>
      <c r="P46" s="331" t="str">
        <f>IF(O46="","",IF(O46="Muy Baja",0.2,IF(O46="Baja",0.4,IF(O46="Media",0.6,IF(O46="Alta",0.8,IF(O46="Muy Alta",1,))))))</f>
        <v/>
      </c>
      <c r="Q46" s="343"/>
      <c r="R46" s="331">
        <f>IF(NOT(ISERROR(MATCH(Q46,'Tabla Impacto'!$B$222:$B$224,0))),'Tabla Impacto'!$F$224&amp;"Por favor no seleccionar los criterios de impacto(Afectación Económica o presupuestal y Pérdida Reputacional)",Q46)</f>
        <v>0</v>
      </c>
      <c r="S46" s="346" t="str">
        <f>IF(OR(R46='Tabla Impacto'!$C$12,R46='Tabla Impacto'!$D$12),"Leve",IF(OR(R46='Tabla Impacto'!$C$13,R46='Tabla Impacto'!$D$13),"Menor",IF(OR(R46='Tabla Impacto'!$C$14,R46='Tabla Impacto'!$D$14),"Moderado",IF(OR(R46='Tabla Impacto'!$C$15,R46='Tabla Impacto'!$D$15),"Mayor",IF(OR(R46='Tabla Impacto'!$C$16,R46='Tabla Impacto'!$D$16),"Catastrófico","")))))</f>
        <v/>
      </c>
      <c r="T46" s="331" t="str">
        <f>IF(S46="","",IF(S46="Leve",0.2,IF(S46="Menor",0.4,IF(S46="Moderado",0.6,IF(S46="Mayor",0.8,IF(S46="Catastrófico",1,))))))</f>
        <v/>
      </c>
      <c r="U46" s="327" t="str">
        <f>IF(OR(AND(O46="Muy Baja",S46="Leve"),AND(O46="Muy Baja",S46="Menor"),AND(O46="Baja",S46="Leve")),"Bajo",IF(OR(AND(O46="Muy baja",S46="Moderado"),AND(O46="Baja",S46="Menor"),AND(O46="Baja",S46="Moderado"),AND(O46="Media",S46="Leve"),AND(O46="Media",S46="Menor"),AND(O46="Media",S46="Moderado"),AND(O46="Alta",S46="Leve"),AND(O46="Alta",S46="Menor")),"Moderado",IF(OR(AND(O46="Muy Baja",S46="Mayor"),AND(O46="Baja",S46="Mayor"),AND(O46="Media",S46="Mayor"),AND(O46="Alta",S46="Moderado"),AND(O46="Alta",S46="Mayor"),AND(O46="Muy Alta",S46="Leve"),AND(O46="Muy Alta",S46="Menor"),AND(O46="Muy Alta",S46="Moderado"),AND(O46="Muy Alta",S46="Mayor")),"Alto",IF(OR(AND(O46="Muy Baja",S46="Catastrófico"),AND(O46="Baja",S46="Catastrófico"),AND(O46="Media",S46="Catastrófico"),AND(O46="Alta",S46="Catastrófico"),AND(O46="Muy Alta",S46="Catastrófico")),"Extremo",""))))</f>
        <v/>
      </c>
      <c r="V46" s="214">
        <v>1</v>
      </c>
      <c r="W46" s="187"/>
      <c r="X46" s="189" t="str">
        <f>IF(OR(Y46="Preventivo",Y46="Detectivo"),"Probabilidad",IF(Y46="Correctivo","Impacto",""))</f>
        <v/>
      </c>
      <c r="Y46" s="190"/>
      <c r="Z46" s="190"/>
      <c r="AA46" s="191" t="str">
        <f>IF(AND(Y46="Preventivo",Z46="Automático"),"50%",IF(AND(Y46="Preventivo",Z46="Manual"),"40%",IF(AND(Y46="Detectivo",Z46="Automático"),"40%",IF(AND(Y46="Detectivo",Z46="Manual"),"30%",IF(AND(Y46="Correctivo",Z46="Automático"),"35%",IF(AND(Y46="Correctivo",Z46="Manual"),"25%",""))))))</f>
        <v/>
      </c>
      <c r="AB46" s="190"/>
      <c r="AC46" s="190"/>
      <c r="AD46" s="190"/>
      <c r="AE46" s="192" t="str">
        <f>IFERROR(IF(X46="Probabilidad",(P46-(+P46*AA46)),IF(X46="Impacto",P46,"")),"")</f>
        <v/>
      </c>
      <c r="AF46" s="193" t="str">
        <f>IFERROR(IF(AE46="","",IF(AE46&lt;=0.2,"Muy Baja",IF(AE46&lt;=0.4,"Baja",IF(AE46&lt;=0.6,"Media",IF(AE46&lt;=0.8,"Alta","Muy Alta"))))),"")</f>
        <v/>
      </c>
      <c r="AG46" s="191" t="str">
        <f>+AE46</f>
        <v/>
      </c>
      <c r="AH46" s="193" t="str">
        <f>IFERROR(IF(AI46="","",IF(AI46&lt;=0.2,"Leve",IF(AI46&lt;=0.4,"Menor",IF(AI46&lt;=0.6,"Moderado",IF(AI46&lt;=0.8,"Mayor","Catastrófico"))))),"")</f>
        <v/>
      </c>
      <c r="AI46" s="191" t="str">
        <f t="shared" ref="AI46" si="51">IFERROR(IF(X46="Impacto",(T46-(+T46*AA46)),IF(X46="Probabilidad",T46,"")),"")</f>
        <v/>
      </c>
      <c r="AJ46" s="194" t="str">
        <f>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95"/>
      <c r="AL46" s="186"/>
      <c r="AM46" s="196"/>
      <c r="AN46" s="196"/>
      <c r="AO46" s="197"/>
      <c r="AP46" s="341"/>
      <c r="AQ46" s="341"/>
      <c r="AR46" s="341"/>
    </row>
    <row r="47" spans="1:44" x14ac:dyDescent="0.2">
      <c r="A47" s="352"/>
      <c r="B47" s="353"/>
      <c r="C47" s="353"/>
      <c r="D47" s="353"/>
      <c r="E47" s="353"/>
      <c r="F47" s="353"/>
      <c r="G47" s="336"/>
      <c r="H47" s="336"/>
      <c r="I47" s="222"/>
      <c r="J47" s="222"/>
      <c r="K47" s="222"/>
      <c r="L47" s="336"/>
      <c r="M47" s="336"/>
      <c r="N47" s="341"/>
      <c r="O47" s="346"/>
      <c r="P47" s="331"/>
      <c r="Q47" s="343"/>
      <c r="R47" s="331">
        <f>IF(NOT(ISERROR(MATCH(Q47,_xlfn.ANCHORARRAY(F58),0))),Q60&amp;"Por favor no seleccionar los criterios de impacto",Q47)</f>
        <v>0</v>
      </c>
      <c r="S47" s="346"/>
      <c r="T47" s="331"/>
      <c r="U47" s="327"/>
      <c r="V47" s="214">
        <v>2</v>
      </c>
      <c r="W47" s="187"/>
      <c r="X47" s="189" t="str">
        <f>IF(OR(Y47="Preventivo",Y47="Detectivo"),"Probabilidad",IF(Y47="Correctivo","Impacto",""))</f>
        <v/>
      </c>
      <c r="Y47" s="190"/>
      <c r="Z47" s="190"/>
      <c r="AA47" s="191" t="str">
        <f t="shared" ref="AA47:AA51" si="52">IF(AND(Y47="Preventivo",Z47="Automático"),"50%",IF(AND(Y47="Preventivo",Z47="Manual"),"40%",IF(AND(Y47="Detectivo",Z47="Automático"),"40%",IF(AND(Y47="Detectivo",Z47="Manual"),"30%",IF(AND(Y47="Correctivo",Z47="Automático"),"35%",IF(AND(Y47="Correctivo",Z47="Manual"),"25%",""))))))</f>
        <v/>
      </c>
      <c r="AB47" s="190"/>
      <c r="AC47" s="190"/>
      <c r="AD47" s="190"/>
      <c r="AE47" s="192" t="str">
        <f>IFERROR(IF(AND(X46="Probabilidad",X47="Probabilidad"),(AG46-(+AG46*AA47)),IF(X47="Probabilidad",(P46-(+P46*AA47)),IF(X47="Impacto",AG46,""))),"")</f>
        <v/>
      </c>
      <c r="AF47" s="193" t="str">
        <f t="shared" si="5"/>
        <v/>
      </c>
      <c r="AG47" s="191" t="str">
        <f t="shared" ref="AG47:AG51" si="53">+AE47</f>
        <v/>
      </c>
      <c r="AH47" s="193" t="str">
        <f t="shared" si="7"/>
        <v/>
      </c>
      <c r="AI47" s="191" t="str">
        <f t="shared" ref="AI47" si="54">IFERROR(IF(AND(X46="Impacto",X47="Impacto"),(AI46-(+AI46*AA47)),IF(X47="Impacto",($T$13-(+$T$13*AA47)),IF(X47="Probabilidad",AI46,""))),"")</f>
        <v/>
      </c>
      <c r="AJ47" s="194" t="str">
        <f t="shared" ref="AJ47:AJ48" si="55">IFERROR(IF(OR(AND(AF47="Muy Baja",AH47="Leve"),AND(AF47="Muy Baja",AH47="Menor"),AND(AF47="Baja",AH47="Leve")),"Bajo",IF(OR(AND(AF47="Muy baja",AH47="Moderado"),AND(AF47="Baja",AH47="Menor"),AND(AF47="Baja",AH47="Moderado"),AND(AF47="Media",AH47="Leve"),AND(AF47="Media",AH47="Menor"),AND(AF47="Media",AH47="Moderado"),AND(AF47="Alta",AH47="Leve"),AND(AF47="Alta",AH47="Menor")),"Moderado",IF(OR(AND(AF47="Muy Baja",AH47="Mayor"),AND(AF47="Baja",AH47="Mayor"),AND(AF47="Media",AH47="Mayor"),AND(AF47="Alta",AH47="Moderado"),AND(AF47="Alta",AH47="Mayor"),AND(AF47="Muy Alta",AH47="Leve"),AND(AF47="Muy Alta",AH47="Menor"),AND(AF47="Muy Alta",AH47="Moderado"),AND(AF47="Muy Alta",AH47="Mayor")),"Alto",IF(OR(AND(AF47="Muy Baja",AH47="Catastrófico"),AND(AF47="Baja",AH47="Catastrófico"),AND(AF47="Media",AH47="Catastrófico"),AND(AF47="Alta",AH47="Catastrófico"),AND(AF47="Muy Alta",AH47="Catastrófico")),"Extremo","")))),"")</f>
        <v/>
      </c>
      <c r="AK47" s="195"/>
      <c r="AL47" s="186"/>
      <c r="AM47" s="196"/>
      <c r="AN47" s="196"/>
      <c r="AO47" s="197"/>
      <c r="AP47" s="341"/>
      <c r="AQ47" s="341"/>
      <c r="AR47" s="341"/>
    </row>
    <row r="48" spans="1:44" x14ac:dyDescent="0.2">
      <c r="A48" s="352"/>
      <c r="B48" s="353"/>
      <c r="C48" s="353"/>
      <c r="D48" s="353"/>
      <c r="E48" s="353"/>
      <c r="F48" s="353"/>
      <c r="G48" s="336"/>
      <c r="H48" s="336"/>
      <c r="I48" s="222"/>
      <c r="J48" s="222"/>
      <c r="K48" s="222"/>
      <c r="L48" s="336"/>
      <c r="M48" s="336"/>
      <c r="N48" s="341"/>
      <c r="O48" s="346"/>
      <c r="P48" s="331"/>
      <c r="Q48" s="343"/>
      <c r="R48" s="331">
        <f>IF(NOT(ISERROR(MATCH(Q48,_xlfn.ANCHORARRAY(F59),0))),Q61&amp;"Por favor no seleccionar los criterios de impacto",Q48)</f>
        <v>0</v>
      </c>
      <c r="S48" s="346"/>
      <c r="T48" s="331"/>
      <c r="U48" s="327"/>
      <c r="V48" s="214">
        <v>3</v>
      </c>
      <c r="W48" s="187"/>
      <c r="X48" s="189" t="str">
        <f>IF(OR(Y48="Preventivo",Y48="Detectivo"),"Probabilidad",IF(Y48="Correctivo","Impacto",""))</f>
        <v/>
      </c>
      <c r="Y48" s="190"/>
      <c r="Z48" s="190"/>
      <c r="AA48" s="191" t="str">
        <f t="shared" si="52"/>
        <v/>
      </c>
      <c r="AB48" s="190"/>
      <c r="AC48" s="190"/>
      <c r="AD48" s="190"/>
      <c r="AE48" s="192" t="str">
        <f>IFERROR(IF(AND(X47="Probabilidad",X48="Probabilidad"),(AG47-(+AG47*AA48)),IF(AND(X47="Impacto",X48="Probabilidad"),(AG46-(+AG46*AA48)),IF(X48="Impacto",AG47,""))),"")</f>
        <v/>
      </c>
      <c r="AF48" s="193" t="str">
        <f t="shared" si="5"/>
        <v/>
      </c>
      <c r="AG48" s="191" t="str">
        <f t="shared" si="53"/>
        <v/>
      </c>
      <c r="AH48" s="193" t="str">
        <f t="shared" si="7"/>
        <v/>
      </c>
      <c r="AI48" s="191" t="str">
        <f t="shared" ref="AI48" si="56">IFERROR(IF(AND(X47="Impacto",X48="Impacto"),(AI47-(+AI47*AA48)),IF(AND(X47="Probabilidad",X48="Impacto"),(AI46-(+AI46*AA48)),IF(X48="Probabilidad",AI47,""))),"")</f>
        <v/>
      </c>
      <c r="AJ48" s="194" t="str">
        <f t="shared" si="55"/>
        <v/>
      </c>
      <c r="AK48" s="195"/>
      <c r="AL48" s="186"/>
      <c r="AM48" s="196"/>
      <c r="AN48" s="196"/>
      <c r="AO48" s="197"/>
      <c r="AP48" s="341"/>
      <c r="AQ48" s="341"/>
      <c r="AR48" s="341"/>
    </row>
    <row r="49" spans="1:44" x14ac:dyDescent="0.2">
      <c r="A49" s="352"/>
      <c r="B49" s="353"/>
      <c r="C49" s="353"/>
      <c r="D49" s="353"/>
      <c r="E49" s="353"/>
      <c r="F49" s="353"/>
      <c r="G49" s="336"/>
      <c r="H49" s="336"/>
      <c r="I49" s="222"/>
      <c r="J49" s="222"/>
      <c r="K49" s="222"/>
      <c r="L49" s="336"/>
      <c r="M49" s="336"/>
      <c r="N49" s="341"/>
      <c r="O49" s="346"/>
      <c r="P49" s="331"/>
      <c r="Q49" s="343"/>
      <c r="R49" s="331">
        <f>IF(NOT(ISERROR(MATCH(Q49,_xlfn.ANCHORARRAY(F60),0))),Q62&amp;"Por favor no seleccionar los criterios de impacto",Q49)</f>
        <v>0</v>
      </c>
      <c r="S49" s="346"/>
      <c r="T49" s="331"/>
      <c r="U49" s="327"/>
      <c r="V49" s="214">
        <v>4</v>
      </c>
      <c r="W49" s="187"/>
      <c r="X49" s="189" t="str">
        <f t="shared" ref="X49:X51" si="57">IF(OR(Y49="Preventivo",Y49="Detectivo"),"Probabilidad",IF(Y49="Correctivo","Impacto",""))</f>
        <v/>
      </c>
      <c r="Y49" s="190"/>
      <c r="Z49" s="190"/>
      <c r="AA49" s="191" t="str">
        <f t="shared" si="52"/>
        <v/>
      </c>
      <c r="AB49" s="190"/>
      <c r="AC49" s="190"/>
      <c r="AD49" s="190"/>
      <c r="AE49" s="192" t="str">
        <f t="shared" ref="AE49:AE51" si="58">IFERROR(IF(AND(X48="Probabilidad",X49="Probabilidad"),(AG48-(+AG48*AA49)),IF(AND(X48="Impacto",X49="Probabilidad"),(AG47-(+AG47*AA49)),IF(X49="Impacto",AG48,""))),"")</f>
        <v/>
      </c>
      <c r="AF49" s="193" t="str">
        <f t="shared" si="5"/>
        <v/>
      </c>
      <c r="AG49" s="191" t="str">
        <f t="shared" si="53"/>
        <v/>
      </c>
      <c r="AH49" s="193" t="str">
        <f t="shared" si="7"/>
        <v/>
      </c>
      <c r="AI49" s="191" t="str">
        <f t="shared" si="13"/>
        <v/>
      </c>
      <c r="AJ49" s="194" t="str">
        <f>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95"/>
      <c r="AL49" s="186"/>
      <c r="AM49" s="196"/>
      <c r="AN49" s="196"/>
      <c r="AO49" s="197"/>
      <c r="AP49" s="341"/>
      <c r="AQ49" s="341"/>
      <c r="AR49" s="341"/>
    </row>
    <row r="50" spans="1:44" x14ac:dyDescent="0.2">
      <c r="A50" s="352"/>
      <c r="B50" s="353"/>
      <c r="C50" s="353"/>
      <c r="D50" s="353"/>
      <c r="E50" s="353"/>
      <c r="F50" s="353"/>
      <c r="G50" s="336"/>
      <c r="H50" s="336"/>
      <c r="I50" s="222"/>
      <c r="J50" s="222"/>
      <c r="K50" s="222"/>
      <c r="L50" s="336"/>
      <c r="M50" s="336"/>
      <c r="N50" s="341"/>
      <c r="O50" s="346"/>
      <c r="P50" s="331"/>
      <c r="Q50" s="343"/>
      <c r="R50" s="331">
        <f>IF(NOT(ISERROR(MATCH(Q50,_xlfn.ANCHORARRAY(F61),0))),Q63&amp;"Por favor no seleccionar los criterios de impacto",Q50)</f>
        <v>0</v>
      </c>
      <c r="S50" s="346"/>
      <c r="T50" s="331"/>
      <c r="U50" s="327"/>
      <c r="V50" s="214">
        <v>5</v>
      </c>
      <c r="W50" s="187"/>
      <c r="X50" s="189" t="str">
        <f t="shared" si="57"/>
        <v/>
      </c>
      <c r="Y50" s="190"/>
      <c r="Z50" s="190"/>
      <c r="AA50" s="191" t="str">
        <f t="shared" si="52"/>
        <v/>
      </c>
      <c r="AB50" s="190"/>
      <c r="AC50" s="190"/>
      <c r="AD50" s="190"/>
      <c r="AE50" s="192" t="str">
        <f t="shared" si="58"/>
        <v/>
      </c>
      <c r="AF50" s="193" t="str">
        <f t="shared" si="5"/>
        <v/>
      </c>
      <c r="AG50" s="191" t="str">
        <f t="shared" si="53"/>
        <v/>
      </c>
      <c r="AH50" s="193" t="str">
        <f t="shared" si="7"/>
        <v/>
      </c>
      <c r="AI50" s="191" t="str">
        <f t="shared" si="13"/>
        <v/>
      </c>
      <c r="AJ50" s="194" t="str">
        <f t="shared" ref="AJ50:AJ51" si="59">IFERROR(IF(OR(AND(AF50="Muy Baja",AH50="Leve"),AND(AF50="Muy Baja",AH50="Menor"),AND(AF50="Baja",AH50="Leve")),"Bajo",IF(OR(AND(AF50="Muy baja",AH50="Moderado"),AND(AF50="Baja",AH50="Menor"),AND(AF50="Baja",AH50="Moderado"),AND(AF50="Media",AH50="Leve"),AND(AF50="Media",AH50="Menor"),AND(AF50="Media",AH50="Moderado"),AND(AF50="Alta",AH50="Leve"),AND(AF50="Alta",AH50="Menor")),"Moderado",IF(OR(AND(AF50="Muy Baja",AH50="Mayor"),AND(AF50="Baja",AH50="Mayor"),AND(AF50="Media",AH50="Mayor"),AND(AF50="Alta",AH50="Moderado"),AND(AF50="Alta",AH50="Mayor"),AND(AF50="Muy Alta",AH50="Leve"),AND(AF50="Muy Alta",AH50="Menor"),AND(AF50="Muy Alta",AH50="Moderado"),AND(AF50="Muy Alta",AH50="Mayor")),"Alto",IF(OR(AND(AF50="Muy Baja",AH50="Catastrófico"),AND(AF50="Baja",AH50="Catastrófico"),AND(AF50="Media",AH50="Catastrófico"),AND(AF50="Alta",AH50="Catastrófico"),AND(AF50="Muy Alta",AH50="Catastrófico")),"Extremo","")))),"")</f>
        <v/>
      </c>
      <c r="AK50" s="195"/>
      <c r="AL50" s="186"/>
      <c r="AM50" s="196"/>
      <c r="AN50" s="196"/>
      <c r="AO50" s="197"/>
      <c r="AP50" s="341"/>
      <c r="AQ50" s="341"/>
      <c r="AR50" s="341"/>
    </row>
    <row r="51" spans="1:44" x14ac:dyDescent="0.2">
      <c r="A51" s="352"/>
      <c r="B51" s="353"/>
      <c r="C51" s="353"/>
      <c r="D51" s="353"/>
      <c r="E51" s="353"/>
      <c r="F51" s="353"/>
      <c r="G51" s="337"/>
      <c r="H51" s="337"/>
      <c r="I51" s="223"/>
      <c r="J51" s="223"/>
      <c r="K51" s="223"/>
      <c r="L51" s="337"/>
      <c r="M51" s="337"/>
      <c r="N51" s="341"/>
      <c r="O51" s="346"/>
      <c r="P51" s="331"/>
      <c r="Q51" s="343"/>
      <c r="R51" s="331">
        <f>IF(NOT(ISERROR(MATCH(Q51,_xlfn.ANCHORARRAY(F62),0))),Q64&amp;"Por favor no seleccionar los criterios de impacto",Q51)</f>
        <v>0</v>
      </c>
      <c r="S51" s="346"/>
      <c r="T51" s="331"/>
      <c r="U51" s="327"/>
      <c r="V51" s="214">
        <v>6</v>
      </c>
      <c r="W51" s="187"/>
      <c r="X51" s="189" t="str">
        <f t="shared" si="57"/>
        <v/>
      </c>
      <c r="Y51" s="190"/>
      <c r="Z51" s="190"/>
      <c r="AA51" s="191" t="str">
        <f t="shared" si="52"/>
        <v/>
      </c>
      <c r="AB51" s="190"/>
      <c r="AC51" s="190"/>
      <c r="AD51" s="190"/>
      <c r="AE51" s="192" t="str">
        <f t="shared" si="58"/>
        <v/>
      </c>
      <c r="AF51" s="193" t="str">
        <f t="shared" si="5"/>
        <v/>
      </c>
      <c r="AG51" s="191" t="str">
        <f t="shared" si="53"/>
        <v/>
      </c>
      <c r="AH51" s="193" t="str">
        <f t="shared" si="7"/>
        <v/>
      </c>
      <c r="AI51" s="191" t="str">
        <f t="shared" si="13"/>
        <v/>
      </c>
      <c r="AJ51" s="194" t="str">
        <f t="shared" si="59"/>
        <v/>
      </c>
      <c r="AK51" s="195"/>
      <c r="AL51" s="186"/>
      <c r="AM51" s="196"/>
      <c r="AN51" s="196"/>
      <c r="AO51" s="197"/>
      <c r="AP51" s="341"/>
      <c r="AQ51" s="341"/>
      <c r="AR51" s="341"/>
    </row>
    <row r="52" spans="1:44" x14ac:dyDescent="0.2">
      <c r="A52" s="352">
        <v>10</v>
      </c>
      <c r="B52" s="353"/>
      <c r="C52" s="353"/>
      <c r="D52" s="353"/>
      <c r="E52" s="353"/>
      <c r="F52" s="353"/>
      <c r="G52" s="335"/>
      <c r="H52" s="335"/>
      <c r="I52" s="221"/>
      <c r="J52" s="221"/>
      <c r="K52" s="221"/>
      <c r="L52" s="335"/>
      <c r="M52" s="335"/>
      <c r="N52" s="341"/>
      <c r="O52" s="346" t="str">
        <f>IF(N52&lt;=0,"",IF(N52&lt;=2,"Muy Baja",IF(N52&lt;=24,"Baja",IF(N52&lt;=500,"Media",IF(N52&lt;=5000,"Alta","Muy Alta")))))</f>
        <v/>
      </c>
      <c r="P52" s="331" t="str">
        <f>IF(O52="","",IF(O52="Muy Baja",0.2,IF(O52="Baja",0.4,IF(O52="Media",0.6,IF(O52="Alta",0.8,IF(O52="Muy Alta",1,))))))</f>
        <v/>
      </c>
      <c r="Q52" s="343"/>
      <c r="R52" s="331">
        <f>IF(NOT(ISERROR(MATCH(Q52,'Tabla Impacto'!$B$222:$B$224,0))),'Tabla Impacto'!$F$224&amp;"Por favor no seleccionar los criterios de impacto(Afectación Económica o presupuestal y Pérdida Reputacional)",Q52)</f>
        <v>0</v>
      </c>
      <c r="S52" s="346" t="str">
        <f>IF(OR(R52='Tabla Impacto'!$C$12,R52='Tabla Impacto'!$D$12),"Leve",IF(OR(R52='Tabla Impacto'!$C$13,R52='Tabla Impacto'!$D$13),"Menor",IF(OR(R52='Tabla Impacto'!$C$14,R52='Tabla Impacto'!$D$14),"Moderado",IF(OR(R52='Tabla Impacto'!$C$15,R52='Tabla Impacto'!$D$15),"Mayor",IF(OR(R52='Tabla Impacto'!$C$16,R52='Tabla Impacto'!$D$16),"Catastrófico","")))))</f>
        <v/>
      </c>
      <c r="T52" s="331" t="str">
        <f>IF(S52="","",IF(S52="Leve",0.2,IF(S52="Menor",0.4,IF(S52="Moderado",0.6,IF(S52="Mayor",0.8,IF(S52="Catastrófico",1,))))))</f>
        <v/>
      </c>
      <c r="U52" s="327" t="str">
        <f>IF(OR(AND(O52="Muy Baja",S52="Leve"),AND(O52="Muy Baja",S52="Menor"),AND(O52="Baja",S52="Leve")),"Bajo",IF(OR(AND(O52="Muy baja",S52="Moderado"),AND(O52="Baja",S52="Menor"),AND(O52="Baja",S52="Moderado"),AND(O52="Media",S52="Leve"),AND(O52="Media",S52="Menor"),AND(O52="Media",S52="Moderado"),AND(O52="Alta",S52="Leve"),AND(O52="Alta",S52="Menor")),"Moderado",IF(OR(AND(O52="Muy Baja",S52="Mayor"),AND(O52="Baja",S52="Mayor"),AND(O52="Media",S52="Mayor"),AND(O52="Alta",S52="Moderado"),AND(O52="Alta",S52="Mayor"),AND(O52="Muy Alta",S52="Leve"),AND(O52="Muy Alta",S52="Menor"),AND(O52="Muy Alta",S52="Moderado"),AND(O52="Muy Alta",S52="Mayor")),"Alto",IF(OR(AND(O52="Muy Baja",S52="Catastrófico"),AND(O52="Baja",S52="Catastrófico"),AND(O52="Media",S52="Catastrófico"),AND(O52="Alta",S52="Catastrófico"),AND(O52="Muy Alta",S52="Catastrófico")),"Extremo",""))))</f>
        <v/>
      </c>
      <c r="V52" s="214">
        <v>1</v>
      </c>
      <c r="W52" s="187"/>
      <c r="X52" s="189" t="str">
        <f>IF(OR(Y52="Preventivo",Y52="Detectivo"),"Probabilidad",IF(Y52="Correctivo","Impacto",""))</f>
        <v/>
      </c>
      <c r="Y52" s="190"/>
      <c r="Z52" s="190"/>
      <c r="AA52" s="191" t="str">
        <f>IF(AND(Y52="Preventivo",Z52="Automático"),"50%",IF(AND(Y52="Preventivo",Z52="Manual"),"40%",IF(AND(Y52="Detectivo",Z52="Automático"),"40%",IF(AND(Y52="Detectivo",Z52="Manual"),"30%",IF(AND(Y52="Correctivo",Z52="Automático"),"35%",IF(AND(Y52="Correctivo",Z52="Manual"),"25%",""))))))</f>
        <v/>
      </c>
      <c r="AB52" s="190"/>
      <c r="AC52" s="190"/>
      <c r="AD52" s="190"/>
      <c r="AE52" s="192" t="str">
        <f>IFERROR(IF(X52="Probabilidad",(P52-(+P52*AA52)),IF(X52="Impacto",P52,"")),"")</f>
        <v/>
      </c>
      <c r="AF52" s="193" t="str">
        <f>IFERROR(IF(AE52="","",IF(AE52&lt;=0.2,"Muy Baja",IF(AE52&lt;=0.4,"Baja",IF(AE52&lt;=0.6,"Media",IF(AE52&lt;=0.8,"Alta","Muy Alta"))))),"")</f>
        <v/>
      </c>
      <c r="AG52" s="191" t="str">
        <f>+AE52</f>
        <v/>
      </c>
      <c r="AH52" s="193" t="str">
        <f>IFERROR(IF(AI52="","",IF(AI52&lt;=0.2,"Leve",IF(AI52&lt;=0.4,"Menor",IF(AI52&lt;=0.6,"Moderado",IF(AI52&lt;=0.8,"Mayor","Catastrófico"))))),"")</f>
        <v/>
      </c>
      <c r="AI52" s="191" t="str">
        <f t="shared" ref="AI52" si="60">IFERROR(IF(X52="Impacto",(T52-(+T52*AA52)),IF(X52="Probabilidad",T52,"")),"")</f>
        <v/>
      </c>
      <c r="AJ52" s="194" t="str">
        <f>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95"/>
      <c r="AL52" s="186"/>
      <c r="AM52" s="196"/>
      <c r="AN52" s="196"/>
      <c r="AO52" s="197"/>
      <c r="AP52" s="341"/>
      <c r="AQ52" s="341"/>
      <c r="AR52" s="341"/>
    </row>
    <row r="53" spans="1:44" x14ac:dyDescent="0.2">
      <c r="A53" s="352"/>
      <c r="B53" s="353"/>
      <c r="C53" s="353"/>
      <c r="D53" s="353"/>
      <c r="E53" s="353"/>
      <c r="F53" s="353"/>
      <c r="G53" s="336"/>
      <c r="H53" s="336"/>
      <c r="I53" s="222"/>
      <c r="J53" s="222"/>
      <c r="K53" s="222"/>
      <c r="L53" s="336"/>
      <c r="M53" s="336"/>
      <c r="N53" s="341"/>
      <c r="O53" s="346"/>
      <c r="P53" s="331"/>
      <c r="Q53" s="343"/>
      <c r="R53" s="331">
        <f>IF(NOT(ISERROR(MATCH(Q53,_xlfn.ANCHORARRAY(F64),0))),Q66&amp;"Por favor no seleccionar los criterios de impacto",Q53)</f>
        <v>0</v>
      </c>
      <c r="S53" s="346"/>
      <c r="T53" s="331"/>
      <c r="U53" s="327"/>
      <c r="V53" s="214">
        <v>2</v>
      </c>
      <c r="W53" s="187"/>
      <c r="X53" s="189" t="str">
        <f>IF(OR(Y53="Preventivo",Y53="Detectivo"),"Probabilidad",IF(Y53="Correctivo","Impacto",""))</f>
        <v/>
      </c>
      <c r="Y53" s="190"/>
      <c r="Z53" s="190"/>
      <c r="AA53" s="191" t="str">
        <f t="shared" ref="AA53:AA57" si="61">IF(AND(Y53="Preventivo",Z53="Automático"),"50%",IF(AND(Y53="Preventivo",Z53="Manual"),"40%",IF(AND(Y53="Detectivo",Z53="Automático"),"40%",IF(AND(Y53="Detectivo",Z53="Manual"),"30%",IF(AND(Y53="Correctivo",Z53="Automático"),"35%",IF(AND(Y53="Correctivo",Z53="Manual"),"25%",""))))))</f>
        <v/>
      </c>
      <c r="AB53" s="190"/>
      <c r="AC53" s="190"/>
      <c r="AD53" s="190"/>
      <c r="AE53" s="192" t="str">
        <f>IFERROR(IF(AND(X52="Probabilidad",X53="Probabilidad"),(AG52-(+AG52*AA53)),IF(X53="Probabilidad",(P52-(+P52*AA53)),IF(X53="Impacto",AG52,""))),"")</f>
        <v/>
      </c>
      <c r="AF53" s="193" t="str">
        <f t="shared" si="5"/>
        <v/>
      </c>
      <c r="AG53" s="191" t="str">
        <f t="shared" ref="AG53:AG57" si="62">+AE53</f>
        <v/>
      </c>
      <c r="AH53" s="193" t="str">
        <f t="shared" si="7"/>
        <v/>
      </c>
      <c r="AI53" s="191" t="str">
        <f t="shared" ref="AI53" si="63">IFERROR(IF(AND(X52="Impacto",X53="Impacto"),(AI52-(+AI52*AA53)),IF(X53="Impacto",($T$13-(+$T$13*AA53)),IF(X53="Probabilidad",AI52,""))),"")</f>
        <v/>
      </c>
      <c r="AJ53" s="194" t="str">
        <f t="shared" ref="AJ53:AJ54" si="64">IFERROR(IF(OR(AND(AF53="Muy Baja",AH53="Leve"),AND(AF53="Muy Baja",AH53="Menor"),AND(AF53="Baja",AH53="Leve")),"Bajo",IF(OR(AND(AF53="Muy baja",AH53="Moderado"),AND(AF53="Baja",AH53="Menor"),AND(AF53="Baja",AH53="Moderado"),AND(AF53="Media",AH53="Leve"),AND(AF53="Media",AH53="Menor"),AND(AF53="Media",AH53="Moderado"),AND(AF53="Alta",AH53="Leve"),AND(AF53="Alta",AH53="Menor")),"Moderado",IF(OR(AND(AF53="Muy Baja",AH53="Mayor"),AND(AF53="Baja",AH53="Mayor"),AND(AF53="Media",AH53="Mayor"),AND(AF53="Alta",AH53="Moderado"),AND(AF53="Alta",AH53="Mayor"),AND(AF53="Muy Alta",AH53="Leve"),AND(AF53="Muy Alta",AH53="Menor"),AND(AF53="Muy Alta",AH53="Moderado"),AND(AF53="Muy Alta",AH53="Mayor")),"Alto",IF(OR(AND(AF53="Muy Baja",AH53="Catastrófico"),AND(AF53="Baja",AH53="Catastrófico"),AND(AF53="Media",AH53="Catastrófico"),AND(AF53="Alta",AH53="Catastrófico"),AND(AF53="Muy Alta",AH53="Catastrófico")),"Extremo","")))),"")</f>
        <v/>
      </c>
      <c r="AK53" s="195"/>
      <c r="AL53" s="186"/>
      <c r="AM53" s="196"/>
      <c r="AN53" s="196"/>
      <c r="AO53" s="197"/>
      <c r="AP53" s="341"/>
      <c r="AQ53" s="341"/>
      <c r="AR53" s="341"/>
    </row>
    <row r="54" spans="1:44" x14ac:dyDescent="0.2">
      <c r="A54" s="352"/>
      <c r="B54" s="353"/>
      <c r="C54" s="353"/>
      <c r="D54" s="353"/>
      <c r="E54" s="353"/>
      <c r="F54" s="353"/>
      <c r="G54" s="336"/>
      <c r="H54" s="336"/>
      <c r="I54" s="222"/>
      <c r="J54" s="222"/>
      <c r="K54" s="222"/>
      <c r="L54" s="336"/>
      <c r="M54" s="336"/>
      <c r="N54" s="341"/>
      <c r="O54" s="346"/>
      <c r="P54" s="331"/>
      <c r="Q54" s="343"/>
      <c r="R54" s="331">
        <f>IF(NOT(ISERROR(MATCH(Q54,_xlfn.ANCHORARRAY(F65),0))),Q67&amp;"Por favor no seleccionar los criterios de impacto",Q54)</f>
        <v>0</v>
      </c>
      <c r="S54" s="346"/>
      <c r="T54" s="331"/>
      <c r="U54" s="327"/>
      <c r="V54" s="214">
        <v>3</v>
      </c>
      <c r="W54" s="187"/>
      <c r="X54" s="189" t="str">
        <f>IF(OR(Y54="Preventivo",Y54="Detectivo"),"Probabilidad",IF(Y54="Correctivo","Impacto",""))</f>
        <v/>
      </c>
      <c r="Y54" s="190"/>
      <c r="Z54" s="190"/>
      <c r="AA54" s="191" t="str">
        <f t="shared" si="61"/>
        <v/>
      </c>
      <c r="AB54" s="190"/>
      <c r="AC54" s="190"/>
      <c r="AD54" s="190"/>
      <c r="AE54" s="192" t="str">
        <f>IFERROR(IF(AND(X53="Probabilidad",X54="Probabilidad"),(AG53-(+AG53*AA54)),IF(AND(X53="Impacto",X54="Probabilidad"),(AG52-(+AG52*AA54)),IF(X54="Impacto",AG53,""))),"")</f>
        <v/>
      </c>
      <c r="AF54" s="193" t="str">
        <f t="shared" si="5"/>
        <v/>
      </c>
      <c r="AG54" s="191" t="str">
        <f t="shared" si="62"/>
        <v/>
      </c>
      <c r="AH54" s="193" t="str">
        <f t="shared" si="7"/>
        <v/>
      </c>
      <c r="AI54" s="191" t="str">
        <f t="shared" ref="AI54" si="65">IFERROR(IF(AND(X53="Impacto",X54="Impacto"),(AI53-(+AI53*AA54)),IF(AND(X53="Probabilidad",X54="Impacto"),(AI52-(+AI52*AA54)),IF(X54="Probabilidad",AI53,""))),"")</f>
        <v/>
      </c>
      <c r="AJ54" s="194" t="str">
        <f t="shared" si="64"/>
        <v/>
      </c>
      <c r="AK54" s="195"/>
      <c r="AL54" s="186"/>
      <c r="AM54" s="196"/>
      <c r="AN54" s="196"/>
      <c r="AO54" s="197"/>
      <c r="AP54" s="341"/>
      <c r="AQ54" s="341"/>
      <c r="AR54" s="341"/>
    </row>
    <row r="55" spans="1:44" x14ac:dyDescent="0.2">
      <c r="A55" s="352"/>
      <c r="B55" s="353"/>
      <c r="C55" s="353"/>
      <c r="D55" s="353"/>
      <c r="E55" s="353"/>
      <c r="F55" s="353"/>
      <c r="G55" s="336"/>
      <c r="H55" s="336"/>
      <c r="I55" s="222"/>
      <c r="J55" s="222"/>
      <c r="K55" s="222"/>
      <c r="L55" s="336"/>
      <c r="M55" s="336"/>
      <c r="N55" s="341"/>
      <c r="O55" s="346"/>
      <c r="P55" s="331"/>
      <c r="Q55" s="343"/>
      <c r="R55" s="331">
        <f>IF(NOT(ISERROR(MATCH(Q55,_xlfn.ANCHORARRAY(F66),0))),Q68&amp;"Por favor no seleccionar los criterios de impacto",Q55)</f>
        <v>0</v>
      </c>
      <c r="S55" s="346"/>
      <c r="T55" s="331"/>
      <c r="U55" s="327"/>
      <c r="V55" s="214">
        <v>4</v>
      </c>
      <c r="W55" s="187"/>
      <c r="X55" s="189" t="str">
        <f t="shared" ref="X55:X57" si="66">IF(OR(Y55="Preventivo",Y55="Detectivo"),"Probabilidad",IF(Y55="Correctivo","Impacto",""))</f>
        <v/>
      </c>
      <c r="Y55" s="190"/>
      <c r="Z55" s="190"/>
      <c r="AA55" s="191" t="str">
        <f t="shared" si="61"/>
        <v/>
      </c>
      <c r="AB55" s="190"/>
      <c r="AC55" s="190"/>
      <c r="AD55" s="190"/>
      <c r="AE55" s="192" t="str">
        <f t="shared" ref="AE55:AE57" si="67">IFERROR(IF(AND(X54="Probabilidad",X55="Probabilidad"),(AG54-(+AG54*AA55)),IF(AND(X54="Impacto",X55="Probabilidad"),(AG53-(+AG53*AA55)),IF(X55="Impacto",AG54,""))),"")</f>
        <v/>
      </c>
      <c r="AF55" s="193" t="str">
        <f t="shared" si="5"/>
        <v/>
      </c>
      <c r="AG55" s="191" t="str">
        <f t="shared" si="62"/>
        <v/>
      </c>
      <c r="AH55" s="193" t="str">
        <f t="shared" si="7"/>
        <v/>
      </c>
      <c r="AI55" s="191" t="str">
        <f t="shared" si="13"/>
        <v/>
      </c>
      <c r="AJ55" s="194" t="str">
        <f>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95"/>
      <c r="AL55" s="186"/>
      <c r="AM55" s="196"/>
      <c r="AN55" s="196"/>
      <c r="AO55" s="197"/>
      <c r="AP55" s="341"/>
      <c r="AQ55" s="341"/>
      <c r="AR55" s="341"/>
    </row>
    <row r="56" spans="1:44" x14ac:dyDescent="0.2">
      <c r="A56" s="352"/>
      <c r="B56" s="353"/>
      <c r="C56" s="353"/>
      <c r="D56" s="353"/>
      <c r="E56" s="353"/>
      <c r="F56" s="353"/>
      <c r="G56" s="336"/>
      <c r="H56" s="336"/>
      <c r="I56" s="222"/>
      <c r="J56" s="222"/>
      <c r="K56" s="222"/>
      <c r="L56" s="336"/>
      <c r="M56" s="336"/>
      <c r="N56" s="341"/>
      <c r="O56" s="346"/>
      <c r="P56" s="331"/>
      <c r="Q56" s="343"/>
      <c r="R56" s="331">
        <f>IF(NOT(ISERROR(MATCH(Q56,_xlfn.ANCHORARRAY(F67),0))),Q69&amp;"Por favor no seleccionar los criterios de impacto",Q56)</f>
        <v>0</v>
      </c>
      <c r="S56" s="346"/>
      <c r="T56" s="331"/>
      <c r="U56" s="327"/>
      <c r="V56" s="214">
        <v>5</v>
      </c>
      <c r="W56" s="187"/>
      <c r="X56" s="189" t="str">
        <f t="shared" si="66"/>
        <v/>
      </c>
      <c r="Y56" s="190"/>
      <c r="Z56" s="190"/>
      <c r="AA56" s="191" t="str">
        <f t="shared" si="61"/>
        <v/>
      </c>
      <c r="AB56" s="190"/>
      <c r="AC56" s="190"/>
      <c r="AD56" s="190"/>
      <c r="AE56" s="192" t="str">
        <f t="shared" si="67"/>
        <v/>
      </c>
      <c r="AF56" s="193" t="str">
        <f t="shared" si="5"/>
        <v/>
      </c>
      <c r="AG56" s="191" t="str">
        <f t="shared" si="62"/>
        <v/>
      </c>
      <c r="AH56" s="193" t="str">
        <f t="shared" si="7"/>
        <v/>
      </c>
      <c r="AI56" s="191" t="str">
        <f t="shared" si="13"/>
        <v/>
      </c>
      <c r="AJ56" s="194" t="str">
        <f t="shared" ref="AJ56:AJ57" si="68">IFERROR(IF(OR(AND(AF56="Muy Baja",AH56="Leve"),AND(AF56="Muy Baja",AH56="Menor"),AND(AF56="Baja",AH56="Leve")),"Bajo",IF(OR(AND(AF56="Muy baja",AH56="Moderado"),AND(AF56="Baja",AH56="Menor"),AND(AF56="Baja",AH56="Moderado"),AND(AF56="Media",AH56="Leve"),AND(AF56="Media",AH56="Menor"),AND(AF56="Media",AH56="Moderado"),AND(AF56="Alta",AH56="Leve"),AND(AF56="Alta",AH56="Menor")),"Moderado",IF(OR(AND(AF56="Muy Baja",AH56="Mayor"),AND(AF56="Baja",AH56="Mayor"),AND(AF56="Media",AH56="Mayor"),AND(AF56="Alta",AH56="Moderado"),AND(AF56="Alta",AH56="Mayor"),AND(AF56="Muy Alta",AH56="Leve"),AND(AF56="Muy Alta",AH56="Menor"),AND(AF56="Muy Alta",AH56="Moderado"),AND(AF56="Muy Alta",AH56="Mayor")),"Alto",IF(OR(AND(AF56="Muy Baja",AH56="Catastrófico"),AND(AF56="Baja",AH56="Catastrófico"),AND(AF56="Media",AH56="Catastrófico"),AND(AF56="Alta",AH56="Catastrófico"),AND(AF56="Muy Alta",AH56="Catastrófico")),"Extremo","")))),"")</f>
        <v/>
      </c>
      <c r="AK56" s="195"/>
      <c r="AL56" s="186"/>
      <c r="AM56" s="196"/>
      <c r="AN56" s="196"/>
      <c r="AO56" s="197"/>
      <c r="AP56" s="341"/>
      <c r="AQ56" s="341"/>
      <c r="AR56" s="341"/>
    </row>
    <row r="57" spans="1:44" x14ac:dyDescent="0.2">
      <c r="A57" s="352"/>
      <c r="B57" s="353"/>
      <c r="C57" s="353"/>
      <c r="D57" s="353"/>
      <c r="E57" s="353"/>
      <c r="F57" s="353"/>
      <c r="G57" s="337"/>
      <c r="H57" s="337"/>
      <c r="I57" s="223"/>
      <c r="J57" s="223"/>
      <c r="K57" s="223"/>
      <c r="L57" s="337"/>
      <c r="M57" s="337"/>
      <c r="N57" s="341"/>
      <c r="O57" s="346"/>
      <c r="P57" s="331"/>
      <c r="Q57" s="343"/>
      <c r="R57" s="331">
        <f>IF(NOT(ISERROR(MATCH(Q57,_xlfn.ANCHORARRAY(F68),0))),Q70&amp;"Por favor no seleccionar los criterios de impacto",Q57)</f>
        <v>0</v>
      </c>
      <c r="S57" s="346"/>
      <c r="T57" s="331"/>
      <c r="U57" s="327"/>
      <c r="V57" s="214">
        <v>6</v>
      </c>
      <c r="W57" s="187"/>
      <c r="X57" s="189" t="str">
        <f t="shared" si="66"/>
        <v/>
      </c>
      <c r="Y57" s="190"/>
      <c r="Z57" s="190"/>
      <c r="AA57" s="191" t="str">
        <f t="shared" si="61"/>
        <v/>
      </c>
      <c r="AB57" s="190"/>
      <c r="AC57" s="190"/>
      <c r="AD57" s="190"/>
      <c r="AE57" s="192" t="str">
        <f t="shared" si="67"/>
        <v/>
      </c>
      <c r="AF57" s="193" t="str">
        <f t="shared" si="5"/>
        <v/>
      </c>
      <c r="AG57" s="191" t="str">
        <f t="shared" si="62"/>
        <v/>
      </c>
      <c r="AH57" s="193" t="str">
        <f t="shared" si="7"/>
        <v/>
      </c>
      <c r="AI57" s="191" t="str">
        <f t="shared" si="13"/>
        <v/>
      </c>
      <c r="AJ57" s="194" t="str">
        <f t="shared" si="68"/>
        <v/>
      </c>
      <c r="AK57" s="195"/>
      <c r="AL57" s="186"/>
      <c r="AM57" s="196"/>
      <c r="AN57" s="196"/>
      <c r="AO57" s="197"/>
      <c r="AP57" s="341"/>
      <c r="AQ57" s="341"/>
      <c r="AR57" s="341"/>
    </row>
    <row r="58" spans="1:44" x14ac:dyDescent="0.2">
      <c r="A58" s="216"/>
      <c r="B58" s="357" t="s">
        <v>261</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row>
    <row r="60" spans="1:44" ht="15.75" x14ac:dyDescent="0.2">
      <c r="A60" s="198"/>
      <c r="B60" s="206" t="s">
        <v>262</v>
      </c>
      <c r="C60" s="198"/>
      <c r="D60" s="198"/>
      <c r="E60" s="198"/>
      <c r="N60" s="198"/>
    </row>
    <row r="61" spans="1:44" s="264" customFormat="1" x14ac:dyDescent="0.2">
      <c r="A61" s="263"/>
      <c r="B61" s="263"/>
      <c r="C61" s="263"/>
      <c r="D61" s="263"/>
      <c r="E61" s="263"/>
      <c r="N61" s="265"/>
      <c r="AL61" s="266"/>
    </row>
  </sheetData>
  <dataConsolidate/>
  <mergeCells count="227">
    <mergeCell ref="C8:T8"/>
    <mergeCell ref="D1:T2"/>
    <mergeCell ref="D4:T4"/>
    <mergeCell ref="J3:T3"/>
    <mergeCell ref="D3:I3"/>
    <mergeCell ref="A1:C4"/>
    <mergeCell ref="Z6:AR6"/>
    <mergeCell ref="Z7:AR7"/>
    <mergeCell ref="Z8:AR8"/>
    <mergeCell ref="X1:AR2"/>
    <mergeCell ref="X3:AL3"/>
    <mergeCell ref="X4:AR4"/>
    <mergeCell ref="AM3:AR3"/>
    <mergeCell ref="A6:B6"/>
    <mergeCell ref="A7:B7"/>
    <mergeCell ref="A8:B8"/>
    <mergeCell ref="W6:Y6"/>
    <mergeCell ref="C6:T6"/>
    <mergeCell ref="C7:T7"/>
    <mergeCell ref="A10:F10"/>
    <mergeCell ref="T11:T12"/>
    <mergeCell ref="F11:F12"/>
    <mergeCell ref="U22:U27"/>
    <mergeCell ref="T28:T33"/>
    <mergeCell ref="U28:U33"/>
    <mergeCell ref="Q34:Q39"/>
    <mergeCell ref="R34:R39"/>
    <mergeCell ref="S34:S39"/>
    <mergeCell ref="F22:F27"/>
    <mergeCell ref="F28:F33"/>
    <mergeCell ref="G22:G27"/>
    <mergeCell ref="Q28:Q33"/>
    <mergeCell ref="R28:R33"/>
    <mergeCell ref="S28:S33"/>
    <mergeCell ref="N22:N27"/>
    <mergeCell ref="O22:O27"/>
    <mergeCell ref="G34:G39"/>
    <mergeCell ref="I34:I39"/>
    <mergeCell ref="J34:J39"/>
    <mergeCell ref="K34:K39"/>
    <mergeCell ref="L22:L27"/>
    <mergeCell ref="G28:G33"/>
    <mergeCell ref="I22:I27"/>
    <mergeCell ref="E46:E51"/>
    <mergeCell ref="N46:N51"/>
    <mergeCell ref="O46:O51"/>
    <mergeCell ref="P46:P51"/>
    <mergeCell ref="P22:P27"/>
    <mergeCell ref="Q22:Q27"/>
    <mergeCell ref="N28:N33"/>
    <mergeCell ref="O28:O33"/>
    <mergeCell ref="P28:P33"/>
    <mergeCell ref="F34:F39"/>
    <mergeCell ref="F40:F45"/>
    <mergeCell ref="G40:G45"/>
    <mergeCell ref="I40:I45"/>
    <mergeCell ref="J40:J45"/>
    <mergeCell ref="K40:K45"/>
    <mergeCell ref="J28:J33"/>
    <mergeCell ref="K28:K33"/>
    <mergeCell ref="H22:H27"/>
    <mergeCell ref="H28:H33"/>
    <mergeCell ref="B58:AP58"/>
    <mergeCell ref="T46:T51"/>
    <mergeCell ref="U46:U51"/>
    <mergeCell ref="A52:A57"/>
    <mergeCell ref="B52:B57"/>
    <mergeCell ref="C52:C57"/>
    <mergeCell ref="D52:D57"/>
    <mergeCell ref="E52:E57"/>
    <mergeCell ref="N52:N57"/>
    <mergeCell ref="O52:O57"/>
    <mergeCell ref="P52:P57"/>
    <mergeCell ref="Q52:Q57"/>
    <mergeCell ref="R52:R57"/>
    <mergeCell ref="S52:S57"/>
    <mergeCell ref="T52:T57"/>
    <mergeCell ref="U52:U57"/>
    <mergeCell ref="Q46:Q51"/>
    <mergeCell ref="R46:R51"/>
    <mergeCell ref="S46:S51"/>
    <mergeCell ref="A46:A51"/>
    <mergeCell ref="B46:B51"/>
    <mergeCell ref="C46:C51"/>
    <mergeCell ref="D46:D51"/>
    <mergeCell ref="F46:F51"/>
    <mergeCell ref="F52:F57"/>
    <mergeCell ref="T34:T39"/>
    <mergeCell ref="U34:U39"/>
    <mergeCell ref="N40:N45"/>
    <mergeCell ref="O40:O45"/>
    <mergeCell ref="P40:P45"/>
    <mergeCell ref="Q40:Q45"/>
    <mergeCell ref="N34:N39"/>
    <mergeCell ref="O34:O39"/>
    <mergeCell ref="P34:P39"/>
    <mergeCell ref="R40:R45"/>
    <mergeCell ref="S40:S45"/>
    <mergeCell ref="T40:T45"/>
    <mergeCell ref="U40:U45"/>
    <mergeCell ref="G46:G51"/>
    <mergeCell ref="G52:G57"/>
    <mergeCell ref="H52:H57"/>
    <mergeCell ref="H34:H39"/>
    <mergeCell ref="H40:H45"/>
    <mergeCell ref="H46:H51"/>
    <mergeCell ref="B40:B45"/>
    <mergeCell ref="C40:C45"/>
    <mergeCell ref="D40:D45"/>
    <mergeCell ref="E40:E45"/>
    <mergeCell ref="A34:A39"/>
    <mergeCell ref="B34:B39"/>
    <mergeCell ref="C34:C39"/>
    <mergeCell ref="D34:D39"/>
    <mergeCell ref="E34:E39"/>
    <mergeCell ref="A40:A45"/>
    <mergeCell ref="A22:A27"/>
    <mergeCell ref="B22:B27"/>
    <mergeCell ref="C22:C27"/>
    <mergeCell ref="A28:A33"/>
    <mergeCell ref="B28:B33"/>
    <mergeCell ref="C28:C33"/>
    <mergeCell ref="D28:D33"/>
    <mergeCell ref="E28:E33"/>
    <mergeCell ref="D22:D27"/>
    <mergeCell ref="E22:E27"/>
    <mergeCell ref="A11:A12"/>
    <mergeCell ref="E11:E12"/>
    <mergeCell ref="D11:D12"/>
    <mergeCell ref="C11:C12"/>
    <mergeCell ref="AP22:AP27"/>
    <mergeCell ref="T16:T21"/>
    <mergeCell ref="R22:R27"/>
    <mergeCell ref="S22:S27"/>
    <mergeCell ref="T22:T27"/>
    <mergeCell ref="B11:B12"/>
    <mergeCell ref="G11:G12"/>
    <mergeCell ref="H11:H12"/>
    <mergeCell ref="I11:I12"/>
    <mergeCell ref="J11:J12"/>
    <mergeCell ref="K11:K12"/>
    <mergeCell ref="A16:A21"/>
    <mergeCell ref="B16:B21"/>
    <mergeCell ref="C16:C21"/>
    <mergeCell ref="D16:D21"/>
    <mergeCell ref="E16:E21"/>
    <mergeCell ref="N16:N21"/>
    <mergeCell ref="O16:O21"/>
    <mergeCell ref="P16:P21"/>
    <mergeCell ref="F16:F21"/>
    <mergeCell ref="AR46:AR51"/>
    <mergeCell ref="AP52:AP57"/>
    <mergeCell ref="AQ52:AQ57"/>
    <mergeCell ref="AR52:AR57"/>
    <mergeCell ref="AP28:AP33"/>
    <mergeCell ref="AQ28:AQ33"/>
    <mergeCell ref="AR28:AR33"/>
    <mergeCell ref="AP34:AP39"/>
    <mergeCell ref="AQ34:AQ39"/>
    <mergeCell ref="AR34:AR39"/>
    <mergeCell ref="AP40:AP45"/>
    <mergeCell ref="AQ40:AQ45"/>
    <mergeCell ref="AR40:AR45"/>
    <mergeCell ref="AP46:AP51"/>
    <mergeCell ref="AQ46:AQ51"/>
    <mergeCell ref="P11:P12"/>
    <mergeCell ref="S11:S12"/>
    <mergeCell ref="AL11:AL12"/>
    <mergeCell ref="AO11:AO12"/>
    <mergeCell ref="AM11:AM12"/>
    <mergeCell ref="Q16:Q21"/>
    <mergeCell ref="L10:M11"/>
    <mergeCell ref="AQ22:AQ27"/>
    <mergeCell ref="N11:N12"/>
    <mergeCell ref="O11:O12"/>
    <mergeCell ref="U11:U12"/>
    <mergeCell ref="Q11:Q12"/>
    <mergeCell ref="R11:R12"/>
    <mergeCell ref="AP11:AP12"/>
    <mergeCell ref="AQ11:AQ12"/>
    <mergeCell ref="AK11:AK12"/>
    <mergeCell ref="AN11:AN12"/>
    <mergeCell ref="V11:V12"/>
    <mergeCell ref="AJ11:AJ12"/>
    <mergeCell ref="AI11:AI12"/>
    <mergeCell ref="AE11:AE12"/>
    <mergeCell ref="W11:W12"/>
    <mergeCell ref="AP10:AR10"/>
    <mergeCell ref="AF10:AJ10"/>
    <mergeCell ref="AK10:AO10"/>
    <mergeCell ref="M22:M27"/>
    <mergeCell ref="L28:L33"/>
    <mergeCell ref="M28:M33"/>
    <mergeCell ref="L34:L39"/>
    <mergeCell ref="M34:M39"/>
    <mergeCell ref="L40:L45"/>
    <mergeCell ref="M40:M45"/>
    <mergeCell ref="AR22:AR27"/>
    <mergeCell ref="AR11:AR12"/>
    <mergeCell ref="AH11:AH12"/>
    <mergeCell ref="AF11:AF12"/>
    <mergeCell ref="S16:S21"/>
    <mergeCell ref="AP16:AP21"/>
    <mergeCell ref="AQ16:AQ21"/>
    <mergeCell ref="AR16:AR21"/>
    <mergeCell ref="L16:L21"/>
    <mergeCell ref="M16:M21"/>
    <mergeCell ref="N10:V10"/>
    <mergeCell ref="U16:U21"/>
    <mergeCell ref="AG11:AG12"/>
    <mergeCell ref="X11:X12"/>
    <mergeCell ref="Y11:AD11"/>
    <mergeCell ref="W10:AE10"/>
    <mergeCell ref="R16:R21"/>
    <mergeCell ref="G10:K10"/>
    <mergeCell ref="L52:L57"/>
    <mergeCell ref="M52:M57"/>
    <mergeCell ref="L46:L51"/>
    <mergeCell ref="M46:M51"/>
    <mergeCell ref="G16:G21"/>
    <mergeCell ref="I16:I21"/>
    <mergeCell ref="J16:J21"/>
    <mergeCell ref="K16:K21"/>
    <mergeCell ref="H16:H21"/>
    <mergeCell ref="J22:J27"/>
    <mergeCell ref="K22:K27"/>
    <mergeCell ref="I28:I33"/>
  </mergeCells>
  <conditionalFormatting sqref="O13:O14">
    <cfRule type="cellIs" dxfId="700" priority="324" operator="equal">
      <formula>"Muy Alta"</formula>
    </cfRule>
    <cfRule type="cellIs" dxfId="699" priority="325" operator="equal">
      <formula>"Alta"</formula>
    </cfRule>
    <cfRule type="cellIs" dxfId="698" priority="326" operator="equal">
      <formula>"Media"</formula>
    </cfRule>
    <cfRule type="cellIs" dxfId="697" priority="327" operator="equal">
      <formula>"Baja"</formula>
    </cfRule>
    <cfRule type="cellIs" dxfId="696" priority="328" operator="equal">
      <formula>"Muy Baja"</formula>
    </cfRule>
  </conditionalFormatting>
  <conditionalFormatting sqref="S13:S16 S22 S28 S34 S40 S46 S52">
    <cfRule type="cellIs" dxfId="695" priority="319" operator="equal">
      <formula>"Catastrófico"</formula>
    </cfRule>
    <cfRule type="cellIs" dxfId="694" priority="320" operator="equal">
      <formula>"Mayor"</formula>
    </cfRule>
    <cfRule type="cellIs" dxfId="693" priority="321" operator="equal">
      <formula>"Moderado"</formula>
    </cfRule>
    <cfRule type="cellIs" dxfId="692" priority="322" operator="equal">
      <formula>"Menor"</formula>
    </cfRule>
    <cfRule type="cellIs" dxfId="691" priority="323" operator="equal">
      <formula>"Leve"</formula>
    </cfRule>
  </conditionalFormatting>
  <conditionalFormatting sqref="U13">
    <cfRule type="cellIs" dxfId="690" priority="315" operator="equal">
      <formula>"Extremo"</formula>
    </cfRule>
    <cfRule type="cellIs" dxfId="689" priority="316" operator="equal">
      <formula>"Alto"</formula>
    </cfRule>
    <cfRule type="cellIs" dxfId="688" priority="317" operator="equal">
      <formula>"Moderado"</formula>
    </cfRule>
    <cfRule type="cellIs" dxfId="687" priority="318" operator="equal">
      <formula>"Bajo"</formula>
    </cfRule>
  </conditionalFormatting>
  <conditionalFormatting sqref="AF13">
    <cfRule type="cellIs" dxfId="686" priority="310" operator="equal">
      <formula>"Muy Alta"</formula>
    </cfRule>
    <cfRule type="cellIs" dxfId="685" priority="311" operator="equal">
      <formula>"Alta"</formula>
    </cfRule>
    <cfRule type="cellIs" dxfId="684" priority="312" operator="equal">
      <formula>"Media"</formula>
    </cfRule>
    <cfRule type="cellIs" dxfId="683" priority="313" operator="equal">
      <formula>"Baja"</formula>
    </cfRule>
    <cfRule type="cellIs" dxfId="682" priority="314" operator="equal">
      <formula>"Muy Baja"</formula>
    </cfRule>
  </conditionalFormatting>
  <conditionalFormatting sqref="AH13">
    <cfRule type="cellIs" dxfId="681" priority="305" operator="equal">
      <formula>"Catastrófico"</formula>
    </cfRule>
    <cfRule type="cellIs" dxfId="680" priority="306" operator="equal">
      <formula>"Mayor"</formula>
    </cfRule>
    <cfRule type="cellIs" dxfId="679" priority="307" operator="equal">
      <formula>"Moderado"</formula>
    </cfRule>
    <cfRule type="cellIs" dxfId="678" priority="308" operator="equal">
      <formula>"Menor"</formula>
    </cfRule>
    <cfRule type="cellIs" dxfId="677" priority="309" operator="equal">
      <formula>"Leve"</formula>
    </cfRule>
  </conditionalFormatting>
  <conditionalFormatting sqref="AJ13">
    <cfRule type="cellIs" dxfId="676" priority="301" operator="equal">
      <formula>"Extremo"</formula>
    </cfRule>
    <cfRule type="cellIs" dxfId="675" priority="302" operator="equal">
      <formula>"Alto"</formula>
    </cfRule>
    <cfRule type="cellIs" dxfId="674" priority="303" operator="equal">
      <formula>"Moderado"</formula>
    </cfRule>
    <cfRule type="cellIs" dxfId="673" priority="304" operator="equal">
      <formula>"Bajo"</formula>
    </cfRule>
  </conditionalFormatting>
  <conditionalFormatting sqref="O46">
    <cfRule type="cellIs" dxfId="672" priority="58" operator="equal">
      <formula>"Muy Alta"</formula>
    </cfRule>
    <cfRule type="cellIs" dxfId="671" priority="59" operator="equal">
      <formula>"Alta"</formula>
    </cfRule>
    <cfRule type="cellIs" dxfId="670" priority="60" operator="equal">
      <formula>"Media"</formula>
    </cfRule>
    <cfRule type="cellIs" dxfId="669" priority="61" operator="equal">
      <formula>"Baja"</formula>
    </cfRule>
    <cfRule type="cellIs" dxfId="668" priority="62" operator="equal">
      <formula>"Muy Baja"</formula>
    </cfRule>
  </conditionalFormatting>
  <conditionalFormatting sqref="U14">
    <cfRule type="cellIs" dxfId="667" priority="245" operator="equal">
      <formula>"Extremo"</formula>
    </cfRule>
    <cfRule type="cellIs" dxfId="666" priority="246" operator="equal">
      <formula>"Alto"</formula>
    </cfRule>
    <cfRule type="cellIs" dxfId="665" priority="247" operator="equal">
      <formula>"Moderado"</formula>
    </cfRule>
    <cfRule type="cellIs" dxfId="664" priority="248" operator="equal">
      <formula>"Bajo"</formula>
    </cfRule>
  </conditionalFormatting>
  <conditionalFormatting sqref="AF14">
    <cfRule type="cellIs" dxfId="663" priority="240" operator="equal">
      <formula>"Muy Alta"</formula>
    </cfRule>
    <cfRule type="cellIs" dxfId="662" priority="241" operator="equal">
      <formula>"Alta"</formula>
    </cfRule>
    <cfRule type="cellIs" dxfId="661" priority="242" operator="equal">
      <formula>"Media"</formula>
    </cfRule>
    <cfRule type="cellIs" dxfId="660" priority="243" operator="equal">
      <formula>"Baja"</formula>
    </cfRule>
    <cfRule type="cellIs" dxfId="659" priority="244" operator="equal">
      <formula>"Muy Baja"</formula>
    </cfRule>
  </conditionalFormatting>
  <conditionalFormatting sqref="AH14">
    <cfRule type="cellIs" dxfId="658" priority="235" operator="equal">
      <formula>"Catastrófico"</formula>
    </cfRule>
    <cfRule type="cellIs" dxfId="657" priority="236" operator="equal">
      <formula>"Mayor"</formula>
    </cfRule>
    <cfRule type="cellIs" dxfId="656" priority="237" operator="equal">
      <formula>"Moderado"</formula>
    </cfRule>
    <cfRule type="cellIs" dxfId="655" priority="238" operator="equal">
      <formula>"Menor"</formula>
    </cfRule>
    <cfRule type="cellIs" dxfId="654" priority="239" operator="equal">
      <formula>"Leve"</formula>
    </cfRule>
  </conditionalFormatting>
  <conditionalFormatting sqref="AJ14">
    <cfRule type="cellIs" dxfId="653" priority="231" operator="equal">
      <formula>"Extremo"</formula>
    </cfRule>
    <cfRule type="cellIs" dxfId="652" priority="232" operator="equal">
      <formula>"Alto"</formula>
    </cfRule>
    <cfRule type="cellIs" dxfId="651" priority="233" operator="equal">
      <formula>"Moderado"</formula>
    </cfRule>
    <cfRule type="cellIs" dxfId="650" priority="234" operator="equal">
      <formula>"Bajo"</formula>
    </cfRule>
  </conditionalFormatting>
  <conditionalFormatting sqref="O15">
    <cfRule type="cellIs" dxfId="649" priority="226" operator="equal">
      <formula>"Muy Alta"</formula>
    </cfRule>
    <cfRule type="cellIs" dxfId="648" priority="227" operator="equal">
      <formula>"Alta"</formula>
    </cfRule>
    <cfRule type="cellIs" dxfId="647" priority="228" operator="equal">
      <formula>"Media"</formula>
    </cfRule>
    <cfRule type="cellIs" dxfId="646" priority="229" operator="equal">
      <formula>"Baja"</formula>
    </cfRule>
    <cfRule type="cellIs" dxfId="645" priority="230" operator="equal">
      <formula>"Muy Baja"</formula>
    </cfRule>
  </conditionalFormatting>
  <conditionalFormatting sqref="U15">
    <cfRule type="cellIs" dxfId="644" priority="217" operator="equal">
      <formula>"Extremo"</formula>
    </cfRule>
    <cfRule type="cellIs" dxfId="643" priority="218" operator="equal">
      <formula>"Alto"</formula>
    </cfRule>
    <cfRule type="cellIs" dxfId="642" priority="219" operator="equal">
      <formula>"Moderado"</formula>
    </cfRule>
    <cfRule type="cellIs" dxfId="641" priority="220" operator="equal">
      <formula>"Bajo"</formula>
    </cfRule>
  </conditionalFormatting>
  <conditionalFormatting sqref="AF15">
    <cfRule type="cellIs" dxfId="640" priority="212" operator="equal">
      <formula>"Muy Alta"</formula>
    </cfRule>
    <cfRule type="cellIs" dxfId="639" priority="213" operator="equal">
      <formula>"Alta"</formula>
    </cfRule>
    <cfRule type="cellIs" dxfId="638" priority="214" operator="equal">
      <formula>"Media"</formula>
    </cfRule>
    <cfRule type="cellIs" dxfId="637" priority="215" operator="equal">
      <formula>"Baja"</formula>
    </cfRule>
    <cfRule type="cellIs" dxfId="636" priority="216" operator="equal">
      <formula>"Muy Baja"</formula>
    </cfRule>
  </conditionalFormatting>
  <conditionalFormatting sqref="AH15">
    <cfRule type="cellIs" dxfId="635" priority="207" operator="equal">
      <formula>"Catastrófico"</formula>
    </cfRule>
    <cfRule type="cellIs" dxfId="634" priority="208" operator="equal">
      <formula>"Mayor"</formula>
    </cfRule>
    <cfRule type="cellIs" dxfId="633" priority="209" operator="equal">
      <formula>"Moderado"</formula>
    </cfRule>
    <cfRule type="cellIs" dxfId="632" priority="210" operator="equal">
      <formula>"Menor"</formula>
    </cfRule>
    <cfRule type="cellIs" dxfId="631" priority="211" operator="equal">
      <formula>"Leve"</formula>
    </cfRule>
  </conditionalFormatting>
  <conditionalFormatting sqref="AJ15">
    <cfRule type="cellIs" dxfId="630" priority="203" operator="equal">
      <formula>"Extremo"</formula>
    </cfRule>
    <cfRule type="cellIs" dxfId="629" priority="204" operator="equal">
      <formula>"Alto"</formula>
    </cfRule>
    <cfRule type="cellIs" dxfId="628" priority="205" operator="equal">
      <formula>"Moderado"</formula>
    </cfRule>
    <cfRule type="cellIs" dxfId="627" priority="206" operator="equal">
      <formula>"Bajo"</formula>
    </cfRule>
  </conditionalFormatting>
  <conditionalFormatting sqref="O16">
    <cfRule type="cellIs" dxfId="626" priority="198" operator="equal">
      <formula>"Muy Alta"</formula>
    </cfRule>
    <cfRule type="cellIs" dxfId="625" priority="199" operator="equal">
      <formula>"Alta"</formula>
    </cfRule>
    <cfRule type="cellIs" dxfId="624" priority="200" operator="equal">
      <formula>"Media"</formula>
    </cfRule>
    <cfRule type="cellIs" dxfId="623" priority="201" operator="equal">
      <formula>"Baja"</formula>
    </cfRule>
    <cfRule type="cellIs" dxfId="622" priority="202" operator="equal">
      <formula>"Muy Baja"</formula>
    </cfRule>
  </conditionalFormatting>
  <conditionalFormatting sqref="U16">
    <cfRule type="cellIs" dxfId="621" priority="189" operator="equal">
      <formula>"Extremo"</formula>
    </cfRule>
    <cfRule type="cellIs" dxfId="620" priority="190" operator="equal">
      <formula>"Alto"</formula>
    </cfRule>
    <cfRule type="cellIs" dxfId="619" priority="191" operator="equal">
      <formula>"Moderado"</formula>
    </cfRule>
    <cfRule type="cellIs" dxfId="618" priority="192" operator="equal">
      <formula>"Bajo"</formula>
    </cfRule>
  </conditionalFormatting>
  <conditionalFormatting sqref="AF16:AF21">
    <cfRule type="cellIs" dxfId="617" priority="184" operator="equal">
      <formula>"Muy Alta"</formula>
    </cfRule>
    <cfRule type="cellIs" dxfId="616" priority="185" operator="equal">
      <formula>"Alta"</formula>
    </cfRule>
    <cfRule type="cellIs" dxfId="615" priority="186" operator="equal">
      <formula>"Media"</formula>
    </cfRule>
    <cfRule type="cellIs" dxfId="614" priority="187" operator="equal">
      <formula>"Baja"</formula>
    </cfRule>
    <cfRule type="cellIs" dxfId="613" priority="188" operator="equal">
      <formula>"Muy Baja"</formula>
    </cfRule>
  </conditionalFormatting>
  <conditionalFormatting sqref="AH16:AH21">
    <cfRule type="cellIs" dxfId="612" priority="179" operator="equal">
      <formula>"Catastrófico"</formula>
    </cfRule>
    <cfRule type="cellIs" dxfId="611" priority="180" operator="equal">
      <formula>"Mayor"</formula>
    </cfRule>
    <cfRule type="cellIs" dxfId="610" priority="181" operator="equal">
      <formula>"Moderado"</formula>
    </cfRule>
    <cfRule type="cellIs" dxfId="609" priority="182" operator="equal">
      <formula>"Menor"</formula>
    </cfRule>
    <cfRule type="cellIs" dxfId="608" priority="183" operator="equal">
      <formula>"Leve"</formula>
    </cfRule>
  </conditionalFormatting>
  <conditionalFormatting sqref="AJ16:AJ21">
    <cfRule type="cellIs" dxfId="607" priority="175" operator="equal">
      <formula>"Extremo"</formula>
    </cfRule>
    <cfRule type="cellIs" dxfId="606" priority="176" operator="equal">
      <formula>"Alto"</formula>
    </cfRule>
    <cfRule type="cellIs" dxfId="605" priority="177" operator="equal">
      <formula>"Moderado"</formula>
    </cfRule>
    <cfRule type="cellIs" dxfId="604" priority="178" operator="equal">
      <formula>"Bajo"</formula>
    </cfRule>
  </conditionalFormatting>
  <conditionalFormatting sqref="O22">
    <cfRule type="cellIs" dxfId="603" priority="170" operator="equal">
      <formula>"Muy Alta"</formula>
    </cfRule>
    <cfRule type="cellIs" dxfId="602" priority="171" operator="equal">
      <formula>"Alta"</formula>
    </cfRule>
    <cfRule type="cellIs" dxfId="601" priority="172" operator="equal">
      <formula>"Media"</formula>
    </cfRule>
    <cfRule type="cellIs" dxfId="600" priority="173" operator="equal">
      <formula>"Baja"</formula>
    </cfRule>
    <cfRule type="cellIs" dxfId="599" priority="174" operator="equal">
      <formula>"Muy Baja"</formula>
    </cfRule>
  </conditionalFormatting>
  <conditionalFormatting sqref="U22">
    <cfRule type="cellIs" dxfId="598" priority="161" operator="equal">
      <formula>"Extremo"</formula>
    </cfRule>
    <cfRule type="cellIs" dxfId="597" priority="162" operator="equal">
      <formula>"Alto"</formula>
    </cfRule>
    <cfRule type="cellIs" dxfId="596" priority="163" operator="equal">
      <formula>"Moderado"</formula>
    </cfRule>
    <cfRule type="cellIs" dxfId="595" priority="164" operator="equal">
      <formula>"Bajo"</formula>
    </cfRule>
  </conditionalFormatting>
  <conditionalFormatting sqref="AF22:AF27">
    <cfRule type="cellIs" dxfId="594" priority="156" operator="equal">
      <formula>"Muy Alta"</formula>
    </cfRule>
    <cfRule type="cellIs" dxfId="593" priority="157" operator="equal">
      <formula>"Alta"</formula>
    </cfRule>
    <cfRule type="cellIs" dxfId="592" priority="158" operator="equal">
      <formula>"Media"</formula>
    </cfRule>
    <cfRule type="cellIs" dxfId="591" priority="159" operator="equal">
      <formula>"Baja"</formula>
    </cfRule>
    <cfRule type="cellIs" dxfId="590" priority="160" operator="equal">
      <formula>"Muy Baja"</formula>
    </cfRule>
  </conditionalFormatting>
  <conditionalFormatting sqref="AH22:AH27">
    <cfRule type="cellIs" dxfId="589" priority="151" operator="equal">
      <formula>"Catastrófico"</formula>
    </cfRule>
    <cfRule type="cellIs" dxfId="588" priority="152" operator="equal">
      <formula>"Mayor"</formula>
    </cfRule>
    <cfRule type="cellIs" dxfId="587" priority="153" operator="equal">
      <formula>"Moderado"</formula>
    </cfRule>
    <cfRule type="cellIs" dxfId="586" priority="154" operator="equal">
      <formula>"Menor"</formula>
    </cfRule>
    <cfRule type="cellIs" dxfId="585" priority="155" operator="equal">
      <formula>"Leve"</formula>
    </cfRule>
  </conditionalFormatting>
  <conditionalFormatting sqref="AJ22:AJ27">
    <cfRule type="cellIs" dxfId="584" priority="147" operator="equal">
      <formula>"Extremo"</formula>
    </cfRule>
    <cfRule type="cellIs" dxfId="583" priority="148" operator="equal">
      <formula>"Alto"</formula>
    </cfRule>
    <cfRule type="cellIs" dxfId="582" priority="149" operator="equal">
      <formula>"Moderado"</formula>
    </cfRule>
    <cfRule type="cellIs" dxfId="581" priority="150" operator="equal">
      <formula>"Bajo"</formula>
    </cfRule>
  </conditionalFormatting>
  <conditionalFormatting sqref="O28">
    <cfRule type="cellIs" dxfId="580" priority="142" operator="equal">
      <formula>"Muy Alta"</formula>
    </cfRule>
    <cfRule type="cellIs" dxfId="579" priority="143" operator="equal">
      <formula>"Alta"</formula>
    </cfRule>
    <cfRule type="cellIs" dxfId="578" priority="144" operator="equal">
      <formula>"Media"</formula>
    </cfRule>
    <cfRule type="cellIs" dxfId="577" priority="145" operator="equal">
      <formula>"Baja"</formula>
    </cfRule>
    <cfRule type="cellIs" dxfId="576" priority="146" operator="equal">
      <formula>"Muy Baja"</formula>
    </cfRule>
  </conditionalFormatting>
  <conditionalFormatting sqref="U28">
    <cfRule type="cellIs" dxfId="575" priority="133" operator="equal">
      <formula>"Extremo"</formula>
    </cfRule>
    <cfRule type="cellIs" dxfId="574" priority="134" operator="equal">
      <formula>"Alto"</formula>
    </cfRule>
    <cfRule type="cellIs" dxfId="573" priority="135" operator="equal">
      <formula>"Moderado"</formula>
    </cfRule>
    <cfRule type="cellIs" dxfId="572" priority="136" operator="equal">
      <formula>"Bajo"</formula>
    </cfRule>
  </conditionalFormatting>
  <conditionalFormatting sqref="AF28:AF33">
    <cfRule type="cellIs" dxfId="571" priority="128" operator="equal">
      <formula>"Muy Alta"</formula>
    </cfRule>
    <cfRule type="cellIs" dxfId="570" priority="129" operator="equal">
      <formula>"Alta"</formula>
    </cfRule>
    <cfRule type="cellIs" dxfId="569" priority="130" operator="equal">
      <formula>"Media"</formula>
    </cfRule>
    <cfRule type="cellIs" dxfId="568" priority="131" operator="equal">
      <formula>"Baja"</formula>
    </cfRule>
    <cfRule type="cellIs" dxfId="567" priority="132" operator="equal">
      <formula>"Muy Baja"</formula>
    </cfRule>
  </conditionalFormatting>
  <conditionalFormatting sqref="AH28:AH33">
    <cfRule type="cellIs" dxfId="566" priority="123" operator="equal">
      <formula>"Catastrófico"</formula>
    </cfRule>
    <cfRule type="cellIs" dxfId="565" priority="124" operator="equal">
      <formula>"Mayor"</formula>
    </cfRule>
    <cfRule type="cellIs" dxfId="564" priority="125" operator="equal">
      <formula>"Moderado"</formula>
    </cfRule>
    <cfRule type="cellIs" dxfId="563" priority="126" operator="equal">
      <formula>"Menor"</formula>
    </cfRule>
    <cfRule type="cellIs" dxfId="562" priority="127" operator="equal">
      <formula>"Leve"</formula>
    </cfRule>
  </conditionalFormatting>
  <conditionalFormatting sqref="AJ28:AJ33">
    <cfRule type="cellIs" dxfId="561" priority="119" operator="equal">
      <formula>"Extremo"</formula>
    </cfRule>
    <cfRule type="cellIs" dxfId="560" priority="120" operator="equal">
      <formula>"Alto"</formula>
    </cfRule>
    <cfRule type="cellIs" dxfId="559" priority="121" operator="equal">
      <formula>"Moderado"</formula>
    </cfRule>
    <cfRule type="cellIs" dxfId="558" priority="122" operator="equal">
      <formula>"Bajo"</formula>
    </cfRule>
  </conditionalFormatting>
  <conditionalFormatting sqref="O34">
    <cfRule type="cellIs" dxfId="557" priority="114" operator="equal">
      <formula>"Muy Alta"</formula>
    </cfRule>
    <cfRule type="cellIs" dxfId="556" priority="115" operator="equal">
      <formula>"Alta"</formula>
    </cfRule>
    <cfRule type="cellIs" dxfId="555" priority="116" operator="equal">
      <formula>"Media"</formula>
    </cfRule>
    <cfRule type="cellIs" dxfId="554" priority="117" operator="equal">
      <formula>"Baja"</formula>
    </cfRule>
    <cfRule type="cellIs" dxfId="553" priority="118" operator="equal">
      <formula>"Muy Baja"</formula>
    </cfRule>
  </conditionalFormatting>
  <conditionalFormatting sqref="U34">
    <cfRule type="cellIs" dxfId="552" priority="105" operator="equal">
      <formula>"Extremo"</formula>
    </cfRule>
    <cfRule type="cellIs" dxfId="551" priority="106" operator="equal">
      <formula>"Alto"</formula>
    </cfRule>
    <cfRule type="cellIs" dxfId="550" priority="107" operator="equal">
      <formula>"Moderado"</formula>
    </cfRule>
    <cfRule type="cellIs" dxfId="549" priority="108" operator="equal">
      <formula>"Bajo"</formula>
    </cfRule>
  </conditionalFormatting>
  <conditionalFormatting sqref="AF34:AF39">
    <cfRule type="cellIs" dxfId="548" priority="100" operator="equal">
      <formula>"Muy Alta"</formula>
    </cfRule>
    <cfRule type="cellIs" dxfId="547" priority="101" operator="equal">
      <formula>"Alta"</formula>
    </cfRule>
    <cfRule type="cellIs" dxfId="546" priority="102" operator="equal">
      <formula>"Media"</formula>
    </cfRule>
    <cfRule type="cellIs" dxfId="545" priority="103" operator="equal">
      <formula>"Baja"</formula>
    </cfRule>
    <cfRule type="cellIs" dxfId="544" priority="104" operator="equal">
      <formula>"Muy Baja"</formula>
    </cfRule>
  </conditionalFormatting>
  <conditionalFormatting sqref="AH34:AH39">
    <cfRule type="cellIs" dxfId="543" priority="95" operator="equal">
      <formula>"Catastrófico"</formula>
    </cfRule>
    <cfRule type="cellIs" dxfId="542" priority="96" operator="equal">
      <formula>"Mayor"</formula>
    </cfRule>
    <cfRule type="cellIs" dxfId="541" priority="97" operator="equal">
      <formula>"Moderado"</formula>
    </cfRule>
    <cfRule type="cellIs" dxfId="540" priority="98" operator="equal">
      <formula>"Menor"</formula>
    </cfRule>
    <cfRule type="cellIs" dxfId="539" priority="99" operator="equal">
      <formula>"Leve"</formula>
    </cfRule>
  </conditionalFormatting>
  <conditionalFormatting sqref="AJ34:AJ39">
    <cfRule type="cellIs" dxfId="538" priority="91" operator="equal">
      <formula>"Extremo"</formula>
    </cfRule>
    <cfRule type="cellIs" dxfId="537" priority="92" operator="equal">
      <formula>"Alto"</formula>
    </cfRule>
    <cfRule type="cellIs" dxfId="536" priority="93" operator="equal">
      <formula>"Moderado"</formula>
    </cfRule>
    <cfRule type="cellIs" dxfId="535" priority="94" operator="equal">
      <formula>"Bajo"</formula>
    </cfRule>
  </conditionalFormatting>
  <conditionalFormatting sqref="U40">
    <cfRule type="cellIs" dxfId="534" priority="77" operator="equal">
      <formula>"Extremo"</formula>
    </cfRule>
    <cfRule type="cellIs" dxfId="533" priority="78" operator="equal">
      <formula>"Alto"</formula>
    </cfRule>
    <cfRule type="cellIs" dxfId="532" priority="79" operator="equal">
      <formula>"Moderado"</formula>
    </cfRule>
    <cfRule type="cellIs" dxfId="531" priority="80" operator="equal">
      <formula>"Bajo"</formula>
    </cfRule>
  </conditionalFormatting>
  <conditionalFormatting sqref="AF40:AF45">
    <cfRule type="cellIs" dxfId="530" priority="72" operator="equal">
      <formula>"Muy Alta"</formula>
    </cfRule>
    <cfRule type="cellIs" dxfId="529" priority="73" operator="equal">
      <formula>"Alta"</formula>
    </cfRule>
    <cfRule type="cellIs" dxfId="528" priority="74" operator="equal">
      <formula>"Media"</formula>
    </cfRule>
    <cfRule type="cellIs" dxfId="527" priority="75" operator="equal">
      <formula>"Baja"</formula>
    </cfRule>
    <cfRule type="cellIs" dxfId="526" priority="76" operator="equal">
      <formula>"Muy Baja"</formula>
    </cfRule>
  </conditionalFormatting>
  <conditionalFormatting sqref="AH40:AH45">
    <cfRule type="cellIs" dxfId="525" priority="67" operator="equal">
      <formula>"Catastrófico"</formula>
    </cfRule>
    <cfRule type="cellIs" dxfId="524" priority="68" operator="equal">
      <formula>"Mayor"</formula>
    </cfRule>
    <cfRule type="cellIs" dxfId="523" priority="69" operator="equal">
      <formula>"Moderado"</formula>
    </cfRule>
    <cfRule type="cellIs" dxfId="522" priority="70" operator="equal">
      <formula>"Menor"</formula>
    </cfRule>
    <cfRule type="cellIs" dxfId="521" priority="71" operator="equal">
      <formula>"Leve"</formula>
    </cfRule>
  </conditionalFormatting>
  <conditionalFormatting sqref="AJ40:AJ45">
    <cfRule type="cellIs" dxfId="520" priority="63" operator="equal">
      <formula>"Extremo"</formula>
    </cfRule>
    <cfRule type="cellIs" dxfId="519" priority="64" operator="equal">
      <formula>"Alto"</formula>
    </cfRule>
    <cfRule type="cellIs" dxfId="518" priority="65" operator="equal">
      <formula>"Moderado"</formula>
    </cfRule>
    <cfRule type="cellIs" dxfId="517" priority="66" operator="equal">
      <formula>"Bajo"</formula>
    </cfRule>
  </conditionalFormatting>
  <conditionalFormatting sqref="U46">
    <cfRule type="cellIs" dxfId="516" priority="49" operator="equal">
      <formula>"Extremo"</formula>
    </cfRule>
    <cfRule type="cellIs" dxfId="515" priority="50" operator="equal">
      <formula>"Alto"</formula>
    </cfRule>
    <cfRule type="cellIs" dxfId="514" priority="51" operator="equal">
      <formula>"Moderado"</formula>
    </cfRule>
    <cfRule type="cellIs" dxfId="513" priority="52" operator="equal">
      <formula>"Bajo"</formula>
    </cfRule>
  </conditionalFormatting>
  <conditionalFormatting sqref="AF46:AF51">
    <cfRule type="cellIs" dxfId="512" priority="44" operator="equal">
      <formula>"Muy Alta"</formula>
    </cfRule>
    <cfRule type="cellIs" dxfId="511" priority="45" operator="equal">
      <formula>"Alta"</formula>
    </cfRule>
    <cfRule type="cellIs" dxfId="510" priority="46" operator="equal">
      <formula>"Media"</formula>
    </cfRule>
    <cfRule type="cellIs" dxfId="509" priority="47" operator="equal">
      <formula>"Baja"</formula>
    </cfRule>
    <cfRule type="cellIs" dxfId="508" priority="48" operator="equal">
      <formula>"Muy Baja"</formula>
    </cfRule>
  </conditionalFormatting>
  <conditionalFormatting sqref="AH46:AH51">
    <cfRule type="cellIs" dxfId="507" priority="39" operator="equal">
      <formula>"Catastrófico"</formula>
    </cfRule>
    <cfRule type="cellIs" dxfId="506" priority="40" operator="equal">
      <formula>"Mayor"</formula>
    </cfRule>
    <cfRule type="cellIs" dxfId="505" priority="41" operator="equal">
      <formula>"Moderado"</formula>
    </cfRule>
    <cfRule type="cellIs" dxfId="504" priority="42" operator="equal">
      <formula>"Menor"</formula>
    </cfRule>
    <cfRule type="cellIs" dxfId="503" priority="43" operator="equal">
      <formula>"Leve"</formula>
    </cfRule>
  </conditionalFormatting>
  <conditionalFormatting sqref="AJ46:AJ51">
    <cfRule type="cellIs" dxfId="502" priority="35" operator="equal">
      <formula>"Extremo"</formula>
    </cfRule>
    <cfRule type="cellIs" dxfId="501" priority="36" operator="equal">
      <formula>"Alto"</formula>
    </cfRule>
    <cfRule type="cellIs" dxfId="500" priority="37" operator="equal">
      <formula>"Moderado"</formula>
    </cfRule>
    <cfRule type="cellIs" dxfId="499" priority="38" operator="equal">
      <formula>"Bajo"</formula>
    </cfRule>
  </conditionalFormatting>
  <conditionalFormatting sqref="O52">
    <cfRule type="cellIs" dxfId="498" priority="30" operator="equal">
      <formula>"Muy Alta"</formula>
    </cfRule>
    <cfRule type="cellIs" dxfId="497" priority="31" operator="equal">
      <formula>"Alta"</formula>
    </cfRule>
    <cfRule type="cellIs" dxfId="496" priority="32" operator="equal">
      <formula>"Media"</formula>
    </cfRule>
    <cfRule type="cellIs" dxfId="495" priority="33" operator="equal">
      <formula>"Baja"</formula>
    </cfRule>
    <cfRule type="cellIs" dxfId="494" priority="34" operator="equal">
      <formula>"Muy Baja"</formula>
    </cfRule>
  </conditionalFormatting>
  <conditionalFormatting sqref="U52">
    <cfRule type="cellIs" dxfId="493" priority="21" operator="equal">
      <formula>"Extremo"</formula>
    </cfRule>
    <cfRule type="cellIs" dxfId="492" priority="22" operator="equal">
      <formula>"Alto"</formula>
    </cfRule>
    <cfRule type="cellIs" dxfId="491" priority="23" operator="equal">
      <formula>"Moderado"</formula>
    </cfRule>
    <cfRule type="cellIs" dxfId="490" priority="24" operator="equal">
      <formula>"Bajo"</formula>
    </cfRule>
  </conditionalFormatting>
  <conditionalFormatting sqref="AF52:AF57">
    <cfRule type="cellIs" dxfId="489" priority="16" operator="equal">
      <formula>"Muy Alta"</formula>
    </cfRule>
    <cfRule type="cellIs" dxfId="488" priority="17" operator="equal">
      <formula>"Alta"</formula>
    </cfRule>
    <cfRule type="cellIs" dxfId="487" priority="18" operator="equal">
      <formula>"Media"</formula>
    </cfRule>
    <cfRule type="cellIs" dxfId="486" priority="19" operator="equal">
      <formula>"Baja"</formula>
    </cfRule>
    <cfRule type="cellIs" dxfId="485" priority="20" operator="equal">
      <formula>"Muy Baja"</formula>
    </cfRule>
  </conditionalFormatting>
  <conditionalFormatting sqref="AH52:AH57">
    <cfRule type="cellIs" dxfId="484" priority="11" operator="equal">
      <formula>"Catastrófico"</formula>
    </cfRule>
    <cfRule type="cellIs" dxfId="483" priority="12" operator="equal">
      <formula>"Mayor"</formula>
    </cfRule>
    <cfRule type="cellIs" dxfId="482" priority="13" operator="equal">
      <formula>"Moderado"</formula>
    </cfRule>
    <cfRule type="cellIs" dxfId="481" priority="14" operator="equal">
      <formula>"Menor"</formula>
    </cfRule>
    <cfRule type="cellIs" dxfId="480" priority="15" operator="equal">
      <formula>"Leve"</formula>
    </cfRule>
  </conditionalFormatting>
  <conditionalFormatting sqref="AJ52:AJ57">
    <cfRule type="cellIs" dxfId="479" priority="7" operator="equal">
      <formula>"Extremo"</formula>
    </cfRule>
    <cfRule type="cellIs" dxfId="478" priority="8" operator="equal">
      <formula>"Alto"</formula>
    </cfRule>
    <cfRule type="cellIs" dxfId="477" priority="9" operator="equal">
      <formula>"Moderado"</formula>
    </cfRule>
    <cfRule type="cellIs" dxfId="476" priority="10" operator="equal">
      <formula>"Bajo"</formula>
    </cfRule>
  </conditionalFormatting>
  <conditionalFormatting sqref="R13:R57">
    <cfRule type="containsText" dxfId="475" priority="6" operator="containsText" text="❌">
      <formula>NOT(ISERROR(SEARCH("❌",R13)))</formula>
    </cfRule>
  </conditionalFormatting>
  <conditionalFormatting sqref="O40">
    <cfRule type="cellIs" dxfId="474" priority="1" operator="equal">
      <formula>"Muy Alta"</formula>
    </cfRule>
    <cfRule type="cellIs" dxfId="473" priority="2" operator="equal">
      <formula>"Alta"</formula>
    </cfRule>
    <cfRule type="cellIs" dxfId="472" priority="3" operator="equal">
      <formula>"Media"</formula>
    </cfRule>
    <cfRule type="cellIs" dxfId="471" priority="4" operator="equal">
      <formula>"Baja"</formula>
    </cfRule>
    <cfRule type="cellIs" dxfId="470" priority="5" operator="equal">
      <formula>"Muy Baja"</formula>
    </cfRule>
  </conditionalFormatting>
  <dataValidations count="1">
    <dataValidation allowBlank="1" showInputMessage="1" showErrorMessage="1" error="Recuerde que las acciones se generan bajo la medida de mitigar el riesgo" sqref="AQ14 AP15:AQ15" xr:uid="{00000000-0002-0000-0300-000000000000}"/>
  </dataValidations>
  <pageMargins left="0.70866141732283472" right="0.70866141732283472" top="0.74803149606299213" bottom="0.74803149606299213" header="0.31496062992125984" footer="0.31496062992125984"/>
  <pageSetup scale="31" orientation="landscape" r:id="rId1"/>
  <headerFooter>
    <oddFooter>&amp;LCalle 26 No. 69-76,Edificio Elemento ,   Torre Aire , Piso 3, CP-111071
PBX:(+57) 601-3779555 - Información: Línea 195
Sede Operativa: Calle 22D No. 120-40 
www.umv.gov.co&amp;CDESI-FM-018
Página &amp;P de &amp;N</oddFooter>
  </headerFooter>
  <colBreaks count="1" manualBreakCount="1">
    <brk id="20" max="75" man="1"/>
  </colBreaks>
  <drawing r:id="rId2"/>
  <extLst>
    <ext xmlns:x14="http://schemas.microsoft.com/office/spreadsheetml/2009/9/main" uri="{CCE6A557-97BC-4b89-ADB6-D9C93CAAB3DF}">
      <x14:dataValidations xmlns:xm="http://schemas.microsoft.com/office/excel/2006/main" count="14">
        <x14:dataValidation type="custom" allowBlank="1" showInputMessage="1" showErrorMessage="1" error="Recuerde que las acciones se generan bajo la medida de mitigar el riesgo" xr:uid="{00000000-0002-0000-0300-000001000000}">
          <x14:formula1>
            <xm:f>IF(OR(#REF!=Listas!$B$2,#REF!=Listas!$B$3,#REF!=Listas!$B$4),ISBLANK(#REF!),ISTEXT(#REF!))</xm:f>
          </x14:formula1>
          <xm:sqref>AP16:AR16 AP52:AR52 AP46:AR46 AP40:AR40 AP34:AR34 AP28:AR28 AP22:AR22</xm:sqref>
        </x14:dataValidation>
        <x14:dataValidation type="list" allowBlank="1" showInputMessage="1" showErrorMessage="1" xr:uid="{00000000-0002-0000-0300-000002000000}">
          <x14:formula1>
            <xm:f>Intructivo!$C$300:$C$316</xm:f>
          </x14:formula1>
          <xm:sqref>C6 U6:V6</xm:sqref>
        </x14:dataValidation>
        <x14:dataValidation type="list" allowBlank="1" showInputMessage="1" showErrorMessage="1" xr:uid="{00000000-0002-0000-0300-000003000000}">
          <x14:formula1>
            <xm:f>'Tabla Valoración controles'!$D$4:$D$6</xm:f>
          </x14:formula1>
          <xm:sqref>Y13:Y57</xm:sqref>
        </x14:dataValidation>
        <x14:dataValidation type="list" allowBlank="1" showInputMessage="1" showErrorMessage="1" xr:uid="{00000000-0002-0000-0300-000004000000}">
          <x14:formula1>
            <xm:f>'Tabla Valoración controles'!$D$7:$D$8</xm:f>
          </x14:formula1>
          <xm:sqref>Z13:Z57</xm:sqref>
        </x14:dataValidation>
        <x14:dataValidation type="list" allowBlank="1" showInputMessage="1" showErrorMessage="1" xr:uid="{00000000-0002-0000-0300-000005000000}">
          <x14:formula1>
            <xm:f>'Tabla Valoración controles'!$D$9:$D$10</xm:f>
          </x14:formula1>
          <xm:sqref>AB13:AB57</xm:sqref>
        </x14:dataValidation>
        <x14:dataValidation type="list" allowBlank="1" showInputMessage="1" showErrorMessage="1" xr:uid="{00000000-0002-0000-0300-000006000000}">
          <x14:formula1>
            <xm:f>'Tabla Valoración controles'!$D$11:$D$12</xm:f>
          </x14:formula1>
          <xm:sqref>AC13:AC57</xm:sqref>
        </x14:dataValidation>
        <x14:dataValidation type="list" allowBlank="1" showInputMessage="1" showErrorMessage="1" xr:uid="{00000000-0002-0000-0300-000007000000}">
          <x14:formula1>
            <xm:f>'Tabla Valoración controles'!$D$13:$D$14</xm:f>
          </x14:formula1>
          <xm:sqref>AD13:AD57</xm:sqref>
        </x14:dataValidation>
        <x14:dataValidation type="list" allowBlank="1" showInputMessage="1" showErrorMessage="1" xr:uid="{00000000-0002-0000-0300-000008000000}">
          <x14:formula1>
            <xm:f>Listas!$E$2:$E$4</xm:f>
          </x14:formula1>
          <xm:sqref>B13:B57</xm:sqref>
        </x14:dataValidation>
        <x14:dataValidation type="list" allowBlank="1" showInputMessage="1" showErrorMessage="1" xr:uid="{00000000-0002-0000-0300-000009000000}">
          <x14:formula1>
            <xm:f>Listas!$B$2:$B$5</xm:f>
          </x14:formula1>
          <xm:sqref>AK13:AK57</xm:sqref>
        </x14:dataValidation>
        <x14:dataValidation type="list" allowBlank="1" showInputMessage="1" showErrorMessage="1" xr:uid="{00000000-0002-0000-0300-00000A000000}">
          <x14:formula1>
            <xm:f>'Tabla Impacto'!$F$211:$F$222</xm:f>
          </x14:formula1>
          <xm:sqref>Q13:Q57</xm:sqref>
        </x14:dataValidation>
        <x14:dataValidation type="list" allowBlank="1" showInputMessage="1" showErrorMessage="1" xr:uid="{00000000-0002-0000-0300-00000B000000}">
          <x14:formula1>
            <xm:f>Listas!$B$12:$B$16</xm:f>
          </x14:formula1>
          <xm:sqref>F13:F57</xm:sqref>
        </x14:dataValidation>
        <x14:dataValidation type="list" allowBlank="1" showInputMessage="1" showErrorMessage="1" xr:uid="{00000000-0002-0000-0300-00000C000000}">
          <x14:formula1>
            <xm:f>Listas!$F$8:$F$9</xm:f>
          </x14:formula1>
          <xm:sqref>G13:G57</xm:sqref>
        </x14:dataValidation>
        <x14:dataValidation type="list" allowBlank="1" showInputMessage="1" showErrorMessage="1" xr:uid="{00000000-0002-0000-0300-00000D000000}">
          <x14:formula1>
            <xm:f>Listas!$H$8:$H$12</xm:f>
          </x14:formula1>
          <xm:sqref>L13:L57</xm:sqref>
        </x14:dataValidation>
        <x14:dataValidation type="list" allowBlank="1" showInputMessage="1" showErrorMessage="1" xr:uid="{00000000-0002-0000-0300-00000E000000}">
          <x14:formula1>
            <xm:f>Listas!$H$14:$H$18</xm:f>
          </x14:formula1>
          <xm:sqref>M13:M57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topLeftCell="A2" zoomScale="40" zoomScaleNormal="40" workbookViewId="0">
      <selection activeCell="Z14" sqref="Z14:AA15"/>
    </sheetView>
  </sheetViews>
  <sheetFormatPr baseColWidth="10" defaultColWidth="11.42578125" defaultRowHeight="15" x14ac:dyDescent="0.25"/>
  <cols>
    <col min="2" max="39" width="5.7109375" customWidth="1"/>
    <col min="41" max="46" width="5.7109375" customWidth="1"/>
  </cols>
  <sheetData>
    <row r="1" spans="1:99"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row>
    <row r="2" spans="1:99" ht="18" customHeight="1" x14ac:dyDescent="0.25">
      <c r="A2" s="66"/>
      <c r="B2" s="396" t="s">
        <v>263</v>
      </c>
      <c r="C2" s="396"/>
      <c r="D2" s="396"/>
      <c r="E2" s="396"/>
      <c r="F2" s="396"/>
      <c r="G2" s="396"/>
      <c r="H2" s="396"/>
      <c r="I2" s="396"/>
      <c r="J2" s="433" t="s">
        <v>15</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row>
    <row r="3" spans="1:99" ht="18.75" customHeight="1" x14ac:dyDescent="0.25">
      <c r="A3" s="66"/>
      <c r="B3" s="396"/>
      <c r="C3" s="396"/>
      <c r="D3" s="396"/>
      <c r="E3" s="396"/>
      <c r="F3" s="396"/>
      <c r="G3" s="396"/>
      <c r="H3" s="396"/>
      <c r="I3" s="396"/>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row>
    <row r="4" spans="1:99" ht="15" customHeight="1" x14ac:dyDescent="0.25">
      <c r="A4" s="66"/>
      <c r="B4" s="396"/>
      <c r="C4" s="396"/>
      <c r="D4" s="396"/>
      <c r="E4" s="396"/>
      <c r="F4" s="396"/>
      <c r="G4" s="396"/>
      <c r="H4" s="396"/>
      <c r="I4" s="396"/>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row>
    <row r="5" spans="1:99"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row>
    <row r="6" spans="1:99" ht="15" customHeight="1" x14ac:dyDescent="0.25">
      <c r="A6" s="66"/>
      <c r="B6" s="444" t="s">
        <v>264</v>
      </c>
      <c r="C6" s="444"/>
      <c r="D6" s="445"/>
      <c r="E6" s="434" t="s">
        <v>265</v>
      </c>
      <c r="F6" s="435"/>
      <c r="G6" s="435"/>
      <c r="H6" s="435"/>
      <c r="I6" s="436"/>
      <c r="J6" s="430" t="str">
        <f>IF(AND('Riesgos de Gestión'!$O$13="Muy Alta",'Riesgos de Gestión'!$S$13="Leve"),CONCATENATE("R",'Riesgos de Gestión'!$A$13),"")</f>
        <v/>
      </c>
      <c r="K6" s="431"/>
      <c r="L6" s="431" t="str">
        <f>IF(AND('Riesgos de Gestión'!$O$14="Muy Alta",'Riesgos de Gestión'!$S$14="Leve"),CONCATENATE("R",'Riesgos de Gestión'!$A$14),"")</f>
        <v/>
      </c>
      <c r="M6" s="431"/>
      <c r="N6" s="431" t="str">
        <f>IF(AND('Riesgos de Gestión'!$O$15="Muy Alta",'Riesgos de Gestión'!$S$15="Leve"),CONCATENATE("R",'Riesgos de Gestión'!$A$15),"")</f>
        <v/>
      </c>
      <c r="O6" s="432"/>
      <c r="P6" s="430" t="str">
        <f>IF(AND('Riesgos de Gestión'!$O$13="Muy Alta",'Riesgos de Gestión'!$S$13="Menor"),CONCATENATE("R",'Riesgos de Gestión'!$A$13),"")</f>
        <v/>
      </c>
      <c r="Q6" s="431"/>
      <c r="R6" s="431" t="str">
        <f>IF(AND('Riesgos de Gestión'!$O$14="Muy Alta",'Riesgos de Gestión'!$S$14="Menor"),CONCATENATE("R",'Riesgos de Gestión'!$A$14),"")</f>
        <v/>
      </c>
      <c r="S6" s="431"/>
      <c r="T6" s="431" t="str">
        <f>IF(AND('Riesgos de Gestión'!$O$15="Muy Alta",'Riesgos de Gestión'!$S$15="Menor"),CONCATENATE("R",'Riesgos de Gestión'!$A$15),"")</f>
        <v/>
      </c>
      <c r="U6" s="432"/>
      <c r="V6" s="430" t="str">
        <f>IF(AND('Riesgos de Gestión'!$O$13="Muy Alta",'Riesgos de Gestión'!$S$13="Moderado"),CONCATENATE("R",'Riesgos de Gestión'!$A$13),"")</f>
        <v/>
      </c>
      <c r="W6" s="431"/>
      <c r="X6" s="431" t="str">
        <f>IF(AND('Riesgos de Gestión'!$O$14="Muy Alta",'Riesgos de Gestión'!$S$14="Moderado"),CONCATENATE("R",'Riesgos de Gestión'!$A$14),"")</f>
        <v/>
      </c>
      <c r="Y6" s="431"/>
      <c r="Z6" s="431" t="str">
        <f>IF(AND('Riesgos de Gestión'!$O$15="Muy Alta",'Riesgos de Gestión'!$S$15="Moderado"),CONCATENATE("R",'Riesgos de Gestión'!$A$15),"")</f>
        <v/>
      </c>
      <c r="AA6" s="432"/>
      <c r="AB6" s="430" t="str">
        <f>IF(AND('Riesgos de Gestión'!$O$13="Muy Alta",'Riesgos de Gestión'!$S$13="Mayor"),CONCATENATE("R",'Riesgos de Gestión'!$A$13),"")</f>
        <v/>
      </c>
      <c r="AC6" s="431"/>
      <c r="AD6" s="431" t="str">
        <f>IF(AND('Riesgos de Gestión'!$O$14="Muy Alta",'Riesgos de Gestión'!$S$14="Mayor"),CONCATENATE("R",'Riesgos de Gestión'!$A$14),"")</f>
        <v/>
      </c>
      <c r="AE6" s="431"/>
      <c r="AF6" s="431" t="str">
        <f>IF(AND('Riesgos de Gestión'!$O$15="Muy Alta",'Riesgos de Gestión'!$S$15="Mayor"),CONCATENATE("R",'Riesgos de Gestión'!$A$15),"")</f>
        <v/>
      </c>
      <c r="AG6" s="432"/>
      <c r="AH6" s="421" t="str">
        <f>IF(AND('Riesgos de Gestión'!$O$13="Muy Alta",'Riesgos de Gestión'!$S$13="Catastrófico"),CONCATENATE("R",'Riesgos de Gestión'!$A$13),"")</f>
        <v/>
      </c>
      <c r="AI6" s="422"/>
      <c r="AJ6" s="422" t="str">
        <f>IF(AND('Riesgos de Gestión'!$O$14="Muy Alta",'Riesgos de Gestión'!$S$14="Catastrófico"),CONCATENATE("R",'Riesgos de Gestión'!$A$14),"")</f>
        <v/>
      </c>
      <c r="AK6" s="422"/>
      <c r="AL6" s="422" t="str">
        <f>IF(AND('Riesgos de Gestión'!$O$15="Muy Alta",'Riesgos de Gestión'!$S$15="Catastrófico"),CONCATENATE("R",'Riesgos de Gestión'!$A$15),"")</f>
        <v/>
      </c>
      <c r="AM6" s="423"/>
      <c r="AO6" s="446" t="s">
        <v>266</v>
      </c>
      <c r="AP6" s="447"/>
      <c r="AQ6" s="447"/>
      <c r="AR6" s="447"/>
      <c r="AS6" s="447"/>
      <c r="AT6" s="448"/>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99" ht="15" customHeight="1" x14ac:dyDescent="0.25">
      <c r="A7" s="66"/>
      <c r="B7" s="444"/>
      <c r="C7" s="444"/>
      <c r="D7" s="445"/>
      <c r="E7" s="437"/>
      <c r="F7" s="438"/>
      <c r="G7" s="438"/>
      <c r="H7" s="438"/>
      <c r="I7" s="439"/>
      <c r="J7" s="424"/>
      <c r="K7" s="425"/>
      <c r="L7" s="425"/>
      <c r="M7" s="425"/>
      <c r="N7" s="425"/>
      <c r="O7" s="426"/>
      <c r="P7" s="424"/>
      <c r="Q7" s="425"/>
      <c r="R7" s="425"/>
      <c r="S7" s="425"/>
      <c r="T7" s="425"/>
      <c r="U7" s="426"/>
      <c r="V7" s="424"/>
      <c r="W7" s="425"/>
      <c r="X7" s="425"/>
      <c r="Y7" s="425"/>
      <c r="Z7" s="425"/>
      <c r="AA7" s="426"/>
      <c r="AB7" s="424"/>
      <c r="AC7" s="425"/>
      <c r="AD7" s="425"/>
      <c r="AE7" s="425"/>
      <c r="AF7" s="425"/>
      <c r="AG7" s="426"/>
      <c r="AH7" s="415"/>
      <c r="AI7" s="416"/>
      <c r="AJ7" s="416"/>
      <c r="AK7" s="416"/>
      <c r="AL7" s="416"/>
      <c r="AM7" s="417"/>
      <c r="AN7" s="66"/>
      <c r="AO7" s="449"/>
      <c r="AP7" s="450"/>
      <c r="AQ7" s="450"/>
      <c r="AR7" s="450"/>
      <c r="AS7" s="450"/>
      <c r="AT7" s="451"/>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1:99" ht="15" customHeight="1" x14ac:dyDescent="0.25">
      <c r="A8" s="66"/>
      <c r="B8" s="444"/>
      <c r="C8" s="444"/>
      <c r="D8" s="445"/>
      <c r="E8" s="437"/>
      <c r="F8" s="438"/>
      <c r="G8" s="438"/>
      <c r="H8" s="438"/>
      <c r="I8" s="439"/>
      <c r="J8" s="424" t="str">
        <f>IF(AND('Riesgos de Gestión'!$O$16="Muy Alta",'Riesgos de Gestión'!$S$16="Leve"),CONCATENATE("R",'Riesgos de Gestión'!$A$16),"")</f>
        <v/>
      </c>
      <c r="K8" s="425"/>
      <c r="L8" s="425" t="str">
        <f>IF(AND('Riesgos de Gestión'!$O$22="Muy Alta",'Riesgos de Gestión'!$S$22="Leve"),CONCATENATE("R",'Riesgos de Gestión'!$A$22),"")</f>
        <v/>
      </c>
      <c r="M8" s="425"/>
      <c r="N8" s="425" t="str">
        <f>IF(AND('Riesgos de Gestión'!$O$28="Muy Alta",'Riesgos de Gestión'!$S$28="Leve"),CONCATENATE("R",'Riesgos de Gestión'!$A$28),"")</f>
        <v/>
      </c>
      <c r="O8" s="426"/>
      <c r="P8" s="424" t="str">
        <f>IF(AND('Riesgos de Gestión'!$O$16="Muy Alta",'Riesgos de Gestión'!$S$16="Menor"),CONCATENATE("R",'Riesgos de Gestión'!$A$16),"")</f>
        <v/>
      </c>
      <c r="Q8" s="425"/>
      <c r="R8" s="425" t="str">
        <f>IF(AND('Riesgos de Gestión'!$O$22="Muy Alta",'Riesgos de Gestión'!$S$22="Menor"),CONCATENATE("R",'Riesgos de Gestión'!$A$22),"")</f>
        <v/>
      </c>
      <c r="S8" s="425"/>
      <c r="T8" s="425" t="str">
        <f>IF(AND('Riesgos de Gestión'!$O$28="Muy Alta",'Riesgos de Gestión'!$S$28="Menor"),CONCATENATE("R",'Riesgos de Gestión'!$A$28),"")</f>
        <v/>
      </c>
      <c r="U8" s="426"/>
      <c r="V8" s="424" t="str">
        <f>IF(AND('Riesgos de Gestión'!$O$16="Muy Alta",'Riesgos de Gestión'!$S$16="Moderado"),CONCATENATE("R",'Riesgos de Gestión'!$A$16),"")</f>
        <v/>
      </c>
      <c r="W8" s="425"/>
      <c r="X8" s="425" t="str">
        <f>IF(AND('Riesgos de Gestión'!$O$22="Muy Alta",'Riesgos de Gestión'!$S$22="Moderado"),CONCATENATE("R",'Riesgos de Gestión'!$A$22),"")</f>
        <v/>
      </c>
      <c r="Y8" s="425"/>
      <c r="Z8" s="425" t="str">
        <f>IF(AND('Riesgos de Gestión'!$O$28="Muy Alta",'Riesgos de Gestión'!$S$28="Moderado"),CONCATENATE("R",'Riesgos de Gestión'!$A$28),"")</f>
        <v/>
      </c>
      <c r="AA8" s="426"/>
      <c r="AB8" s="424" t="str">
        <f>IF(AND('Riesgos de Gestión'!$O$16="Muy Alta",'Riesgos de Gestión'!$S$16="Mayor"),CONCATENATE("R",'Riesgos de Gestión'!$A$16),"")</f>
        <v/>
      </c>
      <c r="AC8" s="425"/>
      <c r="AD8" s="425" t="str">
        <f>IF(AND('Riesgos de Gestión'!$O$22="Muy Alta",'Riesgos de Gestión'!$S$22="Mayor"),CONCATENATE("R",'Riesgos de Gestión'!$A$22),"")</f>
        <v/>
      </c>
      <c r="AE8" s="425"/>
      <c r="AF8" s="425" t="str">
        <f>IF(AND('Riesgos de Gestión'!$O$28="Muy Alta",'Riesgos de Gestión'!$S$28="Mayor"),CONCATENATE("R",'Riesgos de Gestión'!$A$28),"")</f>
        <v/>
      </c>
      <c r="AG8" s="426"/>
      <c r="AH8" s="415" t="str">
        <f>IF(AND('Riesgos de Gestión'!$O$16="Muy Alta",'Riesgos de Gestión'!$S$16="Catastrófico"),CONCATENATE("R",'Riesgos de Gestión'!$A$16),"")</f>
        <v/>
      </c>
      <c r="AI8" s="416"/>
      <c r="AJ8" s="416" t="str">
        <f>IF(AND('Riesgos de Gestión'!$O$22="Muy Alta",'Riesgos de Gestión'!$S$22="Catastrófico"),CONCATENATE("R",'Riesgos de Gestión'!$A$22),"")</f>
        <v/>
      </c>
      <c r="AK8" s="416"/>
      <c r="AL8" s="416" t="str">
        <f>IF(AND('Riesgos de Gestión'!$O$28="Muy Alta",'Riesgos de Gestión'!$S$28="Catastrófico"),CONCATENATE("R",'Riesgos de Gestión'!$A$28),"")</f>
        <v/>
      </c>
      <c r="AM8" s="417"/>
      <c r="AN8" s="66"/>
      <c r="AO8" s="449"/>
      <c r="AP8" s="450"/>
      <c r="AQ8" s="450"/>
      <c r="AR8" s="450"/>
      <c r="AS8" s="450"/>
      <c r="AT8" s="451"/>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99" ht="15" customHeight="1" x14ac:dyDescent="0.25">
      <c r="A9" s="66"/>
      <c r="B9" s="444"/>
      <c r="C9" s="444"/>
      <c r="D9" s="445"/>
      <c r="E9" s="437"/>
      <c r="F9" s="438"/>
      <c r="G9" s="438"/>
      <c r="H9" s="438"/>
      <c r="I9" s="439"/>
      <c r="J9" s="424"/>
      <c r="K9" s="425"/>
      <c r="L9" s="425"/>
      <c r="M9" s="425"/>
      <c r="N9" s="425"/>
      <c r="O9" s="426"/>
      <c r="P9" s="424"/>
      <c r="Q9" s="425"/>
      <c r="R9" s="425"/>
      <c r="S9" s="425"/>
      <c r="T9" s="425"/>
      <c r="U9" s="426"/>
      <c r="V9" s="424"/>
      <c r="W9" s="425"/>
      <c r="X9" s="425"/>
      <c r="Y9" s="425"/>
      <c r="Z9" s="425"/>
      <c r="AA9" s="426"/>
      <c r="AB9" s="424"/>
      <c r="AC9" s="425"/>
      <c r="AD9" s="425"/>
      <c r="AE9" s="425"/>
      <c r="AF9" s="425"/>
      <c r="AG9" s="426"/>
      <c r="AH9" s="415"/>
      <c r="AI9" s="416"/>
      <c r="AJ9" s="416"/>
      <c r="AK9" s="416"/>
      <c r="AL9" s="416"/>
      <c r="AM9" s="417"/>
      <c r="AN9" s="66"/>
      <c r="AO9" s="449"/>
      <c r="AP9" s="450"/>
      <c r="AQ9" s="450"/>
      <c r="AR9" s="450"/>
      <c r="AS9" s="450"/>
      <c r="AT9" s="451"/>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1:99" ht="15" customHeight="1" x14ac:dyDescent="0.25">
      <c r="A10" s="66"/>
      <c r="B10" s="444"/>
      <c r="C10" s="444"/>
      <c r="D10" s="445"/>
      <c r="E10" s="437"/>
      <c r="F10" s="438"/>
      <c r="G10" s="438"/>
      <c r="H10" s="438"/>
      <c r="I10" s="439"/>
      <c r="J10" s="424" t="str">
        <f>IF(AND('Riesgos de Gestión'!$O$34="Muy Alta",'Riesgos de Gestión'!$S$34="Leve"),CONCATENATE("R",'Riesgos de Gestión'!$A$34),"")</f>
        <v/>
      </c>
      <c r="K10" s="425"/>
      <c r="L10" s="425" t="str">
        <f>IF(AND('Riesgos de Gestión'!$O$40="Muy Alta",'Riesgos de Gestión'!$S$40="Leve"),CONCATENATE("R",'Riesgos de Gestión'!$A$40),"")</f>
        <v/>
      </c>
      <c r="M10" s="425"/>
      <c r="N10" s="425" t="str">
        <f>IF(AND('Riesgos de Gestión'!$O$46="Muy Alta",'Riesgos de Gestión'!$S$46="Leve"),CONCATENATE("R",'Riesgos de Gestión'!$A$46),"")</f>
        <v/>
      </c>
      <c r="O10" s="426"/>
      <c r="P10" s="424" t="str">
        <f>IF(AND('Riesgos de Gestión'!$O$34="Muy Alta",'Riesgos de Gestión'!$S$34="Menor"),CONCATENATE("R",'Riesgos de Gestión'!$A$34),"")</f>
        <v/>
      </c>
      <c r="Q10" s="425"/>
      <c r="R10" s="425" t="str">
        <f>IF(AND('Riesgos de Gestión'!$O$40="Muy Alta",'Riesgos de Gestión'!$S$40="Menor"),CONCATENATE("R",'Riesgos de Gestión'!$A$40),"")</f>
        <v/>
      </c>
      <c r="S10" s="425"/>
      <c r="T10" s="425" t="str">
        <f>IF(AND('Riesgos de Gestión'!$O$46="Muy Alta",'Riesgos de Gestión'!$S$46="Menor"),CONCATENATE("R",'Riesgos de Gestión'!$A$46),"")</f>
        <v/>
      </c>
      <c r="U10" s="426"/>
      <c r="V10" s="424" t="str">
        <f>IF(AND('Riesgos de Gestión'!$O$34="Muy Alta",'Riesgos de Gestión'!$S$34="Moderado"),CONCATENATE("R",'Riesgos de Gestión'!$A$34),"")</f>
        <v/>
      </c>
      <c r="W10" s="425"/>
      <c r="X10" s="425" t="str">
        <f>IF(AND('Riesgos de Gestión'!$O$40="Muy Alta",'Riesgos de Gestión'!$S$40="Moderado"),CONCATENATE("R",'Riesgos de Gestión'!$A$40),"")</f>
        <v/>
      </c>
      <c r="Y10" s="425"/>
      <c r="Z10" s="425" t="str">
        <f>IF(AND('Riesgos de Gestión'!$O$46="Muy Alta",'Riesgos de Gestión'!$S$46="Moderado"),CONCATENATE("R",'Riesgos de Gestión'!$A$46),"")</f>
        <v/>
      </c>
      <c r="AA10" s="426"/>
      <c r="AB10" s="424" t="str">
        <f>IF(AND('Riesgos de Gestión'!$O$34="Muy Alta",'Riesgos de Gestión'!$S$34="Mayor"),CONCATENATE("R",'Riesgos de Gestión'!$A$34),"")</f>
        <v/>
      </c>
      <c r="AC10" s="425"/>
      <c r="AD10" s="425" t="str">
        <f>IF(AND('Riesgos de Gestión'!$O$40="Muy Alta",'Riesgos de Gestión'!$S$40="Mayor"),CONCATENATE("R",'Riesgos de Gestión'!$A$40),"")</f>
        <v/>
      </c>
      <c r="AE10" s="425"/>
      <c r="AF10" s="425" t="str">
        <f>IF(AND('Riesgos de Gestión'!$O$46="Muy Alta",'Riesgos de Gestión'!$S$46="Mayor"),CONCATENATE("R",'Riesgos de Gestión'!$A$46),"")</f>
        <v/>
      </c>
      <c r="AG10" s="426"/>
      <c r="AH10" s="415" t="str">
        <f>IF(AND('Riesgos de Gestión'!$O$34="Muy Alta",'Riesgos de Gestión'!$S$34="Catastrófico"),CONCATENATE("R",'Riesgos de Gestión'!$A$34),"")</f>
        <v/>
      </c>
      <c r="AI10" s="416"/>
      <c r="AJ10" s="416" t="str">
        <f>IF(AND('Riesgos de Gestión'!$O$40="Muy Alta",'Riesgos de Gestión'!$S$40="Catastrófico"),CONCATENATE("R",'Riesgos de Gestión'!$A$40),"")</f>
        <v/>
      </c>
      <c r="AK10" s="416"/>
      <c r="AL10" s="416" t="str">
        <f>IF(AND('Riesgos de Gestión'!$O$46="Muy Alta",'Riesgos de Gestión'!$S$46="Catastrófico"),CONCATENATE("R",'Riesgos de Gestión'!$A$46),"")</f>
        <v/>
      </c>
      <c r="AM10" s="417"/>
      <c r="AN10" s="66"/>
      <c r="AO10" s="449"/>
      <c r="AP10" s="450"/>
      <c r="AQ10" s="450"/>
      <c r="AR10" s="450"/>
      <c r="AS10" s="450"/>
      <c r="AT10" s="451"/>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99" ht="15" customHeight="1" x14ac:dyDescent="0.25">
      <c r="A11" s="66"/>
      <c r="B11" s="444"/>
      <c r="C11" s="444"/>
      <c r="D11" s="445"/>
      <c r="E11" s="437"/>
      <c r="F11" s="438"/>
      <c r="G11" s="438"/>
      <c r="H11" s="438"/>
      <c r="I11" s="439"/>
      <c r="J11" s="424"/>
      <c r="K11" s="425"/>
      <c r="L11" s="425"/>
      <c r="M11" s="425"/>
      <c r="N11" s="425"/>
      <c r="O11" s="426"/>
      <c r="P11" s="424"/>
      <c r="Q11" s="425"/>
      <c r="R11" s="425"/>
      <c r="S11" s="425"/>
      <c r="T11" s="425"/>
      <c r="U11" s="426"/>
      <c r="V11" s="424"/>
      <c r="W11" s="425"/>
      <c r="X11" s="425"/>
      <c r="Y11" s="425"/>
      <c r="Z11" s="425"/>
      <c r="AA11" s="426"/>
      <c r="AB11" s="424"/>
      <c r="AC11" s="425"/>
      <c r="AD11" s="425"/>
      <c r="AE11" s="425"/>
      <c r="AF11" s="425"/>
      <c r="AG11" s="426"/>
      <c r="AH11" s="415"/>
      <c r="AI11" s="416"/>
      <c r="AJ11" s="416"/>
      <c r="AK11" s="416"/>
      <c r="AL11" s="416"/>
      <c r="AM11" s="417"/>
      <c r="AN11" s="66"/>
      <c r="AO11" s="449"/>
      <c r="AP11" s="450"/>
      <c r="AQ11" s="450"/>
      <c r="AR11" s="450"/>
      <c r="AS11" s="450"/>
      <c r="AT11" s="451"/>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1:99" ht="15" customHeight="1" x14ac:dyDescent="0.25">
      <c r="A12" s="66"/>
      <c r="B12" s="444"/>
      <c r="C12" s="444"/>
      <c r="D12" s="445"/>
      <c r="E12" s="437"/>
      <c r="F12" s="438"/>
      <c r="G12" s="438"/>
      <c r="H12" s="438"/>
      <c r="I12" s="439"/>
      <c r="J12" s="424" t="str">
        <f>IF(AND('Riesgos de Gestión'!$O$52="Muy Alta",'Riesgos de Gestión'!$S$52="Leve"),CONCATENATE("R",'Riesgos de Gestión'!$A$52),"")</f>
        <v/>
      </c>
      <c r="K12" s="425"/>
      <c r="L12" s="425" t="str">
        <f>IF(AND('Riesgos de Gestión'!$P$58="Muy Alta",'Riesgos de Gestión'!$T$58="Leve"),CONCATENATE("R",'Riesgos de Gestión'!$A$58),"")</f>
        <v/>
      </c>
      <c r="M12" s="425"/>
      <c r="N12" s="425" t="str">
        <f>IF(AND('Riesgos de Gestión'!$P$64="Muy Alta",'Riesgos de Gestión'!$T$64="Leve"),CONCATENATE("R",'Riesgos de Gestión'!$A$64),"")</f>
        <v/>
      </c>
      <c r="O12" s="426"/>
      <c r="P12" s="424" t="str">
        <f>IF(AND('Riesgos de Gestión'!$O$52="Muy Alta",'Riesgos de Gestión'!$S$52="Menor"),CONCATENATE("R",'Riesgos de Gestión'!$A$52),"")</f>
        <v/>
      </c>
      <c r="Q12" s="425"/>
      <c r="R12" s="425" t="str">
        <f>IF(AND('Riesgos de Gestión'!$P$58="Muy Alta",'Riesgos de Gestión'!$T$58="Menor"),CONCATENATE("R",'Riesgos de Gestión'!$A$58),"")</f>
        <v/>
      </c>
      <c r="S12" s="425"/>
      <c r="T12" s="425" t="str">
        <f>IF(AND('Riesgos de Gestión'!$P$64="Muy Alta",'Riesgos de Gestión'!$T$64="Menor"),CONCATENATE("R",'Riesgos de Gestión'!$A$64),"")</f>
        <v/>
      </c>
      <c r="U12" s="426"/>
      <c r="V12" s="424" t="str">
        <f>IF(AND('Riesgos de Gestión'!$O$52="Muy Alta",'Riesgos de Gestión'!$S$52="Moderado"),CONCATENATE("R",'Riesgos de Gestión'!$A$52),"")</f>
        <v/>
      </c>
      <c r="W12" s="425"/>
      <c r="X12" s="425" t="str">
        <f>IF(AND('Riesgos de Gestión'!$P$58="Muy Alta",'Riesgos de Gestión'!$T$58="Moderado"),CONCATENATE("R",'Riesgos de Gestión'!$A$58),"")</f>
        <v/>
      </c>
      <c r="Y12" s="425"/>
      <c r="Z12" s="425" t="str">
        <f>IF(AND('Riesgos de Gestión'!$P$64="Muy Alta",'Riesgos de Gestión'!$T$64="Moderado"),CONCATENATE("R",'Riesgos de Gestión'!$A$64),"")</f>
        <v/>
      </c>
      <c r="AA12" s="426"/>
      <c r="AB12" s="424" t="str">
        <f>IF(AND('Riesgos de Gestión'!$O$52="Muy Alta",'Riesgos de Gestión'!$S$52="Mayor"),CONCATENATE("R",'Riesgos de Gestión'!$A$52),"")</f>
        <v/>
      </c>
      <c r="AC12" s="425"/>
      <c r="AD12" s="425" t="str">
        <f>IF(AND('Riesgos de Gestión'!$P$58="Muy Alta",'Riesgos de Gestión'!$T$58="Mayor"),CONCATENATE("R",'Riesgos de Gestión'!$A$58),"")</f>
        <v/>
      </c>
      <c r="AE12" s="425"/>
      <c r="AF12" s="425" t="str">
        <f>IF(AND('Riesgos de Gestión'!$P$64="Muy Alta",'Riesgos de Gestión'!$T$64="Mayor"),CONCATENATE("R",'Riesgos de Gestión'!$A$64),"")</f>
        <v/>
      </c>
      <c r="AG12" s="426"/>
      <c r="AH12" s="415" t="str">
        <f>IF(AND('Riesgos de Gestión'!$O$52="Muy Alta",'Riesgos de Gestión'!$S$52="Catastrófico"),CONCATENATE("R",'Riesgos de Gestión'!$A$52),"")</f>
        <v/>
      </c>
      <c r="AI12" s="416"/>
      <c r="AJ12" s="416" t="str">
        <f>IF(AND('Riesgos de Gestión'!$P$58="Muy Alta",'Riesgos de Gestión'!$T$58="Catastrófico"),CONCATENATE("R",'Riesgos de Gestión'!$A$58),"")</f>
        <v/>
      </c>
      <c r="AK12" s="416"/>
      <c r="AL12" s="416" t="str">
        <f>IF(AND('Riesgos de Gestión'!$P$64="Muy Alta",'Riesgos de Gestión'!$T$64="Catastrófico"),CONCATENATE("R",'Riesgos de Gestión'!$A$64),"")</f>
        <v/>
      </c>
      <c r="AM12" s="417"/>
      <c r="AN12" s="66"/>
      <c r="AO12" s="449"/>
      <c r="AP12" s="450"/>
      <c r="AQ12" s="450"/>
      <c r="AR12" s="450"/>
      <c r="AS12" s="450"/>
      <c r="AT12" s="451"/>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99" ht="15.75" customHeight="1" thickBot="1" x14ac:dyDescent="0.3">
      <c r="A13" s="66"/>
      <c r="B13" s="444"/>
      <c r="C13" s="444"/>
      <c r="D13" s="445"/>
      <c r="E13" s="440"/>
      <c r="F13" s="441"/>
      <c r="G13" s="441"/>
      <c r="H13" s="441"/>
      <c r="I13" s="442"/>
      <c r="J13" s="424"/>
      <c r="K13" s="425"/>
      <c r="L13" s="425"/>
      <c r="M13" s="425"/>
      <c r="N13" s="425"/>
      <c r="O13" s="426"/>
      <c r="P13" s="424"/>
      <c r="Q13" s="425"/>
      <c r="R13" s="425"/>
      <c r="S13" s="425"/>
      <c r="T13" s="425"/>
      <c r="U13" s="426"/>
      <c r="V13" s="424"/>
      <c r="W13" s="425"/>
      <c r="X13" s="425"/>
      <c r="Y13" s="425"/>
      <c r="Z13" s="425"/>
      <c r="AA13" s="426"/>
      <c r="AB13" s="424"/>
      <c r="AC13" s="425"/>
      <c r="AD13" s="425"/>
      <c r="AE13" s="425"/>
      <c r="AF13" s="425"/>
      <c r="AG13" s="426"/>
      <c r="AH13" s="418"/>
      <c r="AI13" s="419"/>
      <c r="AJ13" s="419"/>
      <c r="AK13" s="419"/>
      <c r="AL13" s="419"/>
      <c r="AM13" s="420"/>
      <c r="AN13" s="66"/>
      <c r="AO13" s="452"/>
      <c r="AP13" s="453"/>
      <c r="AQ13" s="453"/>
      <c r="AR13" s="453"/>
      <c r="AS13" s="453"/>
      <c r="AT13" s="454"/>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99" ht="15" customHeight="1" x14ac:dyDescent="0.25">
      <c r="A14" s="66"/>
      <c r="B14" s="444"/>
      <c r="C14" s="444"/>
      <c r="D14" s="445"/>
      <c r="E14" s="434" t="s">
        <v>267</v>
      </c>
      <c r="F14" s="435"/>
      <c r="G14" s="435"/>
      <c r="H14" s="435"/>
      <c r="I14" s="435"/>
      <c r="J14" s="412" t="str">
        <f>IF(AND('Riesgos de Gestión'!$O$13="Alta",'Riesgos de Gestión'!$S$13="Leve"),CONCATENATE("R",'Riesgos de Gestión'!$A$13),"")</f>
        <v/>
      </c>
      <c r="K14" s="413"/>
      <c r="L14" s="413" t="str">
        <f>IF(AND('Riesgos de Gestión'!$O$14="Alta",'Riesgos de Gestión'!$S$14="Leve"),CONCATENATE("R",'Riesgos de Gestión'!$A$14),"")</f>
        <v/>
      </c>
      <c r="M14" s="413"/>
      <c r="N14" s="413" t="str">
        <f>IF(AND('Riesgos de Gestión'!$O$15="Alta",'Riesgos de Gestión'!$S$15="Leve"),CONCATENATE("R",'Riesgos de Gestión'!$A$15),"")</f>
        <v/>
      </c>
      <c r="O14" s="414"/>
      <c r="P14" s="412" t="str">
        <f>IF(AND('Riesgos de Gestión'!$O$13="Alta",'Riesgos de Gestión'!$S$13="Menor"),CONCATENATE("R",'Riesgos de Gestión'!$A$13),"")</f>
        <v/>
      </c>
      <c r="Q14" s="413"/>
      <c r="R14" s="413" t="str">
        <f>IF(AND('Riesgos de Gestión'!$O$14="Alta",'Riesgos de Gestión'!$S$14="Menor"),CONCATENATE("R",'Riesgos de Gestión'!$A$14),"")</f>
        <v/>
      </c>
      <c r="S14" s="413"/>
      <c r="T14" s="413" t="str">
        <f>IF(AND('Riesgos de Gestión'!$O$15="Alta",'Riesgos de Gestión'!$S$15="Menor"),CONCATENATE("R",'Riesgos de Gestión'!$A$15),"")</f>
        <v/>
      </c>
      <c r="U14" s="414"/>
      <c r="V14" s="430" t="str">
        <f>IF(AND('Riesgos de Gestión'!$O$13="Alta",'Riesgos de Gestión'!$S$13="Moderado"),CONCATENATE("R",'Riesgos de Gestión'!$A$13),"")</f>
        <v/>
      </c>
      <c r="W14" s="431"/>
      <c r="X14" s="431" t="str">
        <f>IF(AND('Riesgos de Gestión'!$O$14="Alta",'Riesgos de Gestión'!$S$14="Moderado"),CONCATENATE("R",'Riesgos de Gestión'!$A$14),"")</f>
        <v/>
      </c>
      <c r="Y14" s="431"/>
      <c r="Z14" s="431" t="str">
        <f>IF(AND('Riesgos de Gestión'!$O$15="Alta",'Riesgos de Gestión'!$S$15="Moderado"),CONCATENATE("R",'Riesgos de Gestión'!$A$15),"")</f>
        <v/>
      </c>
      <c r="AA14" s="432"/>
      <c r="AB14" s="430" t="str">
        <f>IF(AND('Riesgos de Gestión'!$O$13="Alta",'Riesgos de Gestión'!$S$13="Mayor"),CONCATENATE("R",'Riesgos de Gestión'!$A$13),"")</f>
        <v/>
      </c>
      <c r="AC14" s="431"/>
      <c r="AD14" s="431" t="str">
        <f>IF(AND('Riesgos de Gestión'!$O$14="Alta",'Riesgos de Gestión'!$S$14="Mayor"),CONCATENATE("R",'Riesgos de Gestión'!$A$14),"")</f>
        <v/>
      </c>
      <c r="AE14" s="431"/>
      <c r="AF14" s="431" t="str">
        <f>IF(AND('Riesgos de Gestión'!$O$15="Alta",'Riesgos de Gestión'!$S$15="Mayor"),CONCATENATE("R",'Riesgos de Gestión'!$A$15),"")</f>
        <v/>
      </c>
      <c r="AG14" s="432"/>
      <c r="AH14" s="421" t="str">
        <f>IF(AND('Riesgos de Gestión'!$O$13="Alta",'Riesgos de Gestión'!$S$13="Catastrófico"),CONCATENATE("R",'Riesgos de Gestión'!$A$13),"")</f>
        <v/>
      </c>
      <c r="AI14" s="422"/>
      <c r="AJ14" s="422" t="str">
        <f>IF(AND('Riesgos de Gestión'!$O$14="Alta",'Riesgos de Gestión'!$S$14="Catastrófico"),CONCATENATE("R",'Riesgos de Gestión'!$A$14),"")</f>
        <v/>
      </c>
      <c r="AK14" s="422"/>
      <c r="AL14" s="422" t="str">
        <f>IF(AND('Riesgos de Gestión'!$O$15="Alta",'Riesgos de Gestión'!$S$15="Catastrófico"),CONCATENATE("R",'Riesgos de Gestión'!$A$15),"")</f>
        <v/>
      </c>
      <c r="AM14" s="423"/>
      <c r="AN14" s="66"/>
      <c r="AO14" s="455" t="s">
        <v>268</v>
      </c>
      <c r="AP14" s="456"/>
      <c r="AQ14" s="456"/>
      <c r="AR14" s="456"/>
      <c r="AS14" s="456"/>
      <c r="AT14" s="457"/>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row>
    <row r="15" spans="1:99" ht="15" customHeight="1" x14ac:dyDescent="0.25">
      <c r="A15" s="66"/>
      <c r="B15" s="444"/>
      <c r="C15" s="444"/>
      <c r="D15" s="445"/>
      <c r="E15" s="437"/>
      <c r="F15" s="438"/>
      <c r="G15" s="438"/>
      <c r="H15" s="438"/>
      <c r="I15" s="438"/>
      <c r="J15" s="406"/>
      <c r="K15" s="407"/>
      <c r="L15" s="407"/>
      <c r="M15" s="407"/>
      <c r="N15" s="407"/>
      <c r="O15" s="408"/>
      <c r="P15" s="406"/>
      <c r="Q15" s="407"/>
      <c r="R15" s="407"/>
      <c r="S15" s="407"/>
      <c r="T15" s="407"/>
      <c r="U15" s="408"/>
      <c r="V15" s="424"/>
      <c r="W15" s="425"/>
      <c r="X15" s="425"/>
      <c r="Y15" s="425"/>
      <c r="Z15" s="425"/>
      <c r="AA15" s="426"/>
      <c r="AB15" s="424"/>
      <c r="AC15" s="425"/>
      <c r="AD15" s="425"/>
      <c r="AE15" s="425"/>
      <c r="AF15" s="425"/>
      <c r="AG15" s="426"/>
      <c r="AH15" s="415"/>
      <c r="AI15" s="416"/>
      <c r="AJ15" s="416"/>
      <c r="AK15" s="416"/>
      <c r="AL15" s="416"/>
      <c r="AM15" s="417"/>
      <c r="AN15" s="66"/>
      <c r="AO15" s="458"/>
      <c r="AP15" s="459"/>
      <c r="AQ15" s="459"/>
      <c r="AR15" s="459"/>
      <c r="AS15" s="459"/>
      <c r="AT15" s="460"/>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row>
    <row r="16" spans="1:99" ht="15" customHeight="1" x14ac:dyDescent="0.25">
      <c r="A16" s="66"/>
      <c r="B16" s="444"/>
      <c r="C16" s="444"/>
      <c r="D16" s="445"/>
      <c r="E16" s="437"/>
      <c r="F16" s="438"/>
      <c r="G16" s="438"/>
      <c r="H16" s="438"/>
      <c r="I16" s="438"/>
      <c r="J16" s="406" t="str">
        <f>IF(AND('Riesgos de Gestión'!$O$16="Alta",'Riesgos de Gestión'!$S$16="Leve"),CONCATENATE("R",'Riesgos de Gestión'!$A$16),"")</f>
        <v/>
      </c>
      <c r="K16" s="407"/>
      <c r="L16" s="407" t="str">
        <f>IF(AND('Riesgos de Gestión'!$O$22="Alta",'Riesgos de Gestión'!$S$22="Leve"),CONCATENATE("R",'Riesgos de Gestión'!$A$22),"")</f>
        <v/>
      </c>
      <c r="M16" s="407"/>
      <c r="N16" s="407" t="str">
        <f>IF(AND('Riesgos de Gestión'!$O$28="Alta",'Riesgos de Gestión'!$S$28="Leve"),CONCATENATE("R",'Riesgos de Gestión'!$A$28),"")</f>
        <v/>
      </c>
      <c r="O16" s="408"/>
      <c r="P16" s="406" t="str">
        <f>IF(AND('Riesgos de Gestión'!$O$16="Alta",'Riesgos de Gestión'!$S$16="Menor"),CONCATENATE("R",'Riesgos de Gestión'!$A$16),"")</f>
        <v/>
      </c>
      <c r="Q16" s="407"/>
      <c r="R16" s="407" t="str">
        <f>IF(AND('Riesgos de Gestión'!$O$22="Alta",'Riesgos de Gestión'!$S$22="Menor"),CONCATENATE("R",'Riesgos de Gestión'!$A$22),"")</f>
        <v/>
      </c>
      <c r="S16" s="407"/>
      <c r="T16" s="407" t="str">
        <f>IF(AND('Riesgos de Gestión'!$O$28="Alta",'Riesgos de Gestión'!$S$28="Menor"),CONCATENATE("R",'Riesgos de Gestión'!$A$28),"")</f>
        <v/>
      </c>
      <c r="U16" s="408"/>
      <c r="V16" s="424" t="str">
        <f>IF(AND('Riesgos de Gestión'!$O$16="Alta",'Riesgos de Gestión'!$S$16="Moderado"),CONCATENATE("R",'Riesgos de Gestión'!$A$16),"")</f>
        <v/>
      </c>
      <c r="W16" s="425"/>
      <c r="X16" s="425" t="str">
        <f>IF(AND('Riesgos de Gestión'!$O$22="Alta",'Riesgos de Gestión'!$S$22="Moderado"),CONCATENATE("R",'Riesgos de Gestión'!$A$22),"")</f>
        <v/>
      </c>
      <c r="Y16" s="425"/>
      <c r="Z16" s="425" t="str">
        <f>IF(AND('Riesgos de Gestión'!$O$28="Alta",'Riesgos de Gestión'!$S$28="Moderado"),CONCATENATE("R",'Riesgos de Gestión'!$A$28),"")</f>
        <v/>
      </c>
      <c r="AA16" s="426"/>
      <c r="AB16" s="424" t="str">
        <f>IF(AND('Riesgos de Gestión'!$O$16="Alta",'Riesgos de Gestión'!$S$16="Mayor"),CONCATENATE("R",'Riesgos de Gestión'!$A$16),"")</f>
        <v/>
      </c>
      <c r="AC16" s="425"/>
      <c r="AD16" s="425" t="str">
        <f>IF(AND('Riesgos de Gestión'!$O$22="Alta",'Riesgos de Gestión'!$S$22="Mayor"),CONCATENATE("R",'Riesgos de Gestión'!$A$22),"")</f>
        <v/>
      </c>
      <c r="AE16" s="425"/>
      <c r="AF16" s="425" t="str">
        <f>IF(AND('Riesgos de Gestión'!$O$28="Alta",'Riesgos de Gestión'!$S$28="Mayor"),CONCATENATE("R",'Riesgos de Gestión'!$A$28),"")</f>
        <v/>
      </c>
      <c r="AG16" s="426"/>
      <c r="AH16" s="415" t="str">
        <f>IF(AND('Riesgos de Gestión'!$O$16="Alta",'Riesgos de Gestión'!$S$16="Catastrófico"),CONCATENATE("R",'Riesgos de Gestión'!$A$16),"")</f>
        <v/>
      </c>
      <c r="AI16" s="416"/>
      <c r="AJ16" s="416" t="str">
        <f>IF(AND('Riesgos de Gestión'!$O$22="Alta",'Riesgos de Gestión'!$S$22="Catastrófico"),CONCATENATE("R",'Riesgos de Gestión'!$A$22),"")</f>
        <v/>
      </c>
      <c r="AK16" s="416"/>
      <c r="AL16" s="416" t="str">
        <f>IF(AND('Riesgos de Gestión'!$O$28="Alta",'Riesgos de Gestión'!$S$28="Catastrófico"),CONCATENATE("R",'Riesgos de Gestión'!$A$28),"")</f>
        <v/>
      </c>
      <c r="AM16" s="417"/>
      <c r="AN16" s="66"/>
      <c r="AO16" s="458"/>
      <c r="AP16" s="459"/>
      <c r="AQ16" s="459"/>
      <c r="AR16" s="459"/>
      <c r="AS16" s="459"/>
      <c r="AT16" s="460"/>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ht="15" customHeight="1" x14ac:dyDescent="0.25">
      <c r="A17" s="66"/>
      <c r="B17" s="444"/>
      <c r="C17" s="444"/>
      <c r="D17" s="445"/>
      <c r="E17" s="437"/>
      <c r="F17" s="438"/>
      <c r="G17" s="438"/>
      <c r="H17" s="438"/>
      <c r="I17" s="438"/>
      <c r="J17" s="406"/>
      <c r="K17" s="407"/>
      <c r="L17" s="407"/>
      <c r="M17" s="407"/>
      <c r="N17" s="407"/>
      <c r="O17" s="408"/>
      <c r="P17" s="406"/>
      <c r="Q17" s="407"/>
      <c r="R17" s="407"/>
      <c r="S17" s="407"/>
      <c r="T17" s="407"/>
      <c r="U17" s="408"/>
      <c r="V17" s="424"/>
      <c r="W17" s="425"/>
      <c r="X17" s="425"/>
      <c r="Y17" s="425"/>
      <c r="Z17" s="425"/>
      <c r="AA17" s="426"/>
      <c r="AB17" s="424"/>
      <c r="AC17" s="425"/>
      <c r="AD17" s="425"/>
      <c r="AE17" s="425"/>
      <c r="AF17" s="425"/>
      <c r="AG17" s="426"/>
      <c r="AH17" s="415"/>
      <c r="AI17" s="416"/>
      <c r="AJ17" s="416"/>
      <c r="AK17" s="416"/>
      <c r="AL17" s="416"/>
      <c r="AM17" s="417"/>
      <c r="AN17" s="66"/>
      <c r="AO17" s="458"/>
      <c r="AP17" s="459"/>
      <c r="AQ17" s="459"/>
      <c r="AR17" s="459"/>
      <c r="AS17" s="459"/>
      <c r="AT17" s="460"/>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80" ht="15" customHeight="1" x14ac:dyDescent="0.25">
      <c r="A18" s="66"/>
      <c r="B18" s="444"/>
      <c r="C18" s="444"/>
      <c r="D18" s="445"/>
      <c r="E18" s="437"/>
      <c r="F18" s="438"/>
      <c r="G18" s="438"/>
      <c r="H18" s="438"/>
      <c r="I18" s="438"/>
      <c r="J18" s="406" t="str">
        <f>IF(AND('Riesgos de Gestión'!$O$34="Alta",'Riesgos de Gestión'!$S$34="Leve"),CONCATENATE("R",'Riesgos de Gestión'!$A$34),"")</f>
        <v/>
      </c>
      <c r="K18" s="407"/>
      <c r="L18" s="407" t="str">
        <f>IF(AND('Riesgos de Gestión'!$O$40="Alta",'Riesgos de Gestión'!$S$40="Leve"),CONCATENATE("R",'Riesgos de Gestión'!$A$40),"")</f>
        <v/>
      </c>
      <c r="M18" s="407"/>
      <c r="N18" s="407" t="str">
        <f>IF(AND('Riesgos de Gestión'!$O$46="Alta",'Riesgos de Gestión'!$S$46="Leve"),CONCATENATE("R",'Riesgos de Gestión'!$A$46),"")</f>
        <v/>
      </c>
      <c r="O18" s="408"/>
      <c r="P18" s="406" t="str">
        <f>IF(AND('Riesgos de Gestión'!$O$34="Alta",'Riesgos de Gestión'!$S$34="Menor"),CONCATENATE("R",'Riesgos de Gestión'!$A$34),"")</f>
        <v/>
      </c>
      <c r="Q18" s="407"/>
      <c r="R18" s="407" t="str">
        <f>IF(AND('Riesgos de Gestión'!$O$40="Alta",'Riesgos de Gestión'!$S$40="Menor"),CONCATENATE("R",'Riesgos de Gestión'!$A$40),"")</f>
        <v/>
      </c>
      <c r="S18" s="407"/>
      <c r="T18" s="407" t="str">
        <f>IF(AND('Riesgos de Gestión'!$O$46="Alta",'Riesgos de Gestión'!$S$46="Menor"),CONCATENATE("R",'Riesgos de Gestión'!$A$46),"")</f>
        <v/>
      </c>
      <c r="U18" s="408"/>
      <c r="V18" s="424" t="str">
        <f>IF(AND('Riesgos de Gestión'!$O$34="Alta",'Riesgos de Gestión'!$S$34="Moderado"),CONCATENATE("R",'Riesgos de Gestión'!$A$34),"")</f>
        <v/>
      </c>
      <c r="W18" s="425"/>
      <c r="X18" s="425" t="str">
        <f>IF(AND('Riesgos de Gestión'!$O$40="Alta",'Riesgos de Gestión'!$S$40="Moderado"),CONCATENATE("R",'Riesgos de Gestión'!$A$40),"")</f>
        <v/>
      </c>
      <c r="Y18" s="425"/>
      <c r="Z18" s="425" t="str">
        <f>IF(AND('Riesgos de Gestión'!$O$46="Alta",'Riesgos de Gestión'!$S$46="Moderado"),CONCATENATE("R",'Riesgos de Gestión'!$A$46),"")</f>
        <v/>
      </c>
      <c r="AA18" s="426"/>
      <c r="AB18" s="424" t="str">
        <f>IF(AND('Riesgos de Gestión'!$O$34="Alta",'Riesgos de Gestión'!$S$34="Mayor"),CONCATENATE("R",'Riesgos de Gestión'!$A$34),"")</f>
        <v/>
      </c>
      <c r="AC18" s="425"/>
      <c r="AD18" s="425" t="str">
        <f>IF(AND('Riesgos de Gestión'!$O$40="Alta",'Riesgos de Gestión'!$S$40="Mayor"),CONCATENATE("R",'Riesgos de Gestión'!$A$40),"")</f>
        <v/>
      </c>
      <c r="AE18" s="425"/>
      <c r="AF18" s="425" t="str">
        <f>IF(AND('Riesgos de Gestión'!$O$46="Alta",'Riesgos de Gestión'!$S$46="Mayor"),CONCATENATE("R",'Riesgos de Gestión'!$A$46),"")</f>
        <v/>
      </c>
      <c r="AG18" s="426"/>
      <c r="AH18" s="415" t="str">
        <f>IF(AND('Riesgos de Gestión'!$O$34="Alta",'Riesgos de Gestión'!$S$34="Catastrófico"),CONCATENATE("R",'Riesgos de Gestión'!$A$34),"")</f>
        <v/>
      </c>
      <c r="AI18" s="416"/>
      <c r="AJ18" s="416" t="str">
        <f>IF(AND('Riesgos de Gestión'!$O$40="Alta",'Riesgos de Gestión'!$S$40="Catastrófico"),CONCATENATE("R",'Riesgos de Gestión'!$A$40),"")</f>
        <v/>
      </c>
      <c r="AK18" s="416"/>
      <c r="AL18" s="416" t="str">
        <f>IF(AND('Riesgos de Gestión'!$O$46="Alta",'Riesgos de Gestión'!$S$46="Catastrófico"),CONCATENATE("R",'Riesgos de Gestión'!$A$46),"")</f>
        <v/>
      </c>
      <c r="AM18" s="417"/>
      <c r="AN18" s="66"/>
      <c r="AO18" s="458"/>
      <c r="AP18" s="459"/>
      <c r="AQ18" s="459"/>
      <c r="AR18" s="459"/>
      <c r="AS18" s="459"/>
      <c r="AT18" s="460"/>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ht="15" customHeight="1" x14ac:dyDescent="0.25">
      <c r="A19" s="66"/>
      <c r="B19" s="444"/>
      <c r="C19" s="444"/>
      <c r="D19" s="445"/>
      <c r="E19" s="437"/>
      <c r="F19" s="438"/>
      <c r="G19" s="438"/>
      <c r="H19" s="438"/>
      <c r="I19" s="438"/>
      <c r="J19" s="406"/>
      <c r="K19" s="407"/>
      <c r="L19" s="407"/>
      <c r="M19" s="407"/>
      <c r="N19" s="407"/>
      <c r="O19" s="408"/>
      <c r="P19" s="406"/>
      <c r="Q19" s="407"/>
      <c r="R19" s="407"/>
      <c r="S19" s="407"/>
      <c r="T19" s="407"/>
      <c r="U19" s="408"/>
      <c r="V19" s="424"/>
      <c r="W19" s="425"/>
      <c r="X19" s="425"/>
      <c r="Y19" s="425"/>
      <c r="Z19" s="425"/>
      <c r="AA19" s="426"/>
      <c r="AB19" s="424"/>
      <c r="AC19" s="425"/>
      <c r="AD19" s="425"/>
      <c r="AE19" s="425"/>
      <c r="AF19" s="425"/>
      <c r="AG19" s="426"/>
      <c r="AH19" s="415"/>
      <c r="AI19" s="416"/>
      <c r="AJ19" s="416"/>
      <c r="AK19" s="416"/>
      <c r="AL19" s="416"/>
      <c r="AM19" s="417"/>
      <c r="AN19" s="66"/>
      <c r="AO19" s="458"/>
      <c r="AP19" s="459"/>
      <c r="AQ19" s="459"/>
      <c r="AR19" s="459"/>
      <c r="AS19" s="459"/>
      <c r="AT19" s="460"/>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row>
    <row r="20" spans="1:80" ht="15" customHeight="1" x14ac:dyDescent="0.25">
      <c r="A20" s="66"/>
      <c r="B20" s="444"/>
      <c r="C20" s="444"/>
      <c r="D20" s="445"/>
      <c r="E20" s="437"/>
      <c r="F20" s="438"/>
      <c r="G20" s="438"/>
      <c r="H20" s="438"/>
      <c r="I20" s="438"/>
      <c r="J20" s="406" t="str">
        <f>IF(AND('Riesgos de Gestión'!$O$52="Alta",'Riesgos de Gestión'!$S$52="Leve"),CONCATENATE("R",'Riesgos de Gestión'!$A$52),"")</f>
        <v/>
      </c>
      <c r="K20" s="407"/>
      <c r="L20" s="407" t="str">
        <f>IF(AND('Riesgos de Gestión'!$P$58="Alta",'Riesgos de Gestión'!$T$58="Leve"),CONCATENATE("R",'Riesgos de Gestión'!$A$58),"")</f>
        <v/>
      </c>
      <c r="M20" s="407"/>
      <c r="N20" s="407" t="str">
        <f>IF(AND('Riesgos de Gestión'!$P$64="Alta",'Riesgos de Gestión'!$T$64="Leve"),CONCATENATE("R",'Riesgos de Gestión'!$A$64),"")</f>
        <v/>
      </c>
      <c r="O20" s="408"/>
      <c r="P20" s="406" t="str">
        <f>IF(AND('Riesgos de Gestión'!$O$52="Alta",'Riesgos de Gestión'!$S$52="Menor"),CONCATENATE("R",'Riesgos de Gestión'!$A$52),"")</f>
        <v/>
      </c>
      <c r="Q20" s="407"/>
      <c r="R20" s="407" t="str">
        <f>IF(AND('Riesgos de Gestión'!$P$58="Alta",'Riesgos de Gestión'!$T$58="Menor"),CONCATENATE("R",'Riesgos de Gestión'!$A$58),"")</f>
        <v/>
      </c>
      <c r="S20" s="407"/>
      <c r="T20" s="407" t="str">
        <f>IF(AND('Riesgos de Gestión'!$P$64="Alta",'Riesgos de Gestión'!$T$64="Menor"),CONCATENATE("R",'Riesgos de Gestión'!$A$64),"")</f>
        <v/>
      </c>
      <c r="U20" s="408"/>
      <c r="V20" s="424" t="str">
        <f>IF(AND('Riesgos de Gestión'!$O$52="Alta",'Riesgos de Gestión'!$S$52="Moderado"),CONCATENATE("R",'Riesgos de Gestión'!$A$52),"")</f>
        <v/>
      </c>
      <c r="W20" s="425"/>
      <c r="X20" s="425" t="str">
        <f>IF(AND('Riesgos de Gestión'!$P$58="Alta",'Riesgos de Gestión'!$T$58="Moderado"),CONCATENATE("R",'Riesgos de Gestión'!$A$58),"")</f>
        <v/>
      </c>
      <c r="Y20" s="425"/>
      <c r="Z20" s="425" t="str">
        <f>IF(AND('Riesgos de Gestión'!$P$64="Alta",'Riesgos de Gestión'!$T$64="Moderado"),CONCATENATE("R",'Riesgos de Gestión'!$A$64),"")</f>
        <v/>
      </c>
      <c r="AA20" s="426"/>
      <c r="AB20" s="424" t="str">
        <f>IF(AND('Riesgos de Gestión'!$O$52="Alta",'Riesgos de Gestión'!$S$52="Mayor"),CONCATENATE("R",'Riesgos de Gestión'!$A$52),"")</f>
        <v/>
      </c>
      <c r="AC20" s="425"/>
      <c r="AD20" s="425" t="str">
        <f>IF(AND('Riesgos de Gestión'!$P$58="Alta",'Riesgos de Gestión'!$T$58="Mayor"),CONCATENATE("R",'Riesgos de Gestión'!$A$58),"")</f>
        <v/>
      </c>
      <c r="AE20" s="425"/>
      <c r="AF20" s="425" t="str">
        <f>IF(AND('Riesgos de Gestión'!$P$64="Alta",'Riesgos de Gestión'!$T$64="Mayor"),CONCATENATE("R",'Riesgos de Gestión'!$A$64),"")</f>
        <v/>
      </c>
      <c r="AG20" s="426"/>
      <c r="AH20" s="415" t="str">
        <f>IF(AND('Riesgos de Gestión'!$O$52="Alta",'Riesgos de Gestión'!$S$52="Catastrófico"),CONCATENATE("R",'Riesgos de Gestión'!$A$52),"")</f>
        <v/>
      </c>
      <c r="AI20" s="416"/>
      <c r="AJ20" s="416" t="str">
        <f>IF(AND('Riesgos de Gestión'!$P$58="Alta",'Riesgos de Gestión'!$T$58="Catastrófico"),CONCATENATE("R",'Riesgos de Gestión'!$A$58),"")</f>
        <v/>
      </c>
      <c r="AK20" s="416"/>
      <c r="AL20" s="416" t="str">
        <f>IF(AND('Riesgos de Gestión'!$P$64="Alta",'Riesgos de Gestión'!$T$64="Catastrófico"),CONCATENATE("R",'Riesgos de Gestión'!$A$64),"")</f>
        <v/>
      </c>
      <c r="AM20" s="417"/>
      <c r="AN20" s="66"/>
      <c r="AO20" s="458"/>
      <c r="AP20" s="459"/>
      <c r="AQ20" s="459"/>
      <c r="AR20" s="459"/>
      <c r="AS20" s="459"/>
      <c r="AT20" s="460"/>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row>
    <row r="21" spans="1:80" ht="15.75" customHeight="1" thickBot="1" x14ac:dyDescent="0.3">
      <c r="A21" s="66"/>
      <c r="B21" s="444"/>
      <c r="C21" s="444"/>
      <c r="D21" s="445"/>
      <c r="E21" s="440"/>
      <c r="F21" s="441"/>
      <c r="G21" s="441"/>
      <c r="H21" s="441"/>
      <c r="I21" s="441"/>
      <c r="J21" s="409"/>
      <c r="K21" s="410"/>
      <c r="L21" s="410"/>
      <c r="M21" s="410"/>
      <c r="N21" s="410"/>
      <c r="O21" s="411"/>
      <c r="P21" s="409"/>
      <c r="Q21" s="410"/>
      <c r="R21" s="410"/>
      <c r="S21" s="410"/>
      <c r="T21" s="410"/>
      <c r="U21" s="411"/>
      <c r="V21" s="427"/>
      <c r="W21" s="428"/>
      <c r="X21" s="428"/>
      <c r="Y21" s="428"/>
      <c r="Z21" s="428"/>
      <c r="AA21" s="429"/>
      <c r="AB21" s="427"/>
      <c r="AC21" s="428"/>
      <c r="AD21" s="428"/>
      <c r="AE21" s="428"/>
      <c r="AF21" s="428"/>
      <c r="AG21" s="429"/>
      <c r="AH21" s="418"/>
      <c r="AI21" s="419"/>
      <c r="AJ21" s="419"/>
      <c r="AK21" s="419"/>
      <c r="AL21" s="419"/>
      <c r="AM21" s="420"/>
      <c r="AN21" s="66"/>
      <c r="AO21" s="461"/>
      <c r="AP21" s="462"/>
      <c r="AQ21" s="462"/>
      <c r="AR21" s="462"/>
      <c r="AS21" s="462"/>
      <c r="AT21" s="463"/>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row>
    <row r="22" spans="1:80" x14ac:dyDescent="0.25">
      <c r="A22" s="66"/>
      <c r="B22" s="444"/>
      <c r="C22" s="444"/>
      <c r="D22" s="445"/>
      <c r="E22" s="434" t="s">
        <v>269</v>
      </c>
      <c r="F22" s="435"/>
      <c r="G22" s="435"/>
      <c r="H22" s="435"/>
      <c r="I22" s="436"/>
      <c r="J22" s="412" t="str">
        <f>IF(AND('Riesgos de Gestión'!$O$13="Media",'Riesgos de Gestión'!$S$13="Leve"),CONCATENATE("R",'Riesgos de Gestión'!$A$13),"")</f>
        <v/>
      </c>
      <c r="K22" s="413"/>
      <c r="L22" s="413" t="str">
        <f>IF(AND('Riesgos de Gestión'!$O$14="Media",'Riesgos de Gestión'!$S$14="Leve"),CONCATENATE("R",'Riesgos de Gestión'!$A$14),"")</f>
        <v>R2</v>
      </c>
      <c r="M22" s="413"/>
      <c r="N22" s="413" t="str">
        <f>IF(AND('Riesgos de Gestión'!$O$15="Media",'Riesgos de Gestión'!$S$15="Leve"),CONCATENATE("R",'Riesgos de Gestión'!$A$15),"")</f>
        <v>R3</v>
      </c>
      <c r="O22" s="414"/>
      <c r="P22" s="412" t="str">
        <f>IF(AND('Riesgos de Gestión'!$O$13="Media",'Riesgos de Gestión'!$S$13="Menor"),CONCATENATE("R",'Riesgos de Gestión'!$A$13),"")</f>
        <v/>
      </c>
      <c r="Q22" s="413"/>
      <c r="R22" s="413" t="str">
        <f>IF(AND('Riesgos de Gestión'!$O$14="Media",'Riesgos de Gestión'!$S$14="Menor"),CONCATENATE("R",'Riesgos de Gestión'!$A$14),"")</f>
        <v/>
      </c>
      <c r="S22" s="413"/>
      <c r="T22" s="413" t="str">
        <f>IF(AND('Riesgos de Gestión'!$O$15="Media",'Riesgos de Gestión'!$S$15="Menor"),CONCATENATE("R",'Riesgos de Gestión'!$A$15),"")</f>
        <v/>
      </c>
      <c r="U22" s="414"/>
      <c r="V22" s="412" t="str">
        <f>IF(AND('Riesgos de Gestión'!$O$13="Media",'Riesgos de Gestión'!$S$13="Moderado"),CONCATENATE("R",'Riesgos de Gestión'!$A$13),"")</f>
        <v>R1</v>
      </c>
      <c r="W22" s="413"/>
      <c r="X22" s="413" t="str">
        <f>IF(AND('Riesgos de Gestión'!$O$14="Media",'Riesgos de Gestión'!$S$14="Moderado"),CONCATENATE("R",'Riesgos de Gestión'!$A$14),"")</f>
        <v/>
      </c>
      <c r="Y22" s="413"/>
      <c r="Z22" s="413" t="str">
        <f>IF(AND('Riesgos de Gestión'!$O$15="Media",'Riesgos de Gestión'!$S$15="Moderado"),CONCATENATE("R",'Riesgos de Gestión'!$A$15),"")</f>
        <v/>
      </c>
      <c r="AA22" s="414"/>
      <c r="AB22" s="430" t="str">
        <f>IF(AND('Riesgos de Gestión'!$O$13="Media",'Riesgos de Gestión'!$S$13="Mayor"),CONCATENATE("R",'Riesgos de Gestión'!$A$13),"")</f>
        <v/>
      </c>
      <c r="AC22" s="431"/>
      <c r="AD22" s="431" t="str">
        <f>IF(AND('Riesgos de Gestión'!$O$14="Media",'Riesgos de Gestión'!$S$14="Mayor"),CONCATENATE("R",'Riesgos de Gestión'!$A$14),"")</f>
        <v/>
      </c>
      <c r="AE22" s="431"/>
      <c r="AF22" s="431" t="str">
        <f>IF(AND('Riesgos de Gestión'!$O$15="Media",'Riesgos de Gestión'!$S$15="Mayor"),CONCATENATE("R",'Riesgos de Gestión'!$A$15),"")</f>
        <v/>
      </c>
      <c r="AG22" s="432"/>
      <c r="AH22" s="421" t="str">
        <f>IF(AND('Riesgos de Gestión'!$O$13="Media",'Riesgos de Gestión'!$S$13="Catastrófico"),CONCATENATE("R",'Riesgos de Gestión'!$A$13),"")</f>
        <v/>
      </c>
      <c r="AI22" s="422"/>
      <c r="AJ22" s="422" t="str">
        <f>IF(AND('Riesgos de Gestión'!$O$14="Media",'Riesgos de Gestión'!$S$14="Catastrófico"),CONCATENATE("R",'Riesgos de Gestión'!$A$14),"")</f>
        <v/>
      </c>
      <c r="AK22" s="422"/>
      <c r="AL22" s="422" t="str">
        <f>IF(AND('Riesgos de Gestión'!$O$15="Media",'Riesgos de Gestión'!$S$15="Catastrófico"),CONCATENATE("R",'Riesgos de Gestión'!$A$15),"")</f>
        <v/>
      </c>
      <c r="AM22" s="423"/>
      <c r="AN22" s="66"/>
      <c r="AO22" s="464" t="s">
        <v>270</v>
      </c>
      <c r="AP22" s="465"/>
      <c r="AQ22" s="465"/>
      <c r="AR22" s="465"/>
      <c r="AS22" s="465"/>
      <c r="AT22" s="4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row>
    <row r="23" spans="1:80" x14ac:dyDescent="0.25">
      <c r="A23" s="66"/>
      <c r="B23" s="444"/>
      <c r="C23" s="444"/>
      <c r="D23" s="445"/>
      <c r="E23" s="437"/>
      <c r="F23" s="438"/>
      <c r="G23" s="438"/>
      <c r="H23" s="438"/>
      <c r="I23" s="439"/>
      <c r="J23" s="406"/>
      <c r="K23" s="407"/>
      <c r="L23" s="407"/>
      <c r="M23" s="407"/>
      <c r="N23" s="407"/>
      <c r="O23" s="408"/>
      <c r="P23" s="406"/>
      <c r="Q23" s="407"/>
      <c r="R23" s="407"/>
      <c r="S23" s="407"/>
      <c r="T23" s="407"/>
      <c r="U23" s="408"/>
      <c r="V23" s="406"/>
      <c r="W23" s="407"/>
      <c r="X23" s="407"/>
      <c r="Y23" s="407"/>
      <c r="Z23" s="407"/>
      <c r="AA23" s="408"/>
      <c r="AB23" s="424"/>
      <c r="AC23" s="425"/>
      <c r="AD23" s="425"/>
      <c r="AE23" s="425"/>
      <c r="AF23" s="425"/>
      <c r="AG23" s="426"/>
      <c r="AH23" s="415"/>
      <c r="AI23" s="416"/>
      <c r="AJ23" s="416"/>
      <c r="AK23" s="416"/>
      <c r="AL23" s="416"/>
      <c r="AM23" s="417"/>
      <c r="AN23" s="66"/>
      <c r="AO23" s="467"/>
      <c r="AP23" s="468"/>
      <c r="AQ23" s="468"/>
      <c r="AR23" s="468"/>
      <c r="AS23" s="468"/>
      <c r="AT23" s="469"/>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row>
    <row r="24" spans="1:80" x14ac:dyDescent="0.25">
      <c r="A24" s="66"/>
      <c r="B24" s="444"/>
      <c r="C24" s="444"/>
      <c r="D24" s="445"/>
      <c r="E24" s="437"/>
      <c r="F24" s="438"/>
      <c r="G24" s="438"/>
      <c r="H24" s="438"/>
      <c r="I24" s="439"/>
      <c r="J24" s="406" t="str">
        <f>IF(AND('Riesgos de Gestión'!$O$16="Media",'Riesgos de Gestión'!$S$16="Leve"),CONCATENATE("R",'Riesgos de Gestión'!$A$16),"")</f>
        <v/>
      </c>
      <c r="K24" s="407"/>
      <c r="L24" s="407" t="str">
        <f>IF(AND('Riesgos de Gestión'!$O$22="Media",'Riesgos de Gestión'!$S$22="Leve"),CONCATENATE("R",'Riesgos de Gestión'!$A$22),"")</f>
        <v/>
      </c>
      <c r="M24" s="407"/>
      <c r="N24" s="407" t="str">
        <f>IF(AND('Riesgos de Gestión'!$O$28="Media",'Riesgos de Gestión'!$S$28="Leve"),CONCATENATE("R",'Riesgos de Gestión'!$A$28),"")</f>
        <v/>
      </c>
      <c r="O24" s="408"/>
      <c r="P24" s="406" t="str">
        <f>IF(AND('Riesgos de Gestión'!$O$16="Media",'Riesgos de Gestión'!$S$16="Menor"),CONCATENATE("R",'Riesgos de Gestión'!$A$16),"")</f>
        <v/>
      </c>
      <c r="Q24" s="407"/>
      <c r="R24" s="407" t="str">
        <f>IF(AND('Riesgos de Gestión'!$O$22="Media",'Riesgos de Gestión'!$S$22="Menor"),CONCATENATE("R",'Riesgos de Gestión'!$A$22),"")</f>
        <v/>
      </c>
      <c r="S24" s="407"/>
      <c r="T24" s="407" t="str">
        <f>IF(AND('Riesgos de Gestión'!$O$28="Media",'Riesgos de Gestión'!$S$28="Menor"),CONCATENATE("R",'Riesgos de Gestión'!$A$28),"")</f>
        <v/>
      </c>
      <c r="U24" s="408"/>
      <c r="V24" s="406" t="str">
        <f>IF(AND('Riesgos de Gestión'!$O$16="Media",'Riesgos de Gestión'!$S$16="Moderado"),CONCATENATE("R",'Riesgos de Gestión'!$A$16),"")</f>
        <v/>
      </c>
      <c r="W24" s="407"/>
      <c r="X24" s="407" t="str">
        <f>IF(AND('Riesgos de Gestión'!$O$22="Media",'Riesgos de Gestión'!$S$22="Moderado"),CONCATENATE("R",'Riesgos de Gestión'!$A$22),"")</f>
        <v/>
      </c>
      <c r="Y24" s="407"/>
      <c r="Z24" s="407" t="str">
        <f>IF(AND('Riesgos de Gestión'!$O$28="Media",'Riesgos de Gestión'!$S$28="Moderado"),CONCATENATE("R",'Riesgos de Gestión'!$A$28),"")</f>
        <v/>
      </c>
      <c r="AA24" s="408"/>
      <c r="AB24" s="424" t="str">
        <f>IF(AND('Riesgos de Gestión'!$O$16="Media",'Riesgos de Gestión'!$S$16="Mayor"),CONCATENATE("R",'Riesgos de Gestión'!$A$16),"")</f>
        <v/>
      </c>
      <c r="AC24" s="425"/>
      <c r="AD24" s="425" t="str">
        <f>IF(AND('Riesgos de Gestión'!$O$22="Media",'Riesgos de Gestión'!$S$22="Mayor"),CONCATENATE("R",'Riesgos de Gestión'!$A$22),"")</f>
        <v/>
      </c>
      <c r="AE24" s="425"/>
      <c r="AF24" s="425" t="str">
        <f>IF(AND('Riesgos de Gestión'!$O$28="Media",'Riesgos de Gestión'!$S$28="Mayor"),CONCATENATE("R",'Riesgos de Gestión'!$A$28),"")</f>
        <v/>
      </c>
      <c r="AG24" s="426"/>
      <c r="AH24" s="415" t="str">
        <f>IF(AND('Riesgos de Gestión'!$O$16="Media",'Riesgos de Gestión'!$S$16="Catastrófico"),CONCATENATE("R",'Riesgos de Gestión'!$A$16),"")</f>
        <v/>
      </c>
      <c r="AI24" s="416"/>
      <c r="AJ24" s="416" t="str">
        <f>IF(AND('Riesgos de Gestión'!$O$22="Media",'Riesgos de Gestión'!$S$22="Catastrófico"),CONCATENATE("R",'Riesgos de Gestión'!$A$22),"")</f>
        <v/>
      </c>
      <c r="AK24" s="416"/>
      <c r="AL24" s="416" t="str">
        <f>IF(AND('Riesgos de Gestión'!$O$28="Media",'Riesgos de Gestión'!$S$28="Catastrófico"),CONCATENATE("R",'Riesgos de Gestión'!$A$28),"")</f>
        <v/>
      </c>
      <c r="AM24" s="417"/>
      <c r="AN24" s="66"/>
      <c r="AO24" s="467"/>
      <c r="AP24" s="468"/>
      <c r="AQ24" s="468"/>
      <c r="AR24" s="468"/>
      <c r="AS24" s="468"/>
      <c r="AT24" s="469"/>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row>
    <row r="25" spans="1:80" x14ac:dyDescent="0.25">
      <c r="A25" s="66"/>
      <c r="B25" s="444"/>
      <c r="C25" s="444"/>
      <c r="D25" s="445"/>
      <c r="E25" s="437"/>
      <c r="F25" s="438"/>
      <c r="G25" s="438"/>
      <c r="H25" s="438"/>
      <c r="I25" s="439"/>
      <c r="J25" s="406"/>
      <c r="K25" s="407"/>
      <c r="L25" s="407"/>
      <c r="M25" s="407"/>
      <c r="N25" s="407"/>
      <c r="O25" s="408"/>
      <c r="P25" s="406"/>
      <c r="Q25" s="407"/>
      <c r="R25" s="407"/>
      <c r="S25" s="407"/>
      <c r="T25" s="407"/>
      <c r="U25" s="408"/>
      <c r="V25" s="406"/>
      <c r="W25" s="407"/>
      <c r="X25" s="407"/>
      <c r="Y25" s="407"/>
      <c r="Z25" s="407"/>
      <c r="AA25" s="408"/>
      <c r="AB25" s="424"/>
      <c r="AC25" s="425"/>
      <c r="AD25" s="425"/>
      <c r="AE25" s="425"/>
      <c r="AF25" s="425"/>
      <c r="AG25" s="426"/>
      <c r="AH25" s="415"/>
      <c r="AI25" s="416"/>
      <c r="AJ25" s="416"/>
      <c r="AK25" s="416"/>
      <c r="AL25" s="416"/>
      <c r="AM25" s="417"/>
      <c r="AN25" s="66"/>
      <c r="AO25" s="467"/>
      <c r="AP25" s="468"/>
      <c r="AQ25" s="468"/>
      <c r="AR25" s="468"/>
      <c r="AS25" s="468"/>
      <c r="AT25" s="469"/>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row>
    <row r="26" spans="1:80" x14ac:dyDescent="0.25">
      <c r="A26" s="66"/>
      <c r="B26" s="444"/>
      <c r="C26" s="444"/>
      <c r="D26" s="445"/>
      <c r="E26" s="437"/>
      <c r="F26" s="438"/>
      <c r="G26" s="438"/>
      <c r="H26" s="438"/>
      <c r="I26" s="439"/>
      <c r="J26" s="406" t="str">
        <f>IF(AND('Riesgos de Gestión'!$O$34="Media",'Riesgos de Gestión'!$S$34="Leve"),CONCATENATE("R",'Riesgos de Gestión'!$A$34),"")</f>
        <v/>
      </c>
      <c r="K26" s="407"/>
      <c r="L26" s="407" t="str">
        <f>IF(AND('Riesgos de Gestión'!$O$40="Media",'Riesgos de Gestión'!$S$40="Leve"),CONCATENATE("R",'Riesgos de Gestión'!$A$40),"")</f>
        <v/>
      </c>
      <c r="M26" s="407"/>
      <c r="N26" s="407" t="str">
        <f>IF(AND('Riesgos de Gestión'!$O$46="Media",'Riesgos de Gestión'!$S$46="Leve"),CONCATENATE("R",'Riesgos de Gestión'!$A$46),"")</f>
        <v/>
      </c>
      <c r="O26" s="408"/>
      <c r="P26" s="406" t="str">
        <f>IF(AND('Riesgos de Gestión'!$O$34="Media",'Riesgos de Gestión'!$S$34="Menor"),CONCATENATE("R",'Riesgos de Gestión'!$A$34),"")</f>
        <v/>
      </c>
      <c r="Q26" s="407"/>
      <c r="R26" s="407" t="str">
        <f>IF(AND('Riesgos de Gestión'!$O$40="Media",'Riesgos de Gestión'!$S$40="Menor"),CONCATENATE("R",'Riesgos de Gestión'!$A$40),"")</f>
        <v/>
      </c>
      <c r="S26" s="407"/>
      <c r="T26" s="407" t="str">
        <f>IF(AND('Riesgos de Gestión'!$O$46="Media",'Riesgos de Gestión'!$S$46="Menor"),CONCATENATE("R",'Riesgos de Gestión'!$A$46),"")</f>
        <v/>
      </c>
      <c r="U26" s="408"/>
      <c r="V26" s="406" t="str">
        <f>IF(AND('Riesgos de Gestión'!$O$34="Media",'Riesgos de Gestión'!$S$34="Moderado"),CONCATENATE("R",'Riesgos de Gestión'!$A$34),"")</f>
        <v/>
      </c>
      <c r="W26" s="407"/>
      <c r="X26" s="407" t="str">
        <f>IF(AND('Riesgos de Gestión'!$O$40="Media",'Riesgos de Gestión'!$S$40="Moderado"),CONCATENATE("R",'Riesgos de Gestión'!$A$40),"")</f>
        <v/>
      </c>
      <c r="Y26" s="407"/>
      <c r="Z26" s="407" t="str">
        <f>IF(AND('Riesgos de Gestión'!$O$46="Media",'Riesgos de Gestión'!$S$46="Moderado"),CONCATENATE("R",'Riesgos de Gestión'!$A$46),"")</f>
        <v/>
      </c>
      <c r="AA26" s="408"/>
      <c r="AB26" s="424" t="str">
        <f>IF(AND('Riesgos de Gestión'!$O$34="Media",'Riesgos de Gestión'!$S$34="Mayor"),CONCATENATE("R",'Riesgos de Gestión'!$A$34),"")</f>
        <v/>
      </c>
      <c r="AC26" s="425"/>
      <c r="AD26" s="425" t="str">
        <f>IF(AND('Riesgos de Gestión'!$O$40="Media",'Riesgos de Gestión'!$S$40="Mayor"),CONCATENATE("R",'Riesgos de Gestión'!$A$40),"")</f>
        <v/>
      </c>
      <c r="AE26" s="425"/>
      <c r="AF26" s="425" t="str">
        <f>IF(AND('Riesgos de Gestión'!$O$46="Media",'Riesgos de Gestión'!$S$46="Mayor"),CONCATENATE("R",'Riesgos de Gestión'!$A$46),"")</f>
        <v/>
      </c>
      <c r="AG26" s="426"/>
      <c r="AH26" s="415" t="str">
        <f>IF(AND('Riesgos de Gestión'!$O$34="Media",'Riesgos de Gestión'!$S$34="Catastrófico"),CONCATENATE("R",'Riesgos de Gestión'!$A$34),"")</f>
        <v/>
      </c>
      <c r="AI26" s="416"/>
      <c r="AJ26" s="416" t="str">
        <f>IF(AND('Riesgos de Gestión'!$O$40="Media",'Riesgos de Gestión'!$S$40="Catastrófico"),CONCATENATE("R",'Riesgos de Gestión'!$A$40),"")</f>
        <v/>
      </c>
      <c r="AK26" s="416"/>
      <c r="AL26" s="416" t="str">
        <f>IF(AND('Riesgos de Gestión'!$O$46="Media",'Riesgos de Gestión'!$S$46="Catastrófico"),CONCATENATE("R",'Riesgos de Gestión'!$A$46),"")</f>
        <v/>
      </c>
      <c r="AM26" s="417"/>
      <c r="AN26" s="66"/>
      <c r="AO26" s="467"/>
      <c r="AP26" s="468"/>
      <c r="AQ26" s="468"/>
      <c r="AR26" s="468"/>
      <c r="AS26" s="468"/>
      <c r="AT26" s="469"/>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row>
    <row r="27" spans="1:80" x14ac:dyDescent="0.25">
      <c r="A27" s="66"/>
      <c r="B27" s="444"/>
      <c r="C27" s="444"/>
      <c r="D27" s="445"/>
      <c r="E27" s="437"/>
      <c r="F27" s="438"/>
      <c r="G27" s="438"/>
      <c r="H27" s="438"/>
      <c r="I27" s="439"/>
      <c r="J27" s="406"/>
      <c r="K27" s="407"/>
      <c r="L27" s="407"/>
      <c r="M27" s="407"/>
      <c r="N27" s="407"/>
      <c r="O27" s="408"/>
      <c r="P27" s="406"/>
      <c r="Q27" s="407"/>
      <c r="R27" s="407"/>
      <c r="S27" s="407"/>
      <c r="T27" s="407"/>
      <c r="U27" s="408"/>
      <c r="V27" s="406"/>
      <c r="W27" s="407"/>
      <c r="X27" s="407"/>
      <c r="Y27" s="407"/>
      <c r="Z27" s="407"/>
      <c r="AA27" s="408"/>
      <c r="AB27" s="424"/>
      <c r="AC27" s="425"/>
      <c r="AD27" s="425"/>
      <c r="AE27" s="425"/>
      <c r="AF27" s="425"/>
      <c r="AG27" s="426"/>
      <c r="AH27" s="415"/>
      <c r="AI27" s="416"/>
      <c r="AJ27" s="416"/>
      <c r="AK27" s="416"/>
      <c r="AL27" s="416"/>
      <c r="AM27" s="417"/>
      <c r="AN27" s="66"/>
      <c r="AO27" s="467"/>
      <c r="AP27" s="468"/>
      <c r="AQ27" s="468"/>
      <c r="AR27" s="468"/>
      <c r="AS27" s="468"/>
      <c r="AT27" s="469"/>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x14ac:dyDescent="0.25">
      <c r="A28" s="66"/>
      <c r="B28" s="444"/>
      <c r="C28" s="444"/>
      <c r="D28" s="445"/>
      <c r="E28" s="437"/>
      <c r="F28" s="438"/>
      <c r="G28" s="438"/>
      <c r="H28" s="438"/>
      <c r="I28" s="439"/>
      <c r="J28" s="406" t="str">
        <f>IF(AND('Riesgos de Gestión'!$O$52="Media",'Riesgos de Gestión'!$S$52="Leve"),CONCATENATE("R",'Riesgos de Gestión'!$A$52),"")</f>
        <v/>
      </c>
      <c r="K28" s="407"/>
      <c r="L28" s="407" t="str">
        <f>IF(AND('Riesgos de Gestión'!$P$58="Media",'Riesgos de Gestión'!$T$58="Leve"),CONCATENATE("R",'Riesgos de Gestión'!$A$58),"")</f>
        <v/>
      </c>
      <c r="M28" s="407"/>
      <c r="N28" s="407" t="str">
        <f>IF(AND('Riesgos de Gestión'!$P$64="Media",'Riesgos de Gestión'!$T$64="Leve"),CONCATENATE("R",'Riesgos de Gestión'!$A$64),"")</f>
        <v/>
      </c>
      <c r="O28" s="408"/>
      <c r="P28" s="406" t="str">
        <f>IF(AND('Riesgos de Gestión'!$O$52="Media",'Riesgos de Gestión'!$S$52="Menor"),CONCATENATE("R",'Riesgos de Gestión'!$A$52),"")</f>
        <v/>
      </c>
      <c r="Q28" s="407"/>
      <c r="R28" s="407" t="str">
        <f>IF(AND('Riesgos de Gestión'!$P$58="Media",'Riesgos de Gestión'!$T$58="Menor"),CONCATENATE("R",'Riesgos de Gestión'!$A$58),"")</f>
        <v/>
      </c>
      <c r="S28" s="407"/>
      <c r="T28" s="407" t="str">
        <f>IF(AND('Riesgos de Gestión'!$P$64="Media",'Riesgos de Gestión'!$T$64="Menor"),CONCATENATE("R",'Riesgos de Gestión'!$A$64),"")</f>
        <v/>
      </c>
      <c r="U28" s="408"/>
      <c r="V28" s="406" t="str">
        <f>IF(AND('Riesgos de Gestión'!$O$52="Media",'Riesgos de Gestión'!$S$52="Moderado"),CONCATENATE("R",'Riesgos de Gestión'!$A$52),"")</f>
        <v/>
      </c>
      <c r="W28" s="407"/>
      <c r="X28" s="407" t="str">
        <f>IF(AND('Riesgos de Gestión'!$P$58="Media",'Riesgos de Gestión'!$T$58="Moderado"),CONCATENATE("R",'Riesgos de Gestión'!$A$58),"")</f>
        <v/>
      </c>
      <c r="Y28" s="407"/>
      <c r="Z28" s="407" t="str">
        <f>IF(AND('Riesgos de Gestión'!$P$64="Media",'Riesgos de Gestión'!$T$64="Moderado"),CONCATENATE("R",'Riesgos de Gestión'!$A$64),"")</f>
        <v/>
      </c>
      <c r="AA28" s="408"/>
      <c r="AB28" s="424" t="str">
        <f>IF(AND('Riesgos de Gestión'!$O$52="Media",'Riesgos de Gestión'!$S$52="Mayor"),CONCATENATE("R",'Riesgos de Gestión'!$A$52),"")</f>
        <v/>
      </c>
      <c r="AC28" s="425"/>
      <c r="AD28" s="425" t="str">
        <f>IF(AND('Riesgos de Gestión'!$P$58="Media",'Riesgos de Gestión'!$T$58="Mayor"),CONCATENATE("R",'Riesgos de Gestión'!$A$58),"")</f>
        <v/>
      </c>
      <c r="AE28" s="425"/>
      <c r="AF28" s="425" t="str">
        <f>IF(AND('Riesgos de Gestión'!$P$64="Media",'Riesgos de Gestión'!$T$64="Mayor"),CONCATENATE("R",'Riesgos de Gestión'!$A$64),"")</f>
        <v/>
      </c>
      <c r="AG28" s="426"/>
      <c r="AH28" s="415" t="str">
        <f>IF(AND('Riesgos de Gestión'!$O$52="Media",'Riesgos de Gestión'!$S$52="Catastrófico"),CONCATENATE("R",'Riesgos de Gestión'!$A$52),"")</f>
        <v/>
      </c>
      <c r="AI28" s="416"/>
      <c r="AJ28" s="416" t="str">
        <f>IF(AND('Riesgos de Gestión'!$P$58="Media",'Riesgos de Gestión'!$T$58="Catastrófico"),CONCATENATE("R",'Riesgos de Gestión'!$A$58),"")</f>
        <v/>
      </c>
      <c r="AK28" s="416"/>
      <c r="AL28" s="416" t="str">
        <f>IF(AND('Riesgos de Gestión'!$P$64="Media",'Riesgos de Gestión'!$T$64="Catastrófico"),CONCATENATE("R",'Riesgos de Gestión'!$A$64),"")</f>
        <v/>
      </c>
      <c r="AM28" s="417"/>
      <c r="AN28" s="66"/>
      <c r="AO28" s="467"/>
      <c r="AP28" s="468"/>
      <c r="AQ28" s="468"/>
      <c r="AR28" s="468"/>
      <c r="AS28" s="468"/>
      <c r="AT28" s="469"/>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row>
    <row r="29" spans="1:80" ht="15.75" thickBot="1" x14ac:dyDescent="0.3">
      <c r="A29" s="66"/>
      <c r="B29" s="444"/>
      <c r="C29" s="444"/>
      <c r="D29" s="445"/>
      <c r="E29" s="440"/>
      <c r="F29" s="441"/>
      <c r="G29" s="441"/>
      <c r="H29" s="441"/>
      <c r="I29" s="442"/>
      <c r="J29" s="406"/>
      <c r="K29" s="407"/>
      <c r="L29" s="407"/>
      <c r="M29" s="407"/>
      <c r="N29" s="407"/>
      <c r="O29" s="408"/>
      <c r="P29" s="409"/>
      <c r="Q29" s="410"/>
      <c r="R29" s="410"/>
      <c r="S29" s="410"/>
      <c r="T29" s="410"/>
      <c r="U29" s="411"/>
      <c r="V29" s="409"/>
      <c r="W29" s="410"/>
      <c r="X29" s="410"/>
      <c r="Y29" s="410"/>
      <c r="Z29" s="410"/>
      <c r="AA29" s="411"/>
      <c r="AB29" s="427"/>
      <c r="AC29" s="428"/>
      <c r="AD29" s="428"/>
      <c r="AE29" s="428"/>
      <c r="AF29" s="428"/>
      <c r="AG29" s="429"/>
      <c r="AH29" s="418"/>
      <c r="AI29" s="419"/>
      <c r="AJ29" s="419"/>
      <c r="AK29" s="419"/>
      <c r="AL29" s="419"/>
      <c r="AM29" s="420"/>
      <c r="AN29" s="66"/>
      <c r="AO29" s="470"/>
      <c r="AP29" s="471"/>
      <c r="AQ29" s="471"/>
      <c r="AR29" s="471"/>
      <c r="AS29" s="471"/>
      <c r="AT29" s="472"/>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row>
    <row r="30" spans="1:80" x14ac:dyDescent="0.25">
      <c r="A30" s="66"/>
      <c r="B30" s="444"/>
      <c r="C30" s="444"/>
      <c r="D30" s="445"/>
      <c r="E30" s="434" t="s">
        <v>271</v>
      </c>
      <c r="F30" s="435"/>
      <c r="G30" s="435"/>
      <c r="H30" s="435"/>
      <c r="I30" s="435"/>
      <c r="J30" s="403" t="str">
        <f>IF(AND('Riesgos de Gestión'!$O$13="Baja",'Riesgos de Gestión'!$S$13="Leve"),CONCATENATE("R",'Riesgos de Gestión'!$A$13),"")</f>
        <v/>
      </c>
      <c r="K30" s="404"/>
      <c r="L30" s="404" t="str">
        <f>IF(AND('Riesgos de Gestión'!$O$14="Baja",'Riesgos de Gestión'!$S$14="Leve"),CONCATENATE("R",'Riesgos de Gestión'!$A$14),"")</f>
        <v/>
      </c>
      <c r="M30" s="404"/>
      <c r="N30" s="404" t="str">
        <f>IF(AND('Riesgos de Gestión'!$O$15="Baja",'Riesgos de Gestión'!$S$15="Leve"),CONCATENATE("R",'Riesgos de Gestión'!$A$15),"")</f>
        <v/>
      </c>
      <c r="O30" s="405"/>
      <c r="P30" s="413" t="str">
        <f>IF(AND('Riesgos de Gestión'!$O$13="Baja",'Riesgos de Gestión'!$S$13="Menor"),CONCATENATE("R",'Riesgos de Gestión'!$A$13),"")</f>
        <v/>
      </c>
      <c r="Q30" s="413"/>
      <c r="R30" s="413" t="str">
        <f>IF(AND('Riesgos de Gestión'!$O$14="Baja",'Riesgos de Gestión'!$S$14="Menor"),CONCATENATE("R",'Riesgos de Gestión'!$A$14),"")</f>
        <v/>
      </c>
      <c r="S30" s="413"/>
      <c r="T30" s="413" t="str">
        <f>IF(AND('Riesgos de Gestión'!$O$15="Baja",'Riesgos de Gestión'!$S$15="Menor"),CONCATENATE("R",'Riesgos de Gestión'!$A$15),"")</f>
        <v/>
      </c>
      <c r="U30" s="414"/>
      <c r="V30" s="412" t="str">
        <f>IF(AND('Riesgos de Gestión'!$O$13="Baja",'Riesgos de Gestión'!$S$13="Moderado"),CONCATENATE("R",'Riesgos de Gestión'!$A$13),"")</f>
        <v/>
      </c>
      <c r="W30" s="413"/>
      <c r="X30" s="413" t="str">
        <f>IF(AND('Riesgos de Gestión'!$O$14="Baja",'Riesgos de Gestión'!$S$14="Moderado"),CONCATENATE("R",'Riesgos de Gestión'!$A$14),"")</f>
        <v/>
      </c>
      <c r="Y30" s="413"/>
      <c r="Z30" s="413" t="str">
        <f>IF(AND('Riesgos de Gestión'!$O$15="Baja",'Riesgos de Gestión'!$S$15="Moderado"),CONCATENATE("R",'Riesgos de Gestión'!$A$15),"")</f>
        <v/>
      </c>
      <c r="AA30" s="414"/>
      <c r="AB30" s="430" t="str">
        <f>IF(AND('Riesgos de Gestión'!$O$13="Baja",'Riesgos de Gestión'!$S$13="Mayor"),CONCATENATE("R",'Riesgos de Gestión'!$A$13),"")</f>
        <v/>
      </c>
      <c r="AC30" s="431"/>
      <c r="AD30" s="431" t="str">
        <f>IF(AND('Riesgos de Gestión'!$O$14="Baja",'Riesgos de Gestión'!$S$14="Mayor"),CONCATENATE("R",'Riesgos de Gestión'!$A$14),"")</f>
        <v/>
      </c>
      <c r="AE30" s="431"/>
      <c r="AF30" s="431" t="str">
        <f>IF(AND('Riesgos de Gestión'!$O$15="Baja",'Riesgos de Gestión'!$S$15="Mayor"),CONCATENATE("R",'Riesgos de Gestión'!$A$15),"")</f>
        <v/>
      </c>
      <c r="AG30" s="432"/>
      <c r="AH30" s="421" t="str">
        <f>IF(AND('Riesgos de Gestión'!$O$13="Baja",'Riesgos de Gestión'!$S$13="Catastrófico"),CONCATENATE("R",'Riesgos de Gestión'!$A$13),"")</f>
        <v/>
      </c>
      <c r="AI30" s="422"/>
      <c r="AJ30" s="422" t="str">
        <f>IF(AND('Riesgos de Gestión'!$O$14="Baja",'Riesgos de Gestión'!$S$14="Catastrófico"),CONCATENATE("R",'Riesgos de Gestión'!$A$14),"")</f>
        <v/>
      </c>
      <c r="AK30" s="422"/>
      <c r="AL30" s="422" t="str">
        <f>IF(AND('Riesgos de Gestión'!$O$15="Baja",'Riesgos de Gestión'!$S$15="Catastrófico"),CONCATENATE("R",'Riesgos de Gestión'!$A$15),"")</f>
        <v/>
      </c>
      <c r="AM30" s="423"/>
      <c r="AN30" s="66"/>
      <c r="AO30" s="473" t="s">
        <v>272</v>
      </c>
      <c r="AP30" s="474"/>
      <c r="AQ30" s="474"/>
      <c r="AR30" s="474"/>
      <c r="AS30" s="474"/>
      <c r="AT30" s="475"/>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row>
    <row r="31" spans="1:80" x14ac:dyDescent="0.25">
      <c r="A31" s="66"/>
      <c r="B31" s="444"/>
      <c r="C31" s="444"/>
      <c r="D31" s="445"/>
      <c r="E31" s="437"/>
      <c r="F31" s="438"/>
      <c r="G31" s="438"/>
      <c r="H31" s="438"/>
      <c r="I31" s="438"/>
      <c r="J31" s="397"/>
      <c r="K31" s="398"/>
      <c r="L31" s="398"/>
      <c r="M31" s="398"/>
      <c r="N31" s="398"/>
      <c r="O31" s="399"/>
      <c r="P31" s="407"/>
      <c r="Q31" s="407"/>
      <c r="R31" s="407"/>
      <c r="S31" s="407"/>
      <c r="T31" s="407"/>
      <c r="U31" s="408"/>
      <c r="V31" s="406"/>
      <c r="W31" s="407"/>
      <c r="X31" s="407"/>
      <c r="Y31" s="407"/>
      <c r="Z31" s="407"/>
      <c r="AA31" s="408"/>
      <c r="AB31" s="424"/>
      <c r="AC31" s="425"/>
      <c r="AD31" s="425"/>
      <c r="AE31" s="425"/>
      <c r="AF31" s="425"/>
      <c r="AG31" s="426"/>
      <c r="AH31" s="415"/>
      <c r="AI31" s="416"/>
      <c r="AJ31" s="416"/>
      <c r="AK31" s="416"/>
      <c r="AL31" s="416"/>
      <c r="AM31" s="417"/>
      <c r="AN31" s="66"/>
      <c r="AO31" s="476"/>
      <c r="AP31" s="477"/>
      <c r="AQ31" s="477"/>
      <c r="AR31" s="477"/>
      <c r="AS31" s="477"/>
      <c r="AT31" s="478"/>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row>
    <row r="32" spans="1:80" x14ac:dyDescent="0.25">
      <c r="A32" s="66"/>
      <c r="B32" s="444"/>
      <c r="C32" s="444"/>
      <c r="D32" s="445"/>
      <c r="E32" s="437"/>
      <c r="F32" s="438"/>
      <c r="G32" s="438"/>
      <c r="H32" s="438"/>
      <c r="I32" s="438"/>
      <c r="J32" s="397" t="str">
        <f>IF(AND('Riesgos de Gestión'!$O$16="Baja",'Riesgos de Gestión'!$S$16="Leve"),CONCATENATE("R",'Riesgos de Gestión'!$A$16),"")</f>
        <v/>
      </c>
      <c r="K32" s="398"/>
      <c r="L32" s="398" t="str">
        <f>IF(AND('Riesgos de Gestión'!$O$22="Baja",'Riesgos de Gestión'!$S$22="Leve"),CONCATENATE("R",'Riesgos de Gestión'!$A$22),"")</f>
        <v/>
      </c>
      <c r="M32" s="398"/>
      <c r="N32" s="398" t="str">
        <f>IF(AND('Riesgos de Gestión'!$O$28="Baja",'Riesgos de Gestión'!$S$28="Leve"),CONCATENATE("R",'Riesgos de Gestión'!$A$28),"")</f>
        <v/>
      </c>
      <c r="O32" s="399"/>
      <c r="P32" s="407" t="str">
        <f>IF(AND('Riesgos de Gestión'!$O$16="Baja",'Riesgos de Gestión'!$S$16="Menor"),CONCATENATE("R",'Riesgos de Gestión'!$A$16),"")</f>
        <v/>
      </c>
      <c r="Q32" s="407"/>
      <c r="R32" s="407" t="str">
        <f>IF(AND('Riesgos de Gestión'!$O$22="Baja",'Riesgos de Gestión'!$S$22="Menor"),CONCATENATE("R",'Riesgos de Gestión'!$A$22),"")</f>
        <v/>
      </c>
      <c r="S32" s="407"/>
      <c r="T32" s="407" t="str">
        <f>IF(AND('Riesgos de Gestión'!$O$28="Baja",'Riesgos de Gestión'!$S$28="Menor"),CONCATENATE("R",'Riesgos de Gestión'!$A$28),"")</f>
        <v/>
      </c>
      <c r="U32" s="408"/>
      <c r="V32" s="406" t="str">
        <f>IF(AND('Riesgos de Gestión'!$O$16="Baja",'Riesgos de Gestión'!$S$16="Moderado"),CONCATENATE("R",'Riesgos de Gestión'!$A$16),"")</f>
        <v/>
      </c>
      <c r="W32" s="407"/>
      <c r="X32" s="407" t="str">
        <f>IF(AND('Riesgos de Gestión'!$O$22="Baja",'Riesgos de Gestión'!$S$22="Moderado"),CONCATENATE("R",'Riesgos de Gestión'!$A$22),"")</f>
        <v/>
      </c>
      <c r="Y32" s="407"/>
      <c r="Z32" s="407" t="str">
        <f>IF(AND('Riesgos de Gestión'!$O$28="Baja",'Riesgos de Gestión'!$S$28="Moderado"),CONCATENATE("R",'Riesgos de Gestión'!$A$28),"")</f>
        <v/>
      </c>
      <c r="AA32" s="408"/>
      <c r="AB32" s="424" t="str">
        <f>IF(AND('Riesgos de Gestión'!$O$16="Baja",'Riesgos de Gestión'!$S$16="Mayor"),CONCATENATE("R",'Riesgos de Gestión'!$A$16),"")</f>
        <v/>
      </c>
      <c r="AC32" s="425"/>
      <c r="AD32" s="425" t="str">
        <f>IF(AND('Riesgos de Gestión'!$O$22="Baja",'Riesgos de Gestión'!$S$22="Mayor"),CONCATENATE("R",'Riesgos de Gestión'!$A$22),"")</f>
        <v/>
      </c>
      <c r="AE32" s="425"/>
      <c r="AF32" s="425" t="str">
        <f>IF(AND('Riesgos de Gestión'!$O$28="Baja",'Riesgos de Gestión'!$S$28="Mayor"),CONCATENATE("R",'Riesgos de Gestión'!$A$28),"")</f>
        <v/>
      </c>
      <c r="AG32" s="426"/>
      <c r="AH32" s="415" t="str">
        <f>IF(AND('Riesgos de Gestión'!$O$16="Baja",'Riesgos de Gestión'!$S$16="Catastrófico"),CONCATENATE("R",'Riesgos de Gestión'!$A$16),"")</f>
        <v/>
      </c>
      <c r="AI32" s="416"/>
      <c r="AJ32" s="416" t="str">
        <f>IF(AND('Riesgos de Gestión'!$O$22="Baja",'Riesgos de Gestión'!$S$22="Catastrófico"),CONCATENATE("R",'Riesgos de Gestión'!$A$22),"")</f>
        <v/>
      </c>
      <c r="AK32" s="416"/>
      <c r="AL32" s="416" t="str">
        <f>IF(AND('Riesgos de Gestión'!$O$28="Baja",'Riesgos de Gestión'!$S$28="Catastrófico"),CONCATENATE("R",'Riesgos de Gestión'!$A$28),"")</f>
        <v/>
      </c>
      <c r="AM32" s="417"/>
      <c r="AN32" s="66"/>
      <c r="AO32" s="476"/>
      <c r="AP32" s="477"/>
      <c r="AQ32" s="477"/>
      <c r="AR32" s="477"/>
      <c r="AS32" s="477"/>
      <c r="AT32" s="478"/>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66"/>
      <c r="CB32" s="66"/>
    </row>
    <row r="33" spans="1:80" x14ac:dyDescent="0.25">
      <c r="A33" s="66"/>
      <c r="B33" s="444"/>
      <c r="C33" s="444"/>
      <c r="D33" s="445"/>
      <c r="E33" s="437"/>
      <c r="F33" s="438"/>
      <c r="G33" s="438"/>
      <c r="H33" s="438"/>
      <c r="I33" s="438"/>
      <c r="J33" s="397"/>
      <c r="K33" s="398"/>
      <c r="L33" s="398"/>
      <c r="M33" s="398"/>
      <c r="N33" s="398"/>
      <c r="O33" s="399"/>
      <c r="P33" s="407"/>
      <c r="Q33" s="407"/>
      <c r="R33" s="407"/>
      <c r="S33" s="407"/>
      <c r="T33" s="407"/>
      <c r="U33" s="408"/>
      <c r="V33" s="406"/>
      <c r="W33" s="407"/>
      <c r="X33" s="407"/>
      <c r="Y33" s="407"/>
      <c r="Z33" s="407"/>
      <c r="AA33" s="408"/>
      <c r="AB33" s="424"/>
      <c r="AC33" s="425"/>
      <c r="AD33" s="425"/>
      <c r="AE33" s="425"/>
      <c r="AF33" s="425"/>
      <c r="AG33" s="426"/>
      <c r="AH33" s="415"/>
      <c r="AI33" s="416"/>
      <c r="AJ33" s="416"/>
      <c r="AK33" s="416"/>
      <c r="AL33" s="416"/>
      <c r="AM33" s="417"/>
      <c r="AN33" s="66"/>
      <c r="AO33" s="476"/>
      <c r="AP33" s="477"/>
      <c r="AQ33" s="477"/>
      <c r="AR33" s="477"/>
      <c r="AS33" s="477"/>
      <c r="AT33" s="478"/>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66"/>
      <c r="CB33" s="66"/>
    </row>
    <row r="34" spans="1:80" x14ac:dyDescent="0.25">
      <c r="A34" s="66"/>
      <c r="B34" s="444"/>
      <c r="C34" s="444"/>
      <c r="D34" s="445"/>
      <c r="E34" s="437"/>
      <c r="F34" s="438"/>
      <c r="G34" s="438"/>
      <c r="H34" s="438"/>
      <c r="I34" s="438"/>
      <c r="J34" s="397" t="str">
        <f>IF(AND('Riesgos de Gestión'!$O$34="Baja",'Riesgos de Gestión'!$S$34="Leve"),CONCATENATE("R",'Riesgos de Gestión'!$A$34),"")</f>
        <v/>
      </c>
      <c r="K34" s="398"/>
      <c r="L34" s="398" t="str">
        <f>IF(AND('Riesgos de Gestión'!$O$40="Baja",'Riesgos de Gestión'!$S$40="Leve"),CONCATENATE("R",'Riesgos de Gestión'!$A$40),"")</f>
        <v/>
      </c>
      <c r="M34" s="398"/>
      <c r="N34" s="398" t="str">
        <f>IF(AND('Riesgos de Gestión'!$O$46="Baja",'Riesgos de Gestión'!$S$46="Leve"),CONCATENATE("R",'Riesgos de Gestión'!$A$46),"")</f>
        <v/>
      </c>
      <c r="O34" s="399"/>
      <c r="P34" s="407" t="str">
        <f>IF(AND('Riesgos de Gestión'!$O$34="Baja",'Riesgos de Gestión'!$S$34="Menor"),CONCATENATE("R",'Riesgos de Gestión'!$A$34),"")</f>
        <v/>
      </c>
      <c r="Q34" s="407"/>
      <c r="R34" s="407" t="str">
        <f>IF(AND('Riesgos de Gestión'!$O$40="Baja",'Riesgos de Gestión'!$S$40="Menor"),CONCATENATE("R",'Riesgos de Gestión'!$A$40),"")</f>
        <v/>
      </c>
      <c r="S34" s="407"/>
      <c r="T34" s="407" t="str">
        <f>IF(AND('Riesgos de Gestión'!$O$46="Baja",'Riesgos de Gestión'!$S$46="Menor"),CONCATENATE("R",'Riesgos de Gestión'!$A$46),"")</f>
        <v/>
      </c>
      <c r="U34" s="408"/>
      <c r="V34" s="406" t="str">
        <f>IF(AND('Riesgos de Gestión'!$O$34="Baja",'Riesgos de Gestión'!$S$34="Moderado"),CONCATENATE("R",'Riesgos de Gestión'!$A$34),"")</f>
        <v/>
      </c>
      <c r="W34" s="407"/>
      <c r="X34" s="407" t="str">
        <f>IF(AND('Riesgos de Gestión'!$O$40="Baja",'Riesgos de Gestión'!$S$40="Moderado"),CONCATENATE("R",'Riesgos de Gestión'!$A$40),"")</f>
        <v/>
      </c>
      <c r="Y34" s="407"/>
      <c r="Z34" s="407" t="str">
        <f>IF(AND('Riesgos de Gestión'!$O$46="Baja",'Riesgos de Gestión'!$S$46="Moderado"),CONCATENATE("R",'Riesgos de Gestión'!$A$46),"")</f>
        <v/>
      </c>
      <c r="AA34" s="408"/>
      <c r="AB34" s="424" t="str">
        <f>IF(AND('Riesgos de Gestión'!$O$34="Baja",'Riesgos de Gestión'!$S$34="Mayor"),CONCATENATE("R",'Riesgos de Gestión'!$A$34),"")</f>
        <v/>
      </c>
      <c r="AC34" s="425"/>
      <c r="AD34" s="425" t="str">
        <f>IF(AND('Riesgos de Gestión'!$O$40="Baja",'Riesgos de Gestión'!$S$40="Mayor"),CONCATENATE("R",'Riesgos de Gestión'!$A$40),"")</f>
        <v/>
      </c>
      <c r="AE34" s="425"/>
      <c r="AF34" s="425" t="str">
        <f>IF(AND('Riesgos de Gestión'!$O$46="Baja",'Riesgos de Gestión'!$S$46="Mayor"),CONCATENATE("R",'Riesgos de Gestión'!$A$46),"")</f>
        <v/>
      </c>
      <c r="AG34" s="426"/>
      <c r="AH34" s="415" t="str">
        <f>IF(AND('Riesgos de Gestión'!$O$34="Baja",'Riesgos de Gestión'!$S$34="Catastrófico"),CONCATENATE("R",'Riesgos de Gestión'!$A$34),"")</f>
        <v/>
      </c>
      <c r="AI34" s="416"/>
      <c r="AJ34" s="416" t="str">
        <f>IF(AND('Riesgos de Gestión'!$O$40="Baja",'Riesgos de Gestión'!$S$40="Catastrófico"),CONCATENATE("R",'Riesgos de Gestión'!$A$40),"")</f>
        <v/>
      </c>
      <c r="AK34" s="416"/>
      <c r="AL34" s="416" t="str">
        <f>IF(AND('Riesgos de Gestión'!$O$46="Baja",'Riesgos de Gestión'!$S$46="Catastrófico"),CONCATENATE("R",'Riesgos de Gestión'!$A$46),"")</f>
        <v/>
      </c>
      <c r="AM34" s="417"/>
      <c r="AN34" s="66"/>
      <c r="AO34" s="476"/>
      <c r="AP34" s="477"/>
      <c r="AQ34" s="477"/>
      <c r="AR34" s="477"/>
      <c r="AS34" s="477"/>
      <c r="AT34" s="478"/>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row>
    <row r="35" spans="1:80" x14ac:dyDescent="0.25">
      <c r="A35" s="66"/>
      <c r="B35" s="444"/>
      <c r="C35" s="444"/>
      <c r="D35" s="445"/>
      <c r="E35" s="437"/>
      <c r="F35" s="438"/>
      <c r="G35" s="438"/>
      <c r="H35" s="438"/>
      <c r="I35" s="438"/>
      <c r="J35" s="397"/>
      <c r="K35" s="398"/>
      <c r="L35" s="398"/>
      <c r="M35" s="398"/>
      <c r="N35" s="398"/>
      <c r="O35" s="399"/>
      <c r="P35" s="407"/>
      <c r="Q35" s="407"/>
      <c r="R35" s="407"/>
      <c r="S35" s="407"/>
      <c r="T35" s="407"/>
      <c r="U35" s="408"/>
      <c r="V35" s="406"/>
      <c r="W35" s="407"/>
      <c r="X35" s="407"/>
      <c r="Y35" s="407"/>
      <c r="Z35" s="407"/>
      <c r="AA35" s="408"/>
      <c r="AB35" s="424"/>
      <c r="AC35" s="425"/>
      <c r="AD35" s="425"/>
      <c r="AE35" s="425"/>
      <c r="AF35" s="425"/>
      <c r="AG35" s="426"/>
      <c r="AH35" s="415"/>
      <c r="AI35" s="416"/>
      <c r="AJ35" s="416"/>
      <c r="AK35" s="416"/>
      <c r="AL35" s="416"/>
      <c r="AM35" s="417"/>
      <c r="AN35" s="66"/>
      <c r="AO35" s="476"/>
      <c r="AP35" s="477"/>
      <c r="AQ35" s="477"/>
      <c r="AR35" s="477"/>
      <c r="AS35" s="477"/>
      <c r="AT35" s="478"/>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row>
    <row r="36" spans="1:80" x14ac:dyDescent="0.25">
      <c r="A36" s="66"/>
      <c r="B36" s="444"/>
      <c r="C36" s="444"/>
      <c r="D36" s="445"/>
      <c r="E36" s="437"/>
      <c r="F36" s="438"/>
      <c r="G36" s="438"/>
      <c r="H36" s="438"/>
      <c r="I36" s="438"/>
      <c r="J36" s="397" t="str">
        <f>IF(AND('Riesgos de Gestión'!$O$52="Baja",'Riesgos de Gestión'!$S$52="Leve"),CONCATENATE("R",'Riesgos de Gestión'!$A$52),"")</f>
        <v/>
      </c>
      <c r="K36" s="398"/>
      <c r="L36" s="398" t="str">
        <f>IF(AND('Riesgos de Gestión'!$P$58="Baja",'Riesgos de Gestión'!$T$58="Leve"),CONCATENATE("R",'Riesgos de Gestión'!$A$58),"")</f>
        <v/>
      </c>
      <c r="M36" s="398"/>
      <c r="N36" s="398" t="str">
        <f>IF(AND('Riesgos de Gestión'!$P$64="Baja",'Riesgos de Gestión'!$T$64="Leve"),CONCATENATE("R",'Riesgos de Gestión'!$A$64),"")</f>
        <v/>
      </c>
      <c r="O36" s="399"/>
      <c r="P36" s="407" t="str">
        <f>IF(AND('Riesgos de Gestión'!$O$52="Baja",'Riesgos de Gestión'!$S$52="Menor"),CONCATENATE("R",'Riesgos de Gestión'!$A$52),"")</f>
        <v/>
      </c>
      <c r="Q36" s="407"/>
      <c r="R36" s="407" t="str">
        <f>IF(AND('Riesgos de Gestión'!$P$58="Baja",'Riesgos de Gestión'!$T$58="Menor"),CONCATENATE("R",'Riesgos de Gestión'!$A$58),"")</f>
        <v/>
      </c>
      <c r="S36" s="407"/>
      <c r="T36" s="407" t="str">
        <f>IF(AND('Riesgos de Gestión'!$P$64="Baja",'Riesgos de Gestión'!$T$64="Menor"),CONCATENATE("R",'Riesgos de Gestión'!$A$64),"")</f>
        <v/>
      </c>
      <c r="U36" s="408"/>
      <c r="V36" s="406" t="str">
        <f>IF(AND('Riesgos de Gestión'!$O$52="Baja",'Riesgos de Gestión'!$S$52="Moderado"),CONCATENATE("R",'Riesgos de Gestión'!$A$52),"")</f>
        <v/>
      </c>
      <c r="W36" s="407"/>
      <c r="X36" s="407" t="str">
        <f>IF(AND('Riesgos de Gestión'!$P$58="Baja",'Riesgos de Gestión'!$T$58="Moderado"),CONCATENATE("R",'Riesgos de Gestión'!$A$58),"")</f>
        <v/>
      </c>
      <c r="Y36" s="407"/>
      <c r="Z36" s="407" t="str">
        <f>IF(AND('Riesgos de Gestión'!$P$64="Baja",'Riesgos de Gestión'!$T$64="Moderado"),CONCATENATE("R",'Riesgos de Gestión'!$A$64),"")</f>
        <v/>
      </c>
      <c r="AA36" s="408"/>
      <c r="AB36" s="424" t="str">
        <f>IF(AND('Riesgos de Gestión'!$O$52="Baja",'Riesgos de Gestión'!$S$52="Mayor"),CONCATENATE("R",'Riesgos de Gestión'!$A$52),"")</f>
        <v/>
      </c>
      <c r="AC36" s="425"/>
      <c r="AD36" s="425" t="str">
        <f>IF(AND('Riesgos de Gestión'!$P$58="Baja",'Riesgos de Gestión'!$T$58="Mayor"),CONCATENATE("R",'Riesgos de Gestión'!$A$58),"")</f>
        <v/>
      </c>
      <c r="AE36" s="425"/>
      <c r="AF36" s="425" t="str">
        <f>IF(AND('Riesgos de Gestión'!$P$64="Baja",'Riesgos de Gestión'!$T$64="Mayor"),CONCATENATE("R",'Riesgos de Gestión'!$A$64),"")</f>
        <v/>
      </c>
      <c r="AG36" s="426"/>
      <c r="AH36" s="415" t="str">
        <f>IF(AND('Riesgos de Gestión'!$O$52="Baja",'Riesgos de Gestión'!$S$52="Catastrófico"),CONCATENATE("R",'Riesgos de Gestión'!$A$52),"")</f>
        <v/>
      </c>
      <c r="AI36" s="416"/>
      <c r="AJ36" s="416" t="str">
        <f>IF(AND('Riesgos de Gestión'!$P$58="Baja",'Riesgos de Gestión'!$T$58="Catastrófico"),CONCATENATE("R",'Riesgos de Gestión'!$A$58),"")</f>
        <v/>
      </c>
      <c r="AK36" s="416"/>
      <c r="AL36" s="416" t="str">
        <f>IF(AND('Riesgos de Gestión'!$P$64="Baja",'Riesgos de Gestión'!$T$64="Catastrófico"),CONCATENATE("R",'Riesgos de Gestión'!$A$64),"")</f>
        <v/>
      </c>
      <c r="AM36" s="417"/>
      <c r="AN36" s="66"/>
      <c r="AO36" s="476"/>
      <c r="AP36" s="477"/>
      <c r="AQ36" s="477"/>
      <c r="AR36" s="477"/>
      <c r="AS36" s="477"/>
      <c r="AT36" s="478"/>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row>
    <row r="37" spans="1:80" ht="15.75" thickBot="1" x14ac:dyDescent="0.3">
      <c r="A37" s="66"/>
      <c r="B37" s="444"/>
      <c r="C37" s="444"/>
      <c r="D37" s="445"/>
      <c r="E37" s="440"/>
      <c r="F37" s="441"/>
      <c r="G37" s="441"/>
      <c r="H37" s="441"/>
      <c r="I37" s="441"/>
      <c r="J37" s="400"/>
      <c r="K37" s="401"/>
      <c r="L37" s="401"/>
      <c r="M37" s="401"/>
      <c r="N37" s="401"/>
      <c r="O37" s="402"/>
      <c r="P37" s="410"/>
      <c r="Q37" s="410"/>
      <c r="R37" s="410"/>
      <c r="S37" s="410"/>
      <c r="T37" s="410"/>
      <c r="U37" s="411"/>
      <c r="V37" s="409"/>
      <c r="W37" s="410"/>
      <c r="X37" s="410"/>
      <c r="Y37" s="410"/>
      <c r="Z37" s="410"/>
      <c r="AA37" s="411"/>
      <c r="AB37" s="427"/>
      <c r="AC37" s="428"/>
      <c r="AD37" s="428"/>
      <c r="AE37" s="428"/>
      <c r="AF37" s="428"/>
      <c r="AG37" s="429"/>
      <c r="AH37" s="418"/>
      <c r="AI37" s="419"/>
      <c r="AJ37" s="419"/>
      <c r="AK37" s="419"/>
      <c r="AL37" s="419"/>
      <c r="AM37" s="420"/>
      <c r="AN37" s="66"/>
      <c r="AO37" s="479"/>
      <c r="AP37" s="480"/>
      <c r="AQ37" s="480"/>
      <c r="AR37" s="480"/>
      <c r="AS37" s="480"/>
      <c r="AT37" s="481"/>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c r="BY37" s="66"/>
      <c r="BZ37" s="66"/>
      <c r="CA37" s="66"/>
      <c r="CB37" s="66"/>
    </row>
    <row r="38" spans="1:80" x14ac:dyDescent="0.25">
      <c r="A38" s="66"/>
      <c r="B38" s="444"/>
      <c r="C38" s="444"/>
      <c r="D38" s="445"/>
      <c r="E38" s="434" t="s">
        <v>273</v>
      </c>
      <c r="F38" s="435"/>
      <c r="G38" s="435"/>
      <c r="H38" s="435"/>
      <c r="I38" s="436"/>
      <c r="J38" s="403" t="str">
        <f>IF(AND('Riesgos de Gestión'!$O$13="Muy Baja",'Riesgos de Gestión'!$S$13="Leve"),CONCATENATE("R",'Riesgos de Gestión'!$A$13),"")</f>
        <v/>
      </c>
      <c r="K38" s="404"/>
      <c r="L38" s="404" t="str">
        <f>IF(AND('Riesgos de Gestión'!$O$14="Muy Baja",'Riesgos de Gestión'!$S$14="Leve"),CONCATENATE("R",'Riesgos de Gestión'!$A$14),"")</f>
        <v/>
      </c>
      <c r="M38" s="404"/>
      <c r="N38" s="404" t="str">
        <f>IF(AND('Riesgos de Gestión'!$O$15="Muy Baja",'Riesgos de Gestión'!$S$15="Leve"),CONCATENATE("R",'Riesgos de Gestión'!$A$15),"")</f>
        <v/>
      </c>
      <c r="O38" s="405"/>
      <c r="P38" s="403" t="str">
        <f>IF(AND('Riesgos de Gestión'!$O$13="Muy Baja",'Riesgos de Gestión'!$S$13="Menor"),CONCATENATE("R",'Riesgos de Gestión'!$A$13),"")</f>
        <v/>
      </c>
      <c r="Q38" s="404"/>
      <c r="R38" s="404" t="str">
        <f>IF(AND('Riesgos de Gestión'!$O$14="Muy Baja",'Riesgos de Gestión'!$S$14="Menor"),CONCATENATE("R",'Riesgos de Gestión'!$A$14),"")</f>
        <v/>
      </c>
      <c r="S38" s="404"/>
      <c r="T38" s="404" t="str">
        <f>IF(AND('Riesgos de Gestión'!$O$15="Muy Baja",'Riesgos de Gestión'!$S$15="Menor"),CONCATENATE("R",'Riesgos de Gestión'!$A$15),"")</f>
        <v/>
      </c>
      <c r="U38" s="405"/>
      <c r="V38" s="412" t="str">
        <f>IF(AND('Riesgos de Gestión'!$O$13="Muy Baja",'Riesgos de Gestión'!$S$13="Moderado"),CONCATENATE("R",'Riesgos de Gestión'!$A$13),"")</f>
        <v/>
      </c>
      <c r="W38" s="413"/>
      <c r="X38" s="413" t="str">
        <f>IF(AND('Riesgos de Gestión'!$O$14="Muy Baja",'Riesgos de Gestión'!$S$14="Moderado"),CONCATENATE("R",'Riesgos de Gestión'!$A$14),"")</f>
        <v/>
      </c>
      <c r="Y38" s="413"/>
      <c r="Z38" s="413" t="str">
        <f>IF(AND('Riesgos de Gestión'!$O$15="Muy Baja",'Riesgos de Gestión'!$S$15="Moderado"),CONCATENATE("R",'Riesgos de Gestión'!$A$15),"")</f>
        <v/>
      </c>
      <c r="AA38" s="414"/>
      <c r="AB38" s="430" t="str">
        <f>IF(AND('Riesgos de Gestión'!$O$13="Muy Baja",'Riesgos de Gestión'!$S$13="Mayor"),CONCATENATE("R",'Riesgos de Gestión'!$A$13),"")</f>
        <v/>
      </c>
      <c r="AC38" s="431"/>
      <c r="AD38" s="431" t="str">
        <f>IF(AND('Riesgos de Gestión'!$O$14="Muy Baja",'Riesgos de Gestión'!$S$14="Mayor"),CONCATENATE("R",'Riesgos de Gestión'!$A$14),"")</f>
        <v/>
      </c>
      <c r="AE38" s="431"/>
      <c r="AF38" s="431" t="str">
        <f>IF(AND('Riesgos de Gestión'!$O$15="Muy Baja",'Riesgos de Gestión'!$S$15="Mayor"),CONCATENATE("R",'Riesgos de Gestión'!$A$15),"")</f>
        <v/>
      </c>
      <c r="AG38" s="432"/>
      <c r="AH38" s="421" t="str">
        <f>IF(AND('Riesgos de Gestión'!$O$13="Muy Baja",'Riesgos de Gestión'!$S$13="Catastrófico"),CONCATENATE("R",'Riesgos de Gestión'!$A$13),"")</f>
        <v/>
      </c>
      <c r="AI38" s="422"/>
      <c r="AJ38" s="422" t="str">
        <f>IF(AND('Riesgos de Gestión'!$O$14="Muy Baja",'Riesgos de Gestión'!$S$14="Catastrófico"),CONCATENATE("R",'Riesgos de Gestión'!$A$14),"")</f>
        <v/>
      </c>
      <c r="AK38" s="422"/>
      <c r="AL38" s="422" t="str">
        <f>IF(AND('Riesgos de Gestión'!$O$15="Muy Baja",'Riesgos de Gestión'!$S$15="Catastrófico"),CONCATENATE("R",'Riesgos de Gestión'!$A$15),"")</f>
        <v/>
      </c>
      <c r="AM38" s="423"/>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66"/>
      <c r="CB38" s="66"/>
    </row>
    <row r="39" spans="1:80" x14ac:dyDescent="0.25">
      <c r="A39" s="66"/>
      <c r="B39" s="444"/>
      <c r="C39" s="444"/>
      <c r="D39" s="445"/>
      <c r="E39" s="437"/>
      <c r="F39" s="438"/>
      <c r="G39" s="438"/>
      <c r="H39" s="438"/>
      <c r="I39" s="439"/>
      <c r="J39" s="397"/>
      <c r="K39" s="398"/>
      <c r="L39" s="398"/>
      <c r="M39" s="398"/>
      <c r="N39" s="398"/>
      <c r="O39" s="399"/>
      <c r="P39" s="397"/>
      <c r="Q39" s="398"/>
      <c r="R39" s="398"/>
      <c r="S39" s="398"/>
      <c r="T39" s="398"/>
      <c r="U39" s="399"/>
      <c r="V39" s="406"/>
      <c r="W39" s="407"/>
      <c r="X39" s="407"/>
      <c r="Y39" s="407"/>
      <c r="Z39" s="407"/>
      <c r="AA39" s="408"/>
      <c r="AB39" s="424"/>
      <c r="AC39" s="425"/>
      <c r="AD39" s="425"/>
      <c r="AE39" s="425"/>
      <c r="AF39" s="425"/>
      <c r="AG39" s="426"/>
      <c r="AH39" s="415"/>
      <c r="AI39" s="416"/>
      <c r="AJ39" s="416"/>
      <c r="AK39" s="416"/>
      <c r="AL39" s="416"/>
      <c r="AM39" s="417"/>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row>
    <row r="40" spans="1:80" x14ac:dyDescent="0.25">
      <c r="A40" s="66"/>
      <c r="B40" s="444"/>
      <c r="C40" s="444"/>
      <c r="D40" s="445"/>
      <c r="E40" s="437"/>
      <c r="F40" s="438"/>
      <c r="G40" s="438"/>
      <c r="H40" s="438"/>
      <c r="I40" s="439"/>
      <c r="J40" s="397" t="str">
        <f>IF(AND('Riesgos de Gestión'!$O$16="Muy Baja",'Riesgos de Gestión'!$S$16="Leve"),CONCATENATE("R",'Riesgos de Gestión'!$A$16),"")</f>
        <v/>
      </c>
      <c r="K40" s="398"/>
      <c r="L40" s="398" t="str">
        <f>IF(AND('Riesgos de Gestión'!$O$22="Muy Baja",'Riesgos de Gestión'!$S$22="Leve"),CONCATENATE("R",'Riesgos de Gestión'!$A$22),"")</f>
        <v/>
      </c>
      <c r="M40" s="398"/>
      <c r="N40" s="398" t="str">
        <f>IF(AND('Riesgos de Gestión'!$O$28="Muy Baja",'Riesgos de Gestión'!$S$28="Leve"),CONCATENATE("R",'Riesgos de Gestión'!$A$28),"")</f>
        <v/>
      </c>
      <c r="O40" s="399"/>
      <c r="P40" s="397" t="str">
        <f>IF(AND('Riesgos de Gestión'!$O$16="Muy Baja",'Riesgos de Gestión'!$S$16="Menor"),CONCATENATE("R",'Riesgos de Gestión'!$A$16),"")</f>
        <v/>
      </c>
      <c r="Q40" s="398"/>
      <c r="R40" s="398" t="str">
        <f>IF(AND('Riesgos de Gestión'!$O$22="Muy Baja",'Riesgos de Gestión'!$S$22="Menor"),CONCATENATE("R",'Riesgos de Gestión'!$A$22),"")</f>
        <v/>
      </c>
      <c r="S40" s="398"/>
      <c r="T40" s="398" t="str">
        <f>IF(AND('Riesgos de Gestión'!$O$28="Muy Baja",'Riesgos de Gestión'!$S$28="Menor"),CONCATENATE("R",'Riesgos de Gestión'!$A$28),"")</f>
        <v/>
      </c>
      <c r="U40" s="399"/>
      <c r="V40" s="406" t="str">
        <f>IF(AND('Riesgos de Gestión'!$O$16="Muy Baja",'Riesgos de Gestión'!$S$16="Moderado"),CONCATENATE("R",'Riesgos de Gestión'!$A$16),"")</f>
        <v/>
      </c>
      <c r="W40" s="407"/>
      <c r="X40" s="407" t="str">
        <f>IF(AND('Riesgos de Gestión'!$O$22="Muy Baja",'Riesgos de Gestión'!$S$22="Moderado"),CONCATENATE("R",'Riesgos de Gestión'!$A$22),"")</f>
        <v/>
      </c>
      <c r="Y40" s="407"/>
      <c r="Z40" s="407" t="str">
        <f>IF(AND('Riesgos de Gestión'!$O$28="Muy Baja",'Riesgos de Gestión'!$S$28="Moderado"),CONCATENATE("R",'Riesgos de Gestión'!$A$28),"")</f>
        <v/>
      </c>
      <c r="AA40" s="408"/>
      <c r="AB40" s="424" t="str">
        <f>IF(AND('Riesgos de Gestión'!$O$16="Muy Baja",'Riesgos de Gestión'!$S$16="Mayor"),CONCATENATE("R",'Riesgos de Gestión'!$A$16),"")</f>
        <v/>
      </c>
      <c r="AC40" s="425"/>
      <c r="AD40" s="425" t="str">
        <f>IF(AND('Riesgos de Gestión'!$O$22="Muy Baja",'Riesgos de Gestión'!$S$22="Mayor"),CONCATENATE("R",'Riesgos de Gestión'!$A$22),"")</f>
        <v/>
      </c>
      <c r="AE40" s="425"/>
      <c r="AF40" s="425" t="str">
        <f>IF(AND('Riesgos de Gestión'!$O$28="Muy Baja",'Riesgos de Gestión'!$S$28="Mayor"),CONCATENATE("R",'Riesgos de Gestión'!$A$28),"")</f>
        <v/>
      </c>
      <c r="AG40" s="426"/>
      <c r="AH40" s="415" t="str">
        <f>IF(AND('Riesgos de Gestión'!$O$16="Muy Baja",'Riesgos de Gestión'!$S$16="Catastrófico"),CONCATENATE("R",'Riesgos de Gestión'!$A$16),"")</f>
        <v/>
      </c>
      <c r="AI40" s="416"/>
      <c r="AJ40" s="416" t="str">
        <f>IF(AND('Riesgos de Gestión'!$O$22="Muy Baja",'Riesgos de Gestión'!$S$22="Catastrófico"),CONCATENATE("R",'Riesgos de Gestión'!$A$22),"")</f>
        <v/>
      </c>
      <c r="AK40" s="416"/>
      <c r="AL40" s="416" t="str">
        <f>IF(AND('Riesgos de Gestión'!$O$28="Muy Baja",'Riesgos de Gestión'!$S$28="Catastrófico"),CONCATENATE("R",'Riesgos de Gestión'!$A$28),"")</f>
        <v/>
      </c>
      <c r="AM40" s="417"/>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row>
    <row r="41" spans="1:80" x14ac:dyDescent="0.25">
      <c r="A41" s="66"/>
      <c r="B41" s="444"/>
      <c r="C41" s="444"/>
      <c r="D41" s="445"/>
      <c r="E41" s="437"/>
      <c r="F41" s="438"/>
      <c r="G41" s="438"/>
      <c r="H41" s="438"/>
      <c r="I41" s="439"/>
      <c r="J41" s="397"/>
      <c r="K41" s="398"/>
      <c r="L41" s="398"/>
      <c r="M41" s="398"/>
      <c r="N41" s="398"/>
      <c r="O41" s="399"/>
      <c r="P41" s="397"/>
      <c r="Q41" s="398"/>
      <c r="R41" s="398"/>
      <c r="S41" s="398"/>
      <c r="T41" s="398"/>
      <c r="U41" s="399"/>
      <c r="V41" s="406"/>
      <c r="W41" s="407"/>
      <c r="X41" s="407"/>
      <c r="Y41" s="407"/>
      <c r="Z41" s="407"/>
      <c r="AA41" s="408"/>
      <c r="AB41" s="424"/>
      <c r="AC41" s="425"/>
      <c r="AD41" s="425"/>
      <c r="AE41" s="425"/>
      <c r="AF41" s="425"/>
      <c r="AG41" s="426"/>
      <c r="AH41" s="415"/>
      <c r="AI41" s="416"/>
      <c r="AJ41" s="416"/>
      <c r="AK41" s="416"/>
      <c r="AL41" s="416"/>
      <c r="AM41" s="417"/>
      <c r="AN41" s="66"/>
      <c r="AO41" s="66"/>
      <c r="AP41" s="66"/>
      <c r="AQ41" s="66"/>
      <c r="AR41" s="66"/>
      <c r="AS41" s="66"/>
      <c r="AT41" s="66"/>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c r="BY41" s="66"/>
      <c r="BZ41" s="66"/>
      <c r="CA41" s="66"/>
      <c r="CB41" s="66"/>
    </row>
    <row r="42" spans="1:80" x14ac:dyDescent="0.25">
      <c r="A42" s="66"/>
      <c r="B42" s="444"/>
      <c r="C42" s="444"/>
      <c r="D42" s="445"/>
      <c r="E42" s="437"/>
      <c r="F42" s="438"/>
      <c r="G42" s="438"/>
      <c r="H42" s="438"/>
      <c r="I42" s="439"/>
      <c r="J42" s="397" t="str">
        <f>IF(AND('Riesgos de Gestión'!$O$34="Muy Baja",'Riesgos de Gestión'!$S$34="Leve"),CONCATENATE("R",'Riesgos de Gestión'!$A$34),"")</f>
        <v/>
      </c>
      <c r="K42" s="398"/>
      <c r="L42" s="398" t="str">
        <f>IF(AND('Riesgos de Gestión'!$O$40="Muy Baja",'Riesgos de Gestión'!$S$40="Leve"),CONCATENATE("R",'Riesgos de Gestión'!$A$40),"")</f>
        <v/>
      </c>
      <c r="M42" s="398"/>
      <c r="N42" s="398" t="str">
        <f>IF(AND('Riesgos de Gestión'!$O$46="Muy Baja",'Riesgos de Gestión'!$S$46="Leve"),CONCATENATE("R",'Riesgos de Gestión'!$A$46),"")</f>
        <v/>
      </c>
      <c r="O42" s="399"/>
      <c r="P42" s="397" t="str">
        <f>IF(AND('Riesgos de Gestión'!$O$34="Muy Baja",'Riesgos de Gestión'!$S$34="Menor"),CONCATENATE("R",'Riesgos de Gestión'!$A$34),"")</f>
        <v/>
      </c>
      <c r="Q42" s="398"/>
      <c r="R42" s="398" t="str">
        <f>IF(AND('Riesgos de Gestión'!$O$40="Muy Baja",'Riesgos de Gestión'!$S$40="Menor"),CONCATENATE("R",'Riesgos de Gestión'!$A$40),"")</f>
        <v/>
      </c>
      <c r="S42" s="398"/>
      <c r="T42" s="398" t="str">
        <f>IF(AND('Riesgos de Gestión'!$O$46="Muy Baja",'Riesgos de Gestión'!$S$46="Menor"),CONCATENATE("R",'Riesgos de Gestión'!$A$46),"")</f>
        <v/>
      </c>
      <c r="U42" s="399"/>
      <c r="V42" s="406" t="str">
        <f>IF(AND('Riesgos de Gestión'!$O$34="Muy Baja",'Riesgos de Gestión'!$S$34="Moderado"),CONCATENATE("R",'Riesgos de Gestión'!$A$34),"")</f>
        <v/>
      </c>
      <c r="W42" s="407"/>
      <c r="X42" s="407" t="str">
        <f>IF(AND('Riesgos de Gestión'!$O$40="Muy Baja",'Riesgos de Gestión'!$S$40="Moderado"),CONCATENATE("R",'Riesgos de Gestión'!$A$40),"")</f>
        <v/>
      </c>
      <c r="Y42" s="407"/>
      <c r="Z42" s="407" t="str">
        <f>IF(AND('Riesgos de Gestión'!$O$46="Muy Baja",'Riesgos de Gestión'!$S$46="Moderado"),CONCATENATE("R",'Riesgos de Gestión'!$A$46),"")</f>
        <v/>
      </c>
      <c r="AA42" s="408"/>
      <c r="AB42" s="424" t="str">
        <f>IF(AND('Riesgos de Gestión'!$O$34="Muy Baja",'Riesgos de Gestión'!$S$34="Mayor"),CONCATENATE("R",'Riesgos de Gestión'!$A$34),"")</f>
        <v/>
      </c>
      <c r="AC42" s="425"/>
      <c r="AD42" s="425" t="str">
        <f>IF(AND('Riesgos de Gestión'!$O$40="Muy Baja",'Riesgos de Gestión'!$S$40="Mayor"),CONCATENATE("R",'Riesgos de Gestión'!$A$40),"")</f>
        <v/>
      </c>
      <c r="AE42" s="425"/>
      <c r="AF42" s="425" t="str">
        <f>IF(AND('Riesgos de Gestión'!$O$46="Muy Baja",'Riesgos de Gestión'!$S$46="Mayor"),CONCATENATE("R",'Riesgos de Gestión'!$A$46),"")</f>
        <v/>
      </c>
      <c r="AG42" s="426"/>
      <c r="AH42" s="415" t="str">
        <f>IF(AND('Riesgos de Gestión'!$O$34="Muy Baja",'Riesgos de Gestión'!$S$34="Catastrófico"),CONCATENATE("R",'Riesgos de Gestión'!$A$34),"")</f>
        <v/>
      </c>
      <c r="AI42" s="416"/>
      <c r="AJ42" s="416" t="str">
        <f>IF(AND('Riesgos de Gestión'!$O$40="Muy Baja",'Riesgos de Gestión'!$S$40="Catastrófico"),CONCATENATE("R",'Riesgos de Gestión'!$A$40),"")</f>
        <v/>
      </c>
      <c r="AK42" s="416"/>
      <c r="AL42" s="416" t="str">
        <f>IF(AND('Riesgos de Gestión'!$O$46="Muy Baja",'Riesgos de Gestión'!$S$46="Catastrófico"),CONCATENATE("R",'Riesgos de Gestión'!$A$46),"")</f>
        <v/>
      </c>
      <c r="AM42" s="417"/>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row>
    <row r="43" spans="1:80" x14ac:dyDescent="0.25">
      <c r="A43" s="66"/>
      <c r="B43" s="444"/>
      <c r="C43" s="444"/>
      <c r="D43" s="445"/>
      <c r="E43" s="437"/>
      <c r="F43" s="438"/>
      <c r="G43" s="438"/>
      <c r="H43" s="438"/>
      <c r="I43" s="439"/>
      <c r="J43" s="397"/>
      <c r="K43" s="398"/>
      <c r="L43" s="398"/>
      <c r="M43" s="398"/>
      <c r="N43" s="398"/>
      <c r="O43" s="399"/>
      <c r="P43" s="397"/>
      <c r="Q43" s="398"/>
      <c r="R43" s="398"/>
      <c r="S43" s="398"/>
      <c r="T43" s="398"/>
      <c r="U43" s="399"/>
      <c r="V43" s="406"/>
      <c r="W43" s="407"/>
      <c r="X43" s="407"/>
      <c r="Y43" s="407"/>
      <c r="Z43" s="407"/>
      <c r="AA43" s="408"/>
      <c r="AB43" s="424"/>
      <c r="AC43" s="425"/>
      <c r="AD43" s="425"/>
      <c r="AE43" s="425"/>
      <c r="AF43" s="425"/>
      <c r="AG43" s="426"/>
      <c r="AH43" s="415"/>
      <c r="AI43" s="416"/>
      <c r="AJ43" s="416"/>
      <c r="AK43" s="416"/>
      <c r="AL43" s="416"/>
      <c r="AM43" s="417"/>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row>
    <row r="44" spans="1:80" x14ac:dyDescent="0.25">
      <c r="A44" s="66"/>
      <c r="B44" s="444"/>
      <c r="C44" s="444"/>
      <c r="D44" s="445"/>
      <c r="E44" s="437"/>
      <c r="F44" s="438"/>
      <c r="G44" s="438"/>
      <c r="H44" s="438"/>
      <c r="I44" s="439"/>
      <c r="J44" s="397" t="str">
        <f>IF(AND('Riesgos de Gestión'!$O$52="Muy Baja",'Riesgos de Gestión'!$S$52="Leve"),CONCATENATE("R",'Riesgos de Gestión'!$A$52),"")</f>
        <v/>
      </c>
      <c r="K44" s="398"/>
      <c r="L44" s="398" t="str">
        <f>IF(AND('Riesgos de Gestión'!$P$58="Muy Baja",'Riesgos de Gestión'!$T$58="Leve"),CONCATENATE("R",'Riesgos de Gestión'!$A$58),"")</f>
        <v/>
      </c>
      <c r="M44" s="398"/>
      <c r="N44" s="398" t="str">
        <f>IF(AND('Riesgos de Gestión'!$P$64="Muy Baja",'Riesgos de Gestión'!$T$64="Leve"),CONCATENATE("R",'Riesgos de Gestión'!$A$64),"")</f>
        <v/>
      </c>
      <c r="O44" s="399"/>
      <c r="P44" s="397" t="str">
        <f>IF(AND('Riesgos de Gestión'!$O$52="Muy Baja",'Riesgos de Gestión'!$S$52="Menor"),CONCATENATE("R",'Riesgos de Gestión'!$A$52),"")</f>
        <v/>
      </c>
      <c r="Q44" s="398"/>
      <c r="R44" s="398" t="str">
        <f>IF(AND('Riesgos de Gestión'!$P$58="Muy Baja",'Riesgos de Gestión'!$T$58="Menor"),CONCATENATE("R",'Riesgos de Gestión'!$A$58),"")</f>
        <v/>
      </c>
      <c r="S44" s="398"/>
      <c r="T44" s="398" t="str">
        <f>IF(AND('Riesgos de Gestión'!$P$64="Muy Baja",'Riesgos de Gestión'!$T$64="Menor"),CONCATENATE("R",'Riesgos de Gestión'!$A$64),"")</f>
        <v/>
      </c>
      <c r="U44" s="399"/>
      <c r="V44" s="406" t="str">
        <f>IF(AND('Riesgos de Gestión'!$O$52="Muy Baja",'Riesgos de Gestión'!$S$52="Moderado"),CONCATENATE("R",'Riesgos de Gestión'!$A$52),"")</f>
        <v/>
      </c>
      <c r="W44" s="407"/>
      <c r="X44" s="407" t="str">
        <f>IF(AND('Riesgos de Gestión'!$P$58="Muy Baja",'Riesgos de Gestión'!$T$58="Moderado"),CONCATENATE("R",'Riesgos de Gestión'!$A$58),"")</f>
        <v/>
      </c>
      <c r="Y44" s="407"/>
      <c r="Z44" s="407" t="str">
        <f>IF(AND('Riesgos de Gestión'!$P$64="Muy Baja",'Riesgos de Gestión'!$T$64="Moderado"),CONCATENATE("R",'Riesgos de Gestión'!$A$64),"")</f>
        <v/>
      </c>
      <c r="AA44" s="408"/>
      <c r="AB44" s="424" t="str">
        <f>IF(AND('Riesgos de Gestión'!$O$52="Muy Baja",'Riesgos de Gestión'!$S$52="Mayor"),CONCATENATE("R",'Riesgos de Gestión'!$A$52),"")</f>
        <v/>
      </c>
      <c r="AC44" s="425"/>
      <c r="AD44" s="425" t="str">
        <f>IF(AND('Riesgos de Gestión'!$P$58="Muy Baja",'Riesgos de Gestión'!$T$58="Mayor"),CONCATENATE("R",'Riesgos de Gestión'!$A$58),"")</f>
        <v/>
      </c>
      <c r="AE44" s="425"/>
      <c r="AF44" s="425" t="str">
        <f>IF(AND('Riesgos de Gestión'!$P$64="Muy Baja",'Riesgos de Gestión'!$T$64="Mayor"),CONCATENATE("R",'Riesgos de Gestión'!$A$64),"")</f>
        <v/>
      </c>
      <c r="AG44" s="426"/>
      <c r="AH44" s="415" t="str">
        <f>IF(AND('Riesgos de Gestión'!$O$52="Muy Baja",'Riesgos de Gestión'!$S$52="Catastrófico"),CONCATENATE("R",'Riesgos de Gestión'!$A$52),"")</f>
        <v/>
      </c>
      <c r="AI44" s="416"/>
      <c r="AJ44" s="416" t="str">
        <f>IF(AND('Riesgos de Gestión'!$P$58="Muy Baja",'Riesgos de Gestión'!$T$58="Catastrófico"),CONCATENATE("R",'Riesgos de Gestión'!$A$58),"")</f>
        <v/>
      </c>
      <c r="AK44" s="416"/>
      <c r="AL44" s="416" t="str">
        <f>IF(AND('Riesgos de Gestión'!$P$64="Muy Baja",'Riesgos de Gestión'!$T$64="Catastrófico"),CONCATENATE("R",'Riesgos de Gestión'!$A$64),"")</f>
        <v/>
      </c>
      <c r="AM44" s="417"/>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row>
    <row r="45" spans="1:80" ht="15.75" thickBot="1" x14ac:dyDescent="0.3">
      <c r="A45" s="66"/>
      <c r="B45" s="444"/>
      <c r="C45" s="444"/>
      <c r="D45" s="445"/>
      <c r="E45" s="440"/>
      <c r="F45" s="441"/>
      <c r="G45" s="441"/>
      <c r="H45" s="441"/>
      <c r="I45" s="442"/>
      <c r="J45" s="400"/>
      <c r="K45" s="401"/>
      <c r="L45" s="401"/>
      <c r="M45" s="401"/>
      <c r="N45" s="401"/>
      <c r="O45" s="402"/>
      <c r="P45" s="400"/>
      <c r="Q45" s="401"/>
      <c r="R45" s="401"/>
      <c r="S45" s="401"/>
      <c r="T45" s="401"/>
      <c r="U45" s="402"/>
      <c r="V45" s="409"/>
      <c r="W45" s="410"/>
      <c r="X45" s="410"/>
      <c r="Y45" s="410"/>
      <c r="Z45" s="410"/>
      <c r="AA45" s="411"/>
      <c r="AB45" s="427"/>
      <c r="AC45" s="428"/>
      <c r="AD45" s="428"/>
      <c r="AE45" s="428"/>
      <c r="AF45" s="428"/>
      <c r="AG45" s="429"/>
      <c r="AH45" s="418"/>
      <c r="AI45" s="419"/>
      <c r="AJ45" s="419"/>
      <c r="AK45" s="419"/>
      <c r="AL45" s="419"/>
      <c r="AM45" s="420"/>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row>
    <row r="46" spans="1:80" x14ac:dyDescent="0.25">
      <c r="A46" s="66"/>
      <c r="B46" s="66"/>
      <c r="C46" s="66"/>
      <c r="D46" s="66"/>
      <c r="E46" s="66"/>
      <c r="F46" s="66"/>
      <c r="G46" s="66"/>
      <c r="H46" s="66"/>
      <c r="I46" s="66"/>
      <c r="J46" s="434" t="s">
        <v>274</v>
      </c>
      <c r="K46" s="435"/>
      <c r="L46" s="435"/>
      <c r="M46" s="435"/>
      <c r="N46" s="435"/>
      <c r="O46" s="436"/>
      <c r="P46" s="434" t="s">
        <v>275</v>
      </c>
      <c r="Q46" s="435"/>
      <c r="R46" s="435"/>
      <c r="S46" s="435"/>
      <c r="T46" s="435"/>
      <c r="U46" s="436"/>
      <c r="V46" s="434" t="s">
        <v>276</v>
      </c>
      <c r="W46" s="435"/>
      <c r="X46" s="435"/>
      <c r="Y46" s="435"/>
      <c r="Z46" s="435"/>
      <c r="AA46" s="436"/>
      <c r="AB46" s="434" t="s">
        <v>277</v>
      </c>
      <c r="AC46" s="443"/>
      <c r="AD46" s="435"/>
      <c r="AE46" s="435"/>
      <c r="AF46" s="435"/>
      <c r="AG46" s="436"/>
      <c r="AH46" s="434" t="s">
        <v>278</v>
      </c>
      <c r="AI46" s="435"/>
      <c r="AJ46" s="435"/>
      <c r="AK46" s="435"/>
      <c r="AL46" s="435"/>
      <c r="AM46" s="43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x14ac:dyDescent="0.25">
      <c r="A47" s="66"/>
      <c r="B47" s="66"/>
      <c r="C47" s="66"/>
      <c r="D47" s="66"/>
      <c r="E47" s="66"/>
      <c r="F47" s="66"/>
      <c r="G47" s="66"/>
      <c r="H47" s="66"/>
      <c r="I47" s="66"/>
      <c r="J47" s="437"/>
      <c r="K47" s="438"/>
      <c r="L47" s="438"/>
      <c r="M47" s="438"/>
      <c r="N47" s="438"/>
      <c r="O47" s="439"/>
      <c r="P47" s="437"/>
      <c r="Q47" s="438"/>
      <c r="R47" s="438"/>
      <c r="S47" s="438"/>
      <c r="T47" s="438"/>
      <c r="U47" s="439"/>
      <c r="V47" s="437"/>
      <c r="W47" s="438"/>
      <c r="X47" s="438"/>
      <c r="Y47" s="438"/>
      <c r="Z47" s="438"/>
      <c r="AA47" s="439"/>
      <c r="AB47" s="437"/>
      <c r="AC47" s="438"/>
      <c r="AD47" s="438"/>
      <c r="AE47" s="438"/>
      <c r="AF47" s="438"/>
      <c r="AG47" s="439"/>
      <c r="AH47" s="437"/>
      <c r="AI47" s="438"/>
      <c r="AJ47" s="438"/>
      <c r="AK47" s="438"/>
      <c r="AL47" s="438"/>
      <c r="AM47" s="439"/>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x14ac:dyDescent="0.25">
      <c r="A48" s="66"/>
      <c r="B48" s="66"/>
      <c r="C48" s="66"/>
      <c r="D48" s="66"/>
      <c r="E48" s="66"/>
      <c r="F48" s="66"/>
      <c r="G48" s="66"/>
      <c r="H48" s="66"/>
      <c r="I48" s="66"/>
      <c r="J48" s="437"/>
      <c r="K48" s="438"/>
      <c r="L48" s="438"/>
      <c r="M48" s="438"/>
      <c r="N48" s="438"/>
      <c r="O48" s="439"/>
      <c r="P48" s="437"/>
      <c r="Q48" s="438"/>
      <c r="R48" s="438"/>
      <c r="S48" s="438"/>
      <c r="T48" s="438"/>
      <c r="U48" s="439"/>
      <c r="V48" s="437"/>
      <c r="W48" s="438"/>
      <c r="X48" s="438"/>
      <c r="Y48" s="438"/>
      <c r="Z48" s="438"/>
      <c r="AA48" s="439"/>
      <c r="AB48" s="437"/>
      <c r="AC48" s="438"/>
      <c r="AD48" s="438"/>
      <c r="AE48" s="438"/>
      <c r="AF48" s="438"/>
      <c r="AG48" s="439"/>
      <c r="AH48" s="437"/>
      <c r="AI48" s="438"/>
      <c r="AJ48" s="438"/>
      <c r="AK48" s="438"/>
      <c r="AL48" s="438"/>
      <c r="AM48" s="439"/>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x14ac:dyDescent="0.25">
      <c r="A49" s="66"/>
      <c r="B49" s="66"/>
      <c r="C49" s="66"/>
      <c r="D49" s="66"/>
      <c r="E49" s="66"/>
      <c r="F49" s="66"/>
      <c r="G49" s="66"/>
      <c r="H49" s="66"/>
      <c r="I49" s="66"/>
      <c r="J49" s="437"/>
      <c r="K49" s="438"/>
      <c r="L49" s="438"/>
      <c r="M49" s="438"/>
      <c r="N49" s="438"/>
      <c r="O49" s="439"/>
      <c r="P49" s="437"/>
      <c r="Q49" s="438"/>
      <c r="R49" s="438"/>
      <c r="S49" s="438"/>
      <c r="T49" s="438"/>
      <c r="U49" s="439"/>
      <c r="V49" s="437"/>
      <c r="W49" s="438"/>
      <c r="X49" s="438"/>
      <c r="Y49" s="438"/>
      <c r="Z49" s="438"/>
      <c r="AA49" s="439"/>
      <c r="AB49" s="437"/>
      <c r="AC49" s="438"/>
      <c r="AD49" s="438"/>
      <c r="AE49" s="438"/>
      <c r="AF49" s="438"/>
      <c r="AG49" s="439"/>
      <c r="AH49" s="437"/>
      <c r="AI49" s="438"/>
      <c r="AJ49" s="438"/>
      <c r="AK49" s="438"/>
      <c r="AL49" s="438"/>
      <c r="AM49" s="439"/>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x14ac:dyDescent="0.25">
      <c r="A50" s="66"/>
      <c r="B50" s="66"/>
      <c r="C50" s="66"/>
      <c r="D50" s="66"/>
      <c r="E50" s="66"/>
      <c r="F50" s="66"/>
      <c r="G50" s="66"/>
      <c r="H50" s="66"/>
      <c r="I50" s="66"/>
      <c r="J50" s="437"/>
      <c r="K50" s="438"/>
      <c r="L50" s="438"/>
      <c r="M50" s="438"/>
      <c r="N50" s="438"/>
      <c r="O50" s="439"/>
      <c r="P50" s="437"/>
      <c r="Q50" s="438"/>
      <c r="R50" s="438"/>
      <c r="S50" s="438"/>
      <c r="T50" s="438"/>
      <c r="U50" s="439"/>
      <c r="V50" s="437"/>
      <c r="W50" s="438"/>
      <c r="X50" s="438"/>
      <c r="Y50" s="438"/>
      <c r="Z50" s="438"/>
      <c r="AA50" s="439"/>
      <c r="AB50" s="437"/>
      <c r="AC50" s="438"/>
      <c r="AD50" s="438"/>
      <c r="AE50" s="438"/>
      <c r="AF50" s="438"/>
      <c r="AG50" s="439"/>
      <c r="AH50" s="437"/>
      <c r="AI50" s="438"/>
      <c r="AJ50" s="438"/>
      <c r="AK50" s="438"/>
      <c r="AL50" s="438"/>
      <c r="AM50" s="439"/>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75" thickBot="1" x14ac:dyDescent="0.3">
      <c r="A51" s="66"/>
      <c r="B51" s="66"/>
      <c r="C51" s="66"/>
      <c r="D51" s="66"/>
      <c r="E51" s="66"/>
      <c r="F51" s="66"/>
      <c r="G51" s="66"/>
      <c r="H51" s="66"/>
      <c r="I51" s="66"/>
      <c r="J51" s="440"/>
      <c r="K51" s="441"/>
      <c r="L51" s="441"/>
      <c r="M51" s="441"/>
      <c r="N51" s="441"/>
      <c r="O51" s="442"/>
      <c r="P51" s="440"/>
      <c r="Q51" s="441"/>
      <c r="R51" s="441"/>
      <c r="S51" s="441"/>
      <c r="T51" s="441"/>
      <c r="U51" s="442"/>
      <c r="V51" s="440"/>
      <c r="W51" s="441"/>
      <c r="X51" s="441"/>
      <c r="Y51" s="441"/>
      <c r="Z51" s="441"/>
      <c r="AA51" s="442"/>
      <c r="AB51" s="440"/>
      <c r="AC51" s="441"/>
      <c r="AD51" s="441"/>
      <c r="AE51" s="441"/>
      <c r="AF51" s="441"/>
      <c r="AG51" s="442"/>
      <c r="AH51" s="440"/>
      <c r="AI51" s="441"/>
      <c r="AJ51" s="441"/>
      <c r="AK51" s="441"/>
      <c r="AL51" s="441"/>
      <c r="AM51" s="442"/>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x14ac:dyDescent="0.2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x14ac:dyDescent="0.25">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x14ac:dyDescent="0.25">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row>
    <row r="63" spans="1:80" x14ac:dyDescent="0.25">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row>
    <row r="64" spans="1:80" x14ac:dyDescent="0.25">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row>
    <row r="65" spans="1:8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row>
    <row r="66" spans="1:8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row>
    <row r="67" spans="1:8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row>
    <row r="68" spans="1:8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row>
    <row r="69" spans="1:8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row>
    <row r="70" spans="1:8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c r="BS70" s="66"/>
      <c r="BT70" s="66"/>
      <c r="BU70" s="66"/>
      <c r="BV70" s="66"/>
      <c r="BW70" s="66"/>
      <c r="BX70" s="66"/>
      <c r="BY70" s="66"/>
      <c r="BZ70" s="66"/>
      <c r="CA70" s="66"/>
      <c r="CB70" s="66"/>
    </row>
    <row r="71" spans="1:8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row>
    <row r="72" spans="1:8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c r="BI72" s="66"/>
      <c r="BJ72" s="66"/>
      <c r="BK72" s="66"/>
      <c r="BL72" s="66"/>
      <c r="BM72" s="66"/>
      <c r="BN72" s="66"/>
      <c r="BO72" s="66"/>
      <c r="BP72" s="66"/>
      <c r="BQ72" s="66"/>
      <c r="BR72" s="66"/>
      <c r="BS72" s="66"/>
      <c r="BT72" s="66"/>
      <c r="BU72" s="66"/>
      <c r="BV72" s="66"/>
      <c r="BW72" s="66"/>
      <c r="BX72" s="66"/>
      <c r="BY72" s="66"/>
      <c r="BZ72" s="66"/>
      <c r="CA72" s="66"/>
      <c r="CB72" s="66"/>
    </row>
    <row r="73" spans="1:8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row>
    <row r="74" spans="1:8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row>
    <row r="75" spans="1:8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66"/>
      <c r="BY75" s="66"/>
      <c r="BZ75" s="66"/>
      <c r="CA75" s="66"/>
      <c r="CB75" s="66"/>
    </row>
    <row r="76" spans="1:8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c r="BI76" s="66"/>
      <c r="BJ76" s="66"/>
      <c r="BK76" s="66"/>
      <c r="BL76" s="66"/>
      <c r="BM76" s="66"/>
      <c r="BN76" s="66"/>
      <c r="BO76" s="66"/>
      <c r="BP76" s="66"/>
      <c r="BQ76" s="66"/>
      <c r="BR76" s="66"/>
      <c r="BS76" s="66"/>
      <c r="BT76" s="66"/>
      <c r="BU76" s="66"/>
      <c r="BV76" s="66"/>
      <c r="BW76" s="66"/>
      <c r="BX76" s="66"/>
      <c r="BY76" s="66"/>
      <c r="BZ76" s="66"/>
      <c r="CA76" s="66"/>
      <c r="CB76" s="66"/>
    </row>
    <row r="77" spans="1:8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66"/>
      <c r="BY77" s="66"/>
      <c r="BZ77" s="66"/>
      <c r="CA77" s="66"/>
      <c r="CB77" s="66"/>
    </row>
    <row r="78" spans="1:8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c r="BI78" s="66"/>
      <c r="BJ78" s="66"/>
      <c r="BK78" s="66"/>
      <c r="BL78" s="66"/>
      <c r="BM78" s="66"/>
      <c r="BN78" s="66"/>
      <c r="BO78" s="66"/>
      <c r="BP78" s="66"/>
      <c r="BQ78" s="66"/>
      <c r="BR78" s="66"/>
      <c r="BS78" s="66"/>
      <c r="BT78" s="66"/>
      <c r="BU78" s="66"/>
      <c r="BV78" s="66"/>
      <c r="BW78" s="66"/>
      <c r="BX78" s="66"/>
      <c r="BY78" s="66"/>
      <c r="BZ78" s="66"/>
      <c r="CA78" s="66"/>
      <c r="CB78" s="66"/>
    </row>
    <row r="79" spans="1:8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row>
    <row r="80" spans="1:8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row>
    <row r="81" spans="1:63"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c r="BI81" s="66"/>
      <c r="BJ81" s="66"/>
      <c r="BK81" s="66"/>
    </row>
    <row r="82" spans="1:63"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row>
    <row r="83" spans="1:63"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row>
    <row r="84" spans="1:63"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row>
    <row r="85" spans="1:63"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row>
    <row r="86" spans="1:6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row>
    <row r="87" spans="1:63"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row>
    <row r="88" spans="1:63"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c r="BI88" s="66"/>
      <c r="BJ88" s="66"/>
      <c r="BK88" s="66"/>
    </row>
    <row r="89" spans="1:63"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row>
    <row r="90" spans="1:63"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row>
    <row r="91" spans="1:63"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row>
    <row r="92" spans="1:63"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c r="BI92" s="66"/>
      <c r="BJ92" s="66"/>
      <c r="BK92" s="66"/>
    </row>
    <row r="93" spans="1:63"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row>
    <row r="94" spans="1:63"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c r="BI94" s="66"/>
      <c r="BJ94" s="66"/>
      <c r="BK94" s="66"/>
    </row>
    <row r="95" spans="1:63"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row>
    <row r="96" spans="1:63"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c r="BI96" s="66"/>
      <c r="BJ96" s="66"/>
      <c r="BK96" s="66"/>
    </row>
    <row r="97" spans="1:63"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row>
    <row r="98" spans="1:63"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row>
    <row r="99" spans="1:63"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row>
    <row r="100" spans="1:63"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row>
    <row r="101" spans="1:63"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c r="BI101" s="66"/>
      <c r="BJ101" s="66"/>
      <c r="BK101" s="66"/>
    </row>
    <row r="102" spans="1:63"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row>
    <row r="103" spans="1:63"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row>
    <row r="104" spans="1:63"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c r="BI104" s="66"/>
      <c r="BJ104" s="66"/>
      <c r="BK104" s="66"/>
    </row>
    <row r="105" spans="1:63"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c r="BI105" s="66"/>
      <c r="BJ105" s="66"/>
      <c r="BK105" s="66"/>
    </row>
    <row r="106" spans="1:63"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row>
    <row r="107" spans="1:63"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row>
    <row r="108" spans="1:63"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c r="BI108" s="66"/>
      <c r="BJ108" s="66"/>
      <c r="BK108" s="66"/>
    </row>
    <row r="109" spans="1:63"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66"/>
    </row>
    <row r="110" spans="1:63"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c r="BI110" s="66"/>
      <c r="BJ110" s="66"/>
      <c r="BK110" s="66"/>
    </row>
    <row r="111" spans="1:63"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c r="BI111" s="66"/>
      <c r="BJ111" s="66"/>
      <c r="BK111" s="66"/>
    </row>
    <row r="112" spans="1:63"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c r="BI112" s="66"/>
      <c r="BJ112" s="66"/>
      <c r="BK112" s="66"/>
    </row>
    <row r="113" spans="1:63"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c r="BI113" s="66"/>
      <c r="BJ113" s="66"/>
      <c r="BK113" s="66"/>
    </row>
    <row r="114" spans="1:63"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c r="BI114" s="66"/>
      <c r="BJ114" s="66"/>
      <c r="BK114" s="66"/>
    </row>
    <row r="115" spans="1:63"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c r="BI115" s="66"/>
      <c r="BJ115" s="66"/>
      <c r="BK115" s="66"/>
    </row>
    <row r="116" spans="1:63"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c r="BI116" s="66"/>
      <c r="BJ116" s="66"/>
      <c r="BK116" s="66"/>
    </row>
    <row r="117" spans="1:63"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row>
    <row r="118" spans="1:63"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row>
    <row r="119" spans="1:63"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c r="BI119" s="66"/>
      <c r="BJ119" s="66"/>
      <c r="BK119" s="66"/>
    </row>
    <row r="120" spans="1:63"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c r="BI120" s="66"/>
      <c r="BJ120" s="66"/>
      <c r="BK120" s="66"/>
    </row>
    <row r="121" spans="1:63"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c r="BI121" s="66"/>
      <c r="BJ121" s="66"/>
      <c r="BK121" s="66"/>
    </row>
    <row r="122" spans="1:63" x14ac:dyDescent="0.25">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c r="BI122" s="66"/>
      <c r="BJ122" s="66"/>
      <c r="BK122" s="66"/>
    </row>
    <row r="123" spans="1:63" x14ac:dyDescent="0.25">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c r="BI123" s="66"/>
      <c r="BJ123" s="66"/>
      <c r="BK123" s="66"/>
    </row>
    <row r="124" spans="1:63" x14ac:dyDescent="0.25">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c r="BI124" s="66"/>
      <c r="BJ124" s="66"/>
      <c r="BK124" s="66"/>
    </row>
    <row r="125" spans="1:63" x14ac:dyDescent="0.25">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row>
    <row r="126" spans="1:63" x14ac:dyDescent="0.25">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c r="BI126" s="66"/>
      <c r="BJ126" s="66"/>
      <c r="BK126" s="66"/>
    </row>
    <row r="127" spans="1:63" x14ac:dyDescent="0.25">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c r="BI127" s="66"/>
      <c r="BJ127" s="66"/>
      <c r="BK127" s="66"/>
    </row>
    <row r="128" spans="1:63" x14ac:dyDescent="0.25">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row>
    <row r="129" spans="2:63" x14ac:dyDescent="0.25">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c r="BI129" s="66"/>
      <c r="BJ129" s="66"/>
      <c r="BK129" s="66"/>
    </row>
    <row r="130" spans="2:63" x14ac:dyDescent="0.25">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row>
    <row r="131" spans="2:63" x14ac:dyDescent="0.25">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c r="BI131" s="66"/>
      <c r="BJ131" s="66"/>
      <c r="BK131" s="66"/>
    </row>
    <row r="132" spans="2:63" x14ac:dyDescent="0.25">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row>
    <row r="133" spans="2:63" x14ac:dyDescent="0.25">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c r="BI133" s="66"/>
      <c r="BJ133" s="66"/>
      <c r="BK133" s="66"/>
    </row>
    <row r="134" spans="2:63" x14ac:dyDescent="0.25">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c r="BI134" s="66"/>
      <c r="BJ134" s="66"/>
      <c r="BK134" s="66"/>
    </row>
    <row r="135" spans="2:63" x14ac:dyDescent="0.25">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c r="BI135" s="66"/>
      <c r="BJ135" s="66"/>
      <c r="BK135" s="66"/>
    </row>
    <row r="136" spans="2:63" x14ac:dyDescent="0.25">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c r="BI136" s="66"/>
      <c r="BJ136" s="66"/>
      <c r="BK136" s="66"/>
    </row>
    <row r="137" spans="2:63" x14ac:dyDescent="0.25">
      <c r="B137" s="66"/>
      <c r="C137" s="66"/>
      <c r="D137" s="66"/>
      <c r="E137" s="66"/>
      <c r="F137" s="66"/>
      <c r="G137" s="66"/>
      <c r="H137" s="66"/>
      <c r="I137" s="66"/>
    </row>
    <row r="138" spans="2:63" x14ac:dyDescent="0.25">
      <c r="B138" s="66"/>
      <c r="C138" s="66"/>
      <c r="D138" s="66"/>
      <c r="E138" s="66"/>
      <c r="F138" s="66"/>
      <c r="G138" s="66"/>
      <c r="H138" s="66"/>
      <c r="I138" s="66"/>
    </row>
    <row r="139" spans="2:63" x14ac:dyDescent="0.25">
      <c r="B139" s="66"/>
      <c r="C139" s="66"/>
      <c r="D139" s="66"/>
      <c r="E139" s="66"/>
      <c r="F139" s="66"/>
      <c r="G139" s="66"/>
      <c r="H139" s="66"/>
      <c r="I139" s="66"/>
    </row>
    <row r="140" spans="2:63" x14ac:dyDescent="0.25">
      <c r="B140" s="66"/>
      <c r="C140" s="66"/>
      <c r="D140" s="66"/>
      <c r="E140" s="66"/>
      <c r="F140" s="66"/>
      <c r="G140" s="66"/>
      <c r="H140" s="66"/>
      <c r="I140" s="66"/>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40" zoomScaleNormal="40" workbookViewId="0">
      <selection activeCell="V27" sqref="V27:AA35"/>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row>
    <row r="2" spans="1:91" ht="18" customHeight="1" x14ac:dyDescent="0.25">
      <c r="A2" s="66"/>
      <c r="B2" s="511" t="s">
        <v>279</v>
      </c>
      <c r="C2" s="512"/>
      <c r="D2" s="512"/>
      <c r="E2" s="512"/>
      <c r="F2" s="512"/>
      <c r="G2" s="512"/>
      <c r="H2" s="512"/>
      <c r="I2" s="512"/>
      <c r="J2" s="433" t="s">
        <v>15</v>
      </c>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row>
    <row r="3" spans="1:91" ht="18.75" customHeight="1" x14ac:dyDescent="0.25">
      <c r="A3" s="66"/>
      <c r="B3" s="512"/>
      <c r="C3" s="512"/>
      <c r="D3" s="512"/>
      <c r="E3" s="512"/>
      <c r="F3" s="512"/>
      <c r="G3" s="512"/>
      <c r="H3" s="512"/>
      <c r="I3" s="512"/>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row>
    <row r="4" spans="1:91" ht="15" customHeight="1" x14ac:dyDescent="0.25">
      <c r="A4" s="66"/>
      <c r="B4" s="512"/>
      <c r="C4" s="512"/>
      <c r="D4" s="512"/>
      <c r="E4" s="512"/>
      <c r="F4" s="512"/>
      <c r="G4" s="512"/>
      <c r="H4" s="512"/>
      <c r="I4" s="512"/>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row>
    <row r="5" spans="1:91" ht="15.75" thickBot="1" x14ac:dyDescent="0.3">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row>
    <row r="6" spans="1:91" ht="15" customHeight="1" x14ac:dyDescent="0.25">
      <c r="A6" s="66"/>
      <c r="B6" s="444" t="s">
        <v>264</v>
      </c>
      <c r="C6" s="444"/>
      <c r="D6" s="445"/>
      <c r="E6" s="482" t="s">
        <v>265</v>
      </c>
      <c r="F6" s="483"/>
      <c r="G6" s="483"/>
      <c r="H6" s="483"/>
      <c r="I6" s="484"/>
      <c r="J6" s="29" t="str">
        <f>IF(AND('Riesgos de Gestión'!$AF$13="Muy Alta",'Riesgos de Gestión'!$AH$13="Leve"),CONCATENATE("R1C",'Riesgos de Gestión'!$V$13),"")</f>
        <v/>
      </c>
      <c r="K6" s="30" t="e">
        <f>IF(AND('Riesgos de Gestión'!#REF!="Muy Alta",'Riesgos de Gestión'!#REF!="Leve"),CONCATENATE("R1C",'Riesgos de Gestión'!#REF!),"")</f>
        <v>#REF!</v>
      </c>
      <c r="L6" s="30" t="e">
        <f>IF(AND('Riesgos de Gestión'!#REF!="Muy Alta",'Riesgos de Gestión'!#REF!="Leve"),CONCATENATE("R1C",'Riesgos de Gestión'!#REF!),"")</f>
        <v>#REF!</v>
      </c>
      <c r="M6" s="30" t="e">
        <f>IF(AND('Riesgos de Gestión'!#REF!="Muy Alta",'Riesgos de Gestión'!#REF!="Leve"),CONCATENATE("R1C",'Riesgos de Gestión'!#REF!),"")</f>
        <v>#REF!</v>
      </c>
      <c r="N6" s="30" t="e">
        <f>IF(AND('Riesgos de Gestión'!#REF!="Muy Alta",'Riesgos de Gestión'!#REF!="Leve"),CONCATENATE("R1C",'Riesgos de Gestión'!#REF!),"")</f>
        <v>#REF!</v>
      </c>
      <c r="O6" s="31" t="e">
        <f>IF(AND('Riesgos de Gestión'!#REF!="Muy Alta",'Riesgos de Gestión'!#REF!="Leve"),CONCATENATE("R1C",'Riesgos de Gestión'!#REF!),"")</f>
        <v>#REF!</v>
      </c>
      <c r="P6" s="29" t="str">
        <f>IF(AND('Riesgos de Gestión'!$AF$13="Muy Alta",'Riesgos de Gestión'!$AH$13="Menor"),CONCATENATE("R1C",'Riesgos de Gestión'!$V$13),"")</f>
        <v/>
      </c>
      <c r="Q6" s="30" t="e">
        <f>IF(AND('Riesgos de Gestión'!#REF!="Muy Alta",'Riesgos de Gestión'!#REF!="Menor"),CONCATENATE("R1C",'Riesgos de Gestión'!#REF!),"")</f>
        <v>#REF!</v>
      </c>
      <c r="R6" s="30" t="e">
        <f>IF(AND('Riesgos de Gestión'!#REF!="Muy Alta",'Riesgos de Gestión'!#REF!="Menor"),CONCATENATE("R1C",'Riesgos de Gestión'!#REF!),"")</f>
        <v>#REF!</v>
      </c>
      <c r="S6" s="30" t="e">
        <f>IF(AND('Riesgos de Gestión'!#REF!="Muy Alta",'Riesgos de Gestión'!#REF!="Menor"),CONCATENATE("R1C",'Riesgos de Gestión'!#REF!),"")</f>
        <v>#REF!</v>
      </c>
      <c r="T6" s="30" t="e">
        <f>IF(AND('Riesgos de Gestión'!#REF!="Muy Alta",'Riesgos de Gestión'!#REF!="Menor"),CONCATENATE("R1C",'Riesgos de Gestión'!#REF!),"")</f>
        <v>#REF!</v>
      </c>
      <c r="U6" s="31" t="e">
        <f>IF(AND('Riesgos de Gestión'!#REF!="Muy Alta",'Riesgos de Gestión'!#REF!="Menor"),CONCATENATE("R1C",'Riesgos de Gestión'!#REF!),"")</f>
        <v>#REF!</v>
      </c>
      <c r="V6" s="29" t="str">
        <f>IF(AND('Riesgos de Gestión'!$AF$13="Muy Alta",'Riesgos de Gestión'!$AH$13="Moderado"),CONCATENATE("R1C",'Riesgos de Gestión'!$V$13),"")</f>
        <v/>
      </c>
      <c r="W6" s="30" t="e">
        <f>IF(AND('Riesgos de Gestión'!#REF!="Muy Alta",'Riesgos de Gestión'!#REF!="Moderado"),CONCATENATE("R1C",'Riesgos de Gestión'!#REF!),"")</f>
        <v>#REF!</v>
      </c>
      <c r="X6" s="30" t="e">
        <f>IF(AND('Riesgos de Gestión'!#REF!="Muy Alta",'Riesgos de Gestión'!#REF!="Moderado"),CONCATENATE("R1C",'Riesgos de Gestión'!#REF!),"")</f>
        <v>#REF!</v>
      </c>
      <c r="Y6" s="30" t="e">
        <f>IF(AND('Riesgos de Gestión'!#REF!="Muy Alta",'Riesgos de Gestión'!#REF!="Moderado"),CONCATENATE("R1C",'Riesgos de Gestión'!#REF!),"")</f>
        <v>#REF!</v>
      </c>
      <c r="Z6" s="30" t="e">
        <f>IF(AND('Riesgos de Gestión'!#REF!="Muy Alta",'Riesgos de Gestión'!#REF!="Moderado"),CONCATENATE("R1C",'Riesgos de Gestión'!#REF!),"")</f>
        <v>#REF!</v>
      </c>
      <c r="AA6" s="31" t="e">
        <f>IF(AND('Riesgos de Gestión'!#REF!="Muy Alta",'Riesgos de Gestión'!#REF!="Moderado"),CONCATENATE("R1C",'Riesgos de Gestión'!#REF!),"")</f>
        <v>#REF!</v>
      </c>
      <c r="AB6" s="29" t="str">
        <f>IF(AND('Riesgos de Gestión'!$AF$13="Muy Alta",'Riesgos de Gestión'!$AH$13="Mayor"),CONCATENATE("R1C",'Riesgos de Gestión'!$V$13),"")</f>
        <v/>
      </c>
      <c r="AC6" s="30" t="e">
        <f>IF(AND('Riesgos de Gestión'!#REF!="Muy Alta",'Riesgos de Gestión'!#REF!="Mayor"),CONCATENATE("R1C",'Riesgos de Gestión'!#REF!),"")</f>
        <v>#REF!</v>
      </c>
      <c r="AD6" s="30" t="e">
        <f>IF(AND('Riesgos de Gestión'!#REF!="Muy Alta",'Riesgos de Gestión'!#REF!="Mayor"),CONCATENATE("R1C",'Riesgos de Gestión'!#REF!),"")</f>
        <v>#REF!</v>
      </c>
      <c r="AE6" s="30" t="e">
        <f>IF(AND('Riesgos de Gestión'!#REF!="Muy Alta",'Riesgos de Gestión'!#REF!="Mayor"),CONCATENATE("R1C",'Riesgos de Gestión'!#REF!),"")</f>
        <v>#REF!</v>
      </c>
      <c r="AF6" s="30" t="e">
        <f>IF(AND('Riesgos de Gestión'!#REF!="Muy Alta",'Riesgos de Gestión'!#REF!="Mayor"),CONCATENATE("R1C",'Riesgos de Gestión'!#REF!),"")</f>
        <v>#REF!</v>
      </c>
      <c r="AG6" s="31" t="e">
        <f>IF(AND('Riesgos de Gestión'!#REF!="Muy Alta",'Riesgos de Gestión'!#REF!="Mayor"),CONCATENATE("R1C",'Riesgos de Gestión'!#REF!),"")</f>
        <v>#REF!</v>
      </c>
      <c r="AH6" s="32" t="str">
        <f>IF(AND('Riesgos de Gestión'!$AF$13="Muy Alta",'Riesgos de Gestión'!$AH$13="Catastrófico"),CONCATENATE("R1C",'Riesgos de Gestión'!$V$13),"")</f>
        <v/>
      </c>
      <c r="AI6" s="33" t="e">
        <f>IF(AND('Riesgos de Gestión'!#REF!="Muy Alta",'Riesgos de Gestión'!#REF!="Catastrófico"),CONCATENATE("R1C",'Riesgos de Gestión'!#REF!),"")</f>
        <v>#REF!</v>
      </c>
      <c r="AJ6" s="33" t="e">
        <f>IF(AND('Riesgos de Gestión'!#REF!="Muy Alta",'Riesgos de Gestión'!#REF!="Catastrófico"),CONCATENATE("R1C",'Riesgos de Gestión'!#REF!),"")</f>
        <v>#REF!</v>
      </c>
      <c r="AK6" s="33" t="e">
        <f>IF(AND('Riesgos de Gestión'!#REF!="Muy Alta",'Riesgos de Gestión'!#REF!="Catastrófico"),CONCATENATE("R1C",'Riesgos de Gestión'!#REF!),"")</f>
        <v>#REF!</v>
      </c>
      <c r="AL6" s="33" t="e">
        <f>IF(AND('Riesgos de Gestión'!#REF!="Muy Alta",'Riesgos de Gestión'!#REF!="Catastrófico"),CONCATENATE("R1C",'Riesgos de Gestión'!#REF!),"")</f>
        <v>#REF!</v>
      </c>
      <c r="AM6" s="34" t="e">
        <f>IF(AND('Riesgos de Gestión'!#REF!="Muy Alta",'Riesgos de Gestión'!#REF!="Catastrófico"),CONCATENATE("R1C",'Riesgos de Gestión'!#REF!),"")</f>
        <v>#REF!</v>
      </c>
      <c r="AN6" s="66"/>
      <c r="AO6" s="502" t="s">
        <v>266</v>
      </c>
      <c r="AP6" s="503"/>
      <c r="AQ6" s="503"/>
      <c r="AR6" s="503"/>
      <c r="AS6" s="503"/>
      <c r="AT6" s="504"/>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row>
    <row r="7" spans="1:91" ht="15" customHeight="1" x14ac:dyDescent="0.25">
      <c r="A7" s="66"/>
      <c r="B7" s="444"/>
      <c r="C7" s="444"/>
      <c r="D7" s="445"/>
      <c r="E7" s="485"/>
      <c r="F7" s="486"/>
      <c r="G7" s="486"/>
      <c r="H7" s="486"/>
      <c r="I7" s="487"/>
      <c r="J7" s="35" t="str">
        <f>IF(AND('Riesgos de Gestión'!$AF$14="Muy Alta",'Riesgos de Gestión'!$AH$14="Leve"),CONCATENATE("R2C",'Riesgos de Gestión'!$V$14),"")</f>
        <v/>
      </c>
      <c r="K7" s="36" t="e">
        <f>IF(AND('Riesgos de Gestión'!#REF!="Muy Alta",'Riesgos de Gestión'!#REF!="Leve"),CONCATENATE("R2C",'Riesgos de Gestión'!#REF!),"")</f>
        <v>#REF!</v>
      </c>
      <c r="L7" s="36" t="e">
        <f>IF(AND('Riesgos de Gestión'!#REF!="Muy Alta",'Riesgos de Gestión'!#REF!="Leve"),CONCATENATE("R2C",'Riesgos de Gestión'!#REF!),"")</f>
        <v>#REF!</v>
      </c>
      <c r="M7" s="36" t="e">
        <f>IF(AND('Riesgos de Gestión'!#REF!="Muy Alta",'Riesgos de Gestión'!#REF!="Leve"),CONCATENATE("R2C",'Riesgos de Gestión'!#REF!),"")</f>
        <v>#REF!</v>
      </c>
      <c r="N7" s="36" t="e">
        <f>IF(AND('Riesgos de Gestión'!#REF!="Muy Alta",'Riesgos de Gestión'!#REF!="Leve"),CONCATENATE("R2C",'Riesgos de Gestión'!#REF!),"")</f>
        <v>#REF!</v>
      </c>
      <c r="O7" s="37" t="e">
        <f>IF(AND('Riesgos de Gestión'!#REF!="Muy Alta",'Riesgos de Gestión'!#REF!="Leve"),CONCATENATE("R2C",'Riesgos de Gestión'!#REF!),"")</f>
        <v>#REF!</v>
      </c>
      <c r="P7" s="35" t="str">
        <f>IF(AND('Riesgos de Gestión'!$AF$14="Muy Alta",'Riesgos de Gestión'!$AH$14="Menor"),CONCATENATE("R2C",'Riesgos de Gestión'!$V$14),"")</f>
        <v/>
      </c>
      <c r="Q7" s="36" t="e">
        <f>IF(AND('Riesgos de Gestión'!#REF!="Muy Alta",'Riesgos de Gestión'!#REF!="Menor"),CONCATENATE("R2C",'Riesgos de Gestión'!#REF!),"")</f>
        <v>#REF!</v>
      </c>
      <c r="R7" s="36" t="e">
        <f>IF(AND('Riesgos de Gestión'!#REF!="Muy Alta",'Riesgos de Gestión'!#REF!="Menor"),CONCATENATE("R2C",'Riesgos de Gestión'!#REF!),"")</f>
        <v>#REF!</v>
      </c>
      <c r="S7" s="36" t="e">
        <f>IF(AND('Riesgos de Gestión'!#REF!="Muy Alta",'Riesgos de Gestión'!#REF!="Menor"),CONCATENATE("R2C",'Riesgos de Gestión'!#REF!),"")</f>
        <v>#REF!</v>
      </c>
      <c r="T7" s="36" t="e">
        <f>IF(AND('Riesgos de Gestión'!#REF!="Muy Alta",'Riesgos de Gestión'!#REF!="Menor"),CONCATENATE("R2C",'Riesgos de Gestión'!#REF!),"")</f>
        <v>#REF!</v>
      </c>
      <c r="U7" s="37" t="e">
        <f>IF(AND('Riesgos de Gestión'!#REF!="Muy Alta",'Riesgos de Gestión'!#REF!="Menor"),CONCATENATE("R2C",'Riesgos de Gestión'!#REF!),"")</f>
        <v>#REF!</v>
      </c>
      <c r="V7" s="35" t="str">
        <f>IF(AND('Riesgos de Gestión'!$AF$14="Muy Alta",'Riesgos de Gestión'!$AH$14="Moderado"),CONCATENATE("R2C",'Riesgos de Gestión'!$V$14),"")</f>
        <v/>
      </c>
      <c r="W7" s="36" t="e">
        <f>IF(AND('Riesgos de Gestión'!#REF!="Muy Alta",'Riesgos de Gestión'!#REF!="Moderado"),CONCATENATE("R2C",'Riesgos de Gestión'!#REF!),"")</f>
        <v>#REF!</v>
      </c>
      <c r="X7" s="36" t="e">
        <f>IF(AND('Riesgos de Gestión'!#REF!="Muy Alta",'Riesgos de Gestión'!#REF!="Moderado"),CONCATENATE("R2C",'Riesgos de Gestión'!#REF!),"")</f>
        <v>#REF!</v>
      </c>
      <c r="Y7" s="36" t="e">
        <f>IF(AND('Riesgos de Gestión'!#REF!="Muy Alta",'Riesgos de Gestión'!#REF!="Moderado"),CONCATENATE("R2C",'Riesgos de Gestión'!#REF!),"")</f>
        <v>#REF!</v>
      </c>
      <c r="Z7" s="36" t="e">
        <f>IF(AND('Riesgos de Gestión'!#REF!="Muy Alta",'Riesgos de Gestión'!#REF!="Moderado"),CONCATENATE("R2C",'Riesgos de Gestión'!#REF!),"")</f>
        <v>#REF!</v>
      </c>
      <c r="AA7" s="37" t="e">
        <f>IF(AND('Riesgos de Gestión'!#REF!="Muy Alta",'Riesgos de Gestión'!#REF!="Moderado"),CONCATENATE("R2C",'Riesgos de Gestión'!#REF!),"")</f>
        <v>#REF!</v>
      </c>
      <c r="AB7" s="35" t="str">
        <f>IF(AND('Riesgos de Gestión'!$AF$14="Muy Alta",'Riesgos de Gestión'!$AH$14="Mayor"),CONCATENATE("R2C",'Riesgos de Gestión'!$V$14),"")</f>
        <v/>
      </c>
      <c r="AC7" s="36" t="e">
        <f>IF(AND('Riesgos de Gestión'!#REF!="Muy Alta",'Riesgos de Gestión'!#REF!="Mayor"),CONCATENATE("R2C",'Riesgos de Gestión'!#REF!),"")</f>
        <v>#REF!</v>
      </c>
      <c r="AD7" s="36" t="e">
        <f>IF(AND('Riesgos de Gestión'!#REF!="Muy Alta",'Riesgos de Gestión'!#REF!="Mayor"),CONCATENATE("R2C",'Riesgos de Gestión'!#REF!),"")</f>
        <v>#REF!</v>
      </c>
      <c r="AE7" s="36" t="e">
        <f>IF(AND('Riesgos de Gestión'!#REF!="Muy Alta",'Riesgos de Gestión'!#REF!="Mayor"),CONCATENATE("R2C",'Riesgos de Gestión'!#REF!),"")</f>
        <v>#REF!</v>
      </c>
      <c r="AF7" s="36" t="e">
        <f>IF(AND('Riesgos de Gestión'!#REF!="Muy Alta",'Riesgos de Gestión'!#REF!="Mayor"),CONCATENATE("R2C",'Riesgos de Gestión'!#REF!),"")</f>
        <v>#REF!</v>
      </c>
      <c r="AG7" s="37" t="e">
        <f>IF(AND('Riesgos de Gestión'!#REF!="Muy Alta",'Riesgos de Gestión'!#REF!="Mayor"),CONCATENATE("R2C",'Riesgos de Gestión'!#REF!),"")</f>
        <v>#REF!</v>
      </c>
      <c r="AH7" s="38" t="str">
        <f>IF(AND('Riesgos de Gestión'!$AF$14="Muy Alta",'Riesgos de Gestión'!$AH$14="Catastrófico"),CONCATENATE("R2C",'Riesgos de Gestión'!$V$14),"")</f>
        <v/>
      </c>
      <c r="AI7" s="39" t="e">
        <f>IF(AND('Riesgos de Gestión'!#REF!="Muy Alta",'Riesgos de Gestión'!#REF!="Catastrófico"),CONCATENATE("R2C",'Riesgos de Gestión'!#REF!),"")</f>
        <v>#REF!</v>
      </c>
      <c r="AJ7" s="39" t="e">
        <f>IF(AND('Riesgos de Gestión'!#REF!="Muy Alta",'Riesgos de Gestión'!#REF!="Catastrófico"),CONCATENATE("R2C",'Riesgos de Gestión'!#REF!),"")</f>
        <v>#REF!</v>
      </c>
      <c r="AK7" s="39" t="e">
        <f>IF(AND('Riesgos de Gestión'!#REF!="Muy Alta",'Riesgos de Gestión'!#REF!="Catastrófico"),CONCATENATE("R2C",'Riesgos de Gestión'!#REF!),"")</f>
        <v>#REF!</v>
      </c>
      <c r="AL7" s="39" t="e">
        <f>IF(AND('Riesgos de Gestión'!#REF!="Muy Alta",'Riesgos de Gestión'!#REF!="Catastrófico"),CONCATENATE("R2C",'Riesgos de Gestión'!#REF!),"")</f>
        <v>#REF!</v>
      </c>
      <c r="AM7" s="40" t="e">
        <f>IF(AND('Riesgos de Gestión'!#REF!="Muy Alta",'Riesgos de Gestión'!#REF!="Catastrófico"),CONCATENATE("R2C",'Riesgos de Gestión'!#REF!),"")</f>
        <v>#REF!</v>
      </c>
      <c r="AN7" s="66"/>
      <c r="AO7" s="505"/>
      <c r="AP7" s="506"/>
      <c r="AQ7" s="506"/>
      <c r="AR7" s="506"/>
      <c r="AS7" s="506"/>
      <c r="AT7" s="507"/>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row>
    <row r="8" spans="1:91" ht="15" customHeight="1" x14ac:dyDescent="0.25">
      <c r="A8" s="66"/>
      <c r="B8" s="444"/>
      <c r="C8" s="444"/>
      <c r="D8" s="445"/>
      <c r="E8" s="485"/>
      <c r="F8" s="486"/>
      <c r="G8" s="486"/>
      <c r="H8" s="486"/>
      <c r="I8" s="487"/>
      <c r="J8" s="35" t="str">
        <f>IF(AND('Riesgos de Gestión'!$AF$15="Muy Alta",'Riesgos de Gestión'!$AH$15="Leve"),CONCATENATE("R3C",'Riesgos de Gestión'!$V$15),"")</f>
        <v/>
      </c>
      <c r="K8" s="36" t="e">
        <f>IF(AND('Riesgos de Gestión'!#REF!="Muy Alta",'Riesgos de Gestión'!#REF!="Leve"),CONCATENATE("R3C",'Riesgos de Gestión'!#REF!),"")</f>
        <v>#REF!</v>
      </c>
      <c r="L8" s="36" t="e">
        <f>IF(AND('Riesgos de Gestión'!#REF!="Muy Alta",'Riesgos de Gestión'!#REF!="Leve"),CONCATENATE("R3C",'Riesgos de Gestión'!#REF!),"")</f>
        <v>#REF!</v>
      </c>
      <c r="M8" s="36" t="e">
        <f>IF(AND('Riesgos de Gestión'!#REF!="Muy Alta",'Riesgos de Gestión'!#REF!="Leve"),CONCATENATE("R3C",'Riesgos de Gestión'!#REF!),"")</f>
        <v>#REF!</v>
      </c>
      <c r="N8" s="36" t="e">
        <f>IF(AND('Riesgos de Gestión'!#REF!="Muy Alta",'Riesgos de Gestión'!#REF!="Leve"),CONCATENATE("R3C",'Riesgos de Gestión'!#REF!),"")</f>
        <v>#REF!</v>
      </c>
      <c r="O8" s="37" t="e">
        <f>IF(AND('Riesgos de Gestión'!#REF!="Muy Alta",'Riesgos de Gestión'!#REF!="Leve"),CONCATENATE("R3C",'Riesgos de Gestión'!#REF!),"")</f>
        <v>#REF!</v>
      </c>
      <c r="P8" s="35" t="str">
        <f>IF(AND('Riesgos de Gestión'!$AF$15="Muy Alta",'Riesgos de Gestión'!$AH$15="Menor"),CONCATENATE("R3C",'Riesgos de Gestión'!$V$15),"")</f>
        <v/>
      </c>
      <c r="Q8" s="36" t="e">
        <f>IF(AND('Riesgos de Gestión'!#REF!="Muy Alta",'Riesgos de Gestión'!#REF!="Menor"),CONCATENATE("R3C",'Riesgos de Gestión'!#REF!),"")</f>
        <v>#REF!</v>
      </c>
      <c r="R8" s="36" t="e">
        <f>IF(AND('Riesgos de Gestión'!#REF!="Muy Alta",'Riesgos de Gestión'!#REF!="Menor"),CONCATENATE("R3C",'Riesgos de Gestión'!#REF!),"")</f>
        <v>#REF!</v>
      </c>
      <c r="S8" s="36" t="e">
        <f>IF(AND('Riesgos de Gestión'!#REF!="Muy Alta",'Riesgos de Gestión'!#REF!="Menor"),CONCATENATE("R3C",'Riesgos de Gestión'!#REF!),"")</f>
        <v>#REF!</v>
      </c>
      <c r="T8" s="36" t="e">
        <f>IF(AND('Riesgos de Gestión'!#REF!="Muy Alta",'Riesgos de Gestión'!#REF!="Menor"),CONCATENATE("R3C",'Riesgos de Gestión'!#REF!),"")</f>
        <v>#REF!</v>
      </c>
      <c r="U8" s="37" t="e">
        <f>IF(AND('Riesgos de Gestión'!#REF!="Muy Alta",'Riesgos de Gestión'!#REF!="Menor"),CONCATENATE("R3C",'Riesgos de Gestión'!#REF!),"")</f>
        <v>#REF!</v>
      </c>
      <c r="V8" s="35" t="str">
        <f>IF(AND('Riesgos de Gestión'!$AF$15="Muy Alta",'Riesgos de Gestión'!$AH$15="Moderado"),CONCATENATE("R3C",'Riesgos de Gestión'!$V$15),"")</f>
        <v/>
      </c>
      <c r="W8" s="36" t="e">
        <f>IF(AND('Riesgos de Gestión'!#REF!="Muy Alta",'Riesgos de Gestión'!#REF!="Moderado"),CONCATENATE("R3C",'Riesgos de Gestión'!#REF!),"")</f>
        <v>#REF!</v>
      </c>
      <c r="X8" s="36" t="e">
        <f>IF(AND('Riesgos de Gestión'!#REF!="Muy Alta",'Riesgos de Gestión'!#REF!="Moderado"),CONCATENATE("R3C",'Riesgos de Gestión'!#REF!),"")</f>
        <v>#REF!</v>
      </c>
      <c r="Y8" s="36" t="e">
        <f>IF(AND('Riesgos de Gestión'!#REF!="Muy Alta",'Riesgos de Gestión'!#REF!="Moderado"),CONCATENATE("R3C",'Riesgos de Gestión'!#REF!),"")</f>
        <v>#REF!</v>
      </c>
      <c r="Z8" s="36" t="e">
        <f>IF(AND('Riesgos de Gestión'!#REF!="Muy Alta",'Riesgos de Gestión'!#REF!="Moderado"),CONCATENATE("R3C",'Riesgos de Gestión'!#REF!),"")</f>
        <v>#REF!</v>
      </c>
      <c r="AA8" s="37" t="e">
        <f>IF(AND('Riesgos de Gestión'!#REF!="Muy Alta",'Riesgos de Gestión'!#REF!="Moderado"),CONCATENATE("R3C",'Riesgos de Gestión'!#REF!),"")</f>
        <v>#REF!</v>
      </c>
      <c r="AB8" s="35" t="str">
        <f>IF(AND('Riesgos de Gestión'!$AF$15="Muy Alta",'Riesgos de Gestión'!$AH$15="Mayor"),CONCATENATE("R3C",'Riesgos de Gestión'!$V$15),"")</f>
        <v/>
      </c>
      <c r="AC8" s="36" t="e">
        <f>IF(AND('Riesgos de Gestión'!#REF!="Muy Alta",'Riesgos de Gestión'!#REF!="Mayor"),CONCATENATE("R3C",'Riesgos de Gestión'!#REF!),"")</f>
        <v>#REF!</v>
      </c>
      <c r="AD8" s="36" t="e">
        <f>IF(AND('Riesgos de Gestión'!#REF!="Muy Alta",'Riesgos de Gestión'!#REF!="Mayor"),CONCATENATE("R3C",'Riesgos de Gestión'!#REF!),"")</f>
        <v>#REF!</v>
      </c>
      <c r="AE8" s="36" t="e">
        <f>IF(AND('Riesgos de Gestión'!#REF!="Muy Alta",'Riesgos de Gestión'!#REF!="Mayor"),CONCATENATE("R3C",'Riesgos de Gestión'!#REF!),"")</f>
        <v>#REF!</v>
      </c>
      <c r="AF8" s="36" t="e">
        <f>IF(AND('Riesgos de Gestión'!#REF!="Muy Alta",'Riesgos de Gestión'!#REF!="Mayor"),CONCATENATE("R3C",'Riesgos de Gestión'!#REF!),"")</f>
        <v>#REF!</v>
      </c>
      <c r="AG8" s="37" t="e">
        <f>IF(AND('Riesgos de Gestión'!#REF!="Muy Alta",'Riesgos de Gestión'!#REF!="Mayor"),CONCATENATE("R3C",'Riesgos de Gestión'!#REF!),"")</f>
        <v>#REF!</v>
      </c>
      <c r="AH8" s="38" t="str">
        <f>IF(AND('Riesgos de Gestión'!$AF$15="Muy Alta",'Riesgos de Gestión'!$AH$15="Catastrófico"),CONCATENATE("R3C",'Riesgos de Gestión'!$V$15),"")</f>
        <v/>
      </c>
      <c r="AI8" s="39" t="e">
        <f>IF(AND('Riesgos de Gestión'!#REF!="Muy Alta",'Riesgos de Gestión'!#REF!="Catastrófico"),CONCATENATE("R3C",'Riesgos de Gestión'!#REF!),"")</f>
        <v>#REF!</v>
      </c>
      <c r="AJ8" s="39" t="e">
        <f>IF(AND('Riesgos de Gestión'!#REF!="Muy Alta",'Riesgos de Gestión'!#REF!="Catastrófico"),CONCATENATE("R3C",'Riesgos de Gestión'!#REF!),"")</f>
        <v>#REF!</v>
      </c>
      <c r="AK8" s="39" t="e">
        <f>IF(AND('Riesgos de Gestión'!#REF!="Muy Alta",'Riesgos de Gestión'!#REF!="Catastrófico"),CONCATENATE("R3C",'Riesgos de Gestión'!#REF!),"")</f>
        <v>#REF!</v>
      </c>
      <c r="AL8" s="39" t="e">
        <f>IF(AND('Riesgos de Gestión'!#REF!="Muy Alta",'Riesgos de Gestión'!#REF!="Catastrófico"),CONCATENATE("R3C",'Riesgos de Gestión'!#REF!),"")</f>
        <v>#REF!</v>
      </c>
      <c r="AM8" s="40" t="e">
        <f>IF(AND('Riesgos de Gestión'!#REF!="Muy Alta",'Riesgos de Gestión'!#REF!="Catastrófico"),CONCATENATE("R3C",'Riesgos de Gestión'!#REF!),"")</f>
        <v>#REF!</v>
      </c>
      <c r="AN8" s="66"/>
      <c r="AO8" s="505"/>
      <c r="AP8" s="506"/>
      <c r="AQ8" s="506"/>
      <c r="AR8" s="506"/>
      <c r="AS8" s="506"/>
      <c r="AT8" s="507"/>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row>
    <row r="9" spans="1:91" ht="15" customHeight="1" x14ac:dyDescent="0.25">
      <c r="A9" s="66"/>
      <c r="B9" s="444"/>
      <c r="C9" s="444"/>
      <c r="D9" s="445"/>
      <c r="E9" s="485"/>
      <c r="F9" s="486"/>
      <c r="G9" s="486"/>
      <c r="H9" s="486"/>
      <c r="I9" s="487"/>
      <c r="J9" s="35" t="str">
        <f>IF(AND('Riesgos de Gestión'!$AF$16="Muy Alta",'Riesgos de Gestión'!$AH$16="Leve"),CONCATENATE("R4C",'Riesgos de Gestión'!$V$16),"")</f>
        <v/>
      </c>
      <c r="K9" s="36" t="str">
        <f>IF(AND('Riesgos de Gestión'!$AF$17="Muy Alta",'Riesgos de Gestión'!$AH$17="Leve"),CONCATENATE("R4C",'Riesgos de Gestión'!$V$17),"")</f>
        <v/>
      </c>
      <c r="L9" s="36" t="str">
        <f>IF(AND('Riesgos de Gestión'!$AF$18="Muy Alta",'Riesgos de Gestión'!$AH$18="Leve"),CONCATENATE("R4C",'Riesgos de Gestión'!$V$18),"")</f>
        <v/>
      </c>
      <c r="M9" s="36" t="str">
        <f>IF(AND('Riesgos de Gestión'!$AF$19="Muy Alta",'Riesgos de Gestión'!$AH$19="Leve"),CONCATENATE("R4C",'Riesgos de Gestión'!$V$19),"")</f>
        <v/>
      </c>
      <c r="N9" s="36" t="str">
        <f>IF(AND('Riesgos de Gestión'!$AF$20="Muy Alta",'Riesgos de Gestión'!$AH$20="Leve"),CONCATENATE("R4C",'Riesgos de Gestión'!$V$20),"")</f>
        <v/>
      </c>
      <c r="O9" s="37" t="str">
        <f>IF(AND('Riesgos de Gestión'!$AF$21="Muy Alta",'Riesgos de Gestión'!$AH$21="Leve"),CONCATENATE("R4C",'Riesgos de Gestión'!$V$21),"")</f>
        <v/>
      </c>
      <c r="P9" s="35" t="str">
        <f>IF(AND('Riesgos de Gestión'!$AF$16="Muy Alta",'Riesgos de Gestión'!$AH$16="Menor"),CONCATENATE("R4C",'Riesgos de Gestión'!$V$16),"")</f>
        <v/>
      </c>
      <c r="Q9" s="36" t="str">
        <f>IF(AND('Riesgos de Gestión'!$AF$17="Muy Alta",'Riesgos de Gestión'!$AH$17="Menor"),CONCATENATE("R4C",'Riesgos de Gestión'!$V$17),"")</f>
        <v/>
      </c>
      <c r="R9" s="36" t="str">
        <f>IF(AND('Riesgos de Gestión'!$AF$18="Muy Alta",'Riesgos de Gestión'!$AH$18="Menor"),CONCATENATE("R4C",'Riesgos de Gestión'!$V$18),"")</f>
        <v/>
      </c>
      <c r="S9" s="36" t="str">
        <f>IF(AND('Riesgos de Gestión'!$AF$19="Muy Alta",'Riesgos de Gestión'!$AH$19="Menor"),CONCATENATE("R4C",'Riesgos de Gestión'!$V$19),"")</f>
        <v/>
      </c>
      <c r="T9" s="36" t="str">
        <f>IF(AND('Riesgos de Gestión'!$AF$20="Muy Alta",'Riesgos de Gestión'!$AH$20="Menor"),CONCATENATE("R4C",'Riesgos de Gestión'!$V$20),"")</f>
        <v/>
      </c>
      <c r="U9" s="37" t="str">
        <f>IF(AND('Riesgos de Gestión'!$AF$21="Muy Alta",'Riesgos de Gestión'!$AH$21="Menor"),CONCATENATE("R4C",'Riesgos de Gestión'!$V$21),"")</f>
        <v/>
      </c>
      <c r="V9" s="35" t="str">
        <f>IF(AND('Riesgos de Gestión'!$AF$16="Muy Alta",'Riesgos de Gestión'!$AH$16="Moderado"),CONCATENATE("R4C",'Riesgos de Gestión'!$V$16),"")</f>
        <v/>
      </c>
      <c r="W9" s="36" t="str">
        <f>IF(AND('Riesgos de Gestión'!$AF$17="Muy Alta",'Riesgos de Gestión'!$AH$17="Moderado"),CONCATENATE("R4C",'Riesgos de Gestión'!$V$17),"")</f>
        <v/>
      </c>
      <c r="X9" s="36" t="str">
        <f>IF(AND('Riesgos de Gestión'!$AF$18="Muy Alta",'Riesgos de Gestión'!$AH$18="Moderado"),CONCATENATE("R4C",'Riesgos de Gestión'!$V$18),"")</f>
        <v/>
      </c>
      <c r="Y9" s="36" t="str">
        <f>IF(AND('Riesgos de Gestión'!$AF$19="Muy Alta",'Riesgos de Gestión'!$AH$19="Moderado"),CONCATENATE("R4C",'Riesgos de Gestión'!$V$19),"")</f>
        <v/>
      </c>
      <c r="Z9" s="36" t="str">
        <f>IF(AND('Riesgos de Gestión'!$AF$20="Muy Alta",'Riesgos de Gestión'!$AH$20="Moderado"),CONCATENATE("R4C",'Riesgos de Gestión'!$V$20),"")</f>
        <v/>
      </c>
      <c r="AA9" s="37" t="str">
        <f>IF(AND('Riesgos de Gestión'!$AF$21="Muy Alta",'Riesgos de Gestión'!$AH$21="Moderado"),CONCATENATE("R4C",'Riesgos de Gestión'!$V$21),"")</f>
        <v/>
      </c>
      <c r="AB9" s="35" t="str">
        <f>IF(AND('Riesgos de Gestión'!$AF$16="Muy Alta",'Riesgos de Gestión'!$AH$16="Mayor"),CONCATENATE("R4C",'Riesgos de Gestión'!$V$16),"")</f>
        <v/>
      </c>
      <c r="AC9" s="36" t="str">
        <f>IF(AND('Riesgos de Gestión'!$AF$17="Muy Alta",'Riesgos de Gestión'!$AH$17="Mayor"),CONCATENATE("R4C",'Riesgos de Gestión'!$V$17),"")</f>
        <v/>
      </c>
      <c r="AD9" s="36" t="str">
        <f>IF(AND('Riesgos de Gestión'!$AF$18="Muy Alta",'Riesgos de Gestión'!$AH$18="Mayor"),CONCATENATE("R4C",'Riesgos de Gestión'!$V$18),"")</f>
        <v/>
      </c>
      <c r="AE9" s="36" t="str">
        <f>IF(AND('Riesgos de Gestión'!$AF$19="Muy Alta",'Riesgos de Gestión'!$AH$19="Mayor"),CONCATENATE("R4C",'Riesgos de Gestión'!$V$19),"")</f>
        <v/>
      </c>
      <c r="AF9" s="36" t="str">
        <f>IF(AND('Riesgos de Gestión'!$AF$20="Muy Alta",'Riesgos de Gestión'!$AH$20="Mayor"),CONCATENATE("R4C",'Riesgos de Gestión'!$V$20),"")</f>
        <v/>
      </c>
      <c r="AG9" s="37" t="str">
        <f>IF(AND('Riesgos de Gestión'!$AF$21="Muy Alta",'Riesgos de Gestión'!$AH$21="Mayor"),CONCATENATE("R4C",'Riesgos de Gestión'!$V$21),"")</f>
        <v/>
      </c>
      <c r="AH9" s="38" t="str">
        <f>IF(AND('Riesgos de Gestión'!$AF$16="Muy Alta",'Riesgos de Gestión'!$AH$16="Catastrófico"),CONCATENATE("R4C",'Riesgos de Gestión'!$V$16),"")</f>
        <v/>
      </c>
      <c r="AI9" s="39" t="str">
        <f>IF(AND('Riesgos de Gestión'!$AF$17="Muy Alta",'Riesgos de Gestión'!$AH$17="Catastrófico"),CONCATENATE("R4C",'Riesgos de Gestión'!$V$17),"")</f>
        <v/>
      </c>
      <c r="AJ9" s="39" t="str">
        <f>IF(AND('Riesgos de Gestión'!$AF$18="Muy Alta",'Riesgos de Gestión'!$AH$18="Catastrófico"),CONCATENATE("R4C",'Riesgos de Gestión'!$V$18),"")</f>
        <v/>
      </c>
      <c r="AK9" s="39" t="str">
        <f>IF(AND('Riesgos de Gestión'!$AF$19="Muy Alta",'Riesgos de Gestión'!$AH$19="Catastrófico"),CONCATENATE("R4C",'Riesgos de Gestión'!$V$19),"")</f>
        <v/>
      </c>
      <c r="AL9" s="39" t="str">
        <f>IF(AND('Riesgos de Gestión'!$AF$20="Muy Alta",'Riesgos de Gestión'!$AH$20="Catastrófico"),CONCATENATE("R4C",'Riesgos de Gestión'!$V$20),"")</f>
        <v/>
      </c>
      <c r="AM9" s="40" t="str">
        <f>IF(AND('Riesgos de Gestión'!$AF$21="Muy Alta",'Riesgos de Gestión'!$AH$21="Catastrófico"),CONCATENATE("R4C",'Riesgos de Gestión'!$V$21),"")</f>
        <v/>
      </c>
      <c r="AN9" s="66"/>
      <c r="AO9" s="505"/>
      <c r="AP9" s="506"/>
      <c r="AQ9" s="506"/>
      <c r="AR9" s="506"/>
      <c r="AS9" s="506"/>
      <c r="AT9" s="507"/>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row>
    <row r="10" spans="1:91" ht="15" customHeight="1" x14ac:dyDescent="0.25">
      <c r="A10" s="66"/>
      <c r="B10" s="444"/>
      <c r="C10" s="444"/>
      <c r="D10" s="445"/>
      <c r="E10" s="485"/>
      <c r="F10" s="486"/>
      <c r="G10" s="486"/>
      <c r="H10" s="486"/>
      <c r="I10" s="487"/>
      <c r="J10" s="35" t="str">
        <f>IF(AND('Riesgos de Gestión'!$AF$22="Muy Alta",'Riesgos de Gestión'!$AH$22="Leve"),CONCATENATE("R5C",'Riesgos de Gestión'!$V$22),"")</f>
        <v/>
      </c>
      <c r="K10" s="36" t="str">
        <f>IF(AND('Riesgos de Gestión'!$AF$23="Muy Alta",'Riesgos de Gestión'!$AH$23="Leve"),CONCATENATE("R5C",'Riesgos de Gestión'!$V$23),"")</f>
        <v/>
      </c>
      <c r="L10" s="36" t="str">
        <f>IF(AND('Riesgos de Gestión'!$AF$24="Muy Alta",'Riesgos de Gestión'!$AH$24="Leve"),CONCATENATE("R5C",'Riesgos de Gestión'!$V$24),"")</f>
        <v/>
      </c>
      <c r="M10" s="36" t="str">
        <f>IF(AND('Riesgos de Gestión'!$AF$25="Muy Alta",'Riesgos de Gestión'!$AH$25="Leve"),CONCATENATE("R5C",'Riesgos de Gestión'!$V$25),"")</f>
        <v/>
      </c>
      <c r="N10" s="36" t="str">
        <f>IF(AND('Riesgos de Gestión'!$AF$26="Muy Alta",'Riesgos de Gestión'!$AH$26="Leve"),CONCATENATE("R5C",'Riesgos de Gestión'!$V$26),"")</f>
        <v/>
      </c>
      <c r="O10" s="37" t="str">
        <f>IF(AND('Riesgos de Gestión'!$AF$27="Muy Alta",'Riesgos de Gestión'!$AH$27="Leve"),CONCATENATE("R5C",'Riesgos de Gestión'!$V$27),"")</f>
        <v/>
      </c>
      <c r="P10" s="35" t="str">
        <f>IF(AND('Riesgos de Gestión'!$AF$22="Muy Alta",'Riesgos de Gestión'!$AH$22="Menor"),CONCATENATE("R5C",'Riesgos de Gestión'!$V$22),"")</f>
        <v/>
      </c>
      <c r="Q10" s="36" t="str">
        <f>IF(AND('Riesgos de Gestión'!$AF$23="Muy Alta",'Riesgos de Gestión'!$AH$23="Menor"),CONCATENATE("R5C",'Riesgos de Gestión'!$V$23),"")</f>
        <v/>
      </c>
      <c r="R10" s="36" t="str">
        <f>IF(AND('Riesgos de Gestión'!$AF$24="Muy Alta",'Riesgos de Gestión'!$AH$24="Menor"),CONCATENATE("R5C",'Riesgos de Gestión'!$V$24),"")</f>
        <v/>
      </c>
      <c r="S10" s="36" t="str">
        <f>IF(AND('Riesgos de Gestión'!$AF$25="Muy Alta",'Riesgos de Gestión'!$AH$25="Menor"),CONCATENATE("R5C",'Riesgos de Gestión'!$V$25),"")</f>
        <v/>
      </c>
      <c r="T10" s="36" t="str">
        <f>IF(AND('Riesgos de Gestión'!$AF$26="Muy Alta",'Riesgos de Gestión'!$AH$26="Menor"),CONCATENATE("R5C",'Riesgos de Gestión'!$V$26),"")</f>
        <v/>
      </c>
      <c r="U10" s="37" t="str">
        <f>IF(AND('Riesgos de Gestión'!$AF$27="Muy Alta",'Riesgos de Gestión'!$AH$27="Menor"),CONCATENATE("R5C",'Riesgos de Gestión'!$V$27),"")</f>
        <v/>
      </c>
      <c r="V10" s="35" t="str">
        <f>IF(AND('Riesgos de Gestión'!$AF$22="Muy Alta",'Riesgos de Gestión'!$AH$22="Moderado"),CONCATENATE("R5C",'Riesgos de Gestión'!$V$22),"")</f>
        <v/>
      </c>
      <c r="W10" s="36" t="str">
        <f>IF(AND('Riesgos de Gestión'!$AF$23="Muy Alta",'Riesgos de Gestión'!$AH$23="Moderado"),CONCATENATE("R5C",'Riesgos de Gestión'!$V$23),"")</f>
        <v/>
      </c>
      <c r="X10" s="36" t="str">
        <f>IF(AND('Riesgos de Gestión'!$AF$24="Muy Alta",'Riesgos de Gestión'!$AH$24="Moderado"),CONCATENATE("R5C",'Riesgos de Gestión'!$V$24),"")</f>
        <v/>
      </c>
      <c r="Y10" s="36" t="str">
        <f>IF(AND('Riesgos de Gestión'!$AF$25="Muy Alta",'Riesgos de Gestión'!$AH$25="Moderado"),CONCATENATE("R5C",'Riesgos de Gestión'!$V$25),"")</f>
        <v/>
      </c>
      <c r="Z10" s="36" t="str">
        <f>IF(AND('Riesgos de Gestión'!$AF$26="Muy Alta",'Riesgos de Gestión'!$AH$26="Moderado"),CONCATENATE("R5C",'Riesgos de Gestión'!$V$26),"")</f>
        <v/>
      </c>
      <c r="AA10" s="37" t="str">
        <f>IF(AND('Riesgos de Gestión'!$AF$27="Muy Alta",'Riesgos de Gestión'!$AH$27="Moderado"),CONCATENATE("R5C",'Riesgos de Gestión'!$V$27),"")</f>
        <v/>
      </c>
      <c r="AB10" s="35" t="str">
        <f>IF(AND('Riesgos de Gestión'!$AF$22="Muy Alta",'Riesgos de Gestión'!$AH$22="Mayor"),CONCATENATE("R5C",'Riesgos de Gestión'!$V$22),"")</f>
        <v/>
      </c>
      <c r="AC10" s="36" t="str">
        <f>IF(AND('Riesgos de Gestión'!$AF$23="Muy Alta",'Riesgos de Gestión'!$AH$23="Mayor"),CONCATENATE("R5C",'Riesgos de Gestión'!$V$23),"")</f>
        <v/>
      </c>
      <c r="AD10" s="36" t="str">
        <f>IF(AND('Riesgos de Gestión'!$AF$24="Muy Alta",'Riesgos de Gestión'!$AH$24="Mayor"),CONCATENATE("R5C",'Riesgos de Gestión'!$V$24),"")</f>
        <v/>
      </c>
      <c r="AE10" s="36" t="str">
        <f>IF(AND('Riesgos de Gestión'!$AF$25="Muy Alta",'Riesgos de Gestión'!$AH$25="Mayor"),CONCATENATE("R5C",'Riesgos de Gestión'!$V$25),"")</f>
        <v/>
      </c>
      <c r="AF10" s="36" t="str">
        <f>IF(AND('Riesgos de Gestión'!$AF$26="Muy Alta",'Riesgos de Gestión'!$AH$26="Mayor"),CONCATENATE("R5C",'Riesgos de Gestión'!$V$26),"")</f>
        <v/>
      </c>
      <c r="AG10" s="37" t="str">
        <f>IF(AND('Riesgos de Gestión'!$AF$27="Muy Alta",'Riesgos de Gestión'!$AH$27="Mayor"),CONCATENATE("R5C",'Riesgos de Gestión'!$V$27),"")</f>
        <v/>
      </c>
      <c r="AH10" s="38" t="str">
        <f>IF(AND('Riesgos de Gestión'!$AF$22="Muy Alta",'Riesgos de Gestión'!$AH$22="Catastrófico"),CONCATENATE("R5C",'Riesgos de Gestión'!$V$22),"")</f>
        <v/>
      </c>
      <c r="AI10" s="39" t="str">
        <f>IF(AND('Riesgos de Gestión'!$AF$23="Muy Alta",'Riesgos de Gestión'!$AH$23="Catastrófico"),CONCATENATE("R5C",'Riesgos de Gestión'!$V$23),"")</f>
        <v/>
      </c>
      <c r="AJ10" s="39" t="str">
        <f>IF(AND('Riesgos de Gestión'!$AF$24="Muy Alta",'Riesgos de Gestión'!$AH$24="Catastrófico"),CONCATENATE("R5C",'Riesgos de Gestión'!$V$24),"")</f>
        <v/>
      </c>
      <c r="AK10" s="39" t="str">
        <f>IF(AND('Riesgos de Gestión'!$AF$25="Muy Alta",'Riesgos de Gestión'!$AH$25="Catastrófico"),CONCATENATE("R5C",'Riesgos de Gestión'!$V$25),"")</f>
        <v/>
      </c>
      <c r="AL10" s="39" t="str">
        <f>IF(AND('Riesgos de Gestión'!$AF$26="Muy Alta",'Riesgos de Gestión'!$AH$26="Catastrófico"),CONCATENATE("R5C",'Riesgos de Gestión'!$V$26),"")</f>
        <v/>
      </c>
      <c r="AM10" s="40" t="str">
        <f>IF(AND('Riesgos de Gestión'!$AF$27="Muy Alta",'Riesgos de Gestión'!$AH$27="Catastrófico"),CONCATENATE("R5C",'Riesgos de Gestión'!$V$27),"")</f>
        <v/>
      </c>
      <c r="AN10" s="66"/>
      <c r="AO10" s="505"/>
      <c r="AP10" s="506"/>
      <c r="AQ10" s="506"/>
      <c r="AR10" s="506"/>
      <c r="AS10" s="506"/>
      <c r="AT10" s="507"/>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row>
    <row r="11" spans="1:91" ht="15" customHeight="1" x14ac:dyDescent="0.25">
      <c r="A11" s="66"/>
      <c r="B11" s="444"/>
      <c r="C11" s="444"/>
      <c r="D11" s="445"/>
      <c r="E11" s="485"/>
      <c r="F11" s="486"/>
      <c r="G11" s="486"/>
      <c r="H11" s="486"/>
      <c r="I11" s="487"/>
      <c r="J11" s="35" t="str">
        <f>IF(AND('Riesgos de Gestión'!$AF$28="Muy Alta",'Riesgos de Gestión'!$AH$28="Leve"),CONCATENATE("R6C",'Riesgos de Gestión'!$V$28),"")</f>
        <v/>
      </c>
      <c r="K11" s="36" t="str">
        <f>IF(AND('Riesgos de Gestión'!$AF$29="Muy Alta",'Riesgos de Gestión'!$AH$29="Leve"),CONCATENATE("R6C",'Riesgos de Gestión'!$V$29),"")</f>
        <v/>
      </c>
      <c r="L11" s="36" t="str">
        <f>IF(AND('Riesgos de Gestión'!$AF$30="Muy Alta",'Riesgos de Gestión'!$AH$30="Leve"),CONCATENATE("R6C",'Riesgos de Gestión'!$V$30),"")</f>
        <v/>
      </c>
      <c r="M11" s="36" t="str">
        <f>IF(AND('Riesgos de Gestión'!$AF$31="Muy Alta",'Riesgos de Gestión'!$AH$31="Leve"),CONCATENATE("R6C",'Riesgos de Gestión'!$V$31),"")</f>
        <v/>
      </c>
      <c r="N11" s="36" t="str">
        <f>IF(AND('Riesgos de Gestión'!$AF$32="Muy Alta",'Riesgos de Gestión'!$AH$32="Leve"),CONCATENATE("R6C",'Riesgos de Gestión'!$V$32),"")</f>
        <v/>
      </c>
      <c r="O11" s="37" t="str">
        <f>IF(AND('Riesgos de Gestión'!$AF$33="Muy Alta",'Riesgos de Gestión'!$AH$33="Leve"),CONCATENATE("R6C",'Riesgos de Gestión'!$V$33),"")</f>
        <v/>
      </c>
      <c r="P11" s="35" t="str">
        <f>IF(AND('Riesgos de Gestión'!$AF$28="Muy Alta",'Riesgos de Gestión'!$AH$28="Menor"),CONCATENATE("R6C",'Riesgos de Gestión'!$V$28),"")</f>
        <v/>
      </c>
      <c r="Q11" s="36" t="str">
        <f>IF(AND('Riesgos de Gestión'!$AF$29="Muy Alta",'Riesgos de Gestión'!$AH$29="Menor"),CONCATENATE("R6C",'Riesgos de Gestión'!$V$29),"")</f>
        <v/>
      </c>
      <c r="R11" s="36" t="str">
        <f>IF(AND('Riesgos de Gestión'!$AF$30="Muy Alta",'Riesgos de Gestión'!$AH$30="Menor"),CONCATENATE("R6C",'Riesgos de Gestión'!$V$30),"")</f>
        <v/>
      </c>
      <c r="S11" s="36" t="str">
        <f>IF(AND('Riesgos de Gestión'!$AF$31="Muy Alta",'Riesgos de Gestión'!$AH$31="Menor"),CONCATENATE("R6C",'Riesgos de Gestión'!$V$31),"")</f>
        <v/>
      </c>
      <c r="T11" s="36" t="str">
        <f>IF(AND('Riesgos de Gestión'!$AF$32="Muy Alta",'Riesgos de Gestión'!$AH$32="Menor"),CONCATENATE("R6C",'Riesgos de Gestión'!$V$32),"")</f>
        <v/>
      </c>
      <c r="U11" s="37" t="str">
        <f>IF(AND('Riesgos de Gestión'!$AF$33="Muy Alta",'Riesgos de Gestión'!$AH$33="Menor"),CONCATENATE("R6C",'Riesgos de Gestión'!$V$33),"")</f>
        <v/>
      </c>
      <c r="V11" s="35" t="str">
        <f>IF(AND('Riesgos de Gestión'!$AF$28="Muy Alta",'Riesgos de Gestión'!$AH$28="Moderado"),CONCATENATE("R6C",'Riesgos de Gestión'!$V$28),"")</f>
        <v/>
      </c>
      <c r="W11" s="36" t="str">
        <f>IF(AND('Riesgos de Gestión'!$AF$29="Muy Alta",'Riesgos de Gestión'!$AH$29="Moderado"),CONCATENATE("R6C",'Riesgos de Gestión'!$V$29),"")</f>
        <v/>
      </c>
      <c r="X11" s="36" t="str">
        <f>IF(AND('Riesgos de Gestión'!$AF$30="Muy Alta",'Riesgos de Gestión'!$AH$30="Moderado"),CONCATENATE("R6C",'Riesgos de Gestión'!$V$30),"")</f>
        <v/>
      </c>
      <c r="Y11" s="36" t="str">
        <f>IF(AND('Riesgos de Gestión'!$AF$31="Muy Alta",'Riesgos de Gestión'!$AH$31="Moderado"),CONCATENATE("R6C",'Riesgos de Gestión'!$V$31),"")</f>
        <v/>
      </c>
      <c r="Z11" s="36" t="str">
        <f>IF(AND('Riesgos de Gestión'!$AF$32="Muy Alta",'Riesgos de Gestión'!$AH$32="Moderado"),CONCATENATE("R6C",'Riesgos de Gestión'!$V$32),"")</f>
        <v/>
      </c>
      <c r="AA11" s="37" t="str">
        <f>IF(AND('Riesgos de Gestión'!$AF$33="Muy Alta",'Riesgos de Gestión'!$AH$33="Moderado"),CONCATENATE("R6C",'Riesgos de Gestión'!$V$33),"")</f>
        <v/>
      </c>
      <c r="AB11" s="35" t="str">
        <f>IF(AND('Riesgos de Gestión'!$AF$28="Muy Alta",'Riesgos de Gestión'!$AH$28="Mayor"),CONCATENATE("R6C",'Riesgos de Gestión'!$V$28),"")</f>
        <v/>
      </c>
      <c r="AC11" s="36" t="str">
        <f>IF(AND('Riesgos de Gestión'!$AF$29="Muy Alta",'Riesgos de Gestión'!$AH$29="Mayor"),CONCATENATE("R6C",'Riesgos de Gestión'!$V$29),"")</f>
        <v/>
      </c>
      <c r="AD11" s="36" t="str">
        <f>IF(AND('Riesgos de Gestión'!$AF$30="Muy Alta",'Riesgos de Gestión'!$AH$30="Mayor"),CONCATENATE("R6C",'Riesgos de Gestión'!$V$30),"")</f>
        <v/>
      </c>
      <c r="AE11" s="36" t="str">
        <f>IF(AND('Riesgos de Gestión'!$AF$31="Muy Alta",'Riesgos de Gestión'!$AH$31="Mayor"),CONCATENATE("R6C",'Riesgos de Gestión'!$V$31),"")</f>
        <v/>
      </c>
      <c r="AF11" s="36" t="str">
        <f>IF(AND('Riesgos de Gestión'!$AF$32="Muy Alta",'Riesgos de Gestión'!$AH$32="Mayor"),CONCATENATE("R6C",'Riesgos de Gestión'!$V$32),"")</f>
        <v/>
      </c>
      <c r="AG11" s="37" t="str">
        <f>IF(AND('Riesgos de Gestión'!$AF$33="Muy Alta",'Riesgos de Gestión'!$AH$33="Mayor"),CONCATENATE("R6C",'Riesgos de Gestión'!$V$33),"")</f>
        <v/>
      </c>
      <c r="AH11" s="38" t="str">
        <f>IF(AND('Riesgos de Gestión'!$AF$28="Muy Alta",'Riesgos de Gestión'!$AH$28="Catastrófico"),CONCATENATE("R6C",'Riesgos de Gestión'!$V$28),"")</f>
        <v/>
      </c>
      <c r="AI11" s="39" t="str">
        <f>IF(AND('Riesgos de Gestión'!$AF$29="Muy Alta",'Riesgos de Gestión'!$AH$29="Catastrófico"),CONCATENATE("R6C",'Riesgos de Gestión'!$V$29),"")</f>
        <v/>
      </c>
      <c r="AJ11" s="39" t="str">
        <f>IF(AND('Riesgos de Gestión'!$AF$30="Muy Alta",'Riesgos de Gestión'!$AH$30="Catastrófico"),CONCATENATE("R6C",'Riesgos de Gestión'!$V$30),"")</f>
        <v/>
      </c>
      <c r="AK11" s="39" t="str">
        <f>IF(AND('Riesgos de Gestión'!$AF$31="Muy Alta",'Riesgos de Gestión'!$AH$31="Catastrófico"),CONCATENATE("R6C",'Riesgos de Gestión'!$V$31),"")</f>
        <v/>
      </c>
      <c r="AL11" s="39" t="str">
        <f>IF(AND('Riesgos de Gestión'!$AF$32="Muy Alta",'Riesgos de Gestión'!$AH$32="Catastrófico"),CONCATENATE("R6C",'Riesgos de Gestión'!$V$32),"")</f>
        <v/>
      </c>
      <c r="AM11" s="40" t="str">
        <f>IF(AND('Riesgos de Gestión'!$AF$33="Muy Alta",'Riesgos de Gestión'!$AH$33="Catastrófico"),CONCATENATE("R6C",'Riesgos de Gestión'!$V$33),"")</f>
        <v/>
      </c>
      <c r="AN11" s="66"/>
      <c r="AO11" s="505"/>
      <c r="AP11" s="506"/>
      <c r="AQ11" s="506"/>
      <c r="AR11" s="506"/>
      <c r="AS11" s="506"/>
      <c r="AT11" s="507"/>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row>
    <row r="12" spans="1:91" ht="15" customHeight="1" x14ac:dyDescent="0.25">
      <c r="A12" s="66"/>
      <c r="B12" s="444"/>
      <c r="C12" s="444"/>
      <c r="D12" s="445"/>
      <c r="E12" s="485"/>
      <c r="F12" s="486"/>
      <c r="G12" s="486"/>
      <c r="H12" s="486"/>
      <c r="I12" s="487"/>
      <c r="J12" s="35" t="str">
        <f>IF(AND('Riesgos de Gestión'!$AF$34="Muy Alta",'Riesgos de Gestión'!$AH$34="Leve"),CONCATENATE("R7C",'Riesgos de Gestión'!$V$34),"")</f>
        <v/>
      </c>
      <c r="K12" s="36" t="str">
        <f>IF(AND('Riesgos de Gestión'!$AF$35="Muy Alta",'Riesgos de Gestión'!$AH$35="Leve"),CONCATENATE("R7C",'Riesgos de Gestión'!$V$35),"")</f>
        <v/>
      </c>
      <c r="L12" s="36" t="str">
        <f>IF(AND('Riesgos de Gestión'!$AF$36="Muy Alta",'Riesgos de Gestión'!$AH$36="Leve"),CONCATENATE("R7C",'Riesgos de Gestión'!$V$36),"")</f>
        <v/>
      </c>
      <c r="M12" s="36" t="str">
        <f>IF(AND('Riesgos de Gestión'!$AF$37="Muy Alta",'Riesgos de Gestión'!$AH$37="Leve"),CONCATENATE("R7C",'Riesgos de Gestión'!$V$37),"")</f>
        <v/>
      </c>
      <c r="N12" s="36" t="str">
        <f>IF(AND('Riesgos de Gestión'!$AF$38="Muy Alta",'Riesgos de Gestión'!$AH$38="Leve"),CONCATENATE("R7C",'Riesgos de Gestión'!$V$38),"")</f>
        <v/>
      </c>
      <c r="O12" s="37" t="str">
        <f>IF(AND('Riesgos de Gestión'!$AF$39="Muy Alta",'Riesgos de Gestión'!$AH$39="Leve"),CONCATENATE("R7C",'Riesgos de Gestión'!$V$39),"")</f>
        <v/>
      </c>
      <c r="P12" s="35" t="str">
        <f>IF(AND('Riesgos de Gestión'!$AF$34="Muy Alta",'Riesgos de Gestión'!$AH$34="Menor"),CONCATENATE("R7C",'Riesgos de Gestión'!$V$34),"")</f>
        <v/>
      </c>
      <c r="Q12" s="36" t="str">
        <f>IF(AND('Riesgos de Gestión'!$AF$35="Muy Alta",'Riesgos de Gestión'!$AH$35="Menor"),CONCATENATE("R7C",'Riesgos de Gestión'!$V$35),"")</f>
        <v/>
      </c>
      <c r="R12" s="36" t="str">
        <f>IF(AND('Riesgos de Gestión'!$AF$36="Muy Alta",'Riesgos de Gestión'!$AH$36="Menor"),CONCATENATE("R7C",'Riesgos de Gestión'!$V$36),"")</f>
        <v/>
      </c>
      <c r="S12" s="36" t="str">
        <f>IF(AND('Riesgos de Gestión'!$AF$37="Muy Alta",'Riesgos de Gestión'!$AH$37="Menor"),CONCATENATE("R7C",'Riesgos de Gestión'!$V$37),"")</f>
        <v/>
      </c>
      <c r="T12" s="36" t="str">
        <f>IF(AND('Riesgos de Gestión'!$AF$38="Muy Alta",'Riesgos de Gestión'!$AH$38="Menor"),CONCATENATE("R7C",'Riesgos de Gestión'!$V$38),"")</f>
        <v/>
      </c>
      <c r="U12" s="37" t="str">
        <f>IF(AND('Riesgos de Gestión'!$AF$39="Muy Alta",'Riesgos de Gestión'!$AH$39="Menor"),CONCATENATE("R7C",'Riesgos de Gestión'!$V$39),"")</f>
        <v/>
      </c>
      <c r="V12" s="35" t="str">
        <f>IF(AND('Riesgos de Gestión'!$AF$34="Muy Alta",'Riesgos de Gestión'!$AH$34="Moderado"),CONCATENATE("R7C",'Riesgos de Gestión'!$V$34),"")</f>
        <v/>
      </c>
      <c r="W12" s="36" t="str">
        <f>IF(AND('Riesgos de Gestión'!$AF$35="Muy Alta",'Riesgos de Gestión'!$AH$35="Moderado"),CONCATENATE("R7C",'Riesgos de Gestión'!$V$35),"")</f>
        <v/>
      </c>
      <c r="X12" s="36" t="str">
        <f>IF(AND('Riesgos de Gestión'!$AF$36="Muy Alta",'Riesgos de Gestión'!$AH$36="Moderado"),CONCATENATE("R7C",'Riesgos de Gestión'!$V$36),"")</f>
        <v/>
      </c>
      <c r="Y12" s="36" t="str">
        <f>IF(AND('Riesgos de Gestión'!$AF$37="Muy Alta",'Riesgos de Gestión'!$AH$37="Moderado"),CONCATENATE("R7C",'Riesgos de Gestión'!$V$37),"")</f>
        <v/>
      </c>
      <c r="Z12" s="36" t="str">
        <f>IF(AND('Riesgos de Gestión'!$AF$38="Muy Alta",'Riesgos de Gestión'!$AH$38="Moderado"),CONCATENATE("R7C",'Riesgos de Gestión'!$V$38),"")</f>
        <v/>
      </c>
      <c r="AA12" s="37" t="str">
        <f>IF(AND('Riesgos de Gestión'!$AF$39="Muy Alta",'Riesgos de Gestión'!$AH$39="Moderado"),CONCATENATE("R7C",'Riesgos de Gestión'!$V$39),"")</f>
        <v/>
      </c>
      <c r="AB12" s="35" t="str">
        <f>IF(AND('Riesgos de Gestión'!$AF$34="Muy Alta",'Riesgos de Gestión'!$AH$34="Mayor"),CONCATENATE("R7C",'Riesgos de Gestión'!$V$34),"")</f>
        <v/>
      </c>
      <c r="AC12" s="36" t="str">
        <f>IF(AND('Riesgos de Gestión'!$AF$35="Muy Alta",'Riesgos de Gestión'!$AH$35="Mayor"),CONCATENATE("R7C",'Riesgos de Gestión'!$V$35),"")</f>
        <v/>
      </c>
      <c r="AD12" s="36" t="str">
        <f>IF(AND('Riesgos de Gestión'!$AF$36="Muy Alta",'Riesgos de Gestión'!$AH$36="Mayor"),CONCATENATE("R7C",'Riesgos de Gestión'!$V$36),"")</f>
        <v/>
      </c>
      <c r="AE12" s="36" t="str">
        <f>IF(AND('Riesgos de Gestión'!$AF$37="Muy Alta",'Riesgos de Gestión'!$AH$37="Mayor"),CONCATENATE("R7C",'Riesgos de Gestión'!$V$37),"")</f>
        <v/>
      </c>
      <c r="AF12" s="36" t="str">
        <f>IF(AND('Riesgos de Gestión'!$AF$38="Muy Alta",'Riesgos de Gestión'!$AH$38="Mayor"),CONCATENATE("R7C",'Riesgos de Gestión'!$V$38),"")</f>
        <v/>
      </c>
      <c r="AG12" s="37" t="str">
        <f>IF(AND('Riesgos de Gestión'!$AF$39="Muy Alta",'Riesgos de Gestión'!$AH$39="Mayor"),CONCATENATE("R7C",'Riesgos de Gestión'!$V$39),"")</f>
        <v/>
      </c>
      <c r="AH12" s="38" t="str">
        <f>IF(AND('Riesgos de Gestión'!$AF$34="Muy Alta",'Riesgos de Gestión'!$AH$34="Catastrófico"),CONCATENATE("R7C",'Riesgos de Gestión'!$V$34),"")</f>
        <v/>
      </c>
      <c r="AI12" s="39" t="str">
        <f>IF(AND('Riesgos de Gestión'!$AF$35="Muy Alta",'Riesgos de Gestión'!$AH$35="Catastrófico"),CONCATENATE("R7C",'Riesgos de Gestión'!$V$35),"")</f>
        <v/>
      </c>
      <c r="AJ12" s="39" t="str">
        <f>IF(AND('Riesgos de Gestión'!$AF$36="Muy Alta",'Riesgos de Gestión'!$AH$36="Catastrófico"),CONCATENATE("R7C",'Riesgos de Gestión'!$V$36),"")</f>
        <v/>
      </c>
      <c r="AK12" s="39" t="str">
        <f>IF(AND('Riesgos de Gestión'!$AF$37="Muy Alta",'Riesgos de Gestión'!$AH$37="Catastrófico"),CONCATENATE("R7C",'Riesgos de Gestión'!$V$37),"")</f>
        <v/>
      </c>
      <c r="AL12" s="39" t="str">
        <f>IF(AND('Riesgos de Gestión'!$AF$38="Muy Alta",'Riesgos de Gestión'!$AH$38="Catastrófico"),CONCATENATE("R7C",'Riesgos de Gestión'!$V$38),"")</f>
        <v/>
      </c>
      <c r="AM12" s="40" t="str">
        <f>IF(AND('Riesgos de Gestión'!$AF$39="Muy Alta",'Riesgos de Gestión'!$AH$39="Catastrófico"),CONCATENATE("R7C",'Riesgos de Gestión'!$V$39),"")</f>
        <v/>
      </c>
      <c r="AN12" s="66"/>
      <c r="AO12" s="505"/>
      <c r="AP12" s="506"/>
      <c r="AQ12" s="506"/>
      <c r="AR12" s="506"/>
      <c r="AS12" s="506"/>
      <c r="AT12" s="507"/>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row>
    <row r="13" spans="1:91" ht="15" customHeight="1" x14ac:dyDescent="0.25">
      <c r="A13" s="66"/>
      <c r="B13" s="444"/>
      <c r="C13" s="444"/>
      <c r="D13" s="445"/>
      <c r="E13" s="485"/>
      <c r="F13" s="486"/>
      <c r="G13" s="486"/>
      <c r="H13" s="486"/>
      <c r="I13" s="487"/>
      <c r="J13" s="35" t="str">
        <f>IF(AND('Riesgos de Gestión'!$AF$40="Muy Alta",'Riesgos de Gestión'!$AH$40="Leve"),CONCATENATE("R8C",'Riesgos de Gestión'!$V$40),"")</f>
        <v/>
      </c>
      <c r="K13" s="36" t="str">
        <f>IF(AND('Riesgos de Gestión'!$AF$41="Muy Alta",'Riesgos de Gestión'!$AH$41="Leve"),CONCATENATE("R8C",'Riesgos de Gestión'!$V$41),"")</f>
        <v/>
      </c>
      <c r="L13" s="36" t="str">
        <f>IF(AND('Riesgos de Gestión'!$AF$42="Muy Alta",'Riesgos de Gestión'!$AH$42="Leve"),CONCATENATE("R8C",'Riesgos de Gestión'!$V$42),"")</f>
        <v/>
      </c>
      <c r="M13" s="36" t="str">
        <f>IF(AND('Riesgos de Gestión'!$AF$43="Muy Alta",'Riesgos de Gestión'!$AH$43="Leve"),CONCATENATE("R8C",'Riesgos de Gestión'!$V$43),"")</f>
        <v/>
      </c>
      <c r="N13" s="36" t="str">
        <f>IF(AND('Riesgos de Gestión'!$AF$44="Muy Alta",'Riesgos de Gestión'!$AH$44="Leve"),CONCATENATE("R8C",'Riesgos de Gestión'!$V$44),"")</f>
        <v/>
      </c>
      <c r="O13" s="37" t="str">
        <f>IF(AND('Riesgos de Gestión'!$AF$45="Muy Alta",'Riesgos de Gestión'!$AH$45="Leve"),CONCATENATE("R8C",'Riesgos de Gestión'!$V$45),"")</f>
        <v/>
      </c>
      <c r="P13" s="35" t="str">
        <f>IF(AND('Riesgos de Gestión'!$AF$40="Muy Alta",'Riesgos de Gestión'!$AH$40="Menor"),CONCATENATE("R8C",'Riesgos de Gestión'!$V$40),"")</f>
        <v/>
      </c>
      <c r="Q13" s="36" t="str">
        <f>IF(AND('Riesgos de Gestión'!$AF$41="Muy Alta",'Riesgos de Gestión'!$AH$41="Menor"),CONCATENATE("R8C",'Riesgos de Gestión'!$V$41),"")</f>
        <v/>
      </c>
      <c r="R13" s="36" t="str">
        <f>IF(AND('Riesgos de Gestión'!$AF$42="Muy Alta",'Riesgos de Gestión'!$AH$42="Menor"),CONCATENATE("R8C",'Riesgos de Gestión'!$V$42),"")</f>
        <v/>
      </c>
      <c r="S13" s="36" t="str">
        <f>IF(AND('Riesgos de Gestión'!$AF$43="Muy Alta",'Riesgos de Gestión'!$AH$43="Menor"),CONCATENATE("R8C",'Riesgos de Gestión'!$V$43),"")</f>
        <v/>
      </c>
      <c r="T13" s="36" t="str">
        <f>IF(AND('Riesgos de Gestión'!$AF$44="Muy Alta",'Riesgos de Gestión'!$AH$44="Menor"),CONCATENATE("R8C",'Riesgos de Gestión'!$V$44),"")</f>
        <v/>
      </c>
      <c r="U13" s="37" t="str">
        <f>IF(AND('Riesgos de Gestión'!$AF$45="Muy Alta",'Riesgos de Gestión'!$AH$45="Menor"),CONCATENATE("R8C",'Riesgos de Gestión'!$V$45),"")</f>
        <v/>
      </c>
      <c r="V13" s="35" t="str">
        <f>IF(AND('Riesgos de Gestión'!$AF$40="Muy Alta",'Riesgos de Gestión'!$AH$40="Moderado"),CONCATENATE("R8C",'Riesgos de Gestión'!$V$40),"")</f>
        <v/>
      </c>
      <c r="W13" s="36" t="str">
        <f>IF(AND('Riesgos de Gestión'!$AF$41="Muy Alta",'Riesgos de Gestión'!$AH$41="Moderado"),CONCATENATE("R8C",'Riesgos de Gestión'!$V$41),"")</f>
        <v/>
      </c>
      <c r="X13" s="36" t="str">
        <f>IF(AND('Riesgos de Gestión'!$AF$42="Muy Alta",'Riesgos de Gestión'!$AH$42="Moderado"),CONCATENATE("R8C",'Riesgos de Gestión'!$V$42),"")</f>
        <v/>
      </c>
      <c r="Y13" s="36" t="str">
        <f>IF(AND('Riesgos de Gestión'!$AF$43="Muy Alta",'Riesgos de Gestión'!$AH$43="Moderado"),CONCATENATE("R8C",'Riesgos de Gestión'!$V$43),"")</f>
        <v/>
      </c>
      <c r="Z13" s="36" t="str">
        <f>IF(AND('Riesgos de Gestión'!$AF$44="Muy Alta",'Riesgos de Gestión'!$AH$44="Moderado"),CONCATENATE("R8C",'Riesgos de Gestión'!$V$44),"")</f>
        <v/>
      </c>
      <c r="AA13" s="37" t="str">
        <f>IF(AND('Riesgos de Gestión'!$AF$45="Muy Alta",'Riesgos de Gestión'!$AH$45="Moderado"),CONCATENATE("R8C",'Riesgos de Gestión'!$V$45),"")</f>
        <v/>
      </c>
      <c r="AB13" s="35" t="str">
        <f>IF(AND('Riesgos de Gestión'!$AF$40="Muy Alta",'Riesgos de Gestión'!$AH$40="Mayor"),CONCATENATE("R8C",'Riesgos de Gestión'!$V$40),"")</f>
        <v/>
      </c>
      <c r="AC13" s="36" t="str">
        <f>IF(AND('Riesgos de Gestión'!$AF$41="Muy Alta",'Riesgos de Gestión'!$AH$41="Mayor"),CONCATENATE("R8C",'Riesgos de Gestión'!$V$41),"")</f>
        <v/>
      </c>
      <c r="AD13" s="36" t="str">
        <f>IF(AND('Riesgos de Gestión'!$AF$42="Muy Alta",'Riesgos de Gestión'!$AH$42="Mayor"),CONCATENATE("R8C",'Riesgos de Gestión'!$V$42),"")</f>
        <v/>
      </c>
      <c r="AE13" s="36" t="str">
        <f>IF(AND('Riesgos de Gestión'!$AF$43="Muy Alta",'Riesgos de Gestión'!$AH$43="Mayor"),CONCATENATE("R8C",'Riesgos de Gestión'!$V$43),"")</f>
        <v/>
      </c>
      <c r="AF13" s="36" t="str">
        <f>IF(AND('Riesgos de Gestión'!$AF$44="Muy Alta",'Riesgos de Gestión'!$AH$44="Mayor"),CONCATENATE("R8C",'Riesgos de Gestión'!$V$44),"")</f>
        <v/>
      </c>
      <c r="AG13" s="37" t="str">
        <f>IF(AND('Riesgos de Gestión'!$AF$45="Muy Alta",'Riesgos de Gestión'!$AH$45="Mayor"),CONCATENATE("R8C",'Riesgos de Gestión'!$V$45),"")</f>
        <v/>
      </c>
      <c r="AH13" s="38" t="str">
        <f>IF(AND('Riesgos de Gestión'!$AF$40="Muy Alta",'Riesgos de Gestión'!$AH$40="Catastrófico"),CONCATENATE("R8C",'Riesgos de Gestión'!$V$40),"")</f>
        <v/>
      </c>
      <c r="AI13" s="39" t="str">
        <f>IF(AND('Riesgos de Gestión'!$AF$41="Muy Alta",'Riesgos de Gestión'!$AH$41="Catastrófico"),CONCATENATE("R8C",'Riesgos de Gestión'!$V$41),"")</f>
        <v/>
      </c>
      <c r="AJ13" s="39" t="str">
        <f>IF(AND('Riesgos de Gestión'!$AF$42="Muy Alta",'Riesgos de Gestión'!$AH$42="Catastrófico"),CONCATENATE("R8C",'Riesgos de Gestión'!$V$42),"")</f>
        <v/>
      </c>
      <c r="AK13" s="39" t="str">
        <f>IF(AND('Riesgos de Gestión'!$AF$43="Muy Alta",'Riesgos de Gestión'!$AH$43="Catastrófico"),CONCATENATE("R8C",'Riesgos de Gestión'!$V$43),"")</f>
        <v/>
      </c>
      <c r="AL13" s="39" t="str">
        <f>IF(AND('Riesgos de Gestión'!$AF$44="Muy Alta",'Riesgos de Gestión'!$AH$44="Catastrófico"),CONCATENATE("R8C",'Riesgos de Gestión'!$V$44),"")</f>
        <v/>
      </c>
      <c r="AM13" s="40" t="str">
        <f>IF(AND('Riesgos de Gestión'!$AF$45="Muy Alta",'Riesgos de Gestión'!$AH$45="Catastrófico"),CONCATENATE("R8C",'Riesgos de Gestión'!$V$45),"")</f>
        <v/>
      </c>
      <c r="AN13" s="66"/>
      <c r="AO13" s="505"/>
      <c r="AP13" s="506"/>
      <c r="AQ13" s="506"/>
      <c r="AR13" s="506"/>
      <c r="AS13" s="506"/>
      <c r="AT13" s="507"/>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row>
    <row r="14" spans="1:91" ht="15" customHeight="1" x14ac:dyDescent="0.25">
      <c r="A14" s="66"/>
      <c r="B14" s="444"/>
      <c r="C14" s="444"/>
      <c r="D14" s="445"/>
      <c r="E14" s="485"/>
      <c r="F14" s="486"/>
      <c r="G14" s="486"/>
      <c r="H14" s="486"/>
      <c r="I14" s="487"/>
      <c r="J14" s="35" t="str">
        <f>IF(AND('Riesgos de Gestión'!$AF$46="Muy Alta",'Riesgos de Gestión'!$AH$46="Leve"),CONCATENATE("R9C",'Riesgos de Gestión'!$V$46),"")</f>
        <v/>
      </c>
      <c r="K14" s="36" t="str">
        <f>IF(AND('Riesgos de Gestión'!$AF$47="Muy Alta",'Riesgos de Gestión'!$AH$47="Leve"),CONCATENATE("R9C",'Riesgos de Gestión'!$V$47),"")</f>
        <v/>
      </c>
      <c r="L14" s="36" t="str">
        <f>IF(AND('Riesgos de Gestión'!$AF$48="Muy Alta",'Riesgos de Gestión'!$AH$48="Leve"),CONCATENATE("R9C",'Riesgos de Gestión'!$V$48),"")</f>
        <v/>
      </c>
      <c r="M14" s="36" t="str">
        <f>IF(AND('Riesgos de Gestión'!$AF$49="Muy Alta",'Riesgos de Gestión'!$AH$49="Leve"),CONCATENATE("R9C",'Riesgos de Gestión'!$V$49),"")</f>
        <v/>
      </c>
      <c r="N14" s="36" t="str">
        <f>IF(AND('Riesgos de Gestión'!$AF$50="Muy Alta",'Riesgos de Gestión'!$AH$50="Leve"),CONCATENATE("R9C",'Riesgos de Gestión'!$V$50),"")</f>
        <v/>
      </c>
      <c r="O14" s="37" t="str">
        <f>IF(AND('Riesgos de Gestión'!$AF$51="Muy Alta",'Riesgos de Gestión'!$AH$51="Leve"),CONCATENATE("R9C",'Riesgos de Gestión'!$V$51),"")</f>
        <v/>
      </c>
      <c r="P14" s="35" t="str">
        <f>IF(AND('Riesgos de Gestión'!$AF$46="Muy Alta",'Riesgos de Gestión'!$AH$46="Menor"),CONCATENATE("R9C",'Riesgos de Gestión'!$V$46),"")</f>
        <v/>
      </c>
      <c r="Q14" s="36" t="str">
        <f>IF(AND('Riesgos de Gestión'!$AF$47="Muy Alta",'Riesgos de Gestión'!$AH$47="Menor"),CONCATENATE("R9C",'Riesgos de Gestión'!$V$47),"")</f>
        <v/>
      </c>
      <c r="R14" s="36" t="str">
        <f>IF(AND('Riesgos de Gestión'!$AF$48="Muy Alta",'Riesgos de Gestión'!$AH$48="Menor"),CONCATENATE("R9C",'Riesgos de Gestión'!$V$48),"")</f>
        <v/>
      </c>
      <c r="S14" s="36" t="str">
        <f>IF(AND('Riesgos de Gestión'!$AF$49="Muy Alta",'Riesgos de Gestión'!$AH$49="Menor"),CONCATENATE("R9C",'Riesgos de Gestión'!$V$49),"")</f>
        <v/>
      </c>
      <c r="T14" s="36" t="str">
        <f>IF(AND('Riesgos de Gestión'!$AF$50="Muy Alta",'Riesgos de Gestión'!$AH$50="Menor"),CONCATENATE("R9C",'Riesgos de Gestión'!$V$50),"")</f>
        <v/>
      </c>
      <c r="U14" s="37" t="str">
        <f>IF(AND('Riesgos de Gestión'!$AF$51="Muy Alta",'Riesgos de Gestión'!$AH$51="Menor"),CONCATENATE("R9C",'Riesgos de Gestión'!$V$51),"")</f>
        <v/>
      </c>
      <c r="V14" s="35" t="str">
        <f>IF(AND('Riesgos de Gestión'!$AF$46="Muy Alta",'Riesgos de Gestión'!$AH$46="Moderado"),CONCATENATE("R9C",'Riesgos de Gestión'!$V$46),"")</f>
        <v/>
      </c>
      <c r="W14" s="36" t="str">
        <f>IF(AND('Riesgos de Gestión'!$AF$47="Muy Alta",'Riesgos de Gestión'!$AH$47="Moderado"),CONCATENATE("R9C",'Riesgos de Gestión'!$V$47),"")</f>
        <v/>
      </c>
      <c r="X14" s="36" t="str">
        <f>IF(AND('Riesgos de Gestión'!$AF$48="Muy Alta",'Riesgos de Gestión'!$AH$48="Moderado"),CONCATENATE("R9C",'Riesgos de Gestión'!$V$48),"")</f>
        <v/>
      </c>
      <c r="Y14" s="36" t="str">
        <f>IF(AND('Riesgos de Gestión'!$AF$49="Muy Alta",'Riesgos de Gestión'!$AH$49="Moderado"),CONCATENATE("R9C",'Riesgos de Gestión'!$V$49),"")</f>
        <v/>
      </c>
      <c r="Z14" s="36" t="str">
        <f>IF(AND('Riesgos de Gestión'!$AF$50="Muy Alta",'Riesgos de Gestión'!$AH$50="Moderado"),CONCATENATE("R9C",'Riesgos de Gestión'!$V$50),"")</f>
        <v/>
      </c>
      <c r="AA14" s="37" t="str">
        <f>IF(AND('Riesgos de Gestión'!$AF$51="Muy Alta",'Riesgos de Gestión'!$AH$51="Moderado"),CONCATENATE("R9C",'Riesgos de Gestión'!$V$51),"")</f>
        <v/>
      </c>
      <c r="AB14" s="35" t="str">
        <f>IF(AND('Riesgos de Gestión'!$AF$46="Muy Alta",'Riesgos de Gestión'!$AH$46="Mayor"),CONCATENATE("R9C",'Riesgos de Gestión'!$V$46),"")</f>
        <v/>
      </c>
      <c r="AC14" s="36" t="str">
        <f>IF(AND('Riesgos de Gestión'!$AF$47="Muy Alta",'Riesgos de Gestión'!$AH$47="Mayor"),CONCATENATE("R9C",'Riesgos de Gestión'!$V$47),"")</f>
        <v/>
      </c>
      <c r="AD14" s="36" t="str">
        <f>IF(AND('Riesgos de Gestión'!$AF$48="Muy Alta",'Riesgos de Gestión'!$AH$48="Mayor"),CONCATENATE("R9C",'Riesgos de Gestión'!$V$48),"")</f>
        <v/>
      </c>
      <c r="AE14" s="36" t="str">
        <f>IF(AND('Riesgos de Gestión'!$AF$49="Muy Alta",'Riesgos de Gestión'!$AH$49="Mayor"),CONCATENATE("R9C",'Riesgos de Gestión'!$V$49),"")</f>
        <v/>
      </c>
      <c r="AF14" s="36" t="str">
        <f>IF(AND('Riesgos de Gestión'!$AF$50="Muy Alta",'Riesgos de Gestión'!$AH$50="Mayor"),CONCATENATE("R9C",'Riesgos de Gestión'!$V$50),"")</f>
        <v/>
      </c>
      <c r="AG14" s="37" t="str">
        <f>IF(AND('Riesgos de Gestión'!$AF$51="Muy Alta",'Riesgos de Gestión'!$AH$51="Mayor"),CONCATENATE("R9C",'Riesgos de Gestión'!$V$51),"")</f>
        <v/>
      </c>
      <c r="AH14" s="38" t="str">
        <f>IF(AND('Riesgos de Gestión'!$AF$46="Muy Alta",'Riesgos de Gestión'!$AH$46="Catastrófico"),CONCATENATE("R9C",'Riesgos de Gestión'!$V$46),"")</f>
        <v/>
      </c>
      <c r="AI14" s="39" t="str">
        <f>IF(AND('Riesgos de Gestión'!$AF$47="Muy Alta",'Riesgos de Gestión'!$AH$47="Catastrófico"),CONCATENATE("R9C",'Riesgos de Gestión'!$V$47),"")</f>
        <v/>
      </c>
      <c r="AJ14" s="39" t="str">
        <f>IF(AND('Riesgos de Gestión'!$AF$48="Muy Alta",'Riesgos de Gestión'!$AH$48="Catastrófico"),CONCATENATE("R9C",'Riesgos de Gestión'!$V$48),"")</f>
        <v/>
      </c>
      <c r="AK14" s="39" t="str">
        <f>IF(AND('Riesgos de Gestión'!$AF$49="Muy Alta",'Riesgos de Gestión'!$AH$49="Catastrófico"),CONCATENATE("R9C",'Riesgos de Gestión'!$V$49),"")</f>
        <v/>
      </c>
      <c r="AL14" s="39" t="str">
        <f>IF(AND('Riesgos de Gestión'!$AF$50="Muy Alta",'Riesgos de Gestión'!$AH$50="Catastrófico"),CONCATENATE("R9C",'Riesgos de Gestión'!$V$50),"")</f>
        <v/>
      </c>
      <c r="AM14" s="40" t="str">
        <f>IF(AND('Riesgos de Gestión'!$AF$51="Muy Alta",'Riesgos de Gestión'!$AH$51="Catastrófico"),CONCATENATE("R9C",'Riesgos de Gestión'!$V$51),"")</f>
        <v/>
      </c>
      <c r="AN14" s="66"/>
      <c r="AO14" s="505"/>
      <c r="AP14" s="506"/>
      <c r="AQ14" s="506"/>
      <c r="AR14" s="506"/>
      <c r="AS14" s="506"/>
      <c r="AT14" s="507"/>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row>
    <row r="15" spans="1:91" ht="15.75" customHeight="1" thickBot="1" x14ac:dyDescent="0.3">
      <c r="A15" s="66"/>
      <c r="B15" s="444"/>
      <c r="C15" s="444"/>
      <c r="D15" s="445"/>
      <c r="E15" s="488"/>
      <c r="F15" s="489"/>
      <c r="G15" s="489"/>
      <c r="H15" s="489"/>
      <c r="I15" s="490"/>
      <c r="J15" s="41" t="str">
        <f>IF(AND('Riesgos de Gestión'!$AF$52="Muy Alta",'Riesgos de Gestión'!$AH$52="Leve"),CONCATENATE("R10C",'Riesgos de Gestión'!$V$52),"")</f>
        <v/>
      </c>
      <c r="K15" s="42" t="str">
        <f>IF(AND('Riesgos de Gestión'!$AF$53="Muy Alta",'Riesgos de Gestión'!$AH$53="Leve"),CONCATENATE("R10C",'Riesgos de Gestión'!$V$53),"")</f>
        <v/>
      </c>
      <c r="L15" s="42" t="str">
        <f>IF(AND('Riesgos de Gestión'!$AF$54="Muy Alta",'Riesgos de Gestión'!$AH$54="Leve"),CONCATENATE("R10C",'Riesgos de Gestión'!$V$54),"")</f>
        <v/>
      </c>
      <c r="M15" s="42" t="str">
        <f>IF(AND('Riesgos de Gestión'!$AF$55="Muy Alta",'Riesgos de Gestión'!$AH$55="Leve"),CONCATENATE("R10C",'Riesgos de Gestión'!$V$55),"")</f>
        <v/>
      </c>
      <c r="N15" s="42" t="str">
        <f>IF(AND('Riesgos de Gestión'!$AF$56="Muy Alta",'Riesgos de Gestión'!$AH$56="Leve"),CONCATENATE("R10C",'Riesgos de Gestión'!$V$56),"")</f>
        <v/>
      </c>
      <c r="O15" s="43" t="str">
        <f>IF(AND('Riesgos de Gestión'!$AF$57="Muy Alta",'Riesgos de Gestión'!$AH$57="Leve"),CONCATENATE("R10C",'Riesgos de Gestión'!$V$57),"")</f>
        <v/>
      </c>
      <c r="P15" s="35" t="str">
        <f>IF(AND('Riesgos de Gestión'!$AF$52="Muy Alta",'Riesgos de Gestión'!$AH$52="Menor"),CONCATENATE("R10C",'Riesgos de Gestión'!$V$52),"")</f>
        <v/>
      </c>
      <c r="Q15" s="36" t="str">
        <f>IF(AND('Riesgos de Gestión'!$AF$53="Muy Alta",'Riesgos de Gestión'!$AH$53="Menor"),CONCATENATE("R10C",'Riesgos de Gestión'!$V$53),"")</f>
        <v/>
      </c>
      <c r="R15" s="36" t="str">
        <f>IF(AND('Riesgos de Gestión'!$AF$54="Muy Alta",'Riesgos de Gestión'!$AH$54="Menor"),CONCATENATE("R10C",'Riesgos de Gestión'!$V$54),"")</f>
        <v/>
      </c>
      <c r="S15" s="36" t="str">
        <f>IF(AND('Riesgos de Gestión'!$AF$55="Muy Alta",'Riesgos de Gestión'!$AH$55="Menor"),CONCATENATE("R10C",'Riesgos de Gestión'!$V$55),"")</f>
        <v/>
      </c>
      <c r="T15" s="36" t="str">
        <f>IF(AND('Riesgos de Gestión'!$AF$56="Muy Alta",'Riesgos de Gestión'!$AH$56="Menor"),CONCATENATE("R10C",'Riesgos de Gestión'!$V$56),"")</f>
        <v/>
      </c>
      <c r="U15" s="37" t="str">
        <f>IF(AND('Riesgos de Gestión'!$AF$57="Muy Alta",'Riesgos de Gestión'!$AH$57="Menor"),CONCATENATE("R10C",'Riesgos de Gestión'!$V$57),"")</f>
        <v/>
      </c>
      <c r="V15" s="41" t="str">
        <f>IF(AND('Riesgos de Gestión'!$AF$52="Muy Alta",'Riesgos de Gestión'!$AH$52="Moderado"),CONCATENATE("R10C",'Riesgos de Gestión'!$V$52),"")</f>
        <v/>
      </c>
      <c r="W15" s="42" t="str">
        <f>IF(AND('Riesgos de Gestión'!$AF$53="Muy Alta",'Riesgos de Gestión'!$AH$53="Moderado"),CONCATENATE("R10C",'Riesgos de Gestión'!$V$53),"")</f>
        <v/>
      </c>
      <c r="X15" s="42" t="str">
        <f>IF(AND('Riesgos de Gestión'!$AF$54="Muy Alta",'Riesgos de Gestión'!$AH$54="Moderado"),CONCATENATE("R10C",'Riesgos de Gestión'!$V$54),"")</f>
        <v/>
      </c>
      <c r="Y15" s="42" t="str">
        <f>IF(AND('Riesgos de Gestión'!$AF$55="Muy Alta",'Riesgos de Gestión'!$AH$55="Moderado"),CONCATENATE("R10C",'Riesgos de Gestión'!$V$55),"")</f>
        <v/>
      </c>
      <c r="Z15" s="42" t="str">
        <f>IF(AND('Riesgos de Gestión'!$AF$56="Muy Alta",'Riesgos de Gestión'!$AH$56="Moderado"),CONCATENATE("R10C",'Riesgos de Gestión'!$V$56),"")</f>
        <v/>
      </c>
      <c r="AA15" s="43" t="str">
        <f>IF(AND('Riesgos de Gestión'!$AF$57="Muy Alta",'Riesgos de Gestión'!$AH$57="Moderado"),CONCATENATE("R10C",'Riesgos de Gestión'!$V$57),"")</f>
        <v/>
      </c>
      <c r="AB15" s="35" t="str">
        <f>IF(AND('Riesgos de Gestión'!$AF$52="Muy Alta",'Riesgos de Gestión'!$AH$52="Mayor"),CONCATENATE("R10C",'Riesgos de Gestión'!$V$52),"")</f>
        <v/>
      </c>
      <c r="AC15" s="36" t="str">
        <f>IF(AND('Riesgos de Gestión'!$AF$53="Muy Alta",'Riesgos de Gestión'!$AH$53="Mayor"),CONCATENATE("R10C",'Riesgos de Gestión'!$V$53),"")</f>
        <v/>
      </c>
      <c r="AD15" s="36" t="str">
        <f>IF(AND('Riesgos de Gestión'!$AF$54="Muy Alta",'Riesgos de Gestión'!$AH$54="Mayor"),CONCATENATE("R10C",'Riesgos de Gestión'!$V$54),"")</f>
        <v/>
      </c>
      <c r="AE15" s="36" t="str">
        <f>IF(AND('Riesgos de Gestión'!$AF$55="Muy Alta",'Riesgos de Gestión'!$AH$55="Mayor"),CONCATENATE("R10C",'Riesgos de Gestión'!$V$55),"")</f>
        <v/>
      </c>
      <c r="AF15" s="36" t="str">
        <f>IF(AND('Riesgos de Gestión'!$AF$56="Muy Alta",'Riesgos de Gestión'!$AH$56="Mayor"),CONCATENATE("R10C",'Riesgos de Gestión'!$V$56),"")</f>
        <v/>
      </c>
      <c r="AG15" s="37" t="str">
        <f>IF(AND('Riesgos de Gestión'!$AF$57="Muy Alta",'Riesgos de Gestión'!$AH$57="Mayor"),CONCATENATE("R10C",'Riesgos de Gestión'!$V$57),"")</f>
        <v/>
      </c>
      <c r="AH15" s="44" t="str">
        <f>IF(AND('Riesgos de Gestión'!$AF$52="Muy Alta",'Riesgos de Gestión'!$AH$52="Catastrófico"),CONCATENATE("R10C",'Riesgos de Gestión'!$V$52),"")</f>
        <v/>
      </c>
      <c r="AI15" s="45" t="str">
        <f>IF(AND('Riesgos de Gestión'!$AF$53="Muy Alta",'Riesgos de Gestión'!$AH$53="Catastrófico"),CONCATENATE("R10C",'Riesgos de Gestión'!$V$53),"")</f>
        <v/>
      </c>
      <c r="AJ15" s="45" t="str">
        <f>IF(AND('Riesgos de Gestión'!$AF$54="Muy Alta",'Riesgos de Gestión'!$AH$54="Catastrófico"),CONCATENATE("R10C",'Riesgos de Gestión'!$V$54),"")</f>
        <v/>
      </c>
      <c r="AK15" s="45" t="str">
        <f>IF(AND('Riesgos de Gestión'!$AF$55="Muy Alta",'Riesgos de Gestión'!$AH$55="Catastrófico"),CONCATENATE("R10C",'Riesgos de Gestión'!$V$55),"")</f>
        <v/>
      </c>
      <c r="AL15" s="45" t="str">
        <f>IF(AND('Riesgos de Gestión'!$AF$56="Muy Alta",'Riesgos de Gestión'!$AH$56="Catastrófico"),CONCATENATE("R10C",'Riesgos de Gestión'!$V$56),"")</f>
        <v/>
      </c>
      <c r="AM15" s="46" t="str">
        <f>IF(AND('Riesgos de Gestión'!$AF$57="Muy Alta",'Riesgos de Gestión'!$AH$57="Catastrófico"),CONCATENATE("R10C",'Riesgos de Gestión'!$V$57),"")</f>
        <v/>
      </c>
      <c r="AN15" s="66"/>
      <c r="AO15" s="508"/>
      <c r="AP15" s="509"/>
      <c r="AQ15" s="509"/>
      <c r="AR15" s="509"/>
      <c r="AS15" s="509"/>
      <c r="AT15" s="510"/>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row>
    <row r="16" spans="1:91" ht="15" customHeight="1" x14ac:dyDescent="0.25">
      <c r="A16" s="66"/>
      <c r="B16" s="444"/>
      <c r="C16" s="444"/>
      <c r="D16" s="445"/>
      <c r="E16" s="482" t="s">
        <v>267</v>
      </c>
      <c r="F16" s="483"/>
      <c r="G16" s="483"/>
      <c r="H16" s="483"/>
      <c r="I16" s="483"/>
      <c r="J16" s="47" t="str">
        <f>IF(AND('Riesgos de Gestión'!$AF$13="Alta",'Riesgos de Gestión'!$AH$13="Leve"),CONCATENATE("R1C",'Riesgos de Gestión'!$V$13),"")</f>
        <v/>
      </c>
      <c r="K16" s="48" t="e">
        <f>IF(AND('Riesgos de Gestión'!#REF!="Alta",'Riesgos de Gestión'!#REF!="Leve"),CONCATENATE("R1C",'Riesgos de Gestión'!#REF!),"")</f>
        <v>#REF!</v>
      </c>
      <c r="L16" s="48" t="e">
        <f>IF(AND('Riesgos de Gestión'!#REF!="Alta",'Riesgos de Gestión'!#REF!="Leve"),CONCATENATE("R1C",'Riesgos de Gestión'!#REF!),"")</f>
        <v>#REF!</v>
      </c>
      <c r="M16" s="48" t="e">
        <f>IF(AND('Riesgos de Gestión'!#REF!="Alta",'Riesgos de Gestión'!#REF!="Leve"),CONCATENATE("R1C",'Riesgos de Gestión'!#REF!),"")</f>
        <v>#REF!</v>
      </c>
      <c r="N16" s="48" t="e">
        <f>IF(AND('Riesgos de Gestión'!#REF!="Alta",'Riesgos de Gestión'!#REF!="Leve"),CONCATENATE("R1C",'Riesgos de Gestión'!#REF!),"")</f>
        <v>#REF!</v>
      </c>
      <c r="O16" s="49" t="e">
        <f>IF(AND('Riesgos de Gestión'!#REF!="Alta",'Riesgos de Gestión'!#REF!="Leve"),CONCATENATE("R1C",'Riesgos de Gestión'!#REF!),"")</f>
        <v>#REF!</v>
      </c>
      <c r="P16" s="47" t="str">
        <f>IF(AND('Riesgos de Gestión'!$AF$13="Alta",'Riesgos de Gestión'!$AH$13="Menor"),CONCATENATE("R1C",'Riesgos de Gestión'!$V$13),"")</f>
        <v/>
      </c>
      <c r="Q16" s="48" t="e">
        <f>IF(AND('Riesgos de Gestión'!#REF!="Alta",'Riesgos de Gestión'!#REF!="Menor"),CONCATENATE("R1C",'Riesgos de Gestión'!#REF!),"")</f>
        <v>#REF!</v>
      </c>
      <c r="R16" s="48" t="e">
        <f>IF(AND('Riesgos de Gestión'!#REF!="Alta",'Riesgos de Gestión'!#REF!="Menor"),CONCATENATE("R1C",'Riesgos de Gestión'!#REF!),"")</f>
        <v>#REF!</v>
      </c>
      <c r="S16" s="48" t="e">
        <f>IF(AND('Riesgos de Gestión'!#REF!="Alta",'Riesgos de Gestión'!#REF!="Menor"),CONCATENATE("R1C",'Riesgos de Gestión'!#REF!),"")</f>
        <v>#REF!</v>
      </c>
      <c r="T16" s="48" t="e">
        <f>IF(AND('Riesgos de Gestión'!#REF!="Alta",'Riesgos de Gestión'!#REF!="Menor"),CONCATENATE("R1C",'Riesgos de Gestión'!#REF!),"")</f>
        <v>#REF!</v>
      </c>
      <c r="U16" s="49" t="e">
        <f>IF(AND('Riesgos de Gestión'!#REF!="Alta",'Riesgos de Gestión'!#REF!="Menor"),CONCATENATE("R1C",'Riesgos de Gestión'!#REF!),"")</f>
        <v>#REF!</v>
      </c>
      <c r="V16" s="29" t="str">
        <f>IF(AND('Riesgos de Gestión'!$AF$13="Alta",'Riesgos de Gestión'!$AH$13="Moderado"),CONCATENATE("R1C",'Riesgos de Gestión'!$V$13),"")</f>
        <v/>
      </c>
      <c r="W16" s="30" t="e">
        <f>IF(AND('Riesgos de Gestión'!#REF!="Alta",'Riesgos de Gestión'!#REF!="Moderado"),CONCATENATE("R1C",'Riesgos de Gestión'!#REF!),"")</f>
        <v>#REF!</v>
      </c>
      <c r="X16" s="30" t="e">
        <f>IF(AND('Riesgos de Gestión'!#REF!="Alta",'Riesgos de Gestión'!#REF!="Moderado"),CONCATENATE("R1C",'Riesgos de Gestión'!#REF!),"")</f>
        <v>#REF!</v>
      </c>
      <c r="Y16" s="30" t="e">
        <f>IF(AND('Riesgos de Gestión'!#REF!="Alta",'Riesgos de Gestión'!#REF!="Moderado"),CONCATENATE("R1C",'Riesgos de Gestión'!#REF!),"")</f>
        <v>#REF!</v>
      </c>
      <c r="Z16" s="30" t="e">
        <f>IF(AND('Riesgos de Gestión'!#REF!="Alta",'Riesgos de Gestión'!#REF!="Moderado"),CONCATENATE("R1C",'Riesgos de Gestión'!#REF!),"")</f>
        <v>#REF!</v>
      </c>
      <c r="AA16" s="31" t="e">
        <f>IF(AND('Riesgos de Gestión'!#REF!="Alta",'Riesgos de Gestión'!#REF!="Moderado"),CONCATENATE("R1C",'Riesgos de Gestión'!#REF!),"")</f>
        <v>#REF!</v>
      </c>
      <c r="AB16" s="29" t="str">
        <f>IF(AND('Riesgos de Gestión'!$AF$13="Alta",'Riesgos de Gestión'!$AH$13="Mayor"),CONCATENATE("R1C",'Riesgos de Gestión'!$V$13),"")</f>
        <v/>
      </c>
      <c r="AC16" s="30" t="e">
        <f>IF(AND('Riesgos de Gestión'!#REF!="Alta",'Riesgos de Gestión'!#REF!="Mayor"),CONCATENATE("R1C",'Riesgos de Gestión'!#REF!),"")</f>
        <v>#REF!</v>
      </c>
      <c r="AD16" s="30" t="e">
        <f>IF(AND('Riesgos de Gestión'!#REF!="Alta",'Riesgos de Gestión'!#REF!="Mayor"),CONCATENATE("R1C",'Riesgos de Gestión'!#REF!),"")</f>
        <v>#REF!</v>
      </c>
      <c r="AE16" s="30" t="e">
        <f>IF(AND('Riesgos de Gestión'!#REF!="Alta",'Riesgos de Gestión'!#REF!="Mayor"),CONCATENATE("R1C",'Riesgos de Gestión'!#REF!),"")</f>
        <v>#REF!</v>
      </c>
      <c r="AF16" s="30" t="e">
        <f>IF(AND('Riesgos de Gestión'!#REF!="Alta",'Riesgos de Gestión'!#REF!="Mayor"),CONCATENATE("R1C",'Riesgos de Gestión'!#REF!),"")</f>
        <v>#REF!</v>
      </c>
      <c r="AG16" s="31" t="e">
        <f>IF(AND('Riesgos de Gestión'!#REF!="Alta",'Riesgos de Gestión'!#REF!="Mayor"),CONCATENATE("R1C",'Riesgos de Gestión'!#REF!),"")</f>
        <v>#REF!</v>
      </c>
      <c r="AH16" s="32" t="str">
        <f>IF(AND('Riesgos de Gestión'!$AF$13="Alta",'Riesgos de Gestión'!$AH$13="Catastrófico"),CONCATENATE("R1C",'Riesgos de Gestión'!$V$13),"")</f>
        <v/>
      </c>
      <c r="AI16" s="33" t="e">
        <f>IF(AND('Riesgos de Gestión'!#REF!="Alta",'Riesgos de Gestión'!#REF!="Catastrófico"),CONCATENATE("R1C",'Riesgos de Gestión'!#REF!),"")</f>
        <v>#REF!</v>
      </c>
      <c r="AJ16" s="33" t="e">
        <f>IF(AND('Riesgos de Gestión'!#REF!="Alta",'Riesgos de Gestión'!#REF!="Catastrófico"),CONCATENATE("R1C",'Riesgos de Gestión'!#REF!),"")</f>
        <v>#REF!</v>
      </c>
      <c r="AK16" s="33" t="e">
        <f>IF(AND('Riesgos de Gestión'!#REF!="Alta",'Riesgos de Gestión'!#REF!="Catastrófico"),CONCATENATE("R1C",'Riesgos de Gestión'!#REF!),"")</f>
        <v>#REF!</v>
      </c>
      <c r="AL16" s="33" t="e">
        <f>IF(AND('Riesgos de Gestión'!#REF!="Alta",'Riesgos de Gestión'!#REF!="Catastrófico"),CONCATENATE("R1C",'Riesgos de Gestión'!#REF!),"")</f>
        <v>#REF!</v>
      </c>
      <c r="AM16" s="34" t="e">
        <f>IF(AND('Riesgos de Gestión'!#REF!="Alta",'Riesgos de Gestión'!#REF!="Catastrófico"),CONCATENATE("R1C",'Riesgos de Gestión'!#REF!),"")</f>
        <v>#REF!</v>
      </c>
      <c r="AN16" s="66"/>
      <c r="AO16" s="492" t="s">
        <v>268</v>
      </c>
      <c r="AP16" s="493"/>
      <c r="AQ16" s="493"/>
      <c r="AR16" s="493"/>
      <c r="AS16" s="493"/>
      <c r="AT16" s="494"/>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row>
    <row r="17" spans="1:76" ht="15" customHeight="1" x14ac:dyDescent="0.25">
      <c r="A17" s="66"/>
      <c r="B17" s="444"/>
      <c r="C17" s="444"/>
      <c r="D17" s="445"/>
      <c r="E17" s="501"/>
      <c r="F17" s="486"/>
      <c r="G17" s="486"/>
      <c r="H17" s="486"/>
      <c r="I17" s="486"/>
      <c r="J17" s="50" t="str">
        <f>IF(AND('Riesgos de Gestión'!$AF$14="Alta",'Riesgos de Gestión'!$AH$14="Leve"),CONCATENATE("R2C",'Riesgos de Gestión'!$V$14),"")</f>
        <v/>
      </c>
      <c r="K17" s="51" t="e">
        <f>IF(AND('Riesgos de Gestión'!#REF!="Alta",'Riesgos de Gestión'!#REF!="Leve"),CONCATENATE("R2C",'Riesgos de Gestión'!#REF!),"")</f>
        <v>#REF!</v>
      </c>
      <c r="L17" s="51" t="e">
        <f>IF(AND('Riesgos de Gestión'!#REF!="Alta",'Riesgos de Gestión'!#REF!="Leve"),CONCATENATE("R2C",'Riesgos de Gestión'!#REF!),"")</f>
        <v>#REF!</v>
      </c>
      <c r="M17" s="51" t="e">
        <f>IF(AND('Riesgos de Gestión'!#REF!="Alta",'Riesgos de Gestión'!#REF!="Leve"),CONCATENATE("R2C",'Riesgos de Gestión'!#REF!),"")</f>
        <v>#REF!</v>
      </c>
      <c r="N17" s="51" t="e">
        <f>IF(AND('Riesgos de Gestión'!#REF!="Alta",'Riesgos de Gestión'!#REF!="Leve"),CONCATENATE("R2C",'Riesgos de Gestión'!#REF!),"")</f>
        <v>#REF!</v>
      </c>
      <c r="O17" s="52" t="e">
        <f>IF(AND('Riesgos de Gestión'!#REF!="Alta",'Riesgos de Gestión'!#REF!="Leve"),CONCATENATE("R2C",'Riesgos de Gestión'!#REF!),"")</f>
        <v>#REF!</v>
      </c>
      <c r="P17" s="50" t="str">
        <f>IF(AND('Riesgos de Gestión'!$AF$14="Alta",'Riesgos de Gestión'!$AH$14="Menor"),CONCATENATE("R2C",'Riesgos de Gestión'!$V$14),"")</f>
        <v/>
      </c>
      <c r="Q17" s="51" t="e">
        <f>IF(AND('Riesgos de Gestión'!#REF!="Alta",'Riesgos de Gestión'!#REF!="Menor"),CONCATENATE("R2C",'Riesgos de Gestión'!#REF!),"")</f>
        <v>#REF!</v>
      </c>
      <c r="R17" s="51" t="e">
        <f>IF(AND('Riesgos de Gestión'!#REF!="Alta",'Riesgos de Gestión'!#REF!="Menor"),CONCATENATE("R2C",'Riesgos de Gestión'!#REF!),"")</f>
        <v>#REF!</v>
      </c>
      <c r="S17" s="51" t="e">
        <f>IF(AND('Riesgos de Gestión'!#REF!="Alta",'Riesgos de Gestión'!#REF!="Menor"),CONCATENATE("R2C",'Riesgos de Gestión'!#REF!),"")</f>
        <v>#REF!</v>
      </c>
      <c r="T17" s="51" t="e">
        <f>IF(AND('Riesgos de Gestión'!#REF!="Alta",'Riesgos de Gestión'!#REF!="Menor"),CONCATENATE("R2C",'Riesgos de Gestión'!#REF!),"")</f>
        <v>#REF!</v>
      </c>
      <c r="U17" s="52" t="e">
        <f>IF(AND('Riesgos de Gestión'!#REF!="Alta",'Riesgos de Gestión'!#REF!="Menor"),CONCATENATE("R2C",'Riesgos de Gestión'!#REF!),"")</f>
        <v>#REF!</v>
      </c>
      <c r="V17" s="35" t="str">
        <f>IF(AND('Riesgos de Gestión'!$AF$14="Alta",'Riesgos de Gestión'!$AH$14="Moderado"),CONCATENATE("R2C",'Riesgos de Gestión'!$V$14),"")</f>
        <v/>
      </c>
      <c r="W17" s="36" t="e">
        <f>IF(AND('Riesgos de Gestión'!#REF!="Alta",'Riesgos de Gestión'!#REF!="Moderado"),CONCATENATE("R2C",'Riesgos de Gestión'!#REF!),"")</f>
        <v>#REF!</v>
      </c>
      <c r="X17" s="36" t="e">
        <f>IF(AND('Riesgos de Gestión'!#REF!="Alta",'Riesgos de Gestión'!#REF!="Moderado"),CONCATENATE("R2C",'Riesgos de Gestión'!#REF!),"")</f>
        <v>#REF!</v>
      </c>
      <c r="Y17" s="36" t="e">
        <f>IF(AND('Riesgos de Gestión'!#REF!="Alta",'Riesgos de Gestión'!#REF!="Moderado"),CONCATENATE("R2C",'Riesgos de Gestión'!#REF!),"")</f>
        <v>#REF!</v>
      </c>
      <c r="Z17" s="36" t="e">
        <f>IF(AND('Riesgos de Gestión'!#REF!="Alta",'Riesgos de Gestión'!#REF!="Moderado"),CONCATENATE("R2C",'Riesgos de Gestión'!#REF!),"")</f>
        <v>#REF!</v>
      </c>
      <c r="AA17" s="37" t="e">
        <f>IF(AND('Riesgos de Gestión'!#REF!="Alta",'Riesgos de Gestión'!#REF!="Moderado"),CONCATENATE("R2C",'Riesgos de Gestión'!#REF!),"")</f>
        <v>#REF!</v>
      </c>
      <c r="AB17" s="35" t="str">
        <f>IF(AND('Riesgos de Gestión'!$AF$14="Alta",'Riesgos de Gestión'!$AH$14="Mayor"),CONCATENATE("R2C",'Riesgos de Gestión'!$V$14),"")</f>
        <v/>
      </c>
      <c r="AC17" s="36" t="e">
        <f>IF(AND('Riesgos de Gestión'!#REF!="Alta",'Riesgos de Gestión'!#REF!="Mayor"),CONCATENATE("R2C",'Riesgos de Gestión'!#REF!),"")</f>
        <v>#REF!</v>
      </c>
      <c r="AD17" s="36" t="e">
        <f>IF(AND('Riesgos de Gestión'!#REF!="Alta",'Riesgos de Gestión'!#REF!="Mayor"),CONCATENATE("R2C",'Riesgos de Gestión'!#REF!),"")</f>
        <v>#REF!</v>
      </c>
      <c r="AE17" s="36" t="e">
        <f>IF(AND('Riesgos de Gestión'!#REF!="Alta",'Riesgos de Gestión'!#REF!="Mayor"),CONCATENATE("R2C",'Riesgos de Gestión'!#REF!),"")</f>
        <v>#REF!</v>
      </c>
      <c r="AF17" s="36" t="e">
        <f>IF(AND('Riesgos de Gestión'!#REF!="Alta",'Riesgos de Gestión'!#REF!="Mayor"),CONCATENATE("R2C",'Riesgos de Gestión'!#REF!),"")</f>
        <v>#REF!</v>
      </c>
      <c r="AG17" s="37" t="e">
        <f>IF(AND('Riesgos de Gestión'!#REF!="Alta",'Riesgos de Gestión'!#REF!="Mayor"),CONCATENATE("R2C",'Riesgos de Gestión'!#REF!),"")</f>
        <v>#REF!</v>
      </c>
      <c r="AH17" s="38" t="str">
        <f>IF(AND('Riesgos de Gestión'!$AF$14="Alta",'Riesgos de Gestión'!$AH$14="Catastrófico"),CONCATENATE("R2C",'Riesgos de Gestión'!$V$14),"")</f>
        <v/>
      </c>
      <c r="AI17" s="39" t="e">
        <f>IF(AND('Riesgos de Gestión'!#REF!="Alta",'Riesgos de Gestión'!#REF!="Catastrófico"),CONCATENATE("R2C",'Riesgos de Gestión'!#REF!),"")</f>
        <v>#REF!</v>
      </c>
      <c r="AJ17" s="39" t="e">
        <f>IF(AND('Riesgos de Gestión'!#REF!="Alta",'Riesgos de Gestión'!#REF!="Catastrófico"),CONCATENATE("R2C",'Riesgos de Gestión'!#REF!),"")</f>
        <v>#REF!</v>
      </c>
      <c r="AK17" s="39" t="e">
        <f>IF(AND('Riesgos de Gestión'!#REF!="Alta",'Riesgos de Gestión'!#REF!="Catastrófico"),CONCATENATE("R2C",'Riesgos de Gestión'!#REF!),"")</f>
        <v>#REF!</v>
      </c>
      <c r="AL17" s="39" t="e">
        <f>IF(AND('Riesgos de Gestión'!#REF!="Alta",'Riesgos de Gestión'!#REF!="Catastrófico"),CONCATENATE("R2C",'Riesgos de Gestión'!#REF!),"")</f>
        <v>#REF!</v>
      </c>
      <c r="AM17" s="40" t="e">
        <f>IF(AND('Riesgos de Gestión'!#REF!="Alta",'Riesgos de Gestión'!#REF!="Catastrófico"),CONCATENATE("R2C",'Riesgos de Gestión'!#REF!),"")</f>
        <v>#REF!</v>
      </c>
      <c r="AN17" s="66"/>
      <c r="AO17" s="495"/>
      <c r="AP17" s="496"/>
      <c r="AQ17" s="496"/>
      <c r="AR17" s="496"/>
      <c r="AS17" s="496"/>
      <c r="AT17" s="497"/>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row>
    <row r="18" spans="1:76" ht="15" customHeight="1" x14ac:dyDescent="0.25">
      <c r="A18" s="66"/>
      <c r="B18" s="444"/>
      <c r="C18" s="444"/>
      <c r="D18" s="445"/>
      <c r="E18" s="485"/>
      <c r="F18" s="486"/>
      <c r="G18" s="486"/>
      <c r="H18" s="486"/>
      <c r="I18" s="486"/>
      <c r="J18" s="50" t="str">
        <f>IF(AND('Riesgos de Gestión'!$AF$15="Alta",'Riesgos de Gestión'!$AH$15="Leve"),CONCATENATE("R3C",'Riesgos de Gestión'!$V$15),"")</f>
        <v/>
      </c>
      <c r="K18" s="51" t="e">
        <f>IF(AND('Riesgos de Gestión'!#REF!="Alta",'Riesgos de Gestión'!#REF!="Leve"),CONCATENATE("R3C",'Riesgos de Gestión'!#REF!),"")</f>
        <v>#REF!</v>
      </c>
      <c r="L18" s="51" t="e">
        <f>IF(AND('Riesgos de Gestión'!#REF!="Alta",'Riesgos de Gestión'!#REF!="Leve"),CONCATENATE("R3C",'Riesgos de Gestión'!#REF!),"")</f>
        <v>#REF!</v>
      </c>
      <c r="M18" s="51" t="e">
        <f>IF(AND('Riesgos de Gestión'!#REF!="Alta",'Riesgos de Gestión'!#REF!="Leve"),CONCATENATE("R3C",'Riesgos de Gestión'!#REF!),"")</f>
        <v>#REF!</v>
      </c>
      <c r="N18" s="51" t="e">
        <f>IF(AND('Riesgos de Gestión'!#REF!="Alta",'Riesgos de Gestión'!#REF!="Leve"),CONCATENATE("R3C",'Riesgos de Gestión'!#REF!),"")</f>
        <v>#REF!</v>
      </c>
      <c r="O18" s="52" t="e">
        <f>IF(AND('Riesgos de Gestión'!#REF!="Alta",'Riesgos de Gestión'!#REF!="Leve"),CONCATENATE("R3C",'Riesgos de Gestión'!#REF!),"")</f>
        <v>#REF!</v>
      </c>
      <c r="P18" s="50" t="str">
        <f>IF(AND('Riesgos de Gestión'!$AF$15="Alta",'Riesgos de Gestión'!$AH$15="Menor"),CONCATENATE("R3C",'Riesgos de Gestión'!$V$15),"")</f>
        <v/>
      </c>
      <c r="Q18" s="51" t="e">
        <f>IF(AND('Riesgos de Gestión'!#REF!="Alta",'Riesgos de Gestión'!#REF!="Menor"),CONCATENATE("R3C",'Riesgos de Gestión'!#REF!),"")</f>
        <v>#REF!</v>
      </c>
      <c r="R18" s="51" t="e">
        <f>IF(AND('Riesgos de Gestión'!#REF!="Alta",'Riesgos de Gestión'!#REF!="Menor"),CONCATENATE("R3C",'Riesgos de Gestión'!#REF!),"")</f>
        <v>#REF!</v>
      </c>
      <c r="S18" s="51" t="e">
        <f>IF(AND('Riesgos de Gestión'!#REF!="Alta",'Riesgos de Gestión'!#REF!="Menor"),CONCATENATE("R3C",'Riesgos de Gestión'!#REF!),"")</f>
        <v>#REF!</v>
      </c>
      <c r="T18" s="51" t="e">
        <f>IF(AND('Riesgos de Gestión'!#REF!="Alta",'Riesgos de Gestión'!#REF!="Menor"),CONCATENATE("R3C",'Riesgos de Gestión'!#REF!),"")</f>
        <v>#REF!</v>
      </c>
      <c r="U18" s="52" t="e">
        <f>IF(AND('Riesgos de Gestión'!#REF!="Alta",'Riesgos de Gestión'!#REF!="Menor"),CONCATENATE("R3C",'Riesgos de Gestión'!#REF!),"")</f>
        <v>#REF!</v>
      </c>
      <c r="V18" s="35" t="str">
        <f>IF(AND('Riesgos de Gestión'!$AF$15="Alta",'Riesgos de Gestión'!$AH$15="Moderado"),CONCATENATE("R3C",'Riesgos de Gestión'!$V$15),"")</f>
        <v/>
      </c>
      <c r="W18" s="36" t="e">
        <f>IF(AND('Riesgos de Gestión'!#REF!="Alta",'Riesgos de Gestión'!#REF!="Moderado"),CONCATENATE("R3C",'Riesgos de Gestión'!#REF!),"")</f>
        <v>#REF!</v>
      </c>
      <c r="X18" s="36" t="e">
        <f>IF(AND('Riesgos de Gestión'!#REF!="Alta",'Riesgos de Gestión'!#REF!="Moderado"),CONCATENATE("R3C",'Riesgos de Gestión'!#REF!),"")</f>
        <v>#REF!</v>
      </c>
      <c r="Y18" s="36" t="e">
        <f>IF(AND('Riesgos de Gestión'!#REF!="Alta",'Riesgos de Gestión'!#REF!="Moderado"),CONCATENATE("R3C",'Riesgos de Gestión'!#REF!),"")</f>
        <v>#REF!</v>
      </c>
      <c r="Z18" s="36" t="e">
        <f>IF(AND('Riesgos de Gestión'!#REF!="Alta",'Riesgos de Gestión'!#REF!="Moderado"),CONCATENATE("R3C",'Riesgos de Gestión'!#REF!),"")</f>
        <v>#REF!</v>
      </c>
      <c r="AA18" s="37" t="e">
        <f>IF(AND('Riesgos de Gestión'!#REF!="Alta",'Riesgos de Gestión'!#REF!="Moderado"),CONCATENATE("R3C",'Riesgos de Gestión'!#REF!),"")</f>
        <v>#REF!</v>
      </c>
      <c r="AB18" s="35" t="str">
        <f>IF(AND('Riesgos de Gestión'!$AF$15="Alta",'Riesgos de Gestión'!$AH$15="Mayor"),CONCATENATE("R3C",'Riesgos de Gestión'!$V$15),"")</f>
        <v/>
      </c>
      <c r="AC18" s="36" t="e">
        <f>IF(AND('Riesgos de Gestión'!#REF!="Alta",'Riesgos de Gestión'!#REF!="Mayor"),CONCATENATE("R3C",'Riesgos de Gestión'!#REF!),"")</f>
        <v>#REF!</v>
      </c>
      <c r="AD18" s="36" t="e">
        <f>IF(AND('Riesgos de Gestión'!#REF!="Alta",'Riesgos de Gestión'!#REF!="Mayor"),CONCATENATE("R3C",'Riesgos de Gestión'!#REF!),"")</f>
        <v>#REF!</v>
      </c>
      <c r="AE18" s="36" t="e">
        <f>IF(AND('Riesgos de Gestión'!#REF!="Alta",'Riesgos de Gestión'!#REF!="Mayor"),CONCATENATE("R3C",'Riesgos de Gestión'!#REF!),"")</f>
        <v>#REF!</v>
      </c>
      <c r="AF18" s="36" t="e">
        <f>IF(AND('Riesgos de Gestión'!#REF!="Alta",'Riesgos de Gestión'!#REF!="Mayor"),CONCATENATE("R3C",'Riesgos de Gestión'!#REF!),"")</f>
        <v>#REF!</v>
      </c>
      <c r="AG18" s="37" t="e">
        <f>IF(AND('Riesgos de Gestión'!#REF!="Alta",'Riesgos de Gestión'!#REF!="Mayor"),CONCATENATE("R3C",'Riesgos de Gestión'!#REF!),"")</f>
        <v>#REF!</v>
      </c>
      <c r="AH18" s="38" t="str">
        <f>IF(AND('Riesgos de Gestión'!$AF$15="Alta",'Riesgos de Gestión'!$AH$15="Catastrófico"),CONCATENATE("R3C",'Riesgos de Gestión'!$V$15),"")</f>
        <v/>
      </c>
      <c r="AI18" s="39" t="e">
        <f>IF(AND('Riesgos de Gestión'!#REF!="Alta",'Riesgos de Gestión'!#REF!="Catastrófico"),CONCATENATE("R3C",'Riesgos de Gestión'!#REF!),"")</f>
        <v>#REF!</v>
      </c>
      <c r="AJ18" s="39" t="e">
        <f>IF(AND('Riesgos de Gestión'!#REF!="Alta",'Riesgos de Gestión'!#REF!="Catastrófico"),CONCATENATE("R3C",'Riesgos de Gestión'!#REF!),"")</f>
        <v>#REF!</v>
      </c>
      <c r="AK18" s="39" t="e">
        <f>IF(AND('Riesgos de Gestión'!#REF!="Alta",'Riesgos de Gestión'!#REF!="Catastrófico"),CONCATENATE("R3C",'Riesgos de Gestión'!#REF!),"")</f>
        <v>#REF!</v>
      </c>
      <c r="AL18" s="39" t="e">
        <f>IF(AND('Riesgos de Gestión'!#REF!="Alta",'Riesgos de Gestión'!#REF!="Catastrófico"),CONCATENATE("R3C",'Riesgos de Gestión'!#REF!),"")</f>
        <v>#REF!</v>
      </c>
      <c r="AM18" s="40" t="e">
        <f>IF(AND('Riesgos de Gestión'!#REF!="Alta",'Riesgos de Gestión'!#REF!="Catastrófico"),CONCATENATE("R3C",'Riesgos de Gestión'!#REF!),"")</f>
        <v>#REF!</v>
      </c>
      <c r="AN18" s="66"/>
      <c r="AO18" s="495"/>
      <c r="AP18" s="496"/>
      <c r="AQ18" s="496"/>
      <c r="AR18" s="496"/>
      <c r="AS18" s="496"/>
      <c r="AT18" s="497"/>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row>
    <row r="19" spans="1:76" ht="15" customHeight="1" x14ac:dyDescent="0.25">
      <c r="A19" s="66"/>
      <c r="B19" s="444"/>
      <c r="C19" s="444"/>
      <c r="D19" s="445"/>
      <c r="E19" s="485"/>
      <c r="F19" s="486"/>
      <c r="G19" s="486"/>
      <c r="H19" s="486"/>
      <c r="I19" s="486"/>
      <c r="J19" s="50" t="str">
        <f>IF(AND('Riesgos de Gestión'!$AF$16="Alta",'Riesgos de Gestión'!$AH$16="Leve"),CONCATENATE("R4C",'Riesgos de Gestión'!$V$16),"")</f>
        <v/>
      </c>
      <c r="K19" s="51" t="str">
        <f>IF(AND('Riesgos de Gestión'!$AF$17="Alta",'Riesgos de Gestión'!$AH$17="Leve"),CONCATENATE("R4C",'Riesgos de Gestión'!$V$17),"")</f>
        <v/>
      </c>
      <c r="L19" s="51" t="str">
        <f>IF(AND('Riesgos de Gestión'!$AF$18="Alta",'Riesgos de Gestión'!$AH$18="Leve"),CONCATENATE("R4C",'Riesgos de Gestión'!$V$18),"")</f>
        <v/>
      </c>
      <c r="M19" s="51" t="str">
        <f>IF(AND('Riesgos de Gestión'!$AF$19="Alta",'Riesgos de Gestión'!$AH$19="Leve"),CONCATENATE("R4C",'Riesgos de Gestión'!$V$19),"")</f>
        <v/>
      </c>
      <c r="N19" s="51" t="str">
        <f>IF(AND('Riesgos de Gestión'!$AF$20="Alta",'Riesgos de Gestión'!$AH$20="Leve"),CONCATENATE("R4C",'Riesgos de Gestión'!$V$20),"")</f>
        <v/>
      </c>
      <c r="O19" s="52" t="str">
        <f>IF(AND('Riesgos de Gestión'!$AF$21="Alta",'Riesgos de Gestión'!$AH$21="Leve"),CONCATENATE("R4C",'Riesgos de Gestión'!$V$21),"")</f>
        <v/>
      </c>
      <c r="P19" s="50" t="str">
        <f>IF(AND('Riesgos de Gestión'!$AF$16="Alta",'Riesgos de Gestión'!$AH$16="Menor"),CONCATENATE("R4C",'Riesgos de Gestión'!$V$16),"")</f>
        <v/>
      </c>
      <c r="Q19" s="51" t="str">
        <f>IF(AND('Riesgos de Gestión'!$AF$17="Alta",'Riesgos de Gestión'!$AH$17="Menor"),CONCATENATE("R4C",'Riesgos de Gestión'!$V$17),"")</f>
        <v/>
      </c>
      <c r="R19" s="51" t="str">
        <f>IF(AND('Riesgos de Gestión'!$AF$18="Alta",'Riesgos de Gestión'!$AH$18="Menor"),CONCATENATE("R4C",'Riesgos de Gestión'!$V$18),"")</f>
        <v/>
      </c>
      <c r="S19" s="51" t="str">
        <f>IF(AND('Riesgos de Gestión'!$AF$19="Alta",'Riesgos de Gestión'!$AH$19="Menor"),CONCATENATE("R4C",'Riesgos de Gestión'!$V$19),"")</f>
        <v/>
      </c>
      <c r="T19" s="51" t="str">
        <f>IF(AND('Riesgos de Gestión'!$AF$20="Alta",'Riesgos de Gestión'!$AH$20="Menor"),CONCATENATE("R4C",'Riesgos de Gestión'!$V$20),"")</f>
        <v/>
      </c>
      <c r="U19" s="52" t="str">
        <f>IF(AND('Riesgos de Gestión'!$AF$21="Alta",'Riesgos de Gestión'!$AH$21="Menor"),CONCATENATE("R4C",'Riesgos de Gestión'!$V$21),"")</f>
        <v/>
      </c>
      <c r="V19" s="35" t="str">
        <f>IF(AND('Riesgos de Gestión'!$AF$16="Alta",'Riesgos de Gestión'!$AH$16="Moderado"),CONCATENATE("R4C",'Riesgos de Gestión'!$V$16),"")</f>
        <v/>
      </c>
      <c r="W19" s="36" t="str">
        <f>IF(AND('Riesgos de Gestión'!$AF$17="Alta",'Riesgos de Gestión'!$AH$17="Moderado"),CONCATENATE("R4C",'Riesgos de Gestión'!$V$17),"")</f>
        <v/>
      </c>
      <c r="X19" s="36" t="str">
        <f>IF(AND('Riesgos de Gestión'!$AF$18="Alta",'Riesgos de Gestión'!$AH$18="Moderado"),CONCATENATE("R4C",'Riesgos de Gestión'!$V$18),"")</f>
        <v/>
      </c>
      <c r="Y19" s="36" t="str">
        <f>IF(AND('Riesgos de Gestión'!$AF$19="Alta",'Riesgos de Gestión'!$AH$19="Moderado"),CONCATENATE("R4C",'Riesgos de Gestión'!$V$19),"")</f>
        <v/>
      </c>
      <c r="Z19" s="36" t="str">
        <f>IF(AND('Riesgos de Gestión'!$AF$20="Alta",'Riesgos de Gestión'!$AH$20="Moderado"),CONCATENATE("R4C",'Riesgos de Gestión'!$V$20),"")</f>
        <v/>
      </c>
      <c r="AA19" s="37" t="str">
        <f>IF(AND('Riesgos de Gestión'!$AF$21="Alta",'Riesgos de Gestión'!$AH$21="Moderado"),CONCATENATE("R4C",'Riesgos de Gestión'!$V$21),"")</f>
        <v/>
      </c>
      <c r="AB19" s="35" t="str">
        <f>IF(AND('Riesgos de Gestión'!$AF$16="Alta",'Riesgos de Gestión'!$AH$16="Mayor"),CONCATENATE("R4C",'Riesgos de Gestión'!$V$16),"")</f>
        <v/>
      </c>
      <c r="AC19" s="36" t="str">
        <f>IF(AND('Riesgos de Gestión'!$AF$17="Alta",'Riesgos de Gestión'!$AH$17="Mayor"),CONCATENATE("R4C",'Riesgos de Gestión'!$V$17),"")</f>
        <v/>
      </c>
      <c r="AD19" s="36" t="str">
        <f>IF(AND('Riesgos de Gestión'!$AF$18="Alta",'Riesgos de Gestión'!$AH$18="Mayor"),CONCATENATE("R4C",'Riesgos de Gestión'!$V$18),"")</f>
        <v/>
      </c>
      <c r="AE19" s="36" t="str">
        <f>IF(AND('Riesgos de Gestión'!$AF$19="Alta",'Riesgos de Gestión'!$AH$19="Mayor"),CONCATENATE("R4C",'Riesgos de Gestión'!$V$19),"")</f>
        <v/>
      </c>
      <c r="AF19" s="36" t="str">
        <f>IF(AND('Riesgos de Gestión'!$AF$20="Alta",'Riesgos de Gestión'!$AH$20="Mayor"),CONCATENATE("R4C",'Riesgos de Gestión'!$V$20),"")</f>
        <v/>
      </c>
      <c r="AG19" s="37" t="str">
        <f>IF(AND('Riesgos de Gestión'!$AF$21="Alta",'Riesgos de Gestión'!$AH$21="Mayor"),CONCATENATE("R4C",'Riesgos de Gestión'!$V$21),"")</f>
        <v/>
      </c>
      <c r="AH19" s="38" t="str">
        <f>IF(AND('Riesgos de Gestión'!$AF$16="Alta",'Riesgos de Gestión'!$AH$16="Catastrófico"),CONCATENATE("R4C",'Riesgos de Gestión'!$V$16),"")</f>
        <v/>
      </c>
      <c r="AI19" s="39" t="str">
        <f>IF(AND('Riesgos de Gestión'!$AF$17="Alta",'Riesgos de Gestión'!$AH$17="Catastrófico"),CONCATENATE("R4C",'Riesgos de Gestión'!$V$17),"")</f>
        <v/>
      </c>
      <c r="AJ19" s="39" t="str">
        <f>IF(AND('Riesgos de Gestión'!$AF$18="Alta",'Riesgos de Gestión'!$AH$18="Catastrófico"),CONCATENATE("R4C",'Riesgos de Gestión'!$V$18),"")</f>
        <v/>
      </c>
      <c r="AK19" s="39" t="str">
        <f>IF(AND('Riesgos de Gestión'!$AF$19="Alta",'Riesgos de Gestión'!$AH$19="Catastrófico"),CONCATENATE("R4C",'Riesgos de Gestión'!$V$19),"")</f>
        <v/>
      </c>
      <c r="AL19" s="39" t="str">
        <f>IF(AND('Riesgos de Gestión'!$AF$20="Alta",'Riesgos de Gestión'!$AH$20="Catastrófico"),CONCATENATE("R4C",'Riesgos de Gestión'!$V$20),"")</f>
        <v/>
      </c>
      <c r="AM19" s="40" t="str">
        <f>IF(AND('Riesgos de Gestión'!$AF$21="Alta",'Riesgos de Gestión'!$AH$21="Catastrófico"),CONCATENATE("R4C",'Riesgos de Gestión'!$V$21),"")</f>
        <v/>
      </c>
      <c r="AN19" s="66"/>
      <c r="AO19" s="495"/>
      <c r="AP19" s="496"/>
      <c r="AQ19" s="496"/>
      <c r="AR19" s="496"/>
      <c r="AS19" s="496"/>
      <c r="AT19" s="497"/>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1:76" ht="15" customHeight="1" x14ac:dyDescent="0.25">
      <c r="A20" s="66"/>
      <c r="B20" s="444"/>
      <c r="C20" s="444"/>
      <c r="D20" s="445"/>
      <c r="E20" s="485"/>
      <c r="F20" s="486"/>
      <c r="G20" s="486"/>
      <c r="H20" s="486"/>
      <c r="I20" s="486"/>
      <c r="J20" s="50" t="str">
        <f>IF(AND('Riesgos de Gestión'!$AF$22="Alta",'Riesgos de Gestión'!$AH$22="Leve"),CONCATENATE("R5C",'Riesgos de Gestión'!$V$22),"")</f>
        <v/>
      </c>
      <c r="K20" s="51" t="str">
        <f>IF(AND('Riesgos de Gestión'!$AF$23="Alta",'Riesgos de Gestión'!$AH$23="Leve"),CONCATENATE("R5C",'Riesgos de Gestión'!$V$23),"")</f>
        <v/>
      </c>
      <c r="L20" s="51" t="str">
        <f>IF(AND('Riesgos de Gestión'!$AF$24="Alta",'Riesgos de Gestión'!$AH$24="Leve"),CONCATENATE("R5C",'Riesgos de Gestión'!$V$24),"")</f>
        <v/>
      </c>
      <c r="M20" s="51" t="str">
        <f>IF(AND('Riesgos de Gestión'!$AF$25="Alta",'Riesgos de Gestión'!$AH$25="Leve"),CONCATENATE("R5C",'Riesgos de Gestión'!$V$25),"")</f>
        <v/>
      </c>
      <c r="N20" s="51" t="str">
        <f>IF(AND('Riesgos de Gestión'!$AF$26="Alta",'Riesgos de Gestión'!$AH$26="Leve"),CONCATENATE("R5C",'Riesgos de Gestión'!$V$26),"")</f>
        <v/>
      </c>
      <c r="O20" s="52" t="str">
        <f>IF(AND('Riesgos de Gestión'!$AF$27="Alta",'Riesgos de Gestión'!$AH$27="Leve"),CONCATENATE("R5C",'Riesgos de Gestión'!$V$27),"")</f>
        <v/>
      </c>
      <c r="P20" s="50" t="str">
        <f>IF(AND('Riesgos de Gestión'!$AF$22="Alta",'Riesgos de Gestión'!$AH$22="Menor"),CONCATENATE("R5C",'Riesgos de Gestión'!$V$22),"")</f>
        <v/>
      </c>
      <c r="Q20" s="51" t="str">
        <f>IF(AND('Riesgos de Gestión'!$AF$23="Alta",'Riesgos de Gestión'!$AH$23="Menor"),CONCATENATE("R5C",'Riesgos de Gestión'!$V$23),"")</f>
        <v/>
      </c>
      <c r="R20" s="51" t="str">
        <f>IF(AND('Riesgos de Gestión'!$AF$24="Alta",'Riesgos de Gestión'!$AH$24="Menor"),CONCATENATE("R5C",'Riesgos de Gestión'!$V$24),"")</f>
        <v/>
      </c>
      <c r="S20" s="51" t="str">
        <f>IF(AND('Riesgos de Gestión'!$AF$25="Alta",'Riesgos de Gestión'!$AH$25="Menor"),CONCATENATE("R5C",'Riesgos de Gestión'!$V$25),"")</f>
        <v/>
      </c>
      <c r="T20" s="51" t="str">
        <f>IF(AND('Riesgos de Gestión'!$AF$26="Alta",'Riesgos de Gestión'!$AH$26="Menor"),CONCATENATE("R5C",'Riesgos de Gestión'!$V$26),"")</f>
        <v/>
      </c>
      <c r="U20" s="52" t="str">
        <f>IF(AND('Riesgos de Gestión'!$AF$27="Alta",'Riesgos de Gestión'!$AH$27="Menor"),CONCATENATE("R5C",'Riesgos de Gestión'!$V$27),"")</f>
        <v/>
      </c>
      <c r="V20" s="35" t="str">
        <f>IF(AND('Riesgos de Gestión'!$AF$22="Alta",'Riesgos de Gestión'!$AH$22="Moderado"),CONCATENATE("R5C",'Riesgos de Gestión'!$V$22),"")</f>
        <v/>
      </c>
      <c r="W20" s="36" t="str">
        <f>IF(AND('Riesgos de Gestión'!$AF$23="Alta",'Riesgos de Gestión'!$AH$23="Moderado"),CONCATENATE("R5C",'Riesgos de Gestión'!$V$23),"")</f>
        <v/>
      </c>
      <c r="X20" s="36" t="str">
        <f>IF(AND('Riesgos de Gestión'!$AF$24="Alta",'Riesgos de Gestión'!$AH$24="Moderado"),CONCATENATE("R5C",'Riesgos de Gestión'!$V$24),"")</f>
        <v/>
      </c>
      <c r="Y20" s="36" t="str">
        <f>IF(AND('Riesgos de Gestión'!$AF$25="Alta",'Riesgos de Gestión'!$AH$25="Moderado"),CONCATENATE("R5C",'Riesgos de Gestión'!$V$25),"")</f>
        <v/>
      </c>
      <c r="Z20" s="36" t="str">
        <f>IF(AND('Riesgos de Gestión'!$AF$26="Alta",'Riesgos de Gestión'!$AH$26="Moderado"),CONCATENATE("R5C",'Riesgos de Gestión'!$V$26),"")</f>
        <v/>
      </c>
      <c r="AA20" s="37" t="str">
        <f>IF(AND('Riesgos de Gestión'!$AF$27="Alta",'Riesgos de Gestión'!$AH$27="Moderado"),CONCATENATE("R5C",'Riesgos de Gestión'!$V$27),"")</f>
        <v/>
      </c>
      <c r="AB20" s="35" t="str">
        <f>IF(AND('Riesgos de Gestión'!$AF$22="Alta",'Riesgos de Gestión'!$AH$22="Mayor"),CONCATENATE("R5C",'Riesgos de Gestión'!$V$22),"")</f>
        <v/>
      </c>
      <c r="AC20" s="36" t="str">
        <f>IF(AND('Riesgos de Gestión'!$AF$23="Alta",'Riesgos de Gestión'!$AH$23="Mayor"),CONCATENATE("R5C",'Riesgos de Gestión'!$V$23),"")</f>
        <v/>
      </c>
      <c r="AD20" s="36" t="str">
        <f>IF(AND('Riesgos de Gestión'!$AF$24="Alta",'Riesgos de Gestión'!$AH$24="Mayor"),CONCATENATE("R5C",'Riesgos de Gestión'!$V$24),"")</f>
        <v/>
      </c>
      <c r="AE20" s="36" t="str">
        <f>IF(AND('Riesgos de Gestión'!$AF$25="Alta",'Riesgos de Gestión'!$AH$25="Mayor"),CONCATENATE("R5C",'Riesgos de Gestión'!$V$25),"")</f>
        <v/>
      </c>
      <c r="AF20" s="36" t="str">
        <f>IF(AND('Riesgos de Gestión'!$AF$26="Alta",'Riesgos de Gestión'!$AH$26="Mayor"),CONCATENATE("R5C",'Riesgos de Gestión'!$V$26),"")</f>
        <v/>
      </c>
      <c r="AG20" s="37" t="str">
        <f>IF(AND('Riesgos de Gestión'!$AF$27="Alta",'Riesgos de Gestión'!$AH$27="Mayor"),CONCATENATE("R5C",'Riesgos de Gestión'!$V$27),"")</f>
        <v/>
      </c>
      <c r="AH20" s="38" t="str">
        <f>IF(AND('Riesgos de Gestión'!$AF$22="Alta",'Riesgos de Gestión'!$AH$22="Catastrófico"),CONCATENATE("R5C",'Riesgos de Gestión'!$V$22),"")</f>
        <v/>
      </c>
      <c r="AI20" s="39" t="str">
        <f>IF(AND('Riesgos de Gestión'!$AF$23="Alta",'Riesgos de Gestión'!$AH$23="Catastrófico"),CONCATENATE("R5C",'Riesgos de Gestión'!$V$23),"")</f>
        <v/>
      </c>
      <c r="AJ20" s="39" t="str">
        <f>IF(AND('Riesgos de Gestión'!$AF$24="Alta",'Riesgos de Gestión'!$AH$24="Catastrófico"),CONCATENATE("R5C",'Riesgos de Gestión'!$V$24),"")</f>
        <v/>
      </c>
      <c r="AK20" s="39" t="str">
        <f>IF(AND('Riesgos de Gestión'!$AF$25="Alta",'Riesgos de Gestión'!$AH$25="Catastrófico"),CONCATENATE("R5C",'Riesgos de Gestión'!$V$25),"")</f>
        <v/>
      </c>
      <c r="AL20" s="39" t="str">
        <f>IF(AND('Riesgos de Gestión'!$AF$26="Alta",'Riesgos de Gestión'!$AH$26="Catastrófico"),CONCATENATE("R5C",'Riesgos de Gestión'!$V$26),"")</f>
        <v/>
      </c>
      <c r="AM20" s="40" t="str">
        <f>IF(AND('Riesgos de Gestión'!$AF$27="Alta",'Riesgos de Gestión'!$AH$27="Catastrófico"),CONCATENATE("R5C",'Riesgos de Gestión'!$V$27),"")</f>
        <v/>
      </c>
      <c r="AN20" s="66"/>
      <c r="AO20" s="495"/>
      <c r="AP20" s="496"/>
      <c r="AQ20" s="496"/>
      <c r="AR20" s="496"/>
      <c r="AS20" s="496"/>
      <c r="AT20" s="497"/>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row>
    <row r="21" spans="1:76" ht="15" customHeight="1" x14ac:dyDescent="0.25">
      <c r="A21" s="66"/>
      <c r="B21" s="444"/>
      <c r="C21" s="444"/>
      <c r="D21" s="445"/>
      <c r="E21" s="485"/>
      <c r="F21" s="486"/>
      <c r="G21" s="486"/>
      <c r="H21" s="486"/>
      <c r="I21" s="486"/>
      <c r="J21" s="50" t="str">
        <f>IF(AND('Riesgos de Gestión'!$AF$28="Alta",'Riesgos de Gestión'!$AH$28="Leve"),CONCATENATE("R6C",'Riesgos de Gestión'!$V$28),"")</f>
        <v/>
      </c>
      <c r="K21" s="51" t="str">
        <f>IF(AND('Riesgos de Gestión'!$AF$29="Alta",'Riesgos de Gestión'!$AH$29="Leve"),CONCATENATE("R6C",'Riesgos de Gestión'!$V$29),"")</f>
        <v/>
      </c>
      <c r="L21" s="51" t="str">
        <f>IF(AND('Riesgos de Gestión'!$AF$30="Alta",'Riesgos de Gestión'!$AH$30="Leve"),CONCATENATE("R6C",'Riesgos de Gestión'!$V$30),"")</f>
        <v/>
      </c>
      <c r="M21" s="51" t="str">
        <f>IF(AND('Riesgos de Gestión'!$AF$31="Alta",'Riesgos de Gestión'!$AH$31="Leve"),CONCATENATE("R6C",'Riesgos de Gestión'!$V$31),"")</f>
        <v/>
      </c>
      <c r="N21" s="51" t="str">
        <f>IF(AND('Riesgos de Gestión'!$AF$32="Alta",'Riesgos de Gestión'!$AH$32="Leve"),CONCATENATE("R6C",'Riesgos de Gestión'!$V$32),"")</f>
        <v/>
      </c>
      <c r="O21" s="52" t="str">
        <f>IF(AND('Riesgos de Gestión'!$AF$33="Alta",'Riesgos de Gestión'!$AH$33="Leve"),CONCATENATE("R6C",'Riesgos de Gestión'!$V$33),"")</f>
        <v/>
      </c>
      <c r="P21" s="50" t="str">
        <f>IF(AND('Riesgos de Gestión'!$AF$28="Alta",'Riesgos de Gestión'!$AH$28="Menor"),CONCATENATE("R6C",'Riesgos de Gestión'!$V$28),"")</f>
        <v/>
      </c>
      <c r="Q21" s="51" t="str">
        <f>IF(AND('Riesgos de Gestión'!$AF$29="Alta",'Riesgos de Gestión'!$AH$29="Menor"),CONCATENATE("R6C",'Riesgos de Gestión'!$V$29),"")</f>
        <v/>
      </c>
      <c r="R21" s="51" t="str">
        <f>IF(AND('Riesgos de Gestión'!$AF$30="Alta",'Riesgos de Gestión'!$AH$30="Menor"),CONCATENATE("R6C",'Riesgos de Gestión'!$V$30),"")</f>
        <v/>
      </c>
      <c r="S21" s="51" t="str">
        <f>IF(AND('Riesgos de Gestión'!$AF$31="Alta",'Riesgos de Gestión'!$AH$31="Menor"),CONCATENATE("R6C",'Riesgos de Gestión'!$V$31),"")</f>
        <v/>
      </c>
      <c r="T21" s="51" t="str">
        <f>IF(AND('Riesgos de Gestión'!$AF$32="Alta",'Riesgos de Gestión'!$AH$32="Menor"),CONCATENATE("R6C",'Riesgos de Gestión'!$V$32),"")</f>
        <v/>
      </c>
      <c r="U21" s="52" t="str">
        <f>IF(AND('Riesgos de Gestión'!$AF$33="Alta",'Riesgos de Gestión'!$AH$33="Menor"),CONCATENATE("R6C",'Riesgos de Gestión'!$V$33),"")</f>
        <v/>
      </c>
      <c r="V21" s="35" t="str">
        <f>IF(AND('Riesgos de Gestión'!$AF$28="Alta",'Riesgos de Gestión'!$AH$28="Moderado"),CONCATENATE("R6C",'Riesgos de Gestión'!$V$28),"")</f>
        <v/>
      </c>
      <c r="W21" s="36" t="str">
        <f>IF(AND('Riesgos de Gestión'!$AF$29="Alta",'Riesgos de Gestión'!$AH$29="Moderado"),CONCATENATE("R6C",'Riesgos de Gestión'!$V$29),"")</f>
        <v/>
      </c>
      <c r="X21" s="36" t="str">
        <f>IF(AND('Riesgos de Gestión'!$AF$30="Alta",'Riesgos de Gestión'!$AH$30="Moderado"),CONCATENATE("R6C",'Riesgos de Gestión'!$V$30),"")</f>
        <v/>
      </c>
      <c r="Y21" s="36" t="str">
        <f>IF(AND('Riesgos de Gestión'!$AF$31="Alta",'Riesgos de Gestión'!$AH$31="Moderado"),CONCATENATE("R6C",'Riesgos de Gestión'!$V$31),"")</f>
        <v/>
      </c>
      <c r="Z21" s="36" t="str">
        <f>IF(AND('Riesgos de Gestión'!$AF$32="Alta",'Riesgos de Gestión'!$AH$32="Moderado"),CONCATENATE("R6C",'Riesgos de Gestión'!$V$32),"")</f>
        <v/>
      </c>
      <c r="AA21" s="37" t="str">
        <f>IF(AND('Riesgos de Gestión'!$AF$33="Alta",'Riesgos de Gestión'!$AH$33="Moderado"),CONCATENATE("R6C",'Riesgos de Gestión'!$V$33),"")</f>
        <v/>
      </c>
      <c r="AB21" s="35" t="str">
        <f>IF(AND('Riesgos de Gestión'!$AF$28="Alta",'Riesgos de Gestión'!$AH$28="Mayor"),CONCATENATE("R6C",'Riesgos de Gestión'!$V$28),"")</f>
        <v/>
      </c>
      <c r="AC21" s="36" t="str">
        <f>IF(AND('Riesgos de Gestión'!$AF$29="Alta",'Riesgos de Gestión'!$AH$29="Mayor"),CONCATENATE("R6C",'Riesgos de Gestión'!$V$29),"")</f>
        <v/>
      </c>
      <c r="AD21" s="36" t="str">
        <f>IF(AND('Riesgos de Gestión'!$AF$30="Alta",'Riesgos de Gestión'!$AH$30="Mayor"),CONCATENATE("R6C",'Riesgos de Gestión'!$V$30),"")</f>
        <v/>
      </c>
      <c r="AE21" s="36" t="str">
        <f>IF(AND('Riesgos de Gestión'!$AF$31="Alta",'Riesgos de Gestión'!$AH$31="Mayor"),CONCATENATE("R6C",'Riesgos de Gestión'!$V$31),"")</f>
        <v/>
      </c>
      <c r="AF21" s="36" t="str">
        <f>IF(AND('Riesgos de Gestión'!$AF$32="Alta",'Riesgos de Gestión'!$AH$32="Mayor"),CONCATENATE("R6C",'Riesgos de Gestión'!$V$32),"")</f>
        <v/>
      </c>
      <c r="AG21" s="37" t="str">
        <f>IF(AND('Riesgos de Gestión'!$AF$33="Alta",'Riesgos de Gestión'!$AH$33="Mayor"),CONCATENATE("R6C",'Riesgos de Gestión'!$V$33),"")</f>
        <v/>
      </c>
      <c r="AH21" s="38" t="str">
        <f>IF(AND('Riesgos de Gestión'!$AF$28="Alta",'Riesgos de Gestión'!$AH$28="Catastrófico"),CONCATENATE("R6C",'Riesgos de Gestión'!$V$28),"")</f>
        <v/>
      </c>
      <c r="AI21" s="39" t="str">
        <f>IF(AND('Riesgos de Gestión'!$AF$29="Alta",'Riesgos de Gestión'!$AH$29="Catastrófico"),CONCATENATE("R6C",'Riesgos de Gestión'!$V$29),"")</f>
        <v/>
      </c>
      <c r="AJ21" s="39" t="str">
        <f>IF(AND('Riesgos de Gestión'!$AF$30="Alta",'Riesgos de Gestión'!$AH$30="Catastrófico"),CONCATENATE("R6C",'Riesgos de Gestión'!$V$30),"")</f>
        <v/>
      </c>
      <c r="AK21" s="39" t="str">
        <f>IF(AND('Riesgos de Gestión'!$AF$31="Alta",'Riesgos de Gestión'!$AH$31="Catastrófico"),CONCATENATE("R6C",'Riesgos de Gestión'!$V$31),"")</f>
        <v/>
      </c>
      <c r="AL21" s="39" t="str">
        <f>IF(AND('Riesgos de Gestión'!$AF$32="Alta",'Riesgos de Gestión'!$AH$32="Catastrófico"),CONCATENATE("R6C",'Riesgos de Gestión'!$V$32),"")</f>
        <v/>
      </c>
      <c r="AM21" s="40" t="str">
        <f>IF(AND('Riesgos de Gestión'!$AF$33="Alta",'Riesgos de Gestión'!$AH$33="Catastrófico"),CONCATENATE("R6C",'Riesgos de Gestión'!$V$33),"")</f>
        <v/>
      </c>
      <c r="AN21" s="66"/>
      <c r="AO21" s="495"/>
      <c r="AP21" s="496"/>
      <c r="AQ21" s="496"/>
      <c r="AR21" s="496"/>
      <c r="AS21" s="496"/>
      <c r="AT21" s="497"/>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row>
    <row r="22" spans="1:76" ht="15" customHeight="1" x14ac:dyDescent="0.25">
      <c r="A22" s="66"/>
      <c r="B22" s="444"/>
      <c r="C22" s="444"/>
      <c r="D22" s="445"/>
      <c r="E22" s="485"/>
      <c r="F22" s="486"/>
      <c r="G22" s="486"/>
      <c r="H22" s="486"/>
      <c r="I22" s="486"/>
      <c r="J22" s="50" t="str">
        <f>IF(AND('Riesgos de Gestión'!$AF$34="Alta",'Riesgos de Gestión'!$AH$34="Leve"),CONCATENATE("R7C",'Riesgos de Gestión'!$V$34),"")</f>
        <v/>
      </c>
      <c r="K22" s="51" t="str">
        <f>IF(AND('Riesgos de Gestión'!$AF$35="Alta",'Riesgos de Gestión'!$AH$35="Leve"),CONCATENATE("R7C",'Riesgos de Gestión'!$V$35),"")</f>
        <v/>
      </c>
      <c r="L22" s="51" t="str">
        <f>IF(AND('Riesgos de Gestión'!$AF$36="Alta",'Riesgos de Gestión'!$AH$36="Leve"),CONCATENATE("R7C",'Riesgos de Gestión'!$V$36),"")</f>
        <v/>
      </c>
      <c r="M22" s="51" t="str">
        <f>IF(AND('Riesgos de Gestión'!$AF$37="Alta",'Riesgos de Gestión'!$AH$37="Leve"),CONCATENATE("R7C",'Riesgos de Gestión'!$V$37),"")</f>
        <v/>
      </c>
      <c r="N22" s="51" t="str">
        <f>IF(AND('Riesgos de Gestión'!$AF$38="Alta",'Riesgos de Gestión'!$AH$38="Leve"),CONCATENATE("R7C",'Riesgos de Gestión'!$V$38),"")</f>
        <v/>
      </c>
      <c r="O22" s="52" t="str">
        <f>IF(AND('Riesgos de Gestión'!$AF$39="Alta",'Riesgos de Gestión'!$AH$39="Leve"),CONCATENATE("R7C",'Riesgos de Gestión'!$V$39),"")</f>
        <v/>
      </c>
      <c r="P22" s="50" t="str">
        <f>IF(AND('Riesgos de Gestión'!$AF$34="Alta",'Riesgos de Gestión'!$AH$34="Menor"),CONCATENATE("R7C",'Riesgos de Gestión'!$V$34),"")</f>
        <v/>
      </c>
      <c r="Q22" s="51" t="str">
        <f>IF(AND('Riesgos de Gestión'!$AF$35="Alta",'Riesgos de Gestión'!$AH$35="Menor"),CONCATENATE("R7C",'Riesgos de Gestión'!$V$35),"")</f>
        <v/>
      </c>
      <c r="R22" s="51" t="str">
        <f>IF(AND('Riesgos de Gestión'!$AF$36="Alta",'Riesgos de Gestión'!$AH$36="Menor"),CONCATENATE("R7C",'Riesgos de Gestión'!$V$36),"")</f>
        <v/>
      </c>
      <c r="S22" s="51" t="str">
        <f>IF(AND('Riesgos de Gestión'!$AF$37="Alta",'Riesgos de Gestión'!$AH$37="Menor"),CONCATENATE("R7C",'Riesgos de Gestión'!$V$37),"")</f>
        <v/>
      </c>
      <c r="T22" s="51" t="str">
        <f>IF(AND('Riesgos de Gestión'!$AF$38="Alta",'Riesgos de Gestión'!$AH$38="Menor"),CONCATENATE("R7C",'Riesgos de Gestión'!$V$38),"")</f>
        <v/>
      </c>
      <c r="U22" s="52" t="str">
        <f>IF(AND('Riesgos de Gestión'!$AF$39="Alta",'Riesgos de Gestión'!$AH$39="Menor"),CONCATENATE("R7C",'Riesgos de Gestión'!$V$39),"")</f>
        <v/>
      </c>
      <c r="V22" s="35" t="str">
        <f>IF(AND('Riesgos de Gestión'!$AF$34="Alta",'Riesgos de Gestión'!$AH$34="Moderado"),CONCATENATE("R7C",'Riesgos de Gestión'!$V$34),"")</f>
        <v/>
      </c>
      <c r="W22" s="36" t="str">
        <f>IF(AND('Riesgos de Gestión'!$AF$35="Alta",'Riesgos de Gestión'!$AH$35="Moderado"),CONCATENATE("R7C",'Riesgos de Gestión'!$V$35),"")</f>
        <v/>
      </c>
      <c r="X22" s="36" t="str">
        <f>IF(AND('Riesgos de Gestión'!$AF$36="Alta",'Riesgos de Gestión'!$AH$36="Moderado"),CONCATENATE("R7C",'Riesgos de Gestión'!$V$36),"")</f>
        <v/>
      </c>
      <c r="Y22" s="36" t="str">
        <f>IF(AND('Riesgos de Gestión'!$AF$37="Alta",'Riesgos de Gestión'!$AH$37="Moderado"),CONCATENATE("R7C",'Riesgos de Gestión'!$V$37),"")</f>
        <v/>
      </c>
      <c r="Z22" s="36" t="str">
        <f>IF(AND('Riesgos de Gestión'!$AF$38="Alta",'Riesgos de Gestión'!$AH$38="Moderado"),CONCATENATE("R7C",'Riesgos de Gestión'!$V$38),"")</f>
        <v/>
      </c>
      <c r="AA22" s="37" t="str">
        <f>IF(AND('Riesgos de Gestión'!$AF$39="Alta",'Riesgos de Gestión'!$AH$39="Moderado"),CONCATENATE("R7C",'Riesgos de Gestión'!$V$39),"")</f>
        <v/>
      </c>
      <c r="AB22" s="35" t="str">
        <f>IF(AND('Riesgos de Gestión'!$AF$34="Alta",'Riesgos de Gestión'!$AH$34="Mayor"),CONCATENATE("R7C",'Riesgos de Gestión'!$V$34),"")</f>
        <v/>
      </c>
      <c r="AC22" s="36" t="str">
        <f>IF(AND('Riesgos de Gestión'!$AF$35="Alta",'Riesgos de Gestión'!$AH$35="Mayor"),CONCATENATE("R7C",'Riesgos de Gestión'!$V$35),"")</f>
        <v/>
      </c>
      <c r="AD22" s="36" t="str">
        <f>IF(AND('Riesgos de Gestión'!$AF$36="Alta",'Riesgos de Gestión'!$AH$36="Mayor"),CONCATENATE("R7C",'Riesgos de Gestión'!$V$36),"")</f>
        <v/>
      </c>
      <c r="AE22" s="36" t="str">
        <f>IF(AND('Riesgos de Gestión'!$AF$37="Alta",'Riesgos de Gestión'!$AH$37="Mayor"),CONCATENATE("R7C",'Riesgos de Gestión'!$V$37),"")</f>
        <v/>
      </c>
      <c r="AF22" s="36" t="str">
        <f>IF(AND('Riesgos de Gestión'!$AF$38="Alta",'Riesgos de Gestión'!$AH$38="Mayor"),CONCATENATE("R7C",'Riesgos de Gestión'!$V$38),"")</f>
        <v/>
      </c>
      <c r="AG22" s="37" t="str">
        <f>IF(AND('Riesgos de Gestión'!$AF$39="Alta",'Riesgos de Gestión'!$AH$39="Mayor"),CONCATENATE("R7C",'Riesgos de Gestión'!$V$39),"")</f>
        <v/>
      </c>
      <c r="AH22" s="38" t="str">
        <f>IF(AND('Riesgos de Gestión'!$AF$34="Alta",'Riesgos de Gestión'!$AH$34="Catastrófico"),CONCATENATE("R7C",'Riesgos de Gestión'!$V$34),"")</f>
        <v/>
      </c>
      <c r="AI22" s="39" t="str">
        <f>IF(AND('Riesgos de Gestión'!$AF$35="Alta",'Riesgos de Gestión'!$AH$35="Catastrófico"),CONCATENATE("R7C",'Riesgos de Gestión'!$V$35),"")</f>
        <v/>
      </c>
      <c r="AJ22" s="39" t="str">
        <f>IF(AND('Riesgos de Gestión'!$AF$36="Alta",'Riesgos de Gestión'!$AH$36="Catastrófico"),CONCATENATE("R7C",'Riesgos de Gestión'!$V$36),"")</f>
        <v/>
      </c>
      <c r="AK22" s="39" t="str">
        <f>IF(AND('Riesgos de Gestión'!$AF$37="Alta",'Riesgos de Gestión'!$AH$37="Catastrófico"),CONCATENATE("R7C",'Riesgos de Gestión'!$V$37),"")</f>
        <v/>
      </c>
      <c r="AL22" s="39" t="str">
        <f>IF(AND('Riesgos de Gestión'!$AF$38="Alta",'Riesgos de Gestión'!$AH$38="Catastrófico"),CONCATENATE("R7C",'Riesgos de Gestión'!$V$38),"")</f>
        <v/>
      </c>
      <c r="AM22" s="40" t="str">
        <f>IF(AND('Riesgos de Gestión'!$AF$39="Alta",'Riesgos de Gestión'!$AH$39="Catastrófico"),CONCATENATE("R7C",'Riesgos de Gestión'!$V$39),"")</f>
        <v/>
      </c>
      <c r="AN22" s="66"/>
      <c r="AO22" s="495"/>
      <c r="AP22" s="496"/>
      <c r="AQ22" s="496"/>
      <c r="AR22" s="496"/>
      <c r="AS22" s="496"/>
      <c r="AT22" s="497"/>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row>
    <row r="23" spans="1:76" ht="15" customHeight="1" x14ac:dyDescent="0.25">
      <c r="A23" s="66"/>
      <c r="B23" s="444"/>
      <c r="C23" s="444"/>
      <c r="D23" s="445"/>
      <c r="E23" s="485"/>
      <c r="F23" s="486"/>
      <c r="G23" s="486"/>
      <c r="H23" s="486"/>
      <c r="I23" s="486"/>
      <c r="J23" s="50" t="str">
        <f>IF(AND('Riesgos de Gestión'!$AF$40="Alta",'Riesgos de Gestión'!$AH$40="Leve"),CONCATENATE("R8C",'Riesgos de Gestión'!$V$40),"")</f>
        <v/>
      </c>
      <c r="K23" s="51" t="str">
        <f>IF(AND('Riesgos de Gestión'!$AF$41="Alta",'Riesgos de Gestión'!$AH$41="Leve"),CONCATENATE("R8C",'Riesgos de Gestión'!$V$41),"")</f>
        <v/>
      </c>
      <c r="L23" s="51" t="str">
        <f>IF(AND('Riesgos de Gestión'!$AF$42="Alta",'Riesgos de Gestión'!$AH$42="Leve"),CONCATENATE("R8C",'Riesgos de Gestión'!$V$42),"")</f>
        <v/>
      </c>
      <c r="M23" s="51" t="str">
        <f>IF(AND('Riesgos de Gestión'!$AF$43="Alta",'Riesgos de Gestión'!$AH$43="Leve"),CONCATENATE("R8C",'Riesgos de Gestión'!$V$43),"")</f>
        <v/>
      </c>
      <c r="N23" s="51" t="str">
        <f>IF(AND('Riesgos de Gestión'!$AF$44="Alta",'Riesgos de Gestión'!$AH$44="Leve"),CONCATENATE("R8C",'Riesgos de Gestión'!$V$44),"")</f>
        <v/>
      </c>
      <c r="O23" s="52" t="str">
        <f>IF(AND('Riesgos de Gestión'!$AF$45="Alta",'Riesgos de Gestión'!$AH$45="Leve"),CONCATENATE("R8C",'Riesgos de Gestión'!$V$45),"")</f>
        <v/>
      </c>
      <c r="P23" s="50" t="str">
        <f>IF(AND('Riesgos de Gestión'!$AF$40="Alta",'Riesgos de Gestión'!$AH$40="Menor"),CONCATENATE("R8C",'Riesgos de Gestión'!$V$40),"")</f>
        <v/>
      </c>
      <c r="Q23" s="51" t="str">
        <f>IF(AND('Riesgos de Gestión'!$AF$41="Alta",'Riesgos de Gestión'!$AH$41="Menor"),CONCATENATE("R8C",'Riesgos de Gestión'!$V$41),"")</f>
        <v/>
      </c>
      <c r="R23" s="51" t="str">
        <f>IF(AND('Riesgos de Gestión'!$AF$42="Alta",'Riesgos de Gestión'!$AH$42="Menor"),CONCATENATE("R8C",'Riesgos de Gestión'!$V$42),"")</f>
        <v/>
      </c>
      <c r="S23" s="51" t="str">
        <f>IF(AND('Riesgos de Gestión'!$AF$43="Alta",'Riesgos de Gestión'!$AH$43="Menor"),CONCATENATE("R8C",'Riesgos de Gestión'!$V$43),"")</f>
        <v/>
      </c>
      <c r="T23" s="51" t="str">
        <f>IF(AND('Riesgos de Gestión'!$AF$44="Alta",'Riesgos de Gestión'!$AH$44="Menor"),CONCATENATE("R8C",'Riesgos de Gestión'!$V$44),"")</f>
        <v/>
      </c>
      <c r="U23" s="52" t="str">
        <f>IF(AND('Riesgos de Gestión'!$AF$45="Alta",'Riesgos de Gestión'!$AH$45="Menor"),CONCATENATE("R8C",'Riesgos de Gestión'!$V$45),"")</f>
        <v/>
      </c>
      <c r="V23" s="35" t="str">
        <f>IF(AND('Riesgos de Gestión'!$AF$40="Alta",'Riesgos de Gestión'!$AH$40="Moderado"),CONCATENATE("R8C",'Riesgos de Gestión'!$V$40),"")</f>
        <v/>
      </c>
      <c r="W23" s="36" t="str">
        <f>IF(AND('Riesgos de Gestión'!$AF$41="Alta",'Riesgos de Gestión'!$AH$41="Moderado"),CONCATENATE("R8C",'Riesgos de Gestión'!$V$41),"")</f>
        <v/>
      </c>
      <c r="X23" s="36" t="str">
        <f>IF(AND('Riesgos de Gestión'!$AF$42="Alta",'Riesgos de Gestión'!$AH$42="Moderado"),CONCATENATE("R8C",'Riesgos de Gestión'!$V$42),"")</f>
        <v/>
      </c>
      <c r="Y23" s="36" t="str">
        <f>IF(AND('Riesgos de Gestión'!$AF$43="Alta",'Riesgos de Gestión'!$AH$43="Moderado"),CONCATENATE("R8C",'Riesgos de Gestión'!$V$43),"")</f>
        <v/>
      </c>
      <c r="Z23" s="36" t="str">
        <f>IF(AND('Riesgos de Gestión'!$AF$44="Alta",'Riesgos de Gestión'!$AH$44="Moderado"),CONCATENATE("R8C",'Riesgos de Gestión'!$V$44),"")</f>
        <v/>
      </c>
      <c r="AA23" s="37" t="str">
        <f>IF(AND('Riesgos de Gestión'!$AF$45="Alta",'Riesgos de Gestión'!$AH$45="Moderado"),CONCATENATE("R8C",'Riesgos de Gestión'!$V$45),"")</f>
        <v/>
      </c>
      <c r="AB23" s="35" t="str">
        <f>IF(AND('Riesgos de Gestión'!$AF$40="Alta",'Riesgos de Gestión'!$AH$40="Mayor"),CONCATENATE("R8C",'Riesgos de Gestión'!$V$40),"")</f>
        <v/>
      </c>
      <c r="AC23" s="36" t="str">
        <f>IF(AND('Riesgos de Gestión'!$AF$41="Alta",'Riesgos de Gestión'!$AH$41="Mayor"),CONCATENATE("R8C",'Riesgos de Gestión'!$V$41),"")</f>
        <v/>
      </c>
      <c r="AD23" s="36" t="str">
        <f>IF(AND('Riesgos de Gestión'!$AF$42="Alta",'Riesgos de Gestión'!$AH$42="Mayor"),CONCATENATE("R8C",'Riesgos de Gestión'!$V$42),"")</f>
        <v/>
      </c>
      <c r="AE23" s="36" t="str">
        <f>IF(AND('Riesgos de Gestión'!$AF$43="Alta",'Riesgos de Gestión'!$AH$43="Mayor"),CONCATENATE("R8C",'Riesgos de Gestión'!$V$43),"")</f>
        <v/>
      </c>
      <c r="AF23" s="36" t="str">
        <f>IF(AND('Riesgos de Gestión'!$AF$44="Alta",'Riesgos de Gestión'!$AH$44="Mayor"),CONCATENATE("R8C",'Riesgos de Gestión'!$V$44),"")</f>
        <v/>
      </c>
      <c r="AG23" s="37" t="str">
        <f>IF(AND('Riesgos de Gestión'!$AF$45="Alta",'Riesgos de Gestión'!$AH$45="Mayor"),CONCATENATE("R8C",'Riesgos de Gestión'!$V$45),"")</f>
        <v/>
      </c>
      <c r="AH23" s="38" t="str">
        <f>IF(AND('Riesgos de Gestión'!$AF$40="Alta",'Riesgos de Gestión'!$AH$40="Catastrófico"),CONCATENATE("R8C",'Riesgos de Gestión'!$V$40),"")</f>
        <v/>
      </c>
      <c r="AI23" s="39" t="str">
        <f>IF(AND('Riesgos de Gestión'!$AF$41="Alta",'Riesgos de Gestión'!$AH$41="Catastrófico"),CONCATENATE("R8C",'Riesgos de Gestión'!$V$41),"")</f>
        <v/>
      </c>
      <c r="AJ23" s="39" t="str">
        <f>IF(AND('Riesgos de Gestión'!$AF$42="Alta",'Riesgos de Gestión'!$AH$42="Catastrófico"),CONCATENATE("R8C",'Riesgos de Gestión'!$V$42),"")</f>
        <v/>
      </c>
      <c r="AK23" s="39" t="str">
        <f>IF(AND('Riesgos de Gestión'!$AF$43="Alta",'Riesgos de Gestión'!$AH$43="Catastrófico"),CONCATENATE("R8C",'Riesgos de Gestión'!$V$43),"")</f>
        <v/>
      </c>
      <c r="AL23" s="39" t="str">
        <f>IF(AND('Riesgos de Gestión'!$AF$44="Alta",'Riesgos de Gestión'!$AH$44="Catastrófico"),CONCATENATE("R8C",'Riesgos de Gestión'!$V$44),"")</f>
        <v/>
      </c>
      <c r="AM23" s="40" t="str">
        <f>IF(AND('Riesgos de Gestión'!$AF$45="Alta",'Riesgos de Gestión'!$AH$45="Catastrófico"),CONCATENATE("R8C",'Riesgos de Gestión'!$V$45),"")</f>
        <v/>
      </c>
      <c r="AN23" s="66"/>
      <c r="AO23" s="495"/>
      <c r="AP23" s="496"/>
      <c r="AQ23" s="496"/>
      <c r="AR23" s="496"/>
      <c r="AS23" s="496"/>
      <c r="AT23" s="497"/>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row>
    <row r="24" spans="1:76" ht="15" customHeight="1" x14ac:dyDescent="0.25">
      <c r="A24" s="66"/>
      <c r="B24" s="444"/>
      <c r="C24" s="444"/>
      <c r="D24" s="445"/>
      <c r="E24" s="485"/>
      <c r="F24" s="486"/>
      <c r="G24" s="486"/>
      <c r="H24" s="486"/>
      <c r="I24" s="486"/>
      <c r="J24" s="50" t="str">
        <f>IF(AND('Riesgos de Gestión'!$AF$46="Alta",'Riesgos de Gestión'!$AH$46="Leve"),CONCATENATE("R9C",'Riesgos de Gestión'!$V$46),"")</f>
        <v/>
      </c>
      <c r="K24" s="51" t="str">
        <f>IF(AND('Riesgos de Gestión'!$AF$47="Alta",'Riesgos de Gestión'!$AH$47="Leve"),CONCATENATE("R9C",'Riesgos de Gestión'!$V$47),"")</f>
        <v/>
      </c>
      <c r="L24" s="51" t="str">
        <f>IF(AND('Riesgos de Gestión'!$AF$48="Alta",'Riesgos de Gestión'!$AH$48="Leve"),CONCATENATE("R9C",'Riesgos de Gestión'!$V$48),"")</f>
        <v/>
      </c>
      <c r="M24" s="51" t="str">
        <f>IF(AND('Riesgos de Gestión'!$AF$49="Alta",'Riesgos de Gestión'!$AH$49="Leve"),CONCATENATE("R9C",'Riesgos de Gestión'!$V$49),"")</f>
        <v/>
      </c>
      <c r="N24" s="51" t="str">
        <f>IF(AND('Riesgos de Gestión'!$AF$50="Alta",'Riesgos de Gestión'!$AH$50="Leve"),CONCATENATE("R9C",'Riesgos de Gestión'!$V$50),"")</f>
        <v/>
      </c>
      <c r="O24" s="52" t="str">
        <f>IF(AND('Riesgos de Gestión'!$AF$51="Alta",'Riesgos de Gestión'!$AH$51="Leve"),CONCATENATE("R9C",'Riesgos de Gestión'!$V$51),"")</f>
        <v/>
      </c>
      <c r="P24" s="50" t="str">
        <f>IF(AND('Riesgos de Gestión'!$AF$46="Alta",'Riesgos de Gestión'!$AH$46="Menor"),CONCATENATE("R9C",'Riesgos de Gestión'!$V$46),"")</f>
        <v/>
      </c>
      <c r="Q24" s="51" t="str">
        <f>IF(AND('Riesgos de Gestión'!$AF$47="Alta",'Riesgos de Gestión'!$AH$47="Menor"),CONCATENATE("R9C",'Riesgos de Gestión'!$V$47),"")</f>
        <v/>
      </c>
      <c r="R24" s="51" t="str">
        <f>IF(AND('Riesgos de Gestión'!$AF$48="Alta",'Riesgos de Gestión'!$AH$48="Menor"),CONCATENATE("R9C",'Riesgos de Gestión'!$V$48),"")</f>
        <v/>
      </c>
      <c r="S24" s="51" t="str">
        <f>IF(AND('Riesgos de Gestión'!$AF$49="Alta",'Riesgos de Gestión'!$AH$49="Menor"),CONCATENATE("R9C",'Riesgos de Gestión'!$V$49),"")</f>
        <v/>
      </c>
      <c r="T24" s="51" t="str">
        <f>IF(AND('Riesgos de Gestión'!$AF$50="Alta",'Riesgos de Gestión'!$AH$50="Menor"),CONCATENATE("R9C",'Riesgos de Gestión'!$V$50),"")</f>
        <v/>
      </c>
      <c r="U24" s="52" t="str">
        <f>IF(AND('Riesgos de Gestión'!$AF$51="Alta",'Riesgos de Gestión'!$AH$51="Menor"),CONCATENATE("R9C",'Riesgos de Gestión'!$V$51),"")</f>
        <v/>
      </c>
      <c r="V24" s="35" t="str">
        <f>IF(AND('Riesgos de Gestión'!$AF$46="Alta",'Riesgos de Gestión'!$AH$46="Moderado"),CONCATENATE("R9C",'Riesgos de Gestión'!$V$46),"")</f>
        <v/>
      </c>
      <c r="W24" s="36" t="str">
        <f>IF(AND('Riesgos de Gestión'!$AF$47="Alta",'Riesgos de Gestión'!$AH$47="Moderado"),CONCATENATE("R9C",'Riesgos de Gestión'!$V$47),"")</f>
        <v/>
      </c>
      <c r="X24" s="36" t="str">
        <f>IF(AND('Riesgos de Gestión'!$AF$48="Alta",'Riesgos de Gestión'!$AH$48="Moderado"),CONCATENATE("R9C",'Riesgos de Gestión'!$V$48),"")</f>
        <v/>
      </c>
      <c r="Y24" s="36" t="str">
        <f>IF(AND('Riesgos de Gestión'!$AF$49="Alta",'Riesgos de Gestión'!$AH$49="Moderado"),CONCATENATE("R9C",'Riesgos de Gestión'!$V$49),"")</f>
        <v/>
      </c>
      <c r="Z24" s="36" t="str">
        <f>IF(AND('Riesgos de Gestión'!$AF$50="Alta",'Riesgos de Gestión'!$AH$50="Moderado"),CONCATENATE("R9C",'Riesgos de Gestión'!$V$50),"")</f>
        <v/>
      </c>
      <c r="AA24" s="37" t="str">
        <f>IF(AND('Riesgos de Gestión'!$AF$51="Alta",'Riesgos de Gestión'!$AH$51="Moderado"),CONCATENATE("R9C",'Riesgos de Gestión'!$V$51),"")</f>
        <v/>
      </c>
      <c r="AB24" s="35" t="str">
        <f>IF(AND('Riesgos de Gestión'!$AF$46="Alta",'Riesgos de Gestión'!$AH$46="Mayor"),CONCATENATE("R9C",'Riesgos de Gestión'!$V$46),"")</f>
        <v/>
      </c>
      <c r="AC24" s="36" t="str">
        <f>IF(AND('Riesgos de Gestión'!$AF$47="Alta",'Riesgos de Gestión'!$AH$47="Mayor"),CONCATENATE("R9C",'Riesgos de Gestión'!$V$47),"")</f>
        <v/>
      </c>
      <c r="AD24" s="36" t="str">
        <f>IF(AND('Riesgos de Gestión'!$AF$48="Alta",'Riesgos de Gestión'!$AH$48="Mayor"),CONCATENATE("R9C",'Riesgos de Gestión'!$V$48),"")</f>
        <v/>
      </c>
      <c r="AE24" s="36" t="str">
        <f>IF(AND('Riesgos de Gestión'!$AF$49="Alta",'Riesgos de Gestión'!$AH$49="Mayor"),CONCATENATE("R9C",'Riesgos de Gestión'!$V$49),"")</f>
        <v/>
      </c>
      <c r="AF24" s="36" t="str">
        <f>IF(AND('Riesgos de Gestión'!$AF$50="Alta",'Riesgos de Gestión'!$AH$50="Mayor"),CONCATENATE("R9C",'Riesgos de Gestión'!$V$50),"")</f>
        <v/>
      </c>
      <c r="AG24" s="37" t="str">
        <f>IF(AND('Riesgos de Gestión'!$AF$51="Alta",'Riesgos de Gestión'!$AH$51="Mayor"),CONCATENATE("R9C",'Riesgos de Gestión'!$V$51),"")</f>
        <v/>
      </c>
      <c r="AH24" s="38" t="str">
        <f>IF(AND('Riesgos de Gestión'!$AF$46="Alta",'Riesgos de Gestión'!$AH$46="Catastrófico"),CONCATENATE("R9C",'Riesgos de Gestión'!$V$46),"")</f>
        <v/>
      </c>
      <c r="AI24" s="39" t="str">
        <f>IF(AND('Riesgos de Gestión'!$AF$47="Alta",'Riesgos de Gestión'!$AH$47="Catastrófico"),CONCATENATE("R9C",'Riesgos de Gestión'!$V$47),"")</f>
        <v/>
      </c>
      <c r="AJ24" s="39" t="str">
        <f>IF(AND('Riesgos de Gestión'!$AF$48="Alta",'Riesgos de Gestión'!$AH$48="Catastrófico"),CONCATENATE("R9C",'Riesgos de Gestión'!$V$48),"")</f>
        <v/>
      </c>
      <c r="AK24" s="39" t="str">
        <f>IF(AND('Riesgos de Gestión'!$AF$49="Alta",'Riesgos de Gestión'!$AH$49="Catastrófico"),CONCATENATE("R9C",'Riesgos de Gestión'!$V$49),"")</f>
        <v/>
      </c>
      <c r="AL24" s="39" t="str">
        <f>IF(AND('Riesgos de Gestión'!$AF$50="Alta",'Riesgos de Gestión'!$AH$50="Catastrófico"),CONCATENATE("R9C",'Riesgos de Gestión'!$V$50),"")</f>
        <v/>
      </c>
      <c r="AM24" s="40" t="str">
        <f>IF(AND('Riesgos de Gestión'!$AF$51="Alta",'Riesgos de Gestión'!$AH$51="Catastrófico"),CONCATENATE("R9C",'Riesgos de Gestión'!$V$51),"")</f>
        <v/>
      </c>
      <c r="AN24" s="66"/>
      <c r="AO24" s="495"/>
      <c r="AP24" s="496"/>
      <c r="AQ24" s="496"/>
      <c r="AR24" s="496"/>
      <c r="AS24" s="496"/>
      <c r="AT24" s="497"/>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row>
    <row r="25" spans="1:76" ht="15.75" customHeight="1" thickBot="1" x14ac:dyDescent="0.3">
      <c r="A25" s="66"/>
      <c r="B25" s="444"/>
      <c r="C25" s="444"/>
      <c r="D25" s="445"/>
      <c r="E25" s="488"/>
      <c r="F25" s="489"/>
      <c r="G25" s="489"/>
      <c r="H25" s="489"/>
      <c r="I25" s="489"/>
      <c r="J25" s="53" t="str">
        <f>IF(AND('Riesgos de Gestión'!$AF$52="Alta",'Riesgos de Gestión'!$AH$52="Leve"),CONCATENATE("R10C",'Riesgos de Gestión'!$V$52),"")</f>
        <v/>
      </c>
      <c r="K25" s="54" t="str">
        <f>IF(AND('Riesgos de Gestión'!$AF$53="Alta",'Riesgos de Gestión'!$AH$53="Leve"),CONCATENATE("R10C",'Riesgos de Gestión'!$V$53),"")</f>
        <v/>
      </c>
      <c r="L25" s="54" t="str">
        <f>IF(AND('Riesgos de Gestión'!$AF$54="Alta",'Riesgos de Gestión'!$AH$54="Leve"),CONCATENATE("R10C",'Riesgos de Gestión'!$V$54),"")</f>
        <v/>
      </c>
      <c r="M25" s="54" t="str">
        <f>IF(AND('Riesgos de Gestión'!$AF$55="Alta",'Riesgos de Gestión'!$AH$55="Leve"),CONCATENATE("R10C",'Riesgos de Gestión'!$V$55),"")</f>
        <v/>
      </c>
      <c r="N25" s="54" t="str">
        <f>IF(AND('Riesgos de Gestión'!$AF$56="Alta",'Riesgos de Gestión'!$AH$56="Leve"),CONCATENATE("R10C",'Riesgos de Gestión'!$V$56),"")</f>
        <v/>
      </c>
      <c r="O25" s="55" t="str">
        <f>IF(AND('Riesgos de Gestión'!$AF$57="Alta",'Riesgos de Gestión'!$AH$57="Leve"),CONCATENATE("R10C",'Riesgos de Gestión'!$V$57),"")</f>
        <v/>
      </c>
      <c r="P25" s="53" t="str">
        <f>IF(AND('Riesgos de Gestión'!$AF$52="Alta",'Riesgos de Gestión'!$AH$52="Menor"),CONCATENATE("R10C",'Riesgos de Gestión'!$V$52),"")</f>
        <v/>
      </c>
      <c r="Q25" s="54" t="str">
        <f>IF(AND('Riesgos de Gestión'!$AF$53="Alta",'Riesgos de Gestión'!$AH$53="Menor"),CONCATENATE("R10C",'Riesgos de Gestión'!$V$53),"")</f>
        <v/>
      </c>
      <c r="R25" s="54" t="str">
        <f>IF(AND('Riesgos de Gestión'!$AF$54="Alta",'Riesgos de Gestión'!$AH$54="Menor"),CONCATENATE("R10C",'Riesgos de Gestión'!$V$54),"")</f>
        <v/>
      </c>
      <c r="S25" s="54" t="str">
        <f>IF(AND('Riesgos de Gestión'!$AF$55="Alta",'Riesgos de Gestión'!$AH$55="Menor"),CONCATENATE("R10C",'Riesgos de Gestión'!$V$55),"")</f>
        <v/>
      </c>
      <c r="T25" s="54" t="str">
        <f>IF(AND('Riesgos de Gestión'!$AF$56="Alta",'Riesgos de Gestión'!$AH$56="Menor"),CONCATENATE("R10C",'Riesgos de Gestión'!$V$56),"")</f>
        <v/>
      </c>
      <c r="U25" s="55" t="str">
        <f>IF(AND('Riesgos de Gestión'!$AF$57="Alta",'Riesgos de Gestión'!$AH$57="Menor"),CONCATENATE("R10C",'Riesgos de Gestión'!$V$57),"")</f>
        <v/>
      </c>
      <c r="V25" s="41" t="str">
        <f>IF(AND('Riesgos de Gestión'!$AF$52="Alta",'Riesgos de Gestión'!$AH$52="Moderado"),CONCATENATE("R10C",'Riesgos de Gestión'!$V$52),"")</f>
        <v/>
      </c>
      <c r="W25" s="42" t="str">
        <f>IF(AND('Riesgos de Gestión'!$AF$53="Alta",'Riesgos de Gestión'!$AH$53="Moderado"),CONCATENATE("R10C",'Riesgos de Gestión'!$V$53),"")</f>
        <v/>
      </c>
      <c r="X25" s="42" t="str">
        <f>IF(AND('Riesgos de Gestión'!$AF$54="Alta",'Riesgos de Gestión'!$AH$54="Moderado"),CONCATENATE("R10C",'Riesgos de Gestión'!$V$54),"")</f>
        <v/>
      </c>
      <c r="Y25" s="42" t="str">
        <f>IF(AND('Riesgos de Gestión'!$AF$55="Alta",'Riesgos de Gestión'!$AH$55="Moderado"),CONCATENATE("R10C",'Riesgos de Gestión'!$V$55),"")</f>
        <v/>
      </c>
      <c r="Z25" s="42" t="str">
        <f>IF(AND('Riesgos de Gestión'!$AF$56="Alta",'Riesgos de Gestión'!$AH$56="Moderado"),CONCATENATE("R10C",'Riesgos de Gestión'!$V$56),"")</f>
        <v/>
      </c>
      <c r="AA25" s="43" t="str">
        <f>IF(AND('Riesgos de Gestión'!$AF$57="Alta",'Riesgos de Gestión'!$AH$57="Moderado"),CONCATENATE("R10C",'Riesgos de Gestión'!$V$57),"")</f>
        <v/>
      </c>
      <c r="AB25" s="41" t="str">
        <f>IF(AND('Riesgos de Gestión'!$AF$52="Alta",'Riesgos de Gestión'!$AH$52="Mayor"),CONCATENATE("R10C",'Riesgos de Gestión'!$V$52),"")</f>
        <v/>
      </c>
      <c r="AC25" s="42" t="str">
        <f>IF(AND('Riesgos de Gestión'!$AF$53="Alta",'Riesgos de Gestión'!$AH$53="Mayor"),CONCATENATE("R10C",'Riesgos de Gestión'!$V$53),"")</f>
        <v/>
      </c>
      <c r="AD25" s="42" t="str">
        <f>IF(AND('Riesgos de Gestión'!$AF$54="Alta",'Riesgos de Gestión'!$AH$54="Mayor"),CONCATENATE("R10C",'Riesgos de Gestión'!$V$54),"")</f>
        <v/>
      </c>
      <c r="AE25" s="42" t="str">
        <f>IF(AND('Riesgos de Gestión'!$AF$55="Alta",'Riesgos de Gestión'!$AH$55="Mayor"),CONCATENATE("R10C",'Riesgos de Gestión'!$V$55),"")</f>
        <v/>
      </c>
      <c r="AF25" s="42" t="str">
        <f>IF(AND('Riesgos de Gestión'!$AF$56="Alta",'Riesgos de Gestión'!$AH$56="Mayor"),CONCATENATE("R10C",'Riesgos de Gestión'!$V$56),"")</f>
        <v/>
      </c>
      <c r="AG25" s="43" t="str">
        <f>IF(AND('Riesgos de Gestión'!$AF$57="Alta",'Riesgos de Gestión'!$AH$57="Mayor"),CONCATENATE("R10C",'Riesgos de Gestión'!$V$57),"")</f>
        <v/>
      </c>
      <c r="AH25" s="44" t="str">
        <f>IF(AND('Riesgos de Gestión'!$AF$52="Alta",'Riesgos de Gestión'!$AH$52="Catastrófico"),CONCATENATE("R10C",'Riesgos de Gestión'!$V$52),"")</f>
        <v/>
      </c>
      <c r="AI25" s="45" t="str">
        <f>IF(AND('Riesgos de Gestión'!$AF$53="Alta",'Riesgos de Gestión'!$AH$53="Catastrófico"),CONCATENATE("R10C",'Riesgos de Gestión'!$V$53),"")</f>
        <v/>
      </c>
      <c r="AJ25" s="45" t="str">
        <f>IF(AND('Riesgos de Gestión'!$AF$54="Alta",'Riesgos de Gestión'!$AH$54="Catastrófico"),CONCATENATE("R10C",'Riesgos de Gestión'!$V$54),"")</f>
        <v/>
      </c>
      <c r="AK25" s="45" t="str">
        <f>IF(AND('Riesgos de Gestión'!$AF$55="Alta",'Riesgos de Gestión'!$AH$55="Catastrófico"),CONCATENATE("R10C",'Riesgos de Gestión'!$V$55),"")</f>
        <v/>
      </c>
      <c r="AL25" s="45" t="str">
        <f>IF(AND('Riesgos de Gestión'!$AF$56="Alta",'Riesgos de Gestión'!$AH$56="Catastrófico"),CONCATENATE("R10C",'Riesgos de Gestión'!$V$56),"")</f>
        <v/>
      </c>
      <c r="AM25" s="46" t="str">
        <f>IF(AND('Riesgos de Gestión'!$AF$57="Alta",'Riesgos de Gestión'!$AH$57="Catastrófico"),CONCATENATE("R10C",'Riesgos de Gestión'!$V$57),"")</f>
        <v/>
      </c>
      <c r="AN25" s="66"/>
      <c r="AO25" s="498"/>
      <c r="AP25" s="499"/>
      <c r="AQ25" s="499"/>
      <c r="AR25" s="499"/>
      <c r="AS25" s="499"/>
      <c r="AT25" s="500"/>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row>
    <row r="26" spans="1:76" ht="15" customHeight="1" x14ac:dyDescent="0.25">
      <c r="A26" s="66"/>
      <c r="B26" s="444"/>
      <c r="C26" s="444"/>
      <c r="D26" s="445"/>
      <c r="E26" s="482" t="s">
        <v>269</v>
      </c>
      <c r="F26" s="483"/>
      <c r="G26" s="483"/>
      <c r="H26" s="483"/>
      <c r="I26" s="484"/>
      <c r="J26" s="47" t="str">
        <f>IF(AND('Riesgos de Gestión'!$AF$13="Media",'Riesgos de Gestión'!$AH$13="Leve"),CONCATENATE("R1C",'Riesgos de Gestión'!$V$13),"")</f>
        <v/>
      </c>
      <c r="K26" s="48" t="e">
        <f>IF(AND('Riesgos de Gestión'!#REF!="Media",'Riesgos de Gestión'!#REF!="Leve"),CONCATENATE("R1C",'Riesgos de Gestión'!#REF!),"")</f>
        <v>#REF!</v>
      </c>
      <c r="L26" s="48" t="e">
        <f>IF(AND('Riesgos de Gestión'!#REF!="Media",'Riesgos de Gestión'!#REF!="Leve"),CONCATENATE("R1C",'Riesgos de Gestión'!#REF!),"")</f>
        <v>#REF!</v>
      </c>
      <c r="M26" s="48" t="e">
        <f>IF(AND('Riesgos de Gestión'!#REF!="Media",'Riesgos de Gestión'!#REF!="Leve"),CONCATENATE("R1C",'Riesgos de Gestión'!#REF!),"")</f>
        <v>#REF!</v>
      </c>
      <c r="N26" s="48" t="e">
        <f>IF(AND('Riesgos de Gestión'!#REF!="Media",'Riesgos de Gestión'!#REF!="Leve"),CONCATENATE("R1C",'Riesgos de Gestión'!#REF!),"")</f>
        <v>#REF!</v>
      </c>
      <c r="O26" s="49" t="e">
        <f>IF(AND('Riesgos de Gestión'!#REF!="Media",'Riesgos de Gestión'!#REF!="Leve"),CONCATENATE("R1C",'Riesgos de Gestión'!#REF!),"")</f>
        <v>#REF!</v>
      </c>
      <c r="P26" s="47" t="str">
        <f>IF(AND('Riesgos de Gestión'!$AF$13="Media",'Riesgos de Gestión'!$AH$13="Menor"),CONCATENATE("R1C",'Riesgos de Gestión'!$V$13),"")</f>
        <v/>
      </c>
      <c r="Q26" s="48" t="e">
        <f>IF(AND('Riesgos de Gestión'!#REF!="Media",'Riesgos de Gestión'!#REF!="Menor"),CONCATENATE("R1C",'Riesgos de Gestión'!#REF!),"")</f>
        <v>#REF!</v>
      </c>
      <c r="R26" s="48" t="e">
        <f>IF(AND('Riesgos de Gestión'!#REF!="Media",'Riesgos de Gestión'!#REF!="Menor"),CONCATENATE("R1C",'Riesgos de Gestión'!#REF!),"")</f>
        <v>#REF!</v>
      </c>
      <c r="S26" s="48" t="e">
        <f>IF(AND('Riesgos de Gestión'!#REF!="Media",'Riesgos de Gestión'!#REF!="Menor"),CONCATENATE("R1C",'Riesgos de Gestión'!#REF!),"")</f>
        <v>#REF!</v>
      </c>
      <c r="T26" s="48" t="e">
        <f>IF(AND('Riesgos de Gestión'!#REF!="Media",'Riesgos de Gestión'!#REF!="Menor"),CONCATENATE("R1C",'Riesgos de Gestión'!#REF!),"")</f>
        <v>#REF!</v>
      </c>
      <c r="U26" s="49" t="e">
        <f>IF(AND('Riesgos de Gestión'!#REF!="Media",'Riesgos de Gestión'!#REF!="Menor"),CONCATENATE("R1C",'Riesgos de Gestión'!#REF!),"")</f>
        <v>#REF!</v>
      </c>
      <c r="V26" s="47" t="str">
        <f>IF(AND('Riesgos de Gestión'!$AF$13="Media",'Riesgos de Gestión'!$AH$13="Moderado"),CONCATENATE("R1C",'Riesgos de Gestión'!$V$13),"")</f>
        <v/>
      </c>
      <c r="W26" s="48" t="e">
        <f>IF(AND('Riesgos de Gestión'!#REF!="Media",'Riesgos de Gestión'!#REF!="Moderado"),CONCATENATE("R1C",'Riesgos de Gestión'!#REF!),"")</f>
        <v>#REF!</v>
      </c>
      <c r="X26" s="48" t="e">
        <f>IF(AND('Riesgos de Gestión'!#REF!="Media",'Riesgos de Gestión'!#REF!="Moderado"),CONCATENATE("R1C",'Riesgos de Gestión'!#REF!),"")</f>
        <v>#REF!</v>
      </c>
      <c r="Y26" s="48" t="e">
        <f>IF(AND('Riesgos de Gestión'!#REF!="Media",'Riesgos de Gestión'!#REF!="Moderado"),CONCATENATE("R1C",'Riesgos de Gestión'!#REF!),"")</f>
        <v>#REF!</v>
      </c>
      <c r="Z26" s="48" t="e">
        <f>IF(AND('Riesgos de Gestión'!#REF!="Media",'Riesgos de Gestión'!#REF!="Moderado"),CONCATENATE("R1C",'Riesgos de Gestión'!#REF!),"")</f>
        <v>#REF!</v>
      </c>
      <c r="AA26" s="49" t="e">
        <f>IF(AND('Riesgos de Gestión'!#REF!="Media",'Riesgos de Gestión'!#REF!="Moderado"),CONCATENATE("R1C",'Riesgos de Gestión'!#REF!),"")</f>
        <v>#REF!</v>
      </c>
      <c r="AB26" s="29" t="str">
        <f>IF(AND('Riesgos de Gestión'!$AF$13="Media",'Riesgos de Gestión'!$AH$13="Mayor"),CONCATENATE("R1C",'Riesgos de Gestión'!$V$13),"")</f>
        <v/>
      </c>
      <c r="AC26" s="30" t="e">
        <f>IF(AND('Riesgos de Gestión'!#REF!="Media",'Riesgos de Gestión'!#REF!="Mayor"),CONCATENATE("R1C",'Riesgos de Gestión'!#REF!),"")</f>
        <v>#REF!</v>
      </c>
      <c r="AD26" s="30" t="e">
        <f>IF(AND('Riesgos de Gestión'!#REF!="Media",'Riesgos de Gestión'!#REF!="Mayor"),CONCATENATE("R1C",'Riesgos de Gestión'!#REF!),"")</f>
        <v>#REF!</v>
      </c>
      <c r="AE26" s="30" t="e">
        <f>IF(AND('Riesgos de Gestión'!#REF!="Media",'Riesgos de Gestión'!#REF!="Mayor"),CONCATENATE("R1C",'Riesgos de Gestión'!#REF!),"")</f>
        <v>#REF!</v>
      </c>
      <c r="AF26" s="30" t="e">
        <f>IF(AND('Riesgos de Gestión'!#REF!="Media",'Riesgos de Gestión'!#REF!="Mayor"),CONCATENATE("R1C",'Riesgos de Gestión'!#REF!),"")</f>
        <v>#REF!</v>
      </c>
      <c r="AG26" s="31" t="e">
        <f>IF(AND('Riesgos de Gestión'!#REF!="Media",'Riesgos de Gestión'!#REF!="Mayor"),CONCATENATE("R1C",'Riesgos de Gestión'!#REF!),"")</f>
        <v>#REF!</v>
      </c>
      <c r="AH26" s="32" t="str">
        <f>IF(AND('Riesgos de Gestión'!$AF$13="Media",'Riesgos de Gestión'!$AH$13="Catastrófico"),CONCATENATE("R1C",'Riesgos de Gestión'!$V$13),"")</f>
        <v/>
      </c>
      <c r="AI26" s="33" t="e">
        <f>IF(AND('Riesgos de Gestión'!#REF!="Media",'Riesgos de Gestión'!#REF!="Catastrófico"),CONCATENATE("R1C",'Riesgos de Gestión'!#REF!),"")</f>
        <v>#REF!</v>
      </c>
      <c r="AJ26" s="33" t="e">
        <f>IF(AND('Riesgos de Gestión'!#REF!="Media",'Riesgos de Gestión'!#REF!="Catastrófico"),CONCATENATE("R1C",'Riesgos de Gestión'!#REF!),"")</f>
        <v>#REF!</v>
      </c>
      <c r="AK26" s="33" t="e">
        <f>IF(AND('Riesgos de Gestión'!#REF!="Media",'Riesgos de Gestión'!#REF!="Catastrófico"),CONCATENATE("R1C",'Riesgos de Gestión'!#REF!),"")</f>
        <v>#REF!</v>
      </c>
      <c r="AL26" s="33" t="e">
        <f>IF(AND('Riesgos de Gestión'!#REF!="Media",'Riesgos de Gestión'!#REF!="Catastrófico"),CONCATENATE("R1C",'Riesgos de Gestión'!#REF!),"")</f>
        <v>#REF!</v>
      </c>
      <c r="AM26" s="34" t="e">
        <f>IF(AND('Riesgos de Gestión'!#REF!="Media",'Riesgos de Gestión'!#REF!="Catastrófico"),CONCATENATE("R1C",'Riesgos de Gestión'!#REF!),"")</f>
        <v>#REF!</v>
      </c>
      <c r="AN26" s="66"/>
      <c r="AO26" s="522" t="s">
        <v>270</v>
      </c>
      <c r="AP26" s="523"/>
      <c r="AQ26" s="523"/>
      <c r="AR26" s="523"/>
      <c r="AS26" s="523"/>
      <c r="AT26" s="524"/>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row>
    <row r="27" spans="1:76" ht="15" customHeight="1" x14ac:dyDescent="0.25">
      <c r="A27" s="66"/>
      <c r="B27" s="444"/>
      <c r="C27" s="444"/>
      <c r="D27" s="445"/>
      <c r="E27" s="501"/>
      <c r="F27" s="486"/>
      <c r="G27" s="486"/>
      <c r="H27" s="486"/>
      <c r="I27" s="487"/>
      <c r="J27" s="50" t="str">
        <f>IF(AND('Riesgos de Gestión'!$AF$14="Media",'Riesgos de Gestión'!$AH$14="Leve"),CONCATENATE("R2C",'Riesgos de Gestión'!$V$14),"")</f>
        <v/>
      </c>
      <c r="K27" s="51" t="e">
        <f>IF(AND('Riesgos de Gestión'!#REF!="Media",'Riesgos de Gestión'!#REF!="Leve"),CONCATENATE("R2C",'Riesgos de Gestión'!#REF!),"")</f>
        <v>#REF!</v>
      </c>
      <c r="L27" s="51" t="e">
        <f>IF(AND('Riesgos de Gestión'!#REF!="Media",'Riesgos de Gestión'!#REF!="Leve"),CONCATENATE("R2C",'Riesgos de Gestión'!#REF!),"")</f>
        <v>#REF!</v>
      </c>
      <c r="M27" s="51" t="e">
        <f>IF(AND('Riesgos de Gestión'!#REF!="Media",'Riesgos de Gestión'!#REF!="Leve"),CONCATENATE("R2C",'Riesgos de Gestión'!#REF!),"")</f>
        <v>#REF!</v>
      </c>
      <c r="N27" s="51" t="e">
        <f>IF(AND('Riesgos de Gestión'!#REF!="Media",'Riesgos de Gestión'!#REF!="Leve"),CONCATENATE("R2C",'Riesgos de Gestión'!#REF!),"")</f>
        <v>#REF!</v>
      </c>
      <c r="O27" s="52" t="e">
        <f>IF(AND('Riesgos de Gestión'!#REF!="Media",'Riesgos de Gestión'!#REF!="Leve"),CONCATENATE("R2C",'Riesgos de Gestión'!#REF!),"")</f>
        <v>#REF!</v>
      </c>
      <c r="P27" s="50" t="str">
        <f>IF(AND('Riesgos de Gestión'!$AF$14="Media",'Riesgos de Gestión'!$AH$14="Menor"),CONCATENATE("R2C",'Riesgos de Gestión'!$V$14),"")</f>
        <v/>
      </c>
      <c r="Q27" s="51" t="e">
        <f>IF(AND('Riesgos de Gestión'!#REF!="Media",'Riesgos de Gestión'!#REF!="Menor"),CONCATENATE("R2C",'Riesgos de Gestión'!#REF!),"")</f>
        <v>#REF!</v>
      </c>
      <c r="R27" s="51" t="e">
        <f>IF(AND('Riesgos de Gestión'!#REF!="Media",'Riesgos de Gestión'!#REF!="Menor"),CONCATENATE("R2C",'Riesgos de Gestión'!#REF!),"")</f>
        <v>#REF!</v>
      </c>
      <c r="S27" s="51" t="e">
        <f>IF(AND('Riesgos de Gestión'!#REF!="Media",'Riesgos de Gestión'!#REF!="Menor"),CONCATENATE("R2C",'Riesgos de Gestión'!#REF!),"")</f>
        <v>#REF!</v>
      </c>
      <c r="T27" s="51" t="e">
        <f>IF(AND('Riesgos de Gestión'!#REF!="Media",'Riesgos de Gestión'!#REF!="Menor"),CONCATENATE("R2C",'Riesgos de Gestión'!#REF!),"")</f>
        <v>#REF!</v>
      </c>
      <c r="U27" s="52" t="e">
        <f>IF(AND('Riesgos de Gestión'!#REF!="Media",'Riesgos de Gestión'!#REF!="Menor"),CONCATENATE("R2C",'Riesgos de Gestión'!#REF!),"")</f>
        <v>#REF!</v>
      </c>
      <c r="V27" s="50" t="str">
        <f>IF(AND('Riesgos de Gestión'!$AF$14="Media",'Riesgos de Gestión'!$AH$14="Moderado"),CONCATENATE("R2C",'Riesgos de Gestión'!$V$14),"")</f>
        <v/>
      </c>
      <c r="W27" s="51" t="e">
        <f>IF(AND('Riesgos de Gestión'!#REF!="Media",'Riesgos de Gestión'!#REF!="Moderado"),CONCATENATE("R2C",'Riesgos de Gestión'!#REF!),"")</f>
        <v>#REF!</v>
      </c>
      <c r="X27" s="51" t="e">
        <f>IF(AND('Riesgos de Gestión'!#REF!="Media",'Riesgos de Gestión'!#REF!="Moderado"),CONCATENATE("R2C",'Riesgos de Gestión'!#REF!),"")</f>
        <v>#REF!</v>
      </c>
      <c r="Y27" s="51" t="e">
        <f>IF(AND('Riesgos de Gestión'!#REF!="Media",'Riesgos de Gestión'!#REF!="Moderado"),CONCATENATE("R2C",'Riesgos de Gestión'!#REF!),"")</f>
        <v>#REF!</v>
      </c>
      <c r="Z27" s="51" t="e">
        <f>IF(AND('Riesgos de Gestión'!#REF!="Media",'Riesgos de Gestión'!#REF!="Moderado"),CONCATENATE("R2C",'Riesgos de Gestión'!#REF!),"")</f>
        <v>#REF!</v>
      </c>
      <c r="AA27" s="52" t="e">
        <f>IF(AND('Riesgos de Gestión'!#REF!="Media",'Riesgos de Gestión'!#REF!="Moderado"),CONCATENATE("R2C",'Riesgos de Gestión'!#REF!),"")</f>
        <v>#REF!</v>
      </c>
      <c r="AB27" s="35" t="str">
        <f>IF(AND('Riesgos de Gestión'!$AF$14="Media",'Riesgos de Gestión'!$AH$14="Mayor"),CONCATENATE("R2C",'Riesgos de Gestión'!$V$14),"")</f>
        <v/>
      </c>
      <c r="AC27" s="36" t="e">
        <f>IF(AND('Riesgos de Gestión'!#REF!="Media",'Riesgos de Gestión'!#REF!="Mayor"),CONCATENATE("R2C",'Riesgos de Gestión'!#REF!),"")</f>
        <v>#REF!</v>
      </c>
      <c r="AD27" s="36" t="e">
        <f>IF(AND('Riesgos de Gestión'!#REF!="Media",'Riesgos de Gestión'!#REF!="Mayor"),CONCATENATE("R2C",'Riesgos de Gestión'!#REF!),"")</f>
        <v>#REF!</v>
      </c>
      <c r="AE27" s="36" t="e">
        <f>IF(AND('Riesgos de Gestión'!#REF!="Media",'Riesgos de Gestión'!#REF!="Mayor"),CONCATENATE("R2C",'Riesgos de Gestión'!#REF!),"")</f>
        <v>#REF!</v>
      </c>
      <c r="AF27" s="36" t="e">
        <f>IF(AND('Riesgos de Gestión'!#REF!="Media",'Riesgos de Gestión'!#REF!="Mayor"),CONCATENATE("R2C",'Riesgos de Gestión'!#REF!),"")</f>
        <v>#REF!</v>
      </c>
      <c r="AG27" s="37" t="e">
        <f>IF(AND('Riesgos de Gestión'!#REF!="Media",'Riesgos de Gestión'!#REF!="Mayor"),CONCATENATE("R2C",'Riesgos de Gestión'!#REF!),"")</f>
        <v>#REF!</v>
      </c>
      <c r="AH27" s="38" t="str">
        <f>IF(AND('Riesgos de Gestión'!$AF$14="Media",'Riesgos de Gestión'!$AH$14="Catastrófico"),CONCATENATE("R2C",'Riesgos de Gestión'!$V$14),"")</f>
        <v/>
      </c>
      <c r="AI27" s="39" t="e">
        <f>IF(AND('Riesgos de Gestión'!#REF!="Media",'Riesgos de Gestión'!#REF!="Catastrófico"),CONCATENATE("R2C",'Riesgos de Gestión'!#REF!),"")</f>
        <v>#REF!</v>
      </c>
      <c r="AJ27" s="39" t="e">
        <f>IF(AND('Riesgos de Gestión'!#REF!="Media",'Riesgos de Gestión'!#REF!="Catastrófico"),CONCATENATE("R2C",'Riesgos de Gestión'!#REF!),"")</f>
        <v>#REF!</v>
      </c>
      <c r="AK27" s="39" t="e">
        <f>IF(AND('Riesgos de Gestión'!#REF!="Media",'Riesgos de Gestión'!#REF!="Catastrófico"),CONCATENATE("R2C",'Riesgos de Gestión'!#REF!),"")</f>
        <v>#REF!</v>
      </c>
      <c r="AL27" s="39" t="e">
        <f>IF(AND('Riesgos de Gestión'!#REF!="Media",'Riesgos de Gestión'!#REF!="Catastrófico"),CONCATENATE("R2C",'Riesgos de Gestión'!#REF!),"")</f>
        <v>#REF!</v>
      </c>
      <c r="AM27" s="40" t="e">
        <f>IF(AND('Riesgos de Gestión'!#REF!="Media",'Riesgos de Gestión'!#REF!="Catastrófico"),CONCATENATE("R2C",'Riesgos de Gestión'!#REF!),"")</f>
        <v>#REF!</v>
      </c>
      <c r="AN27" s="66"/>
      <c r="AO27" s="525"/>
      <c r="AP27" s="526"/>
      <c r="AQ27" s="526"/>
      <c r="AR27" s="526"/>
      <c r="AS27" s="526"/>
      <c r="AT27" s="527"/>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row>
    <row r="28" spans="1:76" ht="15" customHeight="1" x14ac:dyDescent="0.25">
      <c r="A28" s="66"/>
      <c r="B28" s="444"/>
      <c r="C28" s="444"/>
      <c r="D28" s="445"/>
      <c r="E28" s="485"/>
      <c r="F28" s="486"/>
      <c r="G28" s="486"/>
      <c r="H28" s="486"/>
      <c r="I28" s="487"/>
      <c r="J28" s="50" t="str">
        <f>IF(AND('Riesgos de Gestión'!$AF$15="Media",'Riesgos de Gestión'!$AH$15="Leve"),CONCATENATE("R3C",'Riesgos de Gestión'!$V$15),"")</f>
        <v/>
      </c>
      <c r="K28" s="51" t="e">
        <f>IF(AND('Riesgos de Gestión'!#REF!="Media",'Riesgos de Gestión'!#REF!="Leve"),CONCATENATE("R3C",'Riesgos de Gestión'!#REF!),"")</f>
        <v>#REF!</v>
      </c>
      <c r="L28" s="51" t="e">
        <f>IF(AND('Riesgos de Gestión'!#REF!="Media",'Riesgos de Gestión'!#REF!="Leve"),CONCATENATE("R3C",'Riesgos de Gestión'!#REF!),"")</f>
        <v>#REF!</v>
      </c>
      <c r="M28" s="51" t="e">
        <f>IF(AND('Riesgos de Gestión'!#REF!="Media",'Riesgos de Gestión'!#REF!="Leve"),CONCATENATE("R3C",'Riesgos de Gestión'!#REF!),"")</f>
        <v>#REF!</v>
      </c>
      <c r="N28" s="51" t="e">
        <f>IF(AND('Riesgos de Gestión'!#REF!="Media",'Riesgos de Gestión'!#REF!="Leve"),CONCATENATE("R3C",'Riesgos de Gestión'!#REF!),"")</f>
        <v>#REF!</v>
      </c>
      <c r="O28" s="52" t="e">
        <f>IF(AND('Riesgos de Gestión'!#REF!="Media",'Riesgos de Gestión'!#REF!="Leve"),CONCATENATE("R3C",'Riesgos de Gestión'!#REF!),"")</f>
        <v>#REF!</v>
      </c>
      <c r="P28" s="50" t="str">
        <f>IF(AND('Riesgos de Gestión'!$AF$15="Media",'Riesgos de Gestión'!$AH$15="Menor"),CONCATENATE("R3C",'Riesgos de Gestión'!$V$15),"")</f>
        <v/>
      </c>
      <c r="Q28" s="51" t="e">
        <f>IF(AND('Riesgos de Gestión'!#REF!="Media",'Riesgos de Gestión'!#REF!="Menor"),CONCATENATE("R3C",'Riesgos de Gestión'!#REF!),"")</f>
        <v>#REF!</v>
      </c>
      <c r="R28" s="51" t="e">
        <f>IF(AND('Riesgos de Gestión'!#REF!="Media",'Riesgos de Gestión'!#REF!="Menor"),CONCATENATE("R3C",'Riesgos de Gestión'!#REF!),"")</f>
        <v>#REF!</v>
      </c>
      <c r="S28" s="51" t="e">
        <f>IF(AND('Riesgos de Gestión'!#REF!="Media",'Riesgos de Gestión'!#REF!="Menor"),CONCATENATE("R3C",'Riesgos de Gestión'!#REF!),"")</f>
        <v>#REF!</v>
      </c>
      <c r="T28" s="51" t="e">
        <f>IF(AND('Riesgos de Gestión'!#REF!="Media",'Riesgos de Gestión'!#REF!="Menor"),CONCATENATE("R3C",'Riesgos de Gestión'!#REF!),"")</f>
        <v>#REF!</v>
      </c>
      <c r="U28" s="52" t="e">
        <f>IF(AND('Riesgos de Gestión'!#REF!="Media",'Riesgos de Gestión'!#REF!="Menor"),CONCATENATE("R3C",'Riesgos de Gestión'!#REF!),"")</f>
        <v>#REF!</v>
      </c>
      <c r="V28" s="50" t="str">
        <f>IF(AND('Riesgos de Gestión'!$AF$15="Media",'Riesgos de Gestión'!$AH$15="Moderado"),CONCATENATE("R3C",'Riesgos de Gestión'!$V$15),"")</f>
        <v/>
      </c>
      <c r="W28" s="51" t="e">
        <f>IF(AND('Riesgos de Gestión'!#REF!="Media",'Riesgos de Gestión'!#REF!="Moderado"),CONCATENATE("R3C",'Riesgos de Gestión'!#REF!),"")</f>
        <v>#REF!</v>
      </c>
      <c r="X28" s="51" t="e">
        <f>IF(AND('Riesgos de Gestión'!#REF!="Media",'Riesgos de Gestión'!#REF!="Moderado"),CONCATENATE("R3C",'Riesgos de Gestión'!#REF!),"")</f>
        <v>#REF!</v>
      </c>
      <c r="Y28" s="51" t="e">
        <f>IF(AND('Riesgos de Gestión'!#REF!="Media",'Riesgos de Gestión'!#REF!="Moderado"),CONCATENATE("R3C",'Riesgos de Gestión'!#REF!),"")</f>
        <v>#REF!</v>
      </c>
      <c r="Z28" s="51" t="e">
        <f>IF(AND('Riesgos de Gestión'!#REF!="Media",'Riesgos de Gestión'!#REF!="Moderado"),CONCATENATE("R3C",'Riesgos de Gestión'!#REF!),"")</f>
        <v>#REF!</v>
      </c>
      <c r="AA28" s="52" t="e">
        <f>IF(AND('Riesgos de Gestión'!#REF!="Media",'Riesgos de Gestión'!#REF!="Moderado"),CONCATENATE("R3C",'Riesgos de Gestión'!#REF!),"")</f>
        <v>#REF!</v>
      </c>
      <c r="AB28" s="35" t="str">
        <f>IF(AND('Riesgos de Gestión'!$AF$15="Media",'Riesgos de Gestión'!$AH$15="Mayor"),CONCATENATE("R3C",'Riesgos de Gestión'!$V$15),"")</f>
        <v/>
      </c>
      <c r="AC28" s="36" t="e">
        <f>IF(AND('Riesgos de Gestión'!#REF!="Media",'Riesgos de Gestión'!#REF!="Mayor"),CONCATENATE("R3C",'Riesgos de Gestión'!#REF!),"")</f>
        <v>#REF!</v>
      </c>
      <c r="AD28" s="36" t="e">
        <f>IF(AND('Riesgos de Gestión'!#REF!="Media",'Riesgos de Gestión'!#REF!="Mayor"),CONCATENATE("R3C",'Riesgos de Gestión'!#REF!),"")</f>
        <v>#REF!</v>
      </c>
      <c r="AE28" s="36" t="e">
        <f>IF(AND('Riesgos de Gestión'!#REF!="Media",'Riesgos de Gestión'!#REF!="Mayor"),CONCATENATE("R3C",'Riesgos de Gestión'!#REF!),"")</f>
        <v>#REF!</v>
      </c>
      <c r="AF28" s="36" t="e">
        <f>IF(AND('Riesgos de Gestión'!#REF!="Media",'Riesgos de Gestión'!#REF!="Mayor"),CONCATENATE("R3C",'Riesgos de Gestión'!#REF!),"")</f>
        <v>#REF!</v>
      </c>
      <c r="AG28" s="37" t="e">
        <f>IF(AND('Riesgos de Gestión'!#REF!="Media",'Riesgos de Gestión'!#REF!="Mayor"),CONCATENATE("R3C",'Riesgos de Gestión'!#REF!),"")</f>
        <v>#REF!</v>
      </c>
      <c r="AH28" s="38" t="str">
        <f>IF(AND('Riesgos de Gestión'!$AF$15="Media",'Riesgos de Gestión'!$AH$15="Catastrófico"),CONCATENATE("R3C",'Riesgos de Gestión'!$V$15),"")</f>
        <v/>
      </c>
      <c r="AI28" s="39" t="e">
        <f>IF(AND('Riesgos de Gestión'!#REF!="Media",'Riesgos de Gestión'!#REF!="Catastrófico"),CONCATENATE("R3C",'Riesgos de Gestión'!#REF!),"")</f>
        <v>#REF!</v>
      </c>
      <c r="AJ28" s="39" t="e">
        <f>IF(AND('Riesgos de Gestión'!#REF!="Media",'Riesgos de Gestión'!#REF!="Catastrófico"),CONCATENATE("R3C",'Riesgos de Gestión'!#REF!),"")</f>
        <v>#REF!</v>
      </c>
      <c r="AK28" s="39" t="e">
        <f>IF(AND('Riesgos de Gestión'!#REF!="Media",'Riesgos de Gestión'!#REF!="Catastrófico"),CONCATENATE("R3C",'Riesgos de Gestión'!#REF!),"")</f>
        <v>#REF!</v>
      </c>
      <c r="AL28" s="39" t="e">
        <f>IF(AND('Riesgos de Gestión'!#REF!="Media",'Riesgos de Gestión'!#REF!="Catastrófico"),CONCATENATE("R3C",'Riesgos de Gestión'!#REF!),"")</f>
        <v>#REF!</v>
      </c>
      <c r="AM28" s="40" t="e">
        <f>IF(AND('Riesgos de Gestión'!#REF!="Media",'Riesgos de Gestión'!#REF!="Catastrófico"),CONCATENATE("R3C",'Riesgos de Gestión'!#REF!),"")</f>
        <v>#REF!</v>
      </c>
      <c r="AN28" s="66"/>
      <c r="AO28" s="525"/>
      <c r="AP28" s="526"/>
      <c r="AQ28" s="526"/>
      <c r="AR28" s="526"/>
      <c r="AS28" s="526"/>
      <c r="AT28" s="527"/>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row>
    <row r="29" spans="1:76" ht="15" customHeight="1" x14ac:dyDescent="0.25">
      <c r="A29" s="66"/>
      <c r="B29" s="444"/>
      <c r="C29" s="444"/>
      <c r="D29" s="445"/>
      <c r="E29" s="485"/>
      <c r="F29" s="486"/>
      <c r="G29" s="486"/>
      <c r="H29" s="486"/>
      <c r="I29" s="487"/>
      <c r="J29" s="50" t="str">
        <f>IF(AND('Riesgos de Gestión'!$AF$16="Media",'Riesgos de Gestión'!$AH$16="Leve"),CONCATENATE("R4C",'Riesgos de Gestión'!$V$16),"")</f>
        <v/>
      </c>
      <c r="K29" s="51" t="str">
        <f>IF(AND('Riesgos de Gestión'!$AF$17="Media",'Riesgos de Gestión'!$AH$17="Leve"),CONCATENATE("R4C",'Riesgos de Gestión'!$V$17),"")</f>
        <v/>
      </c>
      <c r="L29" s="51" t="str">
        <f>IF(AND('Riesgos de Gestión'!$AF$18="Media",'Riesgos de Gestión'!$AH$18="Leve"),CONCATENATE("R4C",'Riesgos de Gestión'!$V$18),"")</f>
        <v/>
      </c>
      <c r="M29" s="51" t="str">
        <f>IF(AND('Riesgos de Gestión'!$AF$19="Media",'Riesgos de Gestión'!$AH$19="Leve"),CONCATENATE("R4C",'Riesgos de Gestión'!$V$19),"")</f>
        <v/>
      </c>
      <c r="N29" s="51" t="str">
        <f>IF(AND('Riesgos de Gestión'!$AF$20="Media",'Riesgos de Gestión'!$AH$20="Leve"),CONCATENATE("R4C",'Riesgos de Gestión'!$V$20),"")</f>
        <v/>
      </c>
      <c r="O29" s="52" t="str">
        <f>IF(AND('Riesgos de Gestión'!$AF$21="Media",'Riesgos de Gestión'!$AH$21="Leve"),CONCATENATE("R4C",'Riesgos de Gestión'!$V$21),"")</f>
        <v/>
      </c>
      <c r="P29" s="50" t="str">
        <f>IF(AND('Riesgos de Gestión'!$AF$16="Media",'Riesgos de Gestión'!$AH$16="Menor"),CONCATENATE("R4C",'Riesgos de Gestión'!$V$16),"")</f>
        <v/>
      </c>
      <c r="Q29" s="51" t="str">
        <f>IF(AND('Riesgos de Gestión'!$AF$17="Media",'Riesgos de Gestión'!$AH$17="Menor"),CONCATENATE("R4C",'Riesgos de Gestión'!$V$17),"")</f>
        <v/>
      </c>
      <c r="R29" s="51" t="str">
        <f>IF(AND('Riesgos de Gestión'!$AF$18="Media",'Riesgos de Gestión'!$AH$18="Menor"),CONCATENATE("R4C",'Riesgos de Gestión'!$V$18),"")</f>
        <v/>
      </c>
      <c r="S29" s="51" t="str">
        <f>IF(AND('Riesgos de Gestión'!$AF$19="Media",'Riesgos de Gestión'!$AH$19="Menor"),CONCATENATE("R4C",'Riesgos de Gestión'!$V$19),"")</f>
        <v/>
      </c>
      <c r="T29" s="51" t="str">
        <f>IF(AND('Riesgos de Gestión'!$AF$20="Media",'Riesgos de Gestión'!$AH$20="Menor"),CONCATENATE("R4C",'Riesgos de Gestión'!$V$20),"")</f>
        <v/>
      </c>
      <c r="U29" s="52" t="str">
        <f>IF(AND('Riesgos de Gestión'!$AF$21="Media",'Riesgos de Gestión'!$AH$21="Menor"),CONCATENATE("R4C",'Riesgos de Gestión'!$V$21),"")</f>
        <v/>
      </c>
      <c r="V29" s="50" t="str">
        <f>IF(AND('Riesgos de Gestión'!$AF$16="Media",'Riesgos de Gestión'!$AH$16="Moderado"),CONCATENATE("R4C",'Riesgos de Gestión'!$V$16),"")</f>
        <v/>
      </c>
      <c r="W29" s="51" t="str">
        <f>IF(AND('Riesgos de Gestión'!$AF$17="Media",'Riesgos de Gestión'!$AH$17="Moderado"),CONCATENATE("R4C",'Riesgos de Gestión'!$V$17),"")</f>
        <v/>
      </c>
      <c r="X29" s="51" t="str">
        <f>IF(AND('Riesgos de Gestión'!$AF$18="Media",'Riesgos de Gestión'!$AH$18="Moderado"),CONCATENATE("R4C",'Riesgos de Gestión'!$V$18),"")</f>
        <v/>
      </c>
      <c r="Y29" s="51" t="str">
        <f>IF(AND('Riesgos de Gestión'!$AF$19="Media",'Riesgos de Gestión'!$AH$19="Moderado"),CONCATENATE("R4C",'Riesgos de Gestión'!$V$19),"")</f>
        <v/>
      </c>
      <c r="Z29" s="51" t="str">
        <f>IF(AND('Riesgos de Gestión'!$AF$20="Media",'Riesgos de Gestión'!$AH$20="Moderado"),CONCATENATE("R4C",'Riesgos de Gestión'!$V$20),"")</f>
        <v/>
      </c>
      <c r="AA29" s="52" t="str">
        <f>IF(AND('Riesgos de Gestión'!$AF$21="Media",'Riesgos de Gestión'!$AH$21="Moderado"),CONCATENATE("R4C",'Riesgos de Gestión'!$V$21),"")</f>
        <v/>
      </c>
      <c r="AB29" s="35" t="str">
        <f>IF(AND('Riesgos de Gestión'!$AF$16="Media",'Riesgos de Gestión'!$AH$16="Mayor"),CONCATENATE("R4C",'Riesgos de Gestión'!$V$16),"")</f>
        <v/>
      </c>
      <c r="AC29" s="36" t="str">
        <f>IF(AND('Riesgos de Gestión'!$AF$17="Media",'Riesgos de Gestión'!$AH$17="Mayor"),CONCATENATE("R4C",'Riesgos de Gestión'!$V$17),"")</f>
        <v/>
      </c>
      <c r="AD29" s="36" t="str">
        <f>IF(AND('Riesgos de Gestión'!$AF$18="Media",'Riesgos de Gestión'!$AH$18="Mayor"),CONCATENATE("R4C",'Riesgos de Gestión'!$V$18),"")</f>
        <v/>
      </c>
      <c r="AE29" s="36" t="str">
        <f>IF(AND('Riesgos de Gestión'!$AF$19="Media",'Riesgos de Gestión'!$AH$19="Mayor"),CONCATENATE("R4C",'Riesgos de Gestión'!$V$19),"")</f>
        <v/>
      </c>
      <c r="AF29" s="36" t="str">
        <f>IF(AND('Riesgos de Gestión'!$AF$20="Media",'Riesgos de Gestión'!$AH$20="Mayor"),CONCATENATE("R4C",'Riesgos de Gestión'!$V$20),"")</f>
        <v/>
      </c>
      <c r="AG29" s="37" t="str">
        <f>IF(AND('Riesgos de Gestión'!$AF$21="Media",'Riesgos de Gestión'!$AH$21="Mayor"),CONCATENATE("R4C",'Riesgos de Gestión'!$V$21),"")</f>
        <v/>
      </c>
      <c r="AH29" s="38" t="str">
        <f>IF(AND('Riesgos de Gestión'!$AF$16="Media",'Riesgos de Gestión'!$AH$16="Catastrófico"),CONCATENATE("R4C",'Riesgos de Gestión'!$V$16),"")</f>
        <v/>
      </c>
      <c r="AI29" s="39" t="str">
        <f>IF(AND('Riesgos de Gestión'!$AF$17="Media",'Riesgos de Gestión'!$AH$17="Catastrófico"),CONCATENATE("R4C",'Riesgos de Gestión'!$V$17),"")</f>
        <v/>
      </c>
      <c r="AJ29" s="39" t="str">
        <f>IF(AND('Riesgos de Gestión'!$AF$18="Media",'Riesgos de Gestión'!$AH$18="Catastrófico"),CONCATENATE("R4C",'Riesgos de Gestión'!$V$18),"")</f>
        <v/>
      </c>
      <c r="AK29" s="39" t="str">
        <f>IF(AND('Riesgos de Gestión'!$AF$19="Media",'Riesgos de Gestión'!$AH$19="Catastrófico"),CONCATENATE("R4C",'Riesgos de Gestión'!$V$19),"")</f>
        <v/>
      </c>
      <c r="AL29" s="39" t="str">
        <f>IF(AND('Riesgos de Gestión'!$AF$20="Media",'Riesgos de Gestión'!$AH$20="Catastrófico"),CONCATENATE("R4C",'Riesgos de Gestión'!$V$20),"")</f>
        <v/>
      </c>
      <c r="AM29" s="40" t="str">
        <f>IF(AND('Riesgos de Gestión'!$AF$21="Media",'Riesgos de Gestión'!$AH$21="Catastrófico"),CONCATENATE("R4C",'Riesgos de Gestión'!$V$21),"")</f>
        <v/>
      </c>
      <c r="AN29" s="66"/>
      <c r="AO29" s="525"/>
      <c r="AP29" s="526"/>
      <c r="AQ29" s="526"/>
      <c r="AR29" s="526"/>
      <c r="AS29" s="526"/>
      <c r="AT29" s="527"/>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row>
    <row r="30" spans="1:76" ht="15" customHeight="1" x14ac:dyDescent="0.25">
      <c r="A30" s="66"/>
      <c r="B30" s="444"/>
      <c r="C30" s="444"/>
      <c r="D30" s="445"/>
      <c r="E30" s="485"/>
      <c r="F30" s="486"/>
      <c r="G30" s="486"/>
      <c r="H30" s="486"/>
      <c r="I30" s="487"/>
      <c r="J30" s="50" t="str">
        <f>IF(AND('Riesgos de Gestión'!$AF$22="Media",'Riesgos de Gestión'!$AH$22="Leve"),CONCATENATE("R5C",'Riesgos de Gestión'!$V$22),"")</f>
        <v/>
      </c>
      <c r="K30" s="51" t="str">
        <f>IF(AND('Riesgos de Gestión'!$AF$23="Media",'Riesgos de Gestión'!$AH$23="Leve"),CONCATENATE("R5C",'Riesgos de Gestión'!$V$23),"")</f>
        <v/>
      </c>
      <c r="L30" s="51" t="str">
        <f>IF(AND('Riesgos de Gestión'!$AF$24="Media",'Riesgos de Gestión'!$AH$24="Leve"),CONCATENATE("R5C",'Riesgos de Gestión'!$V$24),"")</f>
        <v/>
      </c>
      <c r="M30" s="51" t="str">
        <f>IF(AND('Riesgos de Gestión'!$AF$25="Media",'Riesgos de Gestión'!$AH$25="Leve"),CONCATENATE("R5C",'Riesgos de Gestión'!$V$25),"")</f>
        <v/>
      </c>
      <c r="N30" s="51" t="str">
        <f>IF(AND('Riesgos de Gestión'!$AF$26="Media",'Riesgos de Gestión'!$AH$26="Leve"),CONCATENATE("R5C",'Riesgos de Gestión'!$V$26),"")</f>
        <v/>
      </c>
      <c r="O30" s="52" t="str">
        <f>IF(AND('Riesgos de Gestión'!$AF$27="Media",'Riesgos de Gestión'!$AH$27="Leve"),CONCATENATE("R5C",'Riesgos de Gestión'!$V$27),"")</f>
        <v/>
      </c>
      <c r="P30" s="50" t="str">
        <f>IF(AND('Riesgos de Gestión'!$AF$22="Media",'Riesgos de Gestión'!$AH$22="Menor"),CONCATENATE("R5C",'Riesgos de Gestión'!$V$22),"")</f>
        <v/>
      </c>
      <c r="Q30" s="51" t="str">
        <f>IF(AND('Riesgos de Gestión'!$AF$23="Media",'Riesgos de Gestión'!$AH$23="Menor"),CONCATENATE("R5C",'Riesgos de Gestión'!$V$23),"")</f>
        <v/>
      </c>
      <c r="R30" s="51" t="str">
        <f>IF(AND('Riesgos de Gestión'!$AF$24="Media",'Riesgos de Gestión'!$AH$24="Menor"),CONCATENATE("R5C",'Riesgos de Gestión'!$V$24),"")</f>
        <v/>
      </c>
      <c r="S30" s="51" t="str">
        <f>IF(AND('Riesgos de Gestión'!$AF$25="Media",'Riesgos de Gestión'!$AH$25="Menor"),CONCATENATE("R5C",'Riesgos de Gestión'!$V$25),"")</f>
        <v/>
      </c>
      <c r="T30" s="51" t="str">
        <f>IF(AND('Riesgos de Gestión'!$AF$26="Media",'Riesgos de Gestión'!$AH$26="Menor"),CONCATENATE("R5C",'Riesgos de Gestión'!$V$26),"")</f>
        <v/>
      </c>
      <c r="U30" s="52" t="str">
        <f>IF(AND('Riesgos de Gestión'!$AF$27="Media",'Riesgos de Gestión'!$AH$27="Menor"),CONCATENATE("R5C",'Riesgos de Gestión'!$V$27),"")</f>
        <v/>
      </c>
      <c r="V30" s="50" t="str">
        <f>IF(AND('Riesgos de Gestión'!$AF$22="Media",'Riesgos de Gestión'!$AH$22="Moderado"),CONCATENATE("R5C",'Riesgos de Gestión'!$V$22),"")</f>
        <v/>
      </c>
      <c r="W30" s="51" t="str">
        <f>IF(AND('Riesgos de Gestión'!$AF$23="Media",'Riesgos de Gestión'!$AH$23="Moderado"),CONCATENATE("R5C",'Riesgos de Gestión'!$V$23),"")</f>
        <v/>
      </c>
      <c r="X30" s="51" t="str">
        <f>IF(AND('Riesgos de Gestión'!$AF$24="Media",'Riesgos de Gestión'!$AH$24="Moderado"),CONCATENATE("R5C",'Riesgos de Gestión'!$V$24),"")</f>
        <v/>
      </c>
      <c r="Y30" s="51" t="str">
        <f>IF(AND('Riesgos de Gestión'!$AF$25="Media",'Riesgos de Gestión'!$AH$25="Moderado"),CONCATENATE("R5C",'Riesgos de Gestión'!$V$25),"")</f>
        <v/>
      </c>
      <c r="Z30" s="51" t="str">
        <f>IF(AND('Riesgos de Gestión'!$AF$26="Media",'Riesgos de Gestión'!$AH$26="Moderado"),CONCATENATE("R5C",'Riesgos de Gestión'!$V$26),"")</f>
        <v/>
      </c>
      <c r="AA30" s="52" t="str">
        <f>IF(AND('Riesgos de Gestión'!$AF$27="Media",'Riesgos de Gestión'!$AH$27="Moderado"),CONCATENATE("R5C",'Riesgos de Gestión'!$V$27),"")</f>
        <v/>
      </c>
      <c r="AB30" s="35" t="str">
        <f>IF(AND('Riesgos de Gestión'!$AF$22="Media",'Riesgos de Gestión'!$AH$22="Mayor"),CONCATENATE("R5C",'Riesgos de Gestión'!$V$22),"")</f>
        <v/>
      </c>
      <c r="AC30" s="36" t="str">
        <f>IF(AND('Riesgos de Gestión'!$AF$23="Media",'Riesgos de Gestión'!$AH$23="Mayor"),CONCATENATE("R5C",'Riesgos de Gestión'!$V$23),"")</f>
        <v/>
      </c>
      <c r="AD30" s="36" t="str">
        <f>IF(AND('Riesgos de Gestión'!$AF$24="Media",'Riesgos de Gestión'!$AH$24="Mayor"),CONCATENATE("R5C",'Riesgos de Gestión'!$V$24),"")</f>
        <v/>
      </c>
      <c r="AE30" s="36" t="str">
        <f>IF(AND('Riesgos de Gestión'!$AF$25="Media",'Riesgos de Gestión'!$AH$25="Mayor"),CONCATENATE("R5C",'Riesgos de Gestión'!$V$25),"")</f>
        <v/>
      </c>
      <c r="AF30" s="36" t="str">
        <f>IF(AND('Riesgos de Gestión'!$AF$26="Media",'Riesgos de Gestión'!$AH$26="Mayor"),CONCATENATE("R5C",'Riesgos de Gestión'!$V$26),"")</f>
        <v/>
      </c>
      <c r="AG30" s="37" t="str">
        <f>IF(AND('Riesgos de Gestión'!$AF$27="Media",'Riesgos de Gestión'!$AH$27="Mayor"),CONCATENATE("R5C",'Riesgos de Gestión'!$V$27),"")</f>
        <v/>
      </c>
      <c r="AH30" s="38" t="str">
        <f>IF(AND('Riesgos de Gestión'!$AF$22="Media",'Riesgos de Gestión'!$AH$22="Catastrófico"),CONCATENATE("R5C",'Riesgos de Gestión'!$V$22),"")</f>
        <v/>
      </c>
      <c r="AI30" s="39" t="str">
        <f>IF(AND('Riesgos de Gestión'!$AF$23="Media",'Riesgos de Gestión'!$AH$23="Catastrófico"),CONCATENATE("R5C",'Riesgos de Gestión'!$V$23),"")</f>
        <v/>
      </c>
      <c r="AJ30" s="39" t="str">
        <f>IF(AND('Riesgos de Gestión'!$AF$24="Media",'Riesgos de Gestión'!$AH$24="Catastrófico"),CONCATENATE("R5C",'Riesgos de Gestión'!$V$24),"")</f>
        <v/>
      </c>
      <c r="AK30" s="39" t="str">
        <f>IF(AND('Riesgos de Gestión'!$AF$25="Media",'Riesgos de Gestión'!$AH$25="Catastrófico"),CONCATENATE("R5C",'Riesgos de Gestión'!$V$25),"")</f>
        <v/>
      </c>
      <c r="AL30" s="39" t="str">
        <f>IF(AND('Riesgos de Gestión'!$AF$26="Media",'Riesgos de Gestión'!$AH$26="Catastrófico"),CONCATENATE("R5C",'Riesgos de Gestión'!$V$26),"")</f>
        <v/>
      </c>
      <c r="AM30" s="40" t="str">
        <f>IF(AND('Riesgos de Gestión'!$AF$27="Media",'Riesgos de Gestión'!$AH$27="Catastrófico"),CONCATENATE("R5C",'Riesgos de Gestión'!$V$27),"")</f>
        <v/>
      </c>
      <c r="AN30" s="66"/>
      <c r="AO30" s="525"/>
      <c r="AP30" s="526"/>
      <c r="AQ30" s="526"/>
      <c r="AR30" s="526"/>
      <c r="AS30" s="526"/>
      <c r="AT30" s="527"/>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row>
    <row r="31" spans="1:76" ht="15" customHeight="1" x14ac:dyDescent="0.25">
      <c r="A31" s="66"/>
      <c r="B31" s="444"/>
      <c r="C31" s="444"/>
      <c r="D31" s="445"/>
      <c r="E31" s="485"/>
      <c r="F31" s="486"/>
      <c r="G31" s="486"/>
      <c r="H31" s="486"/>
      <c r="I31" s="487"/>
      <c r="J31" s="50" t="str">
        <f>IF(AND('Riesgos de Gestión'!$AF$28="Media",'Riesgos de Gestión'!$AH$28="Leve"),CONCATENATE("R6C",'Riesgos de Gestión'!$V$28),"")</f>
        <v/>
      </c>
      <c r="K31" s="51" t="str">
        <f>IF(AND('Riesgos de Gestión'!$AF$29="Media",'Riesgos de Gestión'!$AH$29="Leve"),CONCATENATE("R6C",'Riesgos de Gestión'!$V$29),"")</f>
        <v/>
      </c>
      <c r="L31" s="51" t="str">
        <f>IF(AND('Riesgos de Gestión'!$AF$30="Media",'Riesgos de Gestión'!$AH$30="Leve"),CONCATENATE("R6C",'Riesgos de Gestión'!$V$30),"")</f>
        <v/>
      </c>
      <c r="M31" s="51" t="str">
        <f>IF(AND('Riesgos de Gestión'!$AF$31="Media",'Riesgos de Gestión'!$AH$31="Leve"),CONCATENATE("R6C",'Riesgos de Gestión'!$V$31),"")</f>
        <v/>
      </c>
      <c r="N31" s="51" t="str">
        <f>IF(AND('Riesgos de Gestión'!$AF$32="Media",'Riesgos de Gestión'!$AH$32="Leve"),CONCATENATE("R6C",'Riesgos de Gestión'!$V$32),"")</f>
        <v/>
      </c>
      <c r="O31" s="52" t="str">
        <f>IF(AND('Riesgos de Gestión'!$AF$33="Media",'Riesgos de Gestión'!$AH$33="Leve"),CONCATENATE("R6C",'Riesgos de Gestión'!$V$33),"")</f>
        <v/>
      </c>
      <c r="P31" s="50" t="str">
        <f>IF(AND('Riesgos de Gestión'!$AF$28="Media",'Riesgos de Gestión'!$AH$28="Menor"),CONCATENATE("R6C",'Riesgos de Gestión'!$V$28),"")</f>
        <v/>
      </c>
      <c r="Q31" s="51" t="str">
        <f>IF(AND('Riesgos de Gestión'!$AF$29="Media",'Riesgos de Gestión'!$AH$29="Menor"),CONCATENATE("R6C",'Riesgos de Gestión'!$V$29),"")</f>
        <v/>
      </c>
      <c r="R31" s="51" t="str">
        <f>IF(AND('Riesgos de Gestión'!$AF$30="Media",'Riesgos de Gestión'!$AH$30="Menor"),CONCATENATE("R6C",'Riesgos de Gestión'!$V$30),"")</f>
        <v/>
      </c>
      <c r="S31" s="51" t="str">
        <f>IF(AND('Riesgos de Gestión'!$AF$31="Media",'Riesgos de Gestión'!$AH$31="Menor"),CONCATENATE("R6C",'Riesgos de Gestión'!$V$31),"")</f>
        <v/>
      </c>
      <c r="T31" s="51" t="str">
        <f>IF(AND('Riesgos de Gestión'!$AF$32="Media",'Riesgos de Gestión'!$AH$32="Menor"),CONCATENATE("R6C",'Riesgos de Gestión'!$V$32),"")</f>
        <v/>
      </c>
      <c r="U31" s="52" t="str">
        <f>IF(AND('Riesgos de Gestión'!$AF$33="Media",'Riesgos de Gestión'!$AH$33="Menor"),CONCATENATE("R6C",'Riesgos de Gestión'!$V$33),"")</f>
        <v/>
      </c>
      <c r="V31" s="50" t="str">
        <f>IF(AND('Riesgos de Gestión'!$AF$28="Media",'Riesgos de Gestión'!$AH$28="Moderado"),CONCATENATE("R6C",'Riesgos de Gestión'!$V$28),"")</f>
        <v/>
      </c>
      <c r="W31" s="51" t="str">
        <f>IF(AND('Riesgos de Gestión'!$AF$29="Media",'Riesgos de Gestión'!$AH$29="Moderado"),CONCATENATE("R6C",'Riesgos de Gestión'!$V$29),"")</f>
        <v/>
      </c>
      <c r="X31" s="51" t="str">
        <f>IF(AND('Riesgos de Gestión'!$AF$30="Media",'Riesgos de Gestión'!$AH$30="Moderado"),CONCATENATE("R6C",'Riesgos de Gestión'!$V$30),"")</f>
        <v/>
      </c>
      <c r="Y31" s="51" t="str">
        <f>IF(AND('Riesgos de Gestión'!$AF$31="Media",'Riesgos de Gestión'!$AH$31="Moderado"),CONCATENATE("R6C",'Riesgos de Gestión'!$V$31),"")</f>
        <v/>
      </c>
      <c r="Z31" s="51" t="str">
        <f>IF(AND('Riesgos de Gestión'!$AF$32="Media",'Riesgos de Gestión'!$AH$32="Moderado"),CONCATENATE("R6C",'Riesgos de Gestión'!$V$32),"")</f>
        <v/>
      </c>
      <c r="AA31" s="52" t="str">
        <f>IF(AND('Riesgos de Gestión'!$AF$33="Media",'Riesgos de Gestión'!$AH$33="Moderado"),CONCATENATE("R6C",'Riesgos de Gestión'!$V$33),"")</f>
        <v/>
      </c>
      <c r="AB31" s="35" t="str">
        <f>IF(AND('Riesgos de Gestión'!$AF$28="Media",'Riesgos de Gestión'!$AH$28="Mayor"),CONCATENATE("R6C",'Riesgos de Gestión'!$V$28),"")</f>
        <v/>
      </c>
      <c r="AC31" s="36" t="str">
        <f>IF(AND('Riesgos de Gestión'!$AF$29="Media",'Riesgos de Gestión'!$AH$29="Mayor"),CONCATENATE("R6C",'Riesgos de Gestión'!$V$29),"")</f>
        <v/>
      </c>
      <c r="AD31" s="36" t="str">
        <f>IF(AND('Riesgos de Gestión'!$AF$30="Media",'Riesgos de Gestión'!$AH$30="Mayor"),CONCATENATE("R6C",'Riesgos de Gestión'!$V$30),"")</f>
        <v/>
      </c>
      <c r="AE31" s="36" t="str">
        <f>IF(AND('Riesgos de Gestión'!$AF$31="Media",'Riesgos de Gestión'!$AH$31="Mayor"),CONCATENATE("R6C",'Riesgos de Gestión'!$V$31),"")</f>
        <v/>
      </c>
      <c r="AF31" s="36" t="str">
        <f>IF(AND('Riesgos de Gestión'!$AF$32="Media",'Riesgos de Gestión'!$AH$32="Mayor"),CONCATENATE("R6C",'Riesgos de Gestión'!$V$32),"")</f>
        <v/>
      </c>
      <c r="AG31" s="37" t="str">
        <f>IF(AND('Riesgos de Gestión'!$AF$33="Media",'Riesgos de Gestión'!$AH$33="Mayor"),CONCATENATE("R6C",'Riesgos de Gestión'!$V$33),"")</f>
        <v/>
      </c>
      <c r="AH31" s="38" t="str">
        <f>IF(AND('Riesgos de Gestión'!$AF$28="Media",'Riesgos de Gestión'!$AH$28="Catastrófico"),CONCATENATE("R6C",'Riesgos de Gestión'!$V$28),"")</f>
        <v/>
      </c>
      <c r="AI31" s="39" t="str">
        <f>IF(AND('Riesgos de Gestión'!$AF$29="Media",'Riesgos de Gestión'!$AH$29="Catastrófico"),CONCATENATE("R6C",'Riesgos de Gestión'!$V$29),"")</f>
        <v/>
      </c>
      <c r="AJ31" s="39" t="str">
        <f>IF(AND('Riesgos de Gestión'!$AF$30="Media",'Riesgos de Gestión'!$AH$30="Catastrófico"),CONCATENATE("R6C",'Riesgos de Gestión'!$V$30),"")</f>
        <v/>
      </c>
      <c r="AK31" s="39" t="str">
        <f>IF(AND('Riesgos de Gestión'!$AF$31="Media",'Riesgos de Gestión'!$AH$31="Catastrófico"),CONCATENATE("R6C",'Riesgos de Gestión'!$V$31),"")</f>
        <v/>
      </c>
      <c r="AL31" s="39" t="str">
        <f>IF(AND('Riesgos de Gestión'!$AF$32="Media",'Riesgos de Gestión'!$AH$32="Catastrófico"),CONCATENATE("R6C",'Riesgos de Gestión'!$V$32),"")</f>
        <v/>
      </c>
      <c r="AM31" s="40" t="str">
        <f>IF(AND('Riesgos de Gestión'!$AF$33="Media",'Riesgos de Gestión'!$AH$33="Catastrófico"),CONCATENATE("R6C",'Riesgos de Gestión'!$V$33),"")</f>
        <v/>
      </c>
      <c r="AN31" s="66"/>
      <c r="AO31" s="525"/>
      <c r="AP31" s="526"/>
      <c r="AQ31" s="526"/>
      <c r="AR31" s="526"/>
      <c r="AS31" s="526"/>
      <c r="AT31" s="527"/>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row>
    <row r="32" spans="1:76" ht="15" customHeight="1" x14ac:dyDescent="0.25">
      <c r="A32" s="66"/>
      <c r="B32" s="444"/>
      <c r="C32" s="444"/>
      <c r="D32" s="445"/>
      <c r="E32" s="485"/>
      <c r="F32" s="486"/>
      <c r="G32" s="486"/>
      <c r="H32" s="486"/>
      <c r="I32" s="487"/>
      <c r="J32" s="50" t="str">
        <f>IF(AND('Riesgos de Gestión'!$AF$34="Media",'Riesgos de Gestión'!$AH$34="Leve"),CONCATENATE("R7C",'Riesgos de Gestión'!$V$34),"")</f>
        <v/>
      </c>
      <c r="K32" s="51" t="str">
        <f>IF(AND('Riesgos de Gestión'!$AF$35="Media",'Riesgos de Gestión'!$AH$35="Leve"),CONCATENATE("R7C",'Riesgos de Gestión'!$V$35),"")</f>
        <v/>
      </c>
      <c r="L32" s="51" t="str">
        <f>IF(AND('Riesgos de Gestión'!$AF$36="Media",'Riesgos de Gestión'!$AH$36="Leve"),CONCATENATE("R7C",'Riesgos de Gestión'!$V$36),"")</f>
        <v/>
      </c>
      <c r="M32" s="51" t="str">
        <f>IF(AND('Riesgos de Gestión'!$AF$37="Media",'Riesgos de Gestión'!$AH$37="Leve"),CONCATENATE("R7C",'Riesgos de Gestión'!$V$37),"")</f>
        <v/>
      </c>
      <c r="N32" s="51" t="str">
        <f>IF(AND('Riesgos de Gestión'!$AF$38="Media",'Riesgos de Gestión'!$AH$38="Leve"),CONCATENATE("R7C",'Riesgos de Gestión'!$V$38),"")</f>
        <v/>
      </c>
      <c r="O32" s="52" t="str">
        <f>IF(AND('Riesgos de Gestión'!$AF$39="Media",'Riesgos de Gestión'!$AH$39="Leve"),CONCATENATE("R7C",'Riesgos de Gestión'!$V$39),"")</f>
        <v/>
      </c>
      <c r="P32" s="50" t="str">
        <f>IF(AND('Riesgos de Gestión'!$AF$34="Media",'Riesgos de Gestión'!$AH$34="Menor"),CONCATENATE("R7C",'Riesgos de Gestión'!$V$34),"")</f>
        <v/>
      </c>
      <c r="Q32" s="51" t="str">
        <f>IF(AND('Riesgos de Gestión'!$AF$35="Media",'Riesgos de Gestión'!$AH$35="Menor"),CONCATENATE("R7C",'Riesgos de Gestión'!$V$35),"")</f>
        <v/>
      </c>
      <c r="R32" s="51" t="str">
        <f>IF(AND('Riesgos de Gestión'!$AF$36="Media",'Riesgos de Gestión'!$AH$36="Menor"),CONCATENATE("R7C",'Riesgos de Gestión'!$V$36),"")</f>
        <v/>
      </c>
      <c r="S32" s="51" t="str">
        <f>IF(AND('Riesgos de Gestión'!$AF$37="Media",'Riesgos de Gestión'!$AH$37="Menor"),CONCATENATE("R7C",'Riesgos de Gestión'!$V$37),"")</f>
        <v/>
      </c>
      <c r="T32" s="51" t="str">
        <f>IF(AND('Riesgos de Gestión'!$AF$38="Media",'Riesgos de Gestión'!$AH$38="Menor"),CONCATENATE("R7C",'Riesgos de Gestión'!$V$38),"")</f>
        <v/>
      </c>
      <c r="U32" s="52" t="str">
        <f>IF(AND('Riesgos de Gestión'!$AF$39="Media",'Riesgos de Gestión'!$AH$39="Menor"),CONCATENATE("R7C",'Riesgos de Gestión'!$V$39),"")</f>
        <v/>
      </c>
      <c r="V32" s="50" t="str">
        <f>IF(AND('Riesgos de Gestión'!$AF$34="Media",'Riesgos de Gestión'!$AH$34="Moderado"),CONCATENATE("R7C",'Riesgos de Gestión'!$V$34),"")</f>
        <v/>
      </c>
      <c r="W32" s="51" t="str">
        <f>IF(AND('Riesgos de Gestión'!$AF$35="Media",'Riesgos de Gestión'!$AH$35="Moderado"),CONCATENATE("R7C",'Riesgos de Gestión'!$V$35),"")</f>
        <v/>
      </c>
      <c r="X32" s="51" t="str">
        <f>IF(AND('Riesgos de Gestión'!$AF$36="Media",'Riesgos de Gestión'!$AH$36="Moderado"),CONCATENATE("R7C",'Riesgos de Gestión'!$V$36),"")</f>
        <v/>
      </c>
      <c r="Y32" s="51" t="str">
        <f>IF(AND('Riesgos de Gestión'!$AF$37="Media",'Riesgos de Gestión'!$AH$37="Moderado"),CONCATENATE("R7C",'Riesgos de Gestión'!$V$37),"")</f>
        <v/>
      </c>
      <c r="Z32" s="51" t="str">
        <f>IF(AND('Riesgos de Gestión'!$AF$38="Media",'Riesgos de Gestión'!$AH$38="Moderado"),CONCATENATE("R7C",'Riesgos de Gestión'!$V$38),"")</f>
        <v/>
      </c>
      <c r="AA32" s="52" t="str">
        <f>IF(AND('Riesgos de Gestión'!$AF$39="Media",'Riesgos de Gestión'!$AH$39="Moderado"),CONCATENATE("R7C",'Riesgos de Gestión'!$V$39),"")</f>
        <v/>
      </c>
      <c r="AB32" s="35" t="str">
        <f>IF(AND('Riesgos de Gestión'!$AF$34="Media",'Riesgos de Gestión'!$AH$34="Mayor"),CONCATENATE("R7C",'Riesgos de Gestión'!$V$34),"")</f>
        <v/>
      </c>
      <c r="AC32" s="36" t="str">
        <f>IF(AND('Riesgos de Gestión'!$AF$35="Media",'Riesgos de Gestión'!$AH$35="Mayor"),CONCATENATE("R7C",'Riesgos de Gestión'!$V$35),"")</f>
        <v/>
      </c>
      <c r="AD32" s="36" t="str">
        <f>IF(AND('Riesgos de Gestión'!$AF$36="Media",'Riesgos de Gestión'!$AH$36="Mayor"),CONCATENATE("R7C",'Riesgos de Gestión'!$V$36),"")</f>
        <v/>
      </c>
      <c r="AE32" s="36" t="str">
        <f>IF(AND('Riesgos de Gestión'!$AF$37="Media",'Riesgos de Gestión'!$AH$37="Mayor"),CONCATENATE("R7C",'Riesgos de Gestión'!$V$37),"")</f>
        <v/>
      </c>
      <c r="AF32" s="36" t="str">
        <f>IF(AND('Riesgos de Gestión'!$AF$38="Media",'Riesgos de Gestión'!$AH$38="Mayor"),CONCATENATE("R7C",'Riesgos de Gestión'!$V$38),"")</f>
        <v/>
      </c>
      <c r="AG32" s="37" t="str">
        <f>IF(AND('Riesgos de Gestión'!$AF$39="Media",'Riesgos de Gestión'!$AH$39="Mayor"),CONCATENATE("R7C",'Riesgos de Gestión'!$V$39),"")</f>
        <v/>
      </c>
      <c r="AH32" s="38" t="str">
        <f>IF(AND('Riesgos de Gestión'!$AF$34="Media",'Riesgos de Gestión'!$AH$34="Catastrófico"),CONCATENATE("R7C",'Riesgos de Gestión'!$V$34),"")</f>
        <v/>
      </c>
      <c r="AI32" s="39" t="str">
        <f>IF(AND('Riesgos de Gestión'!$AF$35="Media",'Riesgos de Gestión'!$AH$35="Catastrófico"),CONCATENATE("R7C",'Riesgos de Gestión'!$V$35),"")</f>
        <v/>
      </c>
      <c r="AJ32" s="39" t="str">
        <f>IF(AND('Riesgos de Gestión'!$AF$36="Media",'Riesgos de Gestión'!$AH$36="Catastrófico"),CONCATENATE("R7C",'Riesgos de Gestión'!$V$36),"")</f>
        <v/>
      </c>
      <c r="AK32" s="39" t="str">
        <f>IF(AND('Riesgos de Gestión'!$AF$37="Media",'Riesgos de Gestión'!$AH$37="Catastrófico"),CONCATENATE("R7C",'Riesgos de Gestión'!$V$37),"")</f>
        <v/>
      </c>
      <c r="AL32" s="39" t="str">
        <f>IF(AND('Riesgos de Gestión'!$AF$38="Media",'Riesgos de Gestión'!$AH$38="Catastrófico"),CONCATENATE("R7C",'Riesgos de Gestión'!$V$38),"")</f>
        <v/>
      </c>
      <c r="AM32" s="40" t="str">
        <f>IF(AND('Riesgos de Gestión'!$AF$39="Media",'Riesgos de Gestión'!$AH$39="Catastrófico"),CONCATENATE("R7C",'Riesgos de Gestión'!$V$39),"")</f>
        <v/>
      </c>
      <c r="AN32" s="66"/>
      <c r="AO32" s="525"/>
      <c r="AP32" s="526"/>
      <c r="AQ32" s="526"/>
      <c r="AR32" s="526"/>
      <c r="AS32" s="526"/>
      <c r="AT32" s="527"/>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row>
    <row r="33" spans="1:80" ht="15" customHeight="1" x14ac:dyDescent="0.25">
      <c r="A33" s="66"/>
      <c r="B33" s="444"/>
      <c r="C33" s="444"/>
      <c r="D33" s="445"/>
      <c r="E33" s="485"/>
      <c r="F33" s="486"/>
      <c r="G33" s="486"/>
      <c r="H33" s="486"/>
      <c r="I33" s="487"/>
      <c r="J33" s="50" t="str">
        <f>IF(AND('Riesgos de Gestión'!$AF$40="Media",'Riesgos de Gestión'!$AH$40="Leve"),CONCATENATE("R8C",'Riesgos de Gestión'!$V$40),"")</f>
        <v/>
      </c>
      <c r="K33" s="51" t="str">
        <f>IF(AND('Riesgos de Gestión'!$AF$41="Media",'Riesgos de Gestión'!$AH$41="Leve"),CONCATENATE("R8C",'Riesgos de Gestión'!$V$41),"")</f>
        <v/>
      </c>
      <c r="L33" s="51" t="str">
        <f>IF(AND('Riesgos de Gestión'!$AF$42="Media",'Riesgos de Gestión'!$AH$42="Leve"),CONCATENATE("R8C",'Riesgos de Gestión'!$V$42),"")</f>
        <v/>
      </c>
      <c r="M33" s="51" t="str">
        <f>IF(AND('Riesgos de Gestión'!$AF$43="Media",'Riesgos de Gestión'!$AH$43="Leve"),CONCATENATE("R8C",'Riesgos de Gestión'!$V$43),"")</f>
        <v/>
      </c>
      <c r="N33" s="51" t="str">
        <f>IF(AND('Riesgos de Gestión'!$AF$44="Media",'Riesgos de Gestión'!$AH$44="Leve"),CONCATENATE("R8C",'Riesgos de Gestión'!$V$44),"")</f>
        <v/>
      </c>
      <c r="O33" s="52" t="str">
        <f>IF(AND('Riesgos de Gestión'!$AF$45="Media",'Riesgos de Gestión'!$AH$45="Leve"),CONCATENATE("R8C",'Riesgos de Gestión'!$V$45),"")</f>
        <v/>
      </c>
      <c r="P33" s="50" t="str">
        <f>IF(AND('Riesgos de Gestión'!$AF$40="Media",'Riesgos de Gestión'!$AH$40="Menor"),CONCATENATE("R8C",'Riesgos de Gestión'!$V$40),"")</f>
        <v/>
      </c>
      <c r="Q33" s="51" t="str">
        <f>IF(AND('Riesgos de Gestión'!$AF$41="Media",'Riesgos de Gestión'!$AH$41="Menor"),CONCATENATE("R8C",'Riesgos de Gestión'!$V$41),"")</f>
        <v/>
      </c>
      <c r="R33" s="51" t="str">
        <f>IF(AND('Riesgos de Gestión'!$AF$42="Media",'Riesgos de Gestión'!$AH$42="Menor"),CONCATENATE("R8C",'Riesgos de Gestión'!$V$42),"")</f>
        <v/>
      </c>
      <c r="S33" s="51" t="str">
        <f>IF(AND('Riesgos de Gestión'!$AF$43="Media",'Riesgos de Gestión'!$AH$43="Menor"),CONCATENATE("R8C",'Riesgos de Gestión'!$V$43),"")</f>
        <v/>
      </c>
      <c r="T33" s="51" t="str">
        <f>IF(AND('Riesgos de Gestión'!$AF$44="Media",'Riesgos de Gestión'!$AH$44="Menor"),CONCATENATE("R8C",'Riesgos de Gestión'!$V$44),"")</f>
        <v/>
      </c>
      <c r="U33" s="52" t="str">
        <f>IF(AND('Riesgos de Gestión'!$AF$45="Media",'Riesgos de Gestión'!$AH$45="Menor"),CONCATENATE("R8C",'Riesgos de Gestión'!$V$45),"")</f>
        <v/>
      </c>
      <c r="V33" s="50" t="str">
        <f>IF(AND('Riesgos de Gestión'!$AF$40="Media",'Riesgos de Gestión'!$AH$40="Moderado"),CONCATENATE("R8C",'Riesgos de Gestión'!$V$40),"")</f>
        <v/>
      </c>
      <c r="W33" s="51" t="str">
        <f>IF(AND('Riesgos de Gestión'!$AF$41="Media",'Riesgos de Gestión'!$AH$41="Moderado"),CONCATENATE("R8C",'Riesgos de Gestión'!$V$41),"")</f>
        <v/>
      </c>
      <c r="X33" s="51" t="str">
        <f>IF(AND('Riesgos de Gestión'!$AF$42="Media",'Riesgos de Gestión'!$AH$42="Moderado"),CONCATENATE("R8C",'Riesgos de Gestión'!$V$42),"")</f>
        <v/>
      </c>
      <c r="Y33" s="51" t="str">
        <f>IF(AND('Riesgos de Gestión'!$AF$43="Media",'Riesgos de Gestión'!$AH$43="Moderado"),CONCATENATE("R8C",'Riesgos de Gestión'!$V$43),"")</f>
        <v/>
      </c>
      <c r="Z33" s="51" t="str">
        <f>IF(AND('Riesgos de Gestión'!$AF$44="Media",'Riesgos de Gestión'!$AH$44="Moderado"),CONCATENATE("R8C",'Riesgos de Gestión'!$V$44),"")</f>
        <v/>
      </c>
      <c r="AA33" s="52" t="str">
        <f>IF(AND('Riesgos de Gestión'!$AF$45="Media",'Riesgos de Gestión'!$AH$45="Moderado"),CONCATENATE("R8C",'Riesgos de Gestión'!$V$45),"")</f>
        <v/>
      </c>
      <c r="AB33" s="35" t="str">
        <f>IF(AND('Riesgos de Gestión'!$AF$40="Media",'Riesgos de Gestión'!$AH$40="Mayor"),CONCATENATE("R8C",'Riesgos de Gestión'!$V$40),"")</f>
        <v/>
      </c>
      <c r="AC33" s="36" t="str">
        <f>IF(AND('Riesgos de Gestión'!$AF$41="Media",'Riesgos de Gestión'!$AH$41="Mayor"),CONCATENATE("R8C",'Riesgos de Gestión'!$V$41),"")</f>
        <v/>
      </c>
      <c r="AD33" s="36" t="str">
        <f>IF(AND('Riesgos de Gestión'!$AF$42="Media",'Riesgos de Gestión'!$AH$42="Mayor"),CONCATENATE("R8C",'Riesgos de Gestión'!$V$42),"")</f>
        <v/>
      </c>
      <c r="AE33" s="36" t="str">
        <f>IF(AND('Riesgos de Gestión'!$AF$43="Media",'Riesgos de Gestión'!$AH$43="Mayor"),CONCATENATE("R8C",'Riesgos de Gestión'!$V$43),"")</f>
        <v/>
      </c>
      <c r="AF33" s="36" t="str">
        <f>IF(AND('Riesgos de Gestión'!$AF$44="Media",'Riesgos de Gestión'!$AH$44="Mayor"),CONCATENATE("R8C",'Riesgos de Gestión'!$V$44),"")</f>
        <v/>
      </c>
      <c r="AG33" s="37" t="str">
        <f>IF(AND('Riesgos de Gestión'!$AF$45="Media",'Riesgos de Gestión'!$AH$45="Mayor"),CONCATENATE("R8C",'Riesgos de Gestión'!$V$45),"")</f>
        <v/>
      </c>
      <c r="AH33" s="38" t="str">
        <f>IF(AND('Riesgos de Gestión'!$AF$40="Media",'Riesgos de Gestión'!$AH$40="Catastrófico"),CONCATENATE("R8C",'Riesgos de Gestión'!$V$40),"")</f>
        <v/>
      </c>
      <c r="AI33" s="39" t="str">
        <f>IF(AND('Riesgos de Gestión'!$AF$41="Media",'Riesgos de Gestión'!$AH$41="Catastrófico"),CONCATENATE("R8C",'Riesgos de Gestión'!$V$41),"")</f>
        <v/>
      </c>
      <c r="AJ33" s="39" t="str">
        <f>IF(AND('Riesgos de Gestión'!$AF$42="Media",'Riesgos de Gestión'!$AH$42="Catastrófico"),CONCATENATE("R8C",'Riesgos de Gestión'!$V$42),"")</f>
        <v/>
      </c>
      <c r="AK33" s="39" t="str">
        <f>IF(AND('Riesgos de Gestión'!$AF$43="Media",'Riesgos de Gestión'!$AH$43="Catastrófico"),CONCATENATE("R8C",'Riesgos de Gestión'!$V$43),"")</f>
        <v/>
      </c>
      <c r="AL33" s="39" t="str">
        <f>IF(AND('Riesgos de Gestión'!$AF$44="Media",'Riesgos de Gestión'!$AH$44="Catastrófico"),CONCATENATE("R8C",'Riesgos de Gestión'!$V$44),"")</f>
        <v/>
      </c>
      <c r="AM33" s="40" t="str">
        <f>IF(AND('Riesgos de Gestión'!$AF$45="Media",'Riesgos de Gestión'!$AH$45="Catastrófico"),CONCATENATE("R8C",'Riesgos de Gestión'!$V$45),"")</f>
        <v/>
      </c>
      <c r="AN33" s="66"/>
      <c r="AO33" s="525"/>
      <c r="AP33" s="526"/>
      <c r="AQ33" s="526"/>
      <c r="AR33" s="526"/>
      <c r="AS33" s="526"/>
      <c r="AT33" s="527"/>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row>
    <row r="34" spans="1:80" ht="15" customHeight="1" x14ac:dyDescent="0.25">
      <c r="A34" s="66"/>
      <c r="B34" s="444"/>
      <c r="C34" s="444"/>
      <c r="D34" s="445"/>
      <c r="E34" s="485"/>
      <c r="F34" s="486"/>
      <c r="G34" s="486"/>
      <c r="H34" s="486"/>
      <c r="I34" s="487"/>
      <c r="J34" s="50" t="str">
        <f>IF(AND('Riesgos de Gestión'!$AF$46="Media",'Riesgos de Gestión'!$AH$46="Leve"),CONCATENATE("R9C",'Riesgos de Gestión'!$V$46),"")</f>
        <v/>
      </c>
      <c r="K34" s="51" t="str">
        <f>IF(AND('Riesgos de Gestión'!$AF$47="Media",'Riesgos de Gestión'!$AH$47="Leve"),CONCATENATE("R9C",'Riesgos de Gestión'!$V$47),"")</f>
        <v/>
      </c>
      <c r="L34" s="51" t="str">
        <f>IF(AND('Riesgos de Gestión'!$AF$48="Media",'Riesgos de Gestión'!$AH$48="Leve"),CONCATENATE("R9C",'Riesgos de Gestión'!$V$48),"")</f>
        <v/>
      </c>
      <c r="M34" s="51" t="str">
        <f>IF(AND('Riesgos de Gestión'!$AF$49="Media",'Riesgos de Gestión'!$AH$49="Leve"),CONCATENATE("R9C",'Riesgos de Gestión'!$V$49),"")</f>
        <v/>
      </c>
      <c r="N34" s="51" t="str">
        <f>IF(AND('Riesgos de Gestión'!$AF$50="Media",'Riesgos de Gestión'!$AH$50="Leve"),CONCATENATE("R9C",'Riesgos de Gestión'!$V$50),"")</f>
        <v/>
      </c>
      <c r="O34" s="52" t="str">
        <f>IF(AND('Riesgos de Gestión'!$AF$51="Media",'Riesgos de Gestión'!$AH$51="Leve"),CONCATENATE("R9C",'Riesgos de Gestión'!$V$51),"")</f>
        <v/>
      </c>
      <c r="P34" s="50" t="str">
        <f>IF(AND('Riesgos de Gestión'!$AF$46="Media",'Riesgos de Gestión'!$AH$46="Menor"),CONCATENATE("R9C",'Riesgos de Gestión'!$V$46),"")</f>
        <v/>
      </c>
      <c r="Q34" s="51" t="str">
        <f>IF(AND('Riesgos de Gestión'!$AF$47="Media",'Riesgos de Gestión'!$AH$47="Menor"),CONCATENATE("R9C",'Riesgos de Gestión'!$V$47),"")</f>
        <v/>
      </c>
      <c r="R34" s="51" t="str">
        <f>IF(AND('Riesgos de Gestión'!$AF$48="Media",'Riesgos de Gestión'!$AH$48="Menor"),CONCATENATE("R9C",'Riesgos de Gestión'!$V$48),"")</f>
        <v/>
      </c>
      <c r="S34" s="51" t="str">
        <f>IF(AND('Riesgos de Gestión'!$AF$49="Media",'Riesgos de Gestión'!$AH$49="Menor"),CONCATENATE("R9C",'Riesgos de Gestión'!$V$49),"")</f>
        <v/>
      </c>
      <c r="T34" s="51" t="str">
        <f>IF(AND('Riesgos de Gestión'!$AF$50="Media",'Riesgos de Gestión'!$AH$50="Menor"),CONCATENATE("R9C",'Riesgos de Gestión'!$V$50),"")</f>
        <v/>
      </c>
      <c r="U34" s="52" t="str">
        <f>IF(AND('Riesgos de Gestión'!$AF$51="Media",'Riesgos de Gestión'!$AH$51="Menor"),CONCATENATE("R9C",'Riesgos de Gestión'!$V$51),"")</f>
        <v/>
      </c>
      <c r="V34" s="50" t="str">
        <f>IF(AND('Riesgos de Gestión'!$AF$46="Media",'Riesgos de Gestión'!$AH$46="Moderado"),CONCATENATE("R9C",'Riesgos de Gestión'!$V$46),"")</f>
        <v/>
      </c>
      <c r="W34" s="51" t="str">
        <f>IF(AND('Riesgos de Gestión'!$AF$47="Media",'Riesgos de Gestión'!$AH$47="Moderado"),CONCATENATE("R9C",'Riesgos de Gestión'!$V$47),"")</f>
        <v/>
      </c>
      <c r="X34" s="51" t="str">
        <f>IF(AND('Riesgos de Gestión'!$AF$48="Media",'Riesgos de Gestión'!$AH$48="Moderado"),CONCATENATE("R9C",'Riesgos de Gestión'!$V$48),"")</f>
        <v/>
      </c>
      <c r="Y34" s="51" t="str">
        <f>IF(AND('Riesgos de Gestión'!$AF$49="Media",'Riesgos de Gestión'!$AH$49="Moderado"),CONCATENATE("R9C",'Riesgos de Gestión'!$V$49),"")</f>
        <v/>
      </c>
      <c r="Z34" s="51" t="str">
        <f>IF(AND('Riesgos de Gestión'!$AF$50="Media",'Riesgos de Gestión'!$AH$50="Moderado"),CONCATENATE("R9C",'Riesgos de Gestión'!$V$50),"")</f>
        <v/>
      </c>
      <c r="AA34" s="52" t="str">
        <f>IF(AND('Riesgos de Gestión'!$AF$51="Media",'Riesgos de Gestión'!$AH$51="Moderado"),CONCATENATE("R9C",'Riesgos de Gestión'!$V$51),"")</f>
        <v/>
      </c>
      <c r="AB34" s="35" t="str">
        <f>IF(AND('Riesgos de Gestión'!$AF$46="Media",'Riesgos de Gestión'!$AH$46="Mayor"),CONCATENATE("R9C",'Riesgos de Gestión'!$V$46),"")</f>
        <v/>
      </c>
      <c r="AC34" s="36" t="str">
        <f>IF(AND('Riesgos de Gestión'!$AF$47="Media",'Riesgos de Gestión'!$AH$47="Mayor"),CONCATENATE("R9C",'Riesgos de Gestión'!$V$47),"")</f>
        <v/>
      </c>
      <c r="AD34" s="36" t="str">
        <f>IF(AND('Riesgos de Gestión'!$AF$48="Media",'Riesgos de Gestión'!$AH$48="Mayor"),CONCATENATE("R9C",'Riesgos de Gestión'!$V$48),"")</f>
        <v/>
      </c>
      <c r="AE34" s="36" t="str">
        <f>IF(AND('Riesgos de Gestión'!$AF$49="Media",'Riesgos de Gestión'!$AH$49="Mayor"),CONCATENATE("R9C",'Riesgos de Gestión'!$V$49),"")</f>
        <v/>
      </c>
      <c r="AF34" s="36" t="str">
        <f>IF(AND('Riesgos de Gestión'!$AF$50="Media",'Riesgos de Gestión'!$AH$50="Mayor"),CONCATENATE("R9C",'Riesgos de Gestión'!$V$50),"")</f>
        <v/>
      </c>
      <c r="AG34" s="37" t="str">
        <f>IF(AND('Riesgos de Gestión'!$AF$51="Media",'Riesgos de Gestión'!$AH$51="Mayor"),CONCATENATE("R9C",'Riesgos de Gestión'!$V$51),"")</f>
        <v/>
      </c>
      <c r="AH34" s="38" t="str">
        <f>IF(AND('Riesgos de Gestión'!$AF$46="Media",'Riesgos de Gestión'!$AH$46="Catastrófico"),CONCATENATE("R9C",'Riesgos de Gestión'!$V$46),"")</f>
        <v/>
      </c>
      <c r="AI34" s="39" t="str">
        <f>IF(AND('Riesgos de Gestión'!$AF$47="Media",'Riesgos de Gestión'!$AH$47="Catastrófico"),CONCATENATE("R9C",'Riesgos de Gestión'!$V$47),"")</f>
        <v/>
      </c>
      <c r="AJ34" s="39" t="str">
        <f>IF(AND('Riesgos de Gestión'!$AF$48="Media",'Riesgos de Gestión'!$AH$48="Catastrófico"),CONCATENATE("R9C",'Riesgos de Gestión'!$V$48),"")</f>
        <v/>
      </c>
      <c r="AK34" s="39" t="str">
        <f>IF(AND('Riesgos de Gestión'!$AF$49="Media",'Riesgos de Gestión'!$AH$49="Catastrófico"),CONCATENATE("R9C",'Riesgos de Gestión'!$V$49),"")</f>
        <v/>
      </c>
      <c r="AL34" s="39" t="str">
        <f>IF(AND('Riesgos de Gestión'!$AF$50="Media",'Riesgos de Gestión'!$AH$50="Catastrófico"),CONCATENATE("R9C",'Riesgos de Gestión'!$V$50),"")</f>
        <v/>
      </c>
      <c r="AM34" s="40" t="str">
        <f>IF(AND('Riesgos de Gestión'!$AF$51="Media",'Riesgos de Gestión'!$AH$51="Catastrófico"),CONCATENATE("R9C",'Riesgos de Gestión'!$V$51),"")</f>
        <v/>
      </c>
      <c r="AN34" s="66"/>
      <c r="AO34" s="525"/>
      <c r="AP34" s="526"/>
      <c r="AQ34" s="526"/>
      <c r="AR34" s="526"/>
      <c r="AS34" s="526"/>
      <c r="AT34" s="527"/>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row>
    <row r="35" spans="1:80" ht="15.75" customHeight="1" thickBot="1" x14ac:dyDescent="0.3">
      <c r="A35" s="66"/>
      <c r="B35" s="444"/>
      <c r="C35" s="444"/>
      <c r="D35" s="445"/>
      <c r="E35" s="488"/>
      <c r="F35" s="489"/>
      <c r="G35" s="489"/>
      <c r="H35" s="489"/>
      <c r="I35" s="490"/>
      <c r="J35" s="50" t="str">
        <f>IF(AND('Riesgos de Gestión'!$AF$52="Media",'Riesgos de Gestión'!$AH$52="Leve"),CONCATENATE("R10C",'Riesgos de Gestión'!$V$52),"")</f>
        <v/>
      </c>
      <c r="K35" s="51" t="str">
        <f>IF(AND('Riesgos de Gestión'!$AF$53="Media",'Riesgos de Gestión'!$AH$53="Leve"),CONCATENATE("R10C",'Riesgos de Gestión'!$V$53),"")</f>
        <v/>
      </c>
      <c r="L35" s="51" t="str">
        <f>IF(AND('Riesgos de Gestión'!$AF$54="Media",'Riesgos de Gestión'!$AH$54="Leve"),CONCATENATE("R10C",'Riesgos de Gestión'!$V$54),"")</f>
        <v/>
      </c>
      <c r="M35" s="51" t="str">
        <f>IF(AND('Riesgos de Gestión'!$AF$55="Media",'Riesgos de Gestión'!$AH$55="Leve"),CONCATENATE("R10C",'Riesgos de Gestión'!$V$55),"")</f>
        <v/>
      </c>
      <c r="N35" s="51" t="str">
        <f>IF(AND('Riesgos de Gestión'!$AF$56="Media",'Riesgos de Gestión'!$AH$56="Leve"),CONCATENATE("R10C",'Riesgos de Gestión'!$V$56),"")</f>
        <v/>
      </c>
      <c r="O35" s="52" t="str">
        <f>IF(AND('Riesgos de Gestión'!$AF$57="Media",'Riesgos de Gestión'!$AH$57="Leve"),CONCATENATE("R10C",'Riesgos de Gestión'!$V$57),"")</f>
        <v/>
      </c>
      <c r="P35" s="50" t="str">
        <f>IF(AND('Riesgos de Gestión'!$AF$52="Media",'Riesgos de Gestión'!$AH$52="Menor"),CONCATENATE("R10C",'Riesgos de Gestión'!$V$52),"")</f>
        <v/>
      </c>
      <c r="Q35" s="51" t="str">
        <f>IF(AND('Riesgos de Gestión'!$AF$53="Media",'Riesgos de Gestión'!$AH$53="Menor"),CONCATENATE("R10C",'Riesgos de Gestión'!$V$53),"")</f>
        <v/>
      </c>
      <c r="R35" s="51" t="str">
        <f>IF(AND('Riesgos de Gestión'!$AF$54="Media",'Riesgos de Gestión'!$AH$54="Menor"),CONCATENATE("R10C",'Riesgos de Gestión'!$V$54),"")</f>
        <v/>
      </c>
      <c r="S35" s="51" t="str">
        <f>IF(AND('Riesgos de Gestión'!$AF$55="Media",'Riesgos de Gestión'!$AH$55="Menor"),CONCATENATE("R10C",'Riesgos de Gestión'!$V$55),"")</f>
        <v/>
      </c>
      <c r="T35" s="51" t="str">
        <f>IF(AND('Riesgos de Gestión'!$AF$56="Media",'Riesgos de Gestión'!$AH$56="Menor"),CONCATENATE("R10C",'Riesgos de Gestión'!$V$56),"")</f>
        <v/>
      </c>
      <c r="U35" s="52" t="str">
        <f>IF(AND('Riesgos de Gestión'!$AF$57="Media",'Riesgos de Gestión'!$AH$57="Menor"),CONCATENATE("R10C",'Riesgos de Gestión'!$V$57),"")</f>
        <v/>
      </c>
      <c r="V35" s="50" t="str">
        <f>IF(AND('Riesgos de Gestión'!$AF$52="Media",'Riesgos de Gestión'!$AH$52="Moderado"),CONCATENATE("R10C",'Riesgos de Gestión'!$V$52),"")</f>
        <v/>
      </c>
      <c r="W35" s="51" t="str">
        <f>IF(AND('Riesgos de Gestión'!$AF$53="Media",'Riesgos de Gestión'!$AH$53="Moderado"),CONCATENATE("R10C",'Riesgos de Gestión'!$V$53),"")</f>
        <v/>
      </c>
      <c r="X35" s="51" t="str">
        <f>IF(AND('Riesgos de Gestión'!$AF$54="Media",'Riesgos de Gestión'!$AH$54="Moderado"),CONCATENATE("R10C",'Riesgos de Gestión'!$V$54),"")</f>
        <v/>
      </c>
      <c r="Y35" s="51" t="str">
        <f>IF(AND('Riesgos de Gestión'!$AF$55="Media",'Riesgos de Gestión'!$AH$55="Moderado"),CONCATENATE("R10C",'Riesgos de Gestión'!$V$55),"")</f>
        <v/>
      </c>
      <c r="Z35" s="51" t="str">
        <f>IF(AND('Riesgos de Gestión'!$AF$56="Media",'Riesgos de Gestión'!$AH$56="Moderado"),CONCATENATE("R10C",'Riesgos de Gestión'!$V$56),"")</f>
        <v/>
      </c>
      <c r="AA35" s="52" t="str">
        <f>IF(AND('Riesgos de Gestión'!$AF$57="Media",'Riesgos de Gestión'!$AH$57="Moderado"),CONCATENATE("R10C",'Riesgos de Gestión'!$V$57),"")</f>
        <v/>
      </c>
      <c r="AB35" s="41" t="str">
        <f>IF(AND('Riesgos de Gestión'!$AF$52="Media",'Riesgos de Gestión'!$AH$52="Mayor"),CONCATENATE("R10C",'Riesgos de Gestión'!$V$52),"")</f>
        <v/>
      </c>
      <c r="AC35" s="42" t="str">
        <f>IF(AND('Riesgos de Gestión'!$AF$53="Media",'Riesgos de Gestión'!$AH$53="Mayor"),CONCATENATE("R10C",'Riesgos de Gestión'!$V$53),"")</f>
        <v/>
      </c>
      <c r="AD35" s="42" t="str">
        <f>IF(AND('Riesgos de Gestión'!$AF$54="Media",'Riesgos de Gestión'!$AH$54="Mayor"),CONCATENATE("R10C",'Riesgos de Gestión'!$V$54),"")</f>
        <v/>
      </c>
      <c r="AE35" s="42" t="str">
        <f>IF(AND('Riesgos de Gestión'!$AF$55="Media",'Riesgos de Gestión'!$AH$55="Mayor"),CONCATENATE("R10C",'Riesgos de Gestión'!$V$55),"")</f>
        <v/>
      </c>
      <c r="AF35" s="42" t="str">
        <f>IF(AND('Riesgos de Gestión'!$AF$56="Media",'Riesgos de Gestión'!$AH$56="Mayor"),CONCATENATE("R10C",'Riesgos de Gestión'!$V$56),"")</f>
        <v/>
      </c>
      <c r="AG35" s="43" t="str">
        <f>IF(AND('Riesgos de Gestión'!$AF$57="Media",'Riesgos de Gestión'!$AH$57="Mayor"),CONCATENATE("R10C",'Riesgos de Gestión'!$V$57),"")</f>
        <v/>
      </c>
      <c r="AH35" s="44" t="str">
        <f>IF(AND('Riesgos de Gestión'!$AF$52="Media",'Riesgos de Gestión'!$AH$52="Catastrófico"),CONCATENATE("R10C",'Riesgos de Gestión'!$V$52),"")</f>
        <v/>
      </c>
      <c r="AI35" s="45" t="str">
        <f>IF(AND('Riesgos de Gestión'!$AF$53="Media",'Riesgos de Gestión'!$AH$53="Catastrófico"),CONCATENATE("R10C",'Riesgos de Gestión'!$V$53),"")</f>
        <v/>
      </c>
      <c r="AJ35" s="45" t="str">
        <f>IF(AND('Riesgos de Gestión'!$AF$54="Media",'Riesgos de Gestión'!$AH$54="Catastrófico"),CONCATENATE("R10C",'Riesgos de Gestión'!$V$54),"")</f>
        <v/>
      </c>
      <c r="AK35" s="45" t="str">
        <f>IF(AND('Riesgos de Gestión'!$AF$55="Media",'Riesgos de Gestión'!$AH$55="Catastrófico"),CONCATENATE("R10C",'Riesgos de Gestión'!$V$55),"")</f>
        <v/>
      </c>
      <c r="AL35" s="45" t="str">
        <f>IF(AND('Riesgos de Gestión'!$AF$56="Media",'Riesgos de Gestión'!$AH$56="Catastrófico"),CONCATENATE("R10C",'Riesgos de Gestión'!$V$56),"")</f>
        <v/>
      </c>
      <c r="AM35" s="46" t="str">
        <f>IF(AND('Riesgos de Gestión'!$AF$57="Media",'Riesgos de Gestión'!$AH$57="Catastrófico"),CONCATENATE("R10C",'Riesgos de Gestión'!$V$57),"")</f>
        <v/>
      </c>
      <c r="AN35" s="66"/>
      <c r="AO35" s="528"/>
      <c r="AP35" s="529"/>
      <c r="AQ35" s="529"/>
      <c r="AR35" s="529"/>
      <c r="AS35" s="529"/>
      <c r="AT35" s="530"/>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row>
    <row r="36" spans="1:80" ht="15" customHeight="1" x14ac:dyDescent="0.25">
      <c r="A36" s="66"/>
      <c r="B36" s="444"/>
      <c r="C36" s="444"/>
      <c r="D36" s="445"/>
      <c r="E36" s="482" t="s">
        <v>271</v>
      </c>
      <c r="F36" s="483"/>
      <c r="G36" s="483"/>
      <c r="H36" s="483"/>
      <c r="I36" s="483"/>
      <c r="J36" s="56" t="str">
        <f>IF(AND('Riesgos de Gestión'!$AF$13="Baja",'Riesgos de Gestión'!$AH$13="Leve"),CONCATENATE("R1C",'Riesgos de Gestión'!$V$13),"")</f>
        <v/>
      </c>
      <c r="K36" s="57" t="e">
        <f>IF(AND('Riesgos de Gestión'!#REF!="Baja",'Riesgos de Gestión'!#REF!="Leve"),CONCATENATE("R1C",'Riesgos de Gestión'!#REF!),"")</f>
        <v>#REF!</v>
      </c>
      <c r="L36" s="57" t="e">
        <f>IF(AND('Riesgos de Gestión'!#REF!="Baja",'Riesgos de Gestión'!#REF!="Leve"),CONCATENATE("R1C",'Riesgos de Gestión'!#REF!),"")</f>
        <v>#REF!</v>
      </c>
      <c r="M36" s="57" t="e">
        <f>IF(AND('Riesgos de Gestión'!#REF!="Baja",'Riesgos de Gestión'!#REF!="Leve"),CONCATENATE("R1C",'Riesgos de Gestión'!#REF!),"")</f>
        <v>#REF!</v>
      </c>
      <c r="N36" s="57" t="e">
        <f>IF(AND('Riesgos de Gestión'!#REF!="Baja",'Riesgos de Gestión'!#REF!="Leve"),CONCATENATE("R1C",'Riesgos de Gestión'!#REF!),"")</f>
        <v>#REF!</v>
      </c>
      <c r="O36" s="58" t="e">
        <f>IF(AND('Riesgos de Gestión'!#REF!="Baja",'Riesgos de Gestión'!#REF!="Leve"),CONCATENATE("R1C",'Riesgos de Gestión'!#REF!),"")</f>
        <v>#REF!</v>
      </c>
      <c r="P36" s="47" t="str">
        <f>IF(AND('Riesgos de Gestión'!$AF$13="Baja",'Riesgos de Gestión'!$AH$13="Menor"),CONCATENATE("R1C",'Riesgos de Gestión'!$V$13),"")</f>
        <v/>
      </c>
      <c r="Q36" s="48" t="e">
        <f>IF(AND('Riesgos de Gestión'!#REF!="Baja",'Riesgos de Gestión'!#REF!="Menor"),CONCATENATE("R1C",'Riesgos de Gestión'!#REF!),"")</f>
        <v>#REF!</v>
      </c>
      <c r="R36" s="48" t="e">
        <f>IF(AND('Riesgos de Gestión'!#REF!="Baja",'Riesgos de Gestión'!#REF!="Menor"),CONCATENATE("R1C",'Riesgos de Gestión'!#REF!),"")</f>
        <v>#REF!</v>
      </c>
      <c r="S36" s="48" t="e">
        <f>IF(AND('Riesgos de Gestión'!#REF!="Baja",'Riesgos de Gestión'!#REF!="Menor"),CONCATENATE("R1C",'Riesgos de Gestión'!#REF!),"")</f>
        <v>#REF!</v>
      </c>
      <c r="T36" s="48" t="e">
        <f>IF(AND('Riesgos de Gestión'!#REF!="Baja",'Riesgos de Gestión'!#REF!="Menor"),CONCATENATE("R1C",'Riesgos de Gestión'!#REF!),"")</f>
        <v>#REF!</v>
      </c>
      <c r="U36" s="49" t="e">
        <f>IF(AND('Riesgos de Gestión'!#REF!="Baja",'Riesgos de Gestión'!#REF!="Menor"),CONCATENATE("R1C",'Riesgos de Gestión'!#REF!),"")</f>
        <v>#REF!</v>
      </c>
      <c r="V36" s="47" t="str">
        <f>IF(AND('Riesgos de Gestión'!$AF$13="Baja",'Riesgos de Gestión'!$AH$13="Moderado"),CONCATENATE("R1C",'Riesgos de Gestión'!$V$13),"")</f>
        <v>R1C1</v>
      </c>
      <c r="W36" s="48" t="e">
        <f>IF(AND('Riesgos de Gestión'!#REF!="Baja",'Riesgos de Gestión'!#REF!="Moderado"),CONCATENATE("R1C",'Riesgos de Gestión'!#REF!),"")</f>
        <v>#REF!</v>
      </c>
      <c r="X36" s="48" t="e">
        <f>IF(AND('Riesgos de Gestión'!#REF!="Baja",'Riesgos de Gestión'!#REF!="Moderado"),CONCATENATE("R1C",'Riesgos de Gestión'!#REF!),"")</f>
        <v>#REF!</v>
      </c>
      <c r="Y36" s="48" t="e">
        <f>IF(AND('Riesgos de Gestión'!#REF!="Baja",'Riesgos de Gestión'!#REF!="Moderado"),CONCATENATE("R1C",'Riesgos de Gestión'!#REF!),"")</f>
        <v>#REF!</v>
      </c>
      <c r="Z36" s="48" t="e">
        <f>IF(AND('Riesgos de Gestión'!#REF!="Baja",'Riesgos de Gestión'!#REF!="Moderado"),CONCATENATE("R1C",'Riesgos de Gestión'!#REF!),"")</f>
        <v>#REF!</v>
      </c>
      <c r="AA36" s="49" t="e">
        <f>IF(AND('Riesgos de Gestión'!#REF!="Baja",'Riesgos de Gestión'!#REF!="Moderado"),CONCATENATE("R1C",'Riesgos de Gestión'!#REF!),"")</f>
        <v>#REF!</v>
      </c>
      <c r="AB36" s="29" t="str">
        <f>IF(AND('Riesgos de Gestión'!$AF$13="Baja",'Riesgos de Gestión'!$AH$13="Mayor"),CONCATENATE("R1C",'Riesgos de Gestión'!$V$13),"")</f>
        <v/>
      </c>
      <c r="AC36" s="30" t="e">
        <f>IF(AND('Riesgos de Gestión'!#REF!="Baja",'Riesgos de Gestión'!#REF!="Mayor"),CONCATENATE("R1C",'Riesgos de Gestión'!#REF!),"")</f>
        <v>#REF!</v>
      </c>
      <c r="AD36" s="30" t="e">
        <f>IF(AND('Riesgos de Gestión'!#REF!="Baja",'Riesgos de Gestión'!#REF!="Mayor"),CONCATENATE("R1C",'Riesgos de Gestión'!#REF!),"")</f>
        <v>#REF!</v>
      </c>
      <c r="AE36" s="30" t="e">
        <f>IF(AND('Riesgos de Gestión'!#REF!="Baja",'Riesgos de Gestión'!#REF!="Mayor"),CONCATENATE("R1C",'Riesgos de Gestión'!#REF!),"")</f>
        <v>#REF!</v>
      </c>
      <c r="AF36" s="30" t="e">
        <f>IF(AND('Riesgos de Gestión'!#REF!="Baja",'Riesgos de Gestión'!#REF!="Mayor"),CONCATENATE("R1C",'Riesgos de Gestión'!#REF!),"")</f>
        <v>#REF!</v>
      </c>
      <c r="AG36" s="31" t="e">
        <f>IF(AND('Riesgos de Gestión'!#REF!="Baja",'Riesgos de Gestión'!#REF!="Mayor"),CONCATENATE("R1C",'Riesgos de Gestión'!#REF!),"")</f>
        <v>#REF!</v>
      </c>
      <c r="AH36" s="32" t="str">
        <f>IF(AND('Riesgos de Gestión'!$AF$13="Baja",'Riesgos de Gestión'!$AH$13="Catastrófico"),CONCATENATE("R1C",'Riesgos de Gestión'!$V$13),"")</f>
        <v/>
      </c>
      <c r="AI36" s="33" t="e">
        <f>IF(AND('Riesgos de Gestión'!#REF!="Baja",'Riesgos de Gestión'!#REF!="Catastrófico"),CONCATENATE("R1C",'Riesgos de Gestión'!#REF!),"")</f>
        <v>#REF!</v>
      </c>
      <c r="AJ36" s="33" t="e">
        <f>IF(AND('Riesgos de Gestión'!#REF!="Baja",'Riesgos de Gestión'!#REF!="Catastrófico"),CONCATENATE("R1C",'Riesgos de Gestión'!#REF!),"")</f>
        <v>#REF!</v>
      </c>
      <c r="AK36" s="33" t="e">
        <f>IF(AND('Riesgos de Gestión'!#REF!="Baja",'Riesgos de Gestión'!#REF!="Catastrófico"),CONCATENATE("R1C",'Riesgos de Gestión'!#REF!),"")</f>
        <v>#REF!</v>
      </c>
      <c r="AL36" s="33" t="e">
        <f>IF(AND('Riesgos de Gestión'!#REF!="Baja",'Riesgos de Gestión'!#REF!="Catastrófico"),CONCATENATE("R1C",'Riesgos de Gestión'!#REF!),"")</f>
        <v>#REF!</v>
      </c>
      <c r="AM36" s="34" t="e">
        <f>IF(AND('Riesgos de Gestión'!#REF!="Baja",'Riesgos de Gestión'!#REF!="Catastrófico"),CONCATENATE("R1C",'Riesgos de Gestión'!#REF!),"")</f>
        <v>#REF!</v>
      </c>
      <c r="AN36" s="66"/>
      <c r="AO36" s="513" t="s">
        <v>272</v>
      </c>
      <c r="AP36" s="514"/>
      <c r="AQ36" s="514"/>
      <c r="AR36" s="514"/>
      <c r="AS36" s="514"/>
      <c r="AT36" s="515"/>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row>
    <row r="37" spans="1:80" ht="15" customHeight="1" x14ac:dyDescent="0.25">
      <c r="A37" s="66"/>
      <c r="B37" s="444"/>
      <c r="C37" s="444"/>
      <c r="D37" s="445"/>
      <c r="E37" s="501"/>
      <c r="F37" s="486"/>
      <c r="G37" s="486"/>
      <c r="H37" s="486"/>
      <c r="I37" s="486"/>
      <c r="J37" s="59" t="str">
        <f>IF(AND('Riesgos de Gestión'!$AF$14="Baja",'Riesgos de Gestión'!$AH$14="Leve"),CONCATENATE("R2C",'Riesgos de Gestión'!$V$14),"")</f>
        <v>R2C1</v>
      </c>
      <c r="K37" s="60" t="e">
        <f>IF(AND('Riesgos de Gestión'!#REF!="Baja",'Riesgos de Gestión'!#REF!="Leve"),CONCATENATE("R2C",'Riesgos de Gestión'!#REF!),"")</f>
        <v>#REF!</v>
      </c>
      <c r="L37" s="60" t="e">
        <f>IF(AND('Riesgos de Gestión'!#REF!="Baja",'Riesgos de Gestión'!#REF!="Leve"),CONCATENATE("R2C",'Riesgos de Gestión'!#REF!),"")</f>
        <v>#REF!</v>
      </c>
      <c r="M37" s="60" t="e">
        <f>IF(AND('Riesgos de Gestión'!#REF!="Baja",'Riesgos de Gestión'!#REF!="Leve"),CONCATENATE("R2C",'Riesgos de Gestión'!#REF!),"")</f>
        <v>#REF!</v>
      </c>
      <c r="N37" s="60" t="e">
        <f>IF(AND('Riesgos de Gestión'!#REF!="Baja",'Riesgos de Gestión'!#REF!="Leve"),CONCATENATE("R2C",'Riesgos de Gestión'!#REF!),"")</f>
        <v>#REF!</v>
      </c>
      <c r="O37" s="61" t="e">
        <f>IF(AND('Riesgos de Gestión'!#REF!="Baja",'Riesgos de Gestión'!#REF!="Leve"),CONCATENATE("R2C",'Riesgos de Gestión'!#REF!),"")</f>
        <v>#REF!</v>
      </c>
      <c r="P37" s="50" t="str">
        <f>IF(AND('Riesgos de Gestión'!$AF$14="Baja",'Riesgos de Gestión'!$AH$14="Menor"),CONCATENATE("R2C",'Riesgos de Gestión'!$V$14),"")</f>
        <v/>
      </c>
      <c r="Q37" s="51" t="e">
        <f>IF(AND('Riesgos de Gestión'!#REF!="Baja",'Riesgos de Gestión'!#REF!="Menor"),CONCATENATE("R2C",'Riesgos de Gestión'!#REF!),"")</f>
        <v>#REF!</v>
      </c>
      <c r="R37" s="51" t="e">
        <f>IF(AND('Riesgos de Gestión'!#REF!="Baja",'Riesgos de Gestión'!#REF!="Menor"),CONCATENATE("R2C",'Riesgos de Gestión'!#REF!),"")</f>
        <v>#REF!</v>
      </c>
      <c r="S37" s="51" t="e">
        <f>IF(AND('Riesgos de Gestión'!#REF!="Baja",'Riesgos de Gestión'!#REF!="Menor"),CONCATENATE("R2C",'Riesgos de Gestión'!#REF!),"")</f>
        <v>#REF!</v>
      </c>
      <c r="T37" s="51" t="e">
        <f>IF(AND('Riesgos de Gestión'!#REF!="Baja",'Riesgos de Gestión'!#REF!="Menor"),CONCATENATE("R2C",'Riesgos de Gestión'!#REF!),"")</f>
        <v>#REF!</v>
      </c>
      <c r="U37" s="52" t="e">
        <f>IF(AND('Riesgos de Gestión'!#REF!="Baja",'Riesgos de Gestión'!#REF!="Menor"),CONCATENATE("R2C",'Riesgos de Gestión'!#REF!),"")</f>
        <v>#REF!</v>
      </c>
      <c r="V37" s="50" t="str">
        <f>IF(AND('Riesgos de Gestión'!$AF$14="Baja",'Riesgos de Gestión'!$AH$14="Moderado"),CONCATENATE("R2C",'Riesgos de Gestión'!$V$14),"")</f>
        <v/>
      </c>
      <c r="W37" s="51" t="e">
        <f>IF(AND('Riesgos de Gestión'!#REF!="Baja",'Riesgos de Gestión'!#REF!="Moderado"),CONCATENATE("R2C",'Riesgos de Gestión'!#REF!),"")</f>
        <v>#REF!</v>
      </c>
      <c r="X37" s="51" t="e">
        <f>IF(AND('Riesgos de Gestión'!#REF!="Baja",'Riesgos de Gestión'!#REF!="Moderado"),CONCATENATE("R2C",'Riesgos de Gestión'!#REF!),"")</f>
        <v>#REF!</v>
      </c>
      <c r="Y37" s="51" t="e">
        <f>IF(AND('Riesgos de Gestión'!#REF!="Baja",'Riesgos de Gestión'!#REF!="Moderado"),CONCATENATE("R2C",'Riesgos de Gestión'!#REF!),"")</f>
        <v>#REF!</v>
      </c>
      <c r="Z37" s="51" t="e">
        <f>IF(AND('Riesgos de Gestión'!#REF!="Baja",'Riesgos de Gestión'!#REF!="Moderado"),CONCATENATE("R2C",'Riesgos de Gestión'!#REF!),"")</f>
        <v>#REF!</v>
      </c>
      <c r="AA37" s="52" t="e">
        <f>IF(AND('Riesgos de Gestión'!#REF!="Baja",'Riesgos de Gestión'!#REF!="Moderado"),CONCATENATE("R2C",'Riesgos de Gestión'!#REF!),"")</f>
        <v>#REF!</v>
      </c>
      <c r="AB37" s="35" t="str">
        <f>IF(AND('Riesgos de Gestión'!$AF$14="Baja",'Riesgos de Gestión'!$AH$14="Mayor"),CONCATENATE("R2C",'Riesgos de Gestión'!$V$14),"")</f>
        <v/>
      </c>
      <c r="AC37" s="36" t="e">
        <f>IF(AND('Riesgos de Gestión'!#REF!="Baja",'Riesgos de Gestión'!#REF!="Mayor"),CONCATENATE("R2C",'Riesgos de Gestión'!#REF!),"")</f>
        <v>#REF!</v>
      </c>
      <c r="AD37" s="36" t="e">
        <f>IF(AND('Riesgos de Gestión'!#REF!="Baja",'Riesgos de Gestión'!#REF!="Mayor"),CONCATENATE("R2C",'Riesgos de Gestión'!#REF!),"")</f>
        <v>#REF!</v>
      </c>
      <c r="AE37" s="36" t="e">
        <f>IF(AND('Riesgos de Gestión'!#REF!="Baja",'Riesgos de Gestión'!#REF!="Mayor"),CONCATENATE("R2C",'Riesgos de Gestión'!#REF!),"")</f>
        <v>#REF!</v>
      </c>
      <c r="AF37" s="36" t="e">
        <f>IF(AND('Riesgos de Gestión'!#REF!="Baja",'Riesgos de Gestión'!#REF!="Mayor"),CONCATENATE("R2C",'Riesgos de Gestión'!#REF!),"")</f>
        <v>#REF!</v>
      </c>
      <c r="AG37" s="37" t="e">
        <f>IF(AND('Riesgos de Gestión'!#REF!="Baja",'Riesgos de Gestión'!#REF!="Mayor"),CONCATENATE("R2C",'Riesgos de Gestión'!#REF!),"")</f>
        <v>#REF!</v>
      </c>
      <c r="AH37" s="38" t="str">
        <f>IF(AND('Riesgos de Gestión'!$AF$14="Baja",'Riesgos de Gestión'!$AH$14="Catastrófico"),CONCATENATE("R2C",'Riesgos de Gestión'!$V$14),"")</f>
        <v/>
      </c>
      <c r="AI37" s="39" t="e">
        <f>IF(AND('Riesgos de Gestión'!#REF!="Baja",'Riesgos de Gestión'!#REF!="Catastrófico"),CONCATENATE("R2C",'Riesgos de Gestión'!#REF!),"")</f>
        <v>#REF!</v>
      </c>
      <c r="AJ37" s="39" t="e">
        <f>IF(AND('Riesgos de Gestión'!#REF!="Baja",'Riesgos de Gestión'!#REF!="Catastrófico"),CONCATENATE("R2C",'Riesgos de Gestión'!#REF!),"")</f>
        <v>#REF!</v>
      </c>
      <c r="AK37" s="39" t="e">
        <f>IF(AND('Riesgos de Gestión'!#REF!="Baja",'Riesgos de Gestión'!#REF!="Catastrófico"),CONCATENATE("R2C",'Riesgos de Gestión'!#REF!),"")</f>
        <v>#REF!</v>
      </c>
      <c r="AL37" s="39" t="e">
        <f>IF(AND('Riesgos de Gestión'!#REF!="Baja",'Riesgos de Gestión'!#REF!="Catastrófico"),CONCATENATE("R2C",'Riesgos de Gestión'!#REF!),"")</f>
        <v>#REF!</v>
      </c>
      <c r="AM37" s="40" t="e">
        <f>IF(AND('Riesgos de Gestión'!#REF!="Baja",'Riesgos de Gestión'!#REF!="Catastrófico"),CONCATENATE("R2C",'Riesgos de Gestión'!#REF!),"")</f>
        <v>#REF!</v>
      </c>
      <c r="AN37" s="66"/>
      <c r="AO37" s="516"/>
      <c r="AP37" s="517"/>
      <c r="AQ37" s="517"/>
      <c r="AR37" s="517"/>
      <c r="AS37" s="517"/>
      <c r="AT37" s="518"/>
      <c r="AU37" s="66"/>
      <c r="AV37" s="66"/>
      <c r="AW37" s="66"/>
      <c r="AX37" s="66"/>
      <c r="AY37" s="66"/>
      <c r="AZ37" s="66"/>
      <c r="BA37" s="66"/>
      <c r="BB37" s="66"/>
      <c r="BC37" s="66"/>
      <c r="BD37" s="66"/>
      <c r="BE37" s="66"/>
      <c r="BF37" s="66"/>
      <c r="BG37" s="66"/>
      <c r="BH37" s="66"/>
      <c r="BI37" s="66"/>
      <c r="BJ37" s="66"/>
      <c r="BK37" s="66"/>
      <c r="BL37" s="66"/>
      <c r="BM37" s="66"/>
      <c r="BN37" s="66"/>
      <c r="BO37" s="66"/>
      <c r="BP37" s="66"/>
      <c r="BQ37" s="66"/>
      <c r="BR37" s="66"/>
      <c r="BS37" s="66"/>
      <c r="BT37" s="66"/>
      <c r="BU37" s="66"/>
      <c r="BV37" s="66"/>
      <c r="BW37" s="66"/>
      <c r="BX37" s="66"/>
    </row>
    <row r="38" spans="1:80" ht="15" customHeight="1" x14ac:dyDescent="0.25">
      <c r="A38" s="66"/>
      <c r="B38" s="444"/>
      <c r="C38" s="444"/>
      <c r="D38" s="445"/>
      <c r="E38" s="485"/>
      <c r="F38" s="486"/>
      <c r="G38" s="486"/>
      <c r="H38" s="486"/>
      <c r="I38" s="486"/>
      <c r="J38" s="59" t="str">
        <f>IF(AND('Riesgos de Gestión'!$AF$15="Baja",'Riesgos de Gestión'!$AH$15="Leve"),CONCATENATE("R3C",'Riesgos de Gestión'!$V$15),"")</f>
        <v>R3C1</v>
      </c>
      <c r="K38" s="60" t="e">
        <f>IF(AND('Riesgos de Gestión'!#REF!="Baja",'Riesgos de Gestión'!#REF!="Leve"),CONCATENATE("R3C",'Riesgos de Gestión'!#REF!),"")</f>
        <v>#REF!</v>
      </c>
      <c r="L38" s="60" t="e">
        <f>IF(AND('Riesgos de Gestión'!#REF!="Baja",'Riesgos de Gestión'!#REF!="Leve"),CONCATENATE("R3C",'Riesgos de Gestión'!#REF!),"")</f>
        <v>#REF!</v>
      </c>
      <c r="M38" s="60" t="e">
        <f>IF(AND('Riesgos de Gestión'!#REF!="Baja",'Riesgos de Gestión'!#REF!="Leve"),CONCATENATE("R3C",'Riesgos de Gestión'!#REF!),"")</f>
        <v>#REF!</v>
      </c>
      <c r="N38" s="60" t="e">
        <f>IF(AND('Riesgos de Gestión'!#REF!="Baja",'Riesgos de Gestión'!#REF!="Leve"),CONCATENATE("R3C",'Riesgos de Gestión'!#REF!),"")</f>
        <v>#REF!</v>
      </c>
      <c r="O38" s="61" t="e">
        <f>IF(AND('Riesgos de Gestión'!#REF!="Baja",'Riesgos de Gestión'!#REF!="Leve"),CONCATENATE("R3C",'Riesgos de Gestión'!#REF!),"")</f>
        <v>#REF!</v>
      </c>
      <c r="P38" s="50" t="str">
        <f>IF(AND('Riesgos de Gestión'!$AF$15="Baja",'Riesgos de Gestión'!$AH$15="Menor"),CONCATENATE("R3C",'Riesgos de Gestión'!$V$15),"")</f>
        <v/>
      </c>
      <c r="Q38" s="51" t="e">
        <f>IF(AND('Riesgos de Gestión'!#REF!="Baja",'Riesgos de Gestión'!#REF!="Menor"),CONCATENATE("R3C",'Riesgos de Gestión'!#REF!),"")</f>
        <v>#REF!</v>
      </c>
      <c r="R38" s="51" t="e">
        <f>IF(AND('Riesgos de Gestión'!#REF!="Baja",'Riesgos de Gestión'!#REF!="Menor"),CONCATENATE("R3C",'Riesgos de Gestión'!#REF!),"")</f>
        <v>#REF!</v>
      </c>
      <c r="S38" s="51" t="e">
        <f>IF(AND('Riesgos de Gestión'!#REF!="Baja",'Riesgos de Gestión'!#REF!="Menor"),CONCATENATE("R3C",'Riesgos de Gestión'!#REF!),"")</f>
        <v>#REF!</v>
      </c>
      <c r="T38" s="51" t="e">
        <f>IF(AND('Riesgos de Gestión'!#REF!="Baja",'Riesgos de Gestión'!#REF!="Menor"),CONCATENATE("R3C",'Riesgos de Gestión'!#REF!),"")</f>
        <v>#REF!</v>
      </c>
      <c r="U38" s="52" t="e">
        <f>IF(AND('Riesgos de Gestión'!#REF!="Baja",'Riesgos de Gestión'!#REF!="Menor"),CONCATENATE("R3C",'Riesgos de Gestión'!#REF!),"")</f>
        <v>#REF!</v>
      </c>
      <c r="V38" s="50" t="str">
        <f>IF(AND('Riesgos de Gestión'!$AF$15="Baja",'Riesgos de Gestión'!$AH$15="Moderado"),CONCATENATE("R3C",'Riesgos de Gestión'!$V$15),"")</f>
        <v/>
      </c>
      <c r="W38" s="51" t="e">
        <f>IF(AND('Riesgos de Gestión'!#REF!="Baja",'Riesgos de Gestión'!#REF!="Moderado"),CONCATENATE("R3C",'Riesgos de Gestión'!#REF!),"")</f>
        <v>#REF!</v>
      </c>
      <c r="X38" s="51" t="e">
        <f>IF(AND('Riesgos de Gestión'!#REF!="Baja",'Riesgos de Gestión'!#REF!="Moderado"),CONCATENATE("R3C",'Riesgos de Gestión'!#REF!),"")</f>
        <v>#REF!</v>
      </c>
      <c r="Y38" s="51" t="e">
        <f>IF(AND('Riesgos de Gestión'!#REF!="Baja",'Riesgos de Gestión'!#REF!="Moderado"),CONCATENATE("R3C",'Riesgos de Gestión'!#REF!),"")</f>
        <v>#REF!</v>
      </c>
      <c r="Z38" s="51" t="e">
        <f>IF(AND('Riesgos de Gestión'!#REF!="Baja",'Riesgos de Gestión'!#REF!="Moderado"),CONCATENATE("R3C",'Riesgos de Gestión'!#REF!),"")</f>
        <v>#REF!</v>
      </c>
      <c r="AA38" s="52" t="e">
        <f>IF(AND('Riesgos de Gestión'!#REF!="Baja",'Riesgos de Gestión'!#REF!="Moderado"),CONCATENATE("R3C",'Riesgos de Gestión'!#REF!),"")</f>
        <v>#REF!</v>
      </c>
      <c r="AB38" s="35" t="str">
        <f>IF(AND('Riesgos de Gestión'!$AF$15="Baja",'Riesgos de Gestión'!$AH$15="Mayor"),CONCATENATE("R3C",'Riesgos de Gestión'!$V$15),"")</f>
        <v/>
      </c>
      <c r="AC38" s="36" t="e">
        <f>IF(AND('Riesgos de Gestión'!#REF!="Baja",'Riesgos de Gestión'!#REF!="Mayor"),CONCATENATE("R3C",'Riesgos de Gestión'!#REF!),"")</f>
        <v>#REF!</v>
      </c>
      <c r="AD38" s="36" t="e">
        <f>IF(AND('Riesgos de Gestión'!#REF!="Baja",'Riesgos de Gestión'!#REF!="Mayor"),CONCATENATE("R3C",'Riesgos de Gestión'!#REF!),"")</f>
        <v>#REF!</v>
      </c>
      <c r="AE38" s="36" t="e">
        <f>IF(AND('Riesgos de Gestión'!#REF!="Baja",'Riesgos de Gestión'!#REF!="Mayor"),CONCATENATE("R3C",'Riesgos de Gestión'!#REF!),"")</f>
        <v>#REF!</v>
      </c>
      <c r="AF38" s="36" t="e">
        <f>IF(AND('Riesgos de Gestión'!#REF!="Baja",'Riesgos de Gestión'!#REF!="Mayor"),CONCATENATE("R3C",'Riesgos de Gestión'!#REF!),"")</f>
        <v>#REF!</v>
      </c>
      <c r="AG38" s="37" t="e">
        <f>IF(AND('Riesgos de Gestión'!#REF!="Baja",'Riesgos de Gestión'!#REF!="Mayor"),CONCATENATE("R3C",'Riesgos de Gestión'!#REF!),"")</f>
        <v>#REF!</v>
      </c>
      <c r="AH38" s="38" t="str">
        <f>IF(AND('Riesgos de Gestión'!$AF$15="Baja",'Riesgos de Gestión'!$AH$15="Catastrófico"),CONCATENATE("R3C",'Riesgos de Gestión'!$V$15),"")</f>
        <v/>
      </c>
      <c r="AI38" s="39" t="e">
        <f>IF(AND('Riesgos de Gestión'!#REF!="Baja",'Riesgos de Gestión'!#REF!="Catastrófico"),CONCATENATE("R3C",'Riesgos de Gestión'!#REF!),"")</f>
        <v>#REF!</v>
      </c>
      <c r="AJ38" s="39" t="e">
        <f>IF(AND('Riesgos de Gestión'!#REF!="Baja",'Riesgos de Gestión'!#REF!="Catastrófico"),CONCATENATE("R3C",'Riesgos de Gestión'!#REF!),"")</f>
        <v>#REF!</v>
      </c>
      <c r="AK38" s="39" t="e">
        <f>IF(AND('Riesgos de Gestión'!#REF!="Baja",'Riesgos de Gestión'!#REF!="Catastrófico"),CONCATENATE("R3C",'Riesgos de Gestión'!#REF!),"")</f>
        <v>#REF!</v>
      </c>
      <c r="AL38" s="39" t="e">
        <f>IF(AND('Riesgos de Gestión'!#REF!="Baja",'Riesgos de Gestión'!#REF!="Catastrófico"),CONCATENATE("R3C",'Riesgos de Gestión'!#REF!),"")</f>
        <v>#REF!</v>
      </c>
      <c r="AM38" s="40" t="e">
        <f>IF(AND('Riesgos de Gestión'!#REF!="Baja",'Riesgos de Gestión'!#REF!="Catastrófico"),CONCATENATE("R3C",'Riesgos de Gestión'!#REF!),"")</f>
        <v>#REF!</v>
      </c>
      <c r="AN38" s="66"/>
      <c r="AO38" s="516"/>
      <c r="AP38" s="517"/>
      <c r="AQ38" s="517"/>
      <c r="AR38" s="517"/>
      <c r="AS38" s="517"/>
      <c r="AT38" s="518"/>
      <c r="AU38" s="66"/>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row>
    <row r="39" spans="1:80" ht="15" customHeight="1" x14ac:dyDescent="0.25">
      <c r="A39" s="66"/>
      <c r="B39" s="444"/>
      <c r="C39" s="444"/>
      <c r="D39" s="445"/>
      <c r="E39" s="485"/>
      <c r="F39" s="486"/>
      <c r="G39" s="486"/>
      <c r="H39" s="486"/>
      <c r="I39" s="486"/>
      <c r="J39" s="59" t="str">
        <f>IF(AND('Riesgos de Gestión'!$AF$16="Baja",'Riesgos de Gestión'!$AH$16="Leve"),CONCATENATE("R4C",'Riesgos de Gestión'!$V$16),"")</f>
        <v/>
      </c>
      <c r="K39" s="60" t="str">
        <f>IF(AND('Riesgos de Gestión'!$AF$17="Baja",'Riesgos de Gestión'!$AH$17="Leve"),CONCATENATE("R4C",'Riesgos de Gestión'!$V$17),"")</f>
        <v/>
      </c>
      <c r="L39" s="60" t="str">
        <f>IF(AND('Riesgos de Gestión'!$AF$18="Baja",'Riesgos de Gestión'!$AH$18="Leve"),CONCATENATE("R4C",'Riesgos de Gestión'!$V$18),"")</f>
        <v/>
      </c>
      <c r="M39" s="60" t="str">
        <f>IF(AND('Riesgos de Gestión'!$AF$19="Baja",'Riesgos de Gestión'!$AH$19="Leve"),CONCATENATE("R4C",'Riesgos de Gestión'!$V$19),"")</f>
        <v/>
      </c>
      <c r="N39" s="60" t="str">
        <f>IF(AND('Riesgos de Gestión'!$AF$20="Baja",'Riesgos de Gestión'!$AH$20="Leve"),CONCATENATE("R4C",'Riesgos de Gestión'!$V$20),"")</f>
        <v/>
      </c>
      <c r="O39" s="61" t="str">
        <f>IF(AND('Riesgos de Gestión'!$AF$21="Baja",'Riesgos de Gestión'!$AH$21="Leve"),CONCATENATE("R4C",'Riesgos de Gestión'!$V$21),"")</f>
        <v/>
      </c>
      <c r="P39" s="50" t="str">
        <f>IF(AND('Riesgos de Gestión'!$AF$16="Baja",'Riesgos de Gestión'!$AH$16="Menor"),CONCATENATE("R4C",'Riesgos de Gestión'!$V$16),"")</f>
        <v/>
      </c>
      <c r="Q39" s="51" t="str">
        <f>IF(AND('Riesgos de Gestión'!$AF$17="Baja",'Riesgos de Gestión'!$AH$17="Menor"),CONCATENATE("R4C",'Riesgos de Gestión'!$V$17),"")</f>
        <v/>
      </c>
      <c r="R39" s="51" t="str">
        <f>IF(AND('Riesgos de Gestión'!$AF$18="Baja",'Riesgos de Gestión'!$AH$18="Menor"),CONCATENATE("R4C",'Riesgos de Gestión'!$V$18),"")</f>
        <v/>
      </c>
      <c r="S39" s="51" t="str">
        <f>IF(AND('Riesgos de Gestión'!$AF$19="Baja",'Riesgos de Gestión'!$AH$19="Menor"),CONCATENATE("R4C",'Riesgos de Gestión'!$V$19),"")</f>
        <v/>
      </c>
      <c r="T39" s="51" t="str">
        <f>IF(AND('Riesgos de Gestión'!$AF$20="Baja",'Riesgos de Gestión'!$AH$20="Menor"),CONCATENATE("R4C",'Riesgos de Gestión'!$V$20),"")</f>
        <v/>
      </c>
      <c r="U39" s="52" t="str">
        <f>IF(AND('Riesgos de Gestión'!$AF$21="Baja",'Riesgos de Gestión'!$AH$21="Menor"),CONCATENATE("R4C",'Riesgos de Gestión'!$V$21),"")</f>
        <v/>
      </c>
      <c r="V39" s="50" t="str">
        <f>IF(AND('Riesgos de Gestión'!$AF$16="Baja",'Riesgos de Gestión'!$AH$16="Moderado"),CONCATENATE("R4C",'Riesgos de Gestión'!$V$16),"")</f>
        <v/>
      </c>
      <c r="W39" s="51" t="str">
        <f>IF(AND('Riesgos de Gestión'!$AF$17="Baja",'Riesgos de Gestión'!$AH$17="Moderado"),CONCATENATE("R4C",'Riesgos de Gestión'!$V$17),"")</f>
        <v/>
      </c>
      <c r="X39" s="51" t="str">
        <f>IF(AND('Riesgos de Gestión'!$AF$18="Baja",'Riesgos de Gestión'!$AH$18="Moderado"),CONCATENATE("R4C",'Riesgos de Gestión'!$V$18),"")</f>
        <v/>
      </c>
      <c r="Y39" s="51" t="str">
        <f>IF(AND('Riesgos de Gestión'!$AF$19="Baja",'Riesgos de Gestión'!$AH$19="Moderado"),CONCATENATE("R4C",'Riesgos de Gestión'!$V$19),"")</f>
        <v/>
      </c>
      <c r="Z39" s="51" t="str">
        <f>IF(AND('Riesgos de Gestión'!$AF$20="Baja",'Riesgos de Gestión'!$AH$20="Moderado"),CONCATENATE("R4C",'Riesgos de Gestión'!$V$20),"")</f>
        <v/>
      </c>
      <c r="AA39" s="52" t="str">
        <f>IF(AND('Riesgos de Gestión'!$AF$21="Baja",'Riesgos de Gestión'!$AH$21="Moderado"),CONCATENATE("R4C",'Riesgos de Gestión'!$V$21),"")</f>
        <v/>
      </c>
      <c r="AB39" s="35" t="str">
        <f>IF(AND('Riesgos de Gestión'!$AF$16="Baja",'Riesgos de Gestión'!$AH$16="Mayor"),CONCATENATE("R4C",'Riesgos de Gestión'!$V$16),"")</f>
        <v/>
      </c>
      <c r="AC39" s="36" t="str">
        <f>IF(AND('Riesgos de Gestión'!$AF$17="Baja",'Riesgos de Gestión'!$AH$17="Mayor"),CONCATENATE("R4C",'Riesgos de Gestión'!$V$17),"")</f>
        <v/>
      </c>
      <c r="AD39" s="36" t="str">
        <f>IF(AND('Riesgos de Gestión'!$AF$18="Baja",'Riesgos de Gestión'!$AH$18="Mayor"),CONCATENATE("R4C",'Riesgos de Gestión'!$V$18),"")</f>
        <v/>
      </c>
      <c r="AE39" s="36" t="str">
        <f>IF(AND('Riesgos de Gestión'!$AF$19="Baja",'Riesgos de Gestión'!$AH$19="Mayor"),CONCATENATE("R4C",'Riesgos de Gestión'!$V$19),"")</f>
        <v/>
      </c>
      <c r="AF39" s="36" t="str">
        <f>IF(AND('Riesgos de Gestión'!$AF$20="Baja",'Riesgos de Gestión'!$AH$20="Mayor"),CONCATENATE("R4C",'Riesgos de Gestión'!$V$20),"")</f>
        <v/>
      </c>
      <c r="AG39" s="37" t="str">
        <f>IF(AND('Riesgos de Gestión'!$AF$21="Baja",'Riesgos de Gestión'!$AH$21="Mayor"),CONCATENATE("R4C",'Riesgos de Gestión'!$V$21),"")</f>
        <v/>
      </c>
      <c r="AH39" s="38" t="str">
        <f>IF(AND('Riesgos de Gestión'!$AF$16="Baja",'Riesgos de Gestión'!$AH$16="Catastrófico"),CONCATENATE("R4C",'Riesgos de Gestión'!$V$16),"")</f>
        <v/>
      </c>
      <c r="AI39" s="39" t="str">
        <f>IF(AND('Riesgos de Gestión'!$AF$17="Baja",'Riesgos de Gestión'!$AH$17="Catastrófico"),CONCATENATE("R4C",'Riesgos de Gestión'!$V$17),"")</f>
        <v/>
      </c>
      <c r="AJ39" s="39" t="str">
        <f>IF(AND('Riesgos de Gestión'!$AF$18="Baja",'Riesgos de Gestión'!$AH$18="Catastrófico"),CONCATENATE("R4C",'Riesgos de Gestión'!$V$18),"")</f>
        <v/>
      </c>
      <c r="AK39" s="39" t="str">
        <f>IF(AND('Riesgos de Gestión'!$AF$19="Baja",'Riesgos de Gestión'!$AH$19="Catastrófico"),CONCATENATE("R4C",'Riesgos de Gestión'!$V$19),"")</f>
        <v/>
      </c>
      <c r="AL39" s="39" t="str">
        <f>IF(AND('Riesgos de Gestión'!$AF$20="Baja",'Riesgos de Gestión'!$AH$20="Catastrófico"),CONCATENATE("R4C",'Riesgos de Gestión'!$V$20),"")</f>
        <v/>
      </c>
      <c r="AM39" s="40" t="str">
        <f>IF(AND('Riesgos de Gestión'!$AF$21="Baja",'Riesgos de Gestión'!$AH$21="Catastrófico"),CONCATENATE("R4C",'Riesgos de Gestión'!$V$21),"")</f>
        <v/>
      </c>
      <c r="AN39" s="66"/>
      <c r="AO39" s="516"/>
      <c r="AP39" s="517"/>
      <c r="AQ39" s="517"/>
      <c r="AR39" s="517"/>
      <c r="AS39" s="517"/>
      <c r="AT39" s="518"/>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row>
    <row r="40" spans="1:80" ht="15" customHeight="1" x14ac:dyDescent="0.25">
      <c r="A40" s="66"/>
      <c r="B40" s="444"/>
      <c r="C40" s="444"/>
      <c r="D40" s="445"/>
      <c r="E40" s="485"/>
      <c r="F40" s="486"/>
      <c r="G40" s="486"/>
      <c r="H40" s="486"/>
      <c r="I40" s="486"/>
      <c r="J40" s="59" t="str">
        <f>IF(AND('Riesgos de Gestión'!$AF$22="Baja",'Riesgos de Gestión'!$AH$22="Leve"),CONCATENATE("R5C",'Riesgos de Gestión'!$V$22),"")</f>
        <v/>
      </c>
      <c r="K40" s="60" t="str">
        <f>IF(AND('Riesgos de Gestión'!$AF$23="Baja",'Riesgos de Gestión'!$AH$23="Leve"),CONCATENATE("R5C",'Riesgos de Gestión'!$V$23),"")</f>
        <v/>
      </c>
      <c r="L40" s="60" t="str">
        <f>IF(AND('Riesgos de Gestión'!$AF$24="Baja",'Riesgos de Gestión'!$AH$24="Leve"),CONCATENATE("R5C",'Riesgos de Gestión'!$V$24),"")</f>
        <v/>
      </c>
      <c r="M40" s="60" t="str">
        <f>IF(AND('Riesgos de Gestión'!$AF$25="Baja",'Riesgos de Gestión'!$AH$25="Leve"),CONCATENATE("R5C",'Riesgos de Gestión'!$V$25),"")</f>
        <v/>
      </c>
      <c r="N40" s="60" t="str">
        <f>IF(AND('Riesgos de Gestión'!$AF$26="Baja",'Riesgos de Gestión'!$AH$26="Leve"),CONCATENATE("R5C",'Riesgos de Gestión'!$V$26),"")</f>
        <v/>
      </c>
      <c r="O40" s="61" t="str">
        <f>IF(AND('Riesgos de Gestión'!$AF$27="Baja",'Riesgos de Gestión'!$AH$27="Leve"),CONCATENATE("R5C",'Riesgos de Gestión'!$V$27),"")</f>
        <v/>
      </c>
      <c r="P40" s="50" t="str">
        <f>IF(AND('Riesgos de Gestión'!$AF$22="Baja",'Riesgos de Gestión'!$AH$22="Menor"),CONCATENATE("R5C",'Riesgos de Gestión'!$V$22),"")</f>
        <v/>
      </c>
      <c r="Q40" s="51" t="str">
        <f>IF(AND('Riesgos de Gestión'!$AF$23="Baja",'Riesgos de Gestión'!$AH$23="Menor"),CONCATENATE("R5C",'Riesgos de Gestión'!$V$23),"")</f>
        <v/>
      </c>
      <c r="R40" s="51" t="str">
        <f>IF(AND('Riesgos de Gestión'!$AF$24="Baja",'Riesgos de Gestión'!$AH$24="Menor"),CONCATENATE("R5C",'Riesgos de Gestión'!$V$24),"")</f>
        <v/>
      </c>
      <c r="S40" s="51" t="str">
        <f>IF(AND('Riesgos de Gestión'!$AF$25="Baja",'Riesgos de Gestión'!$AH$25="Menor"),CONCATENATE("R5C",'Riesgos de Gestión'!$V$25),"")</f>
        <v/>
      </c>
      <c r="T40" s="51" t="str">
        <f>IF(AND('Riesgos de Gestión'!$AF$26="Baja",'Riesgos de Gestión'!$AH$26="Menor"),CONCATENATE("R5C",'Riesgos de Gestión'!$V$26),"")</f>
        <v/>
      </c>
      <c r="U40" s="52" t="str">
        <f>IF(AND('Riesgos de Gestión'!$AF$27="Baja",'Riesgos de Gestión'!$AH$27="Menor"),CONCATENATE("R5C",'Riesgos de Gestión'!$V$27),"")</f>
        <v/>
      </c>
      <c r="V40" s="50" t="str">
        <f>IF(AND('Riesgos de Gestión'!$AF$22="Baja",'Riesgos de Gestión'!$AH$22="Moderado"),CONCATENATE("R5C",'Riesgos de Gestión'!$V$22),"")</f>
        <v/>
      </c>
      <c r="W40" s="51" t="str">
        <f>IF(AND('Riesgos de Gestión'!$AF$23="Baja",'Riesgos de Gestión'!$AH$23="Moderado"),CONCATENATE("R5C",'Riesgos de Gestión'!$V$23),"")</f>
        <v/>
      </c>
      <c r="X40" s="51" t="str">
        <f>IF(AND('Riesgos de Gestión'!$AF$24="Baja",'Riesgos de Gestión'!$AH$24="Moderado"),CONCATENATE("R5C",'Riesgos de Gestión'!$V$24),"")</f>
        <v/>
      </c>
      <c r="Y40" s="51" t="str">
        <f>IF(AND('Riesgos de Gestión'!$AF$25="Baja",'Riesgos de Gestión'!$AH$25="Moderado"),CONCATENATE("R5C",'Riesgos de Gestión'!$V$25),"")</f>
        <v/>
      </c>
      <c r="Z40" s="51" t="str">
        <f>IF(AND('Riesgos de Gestión'!$AF$26="Baja",'Riesgos de Gestión'!$AH$26="Moderado"),CONCATENATE("R5C",'Riesgos de Gestión'!$V$26),"")</f>
        <v/>
      </c>
      <c r="AA40" s="52" t="str">
        <f>IF(AND('Riesgos de Gestión'!$AF$27="Baja",'Riesgos de Gestión'!$AH$27="Moderado"),CONCATENATE("R5C",'Riesgos de Gestión'!$V$27),"")</f>
        <v/>
      </c>
      <c r="AB40" s="35" t="str">
        <f>IF(AND('Riesgos de Gestión'!$AF$22="Baja",'Riesgos de Gestión'!$AH$22="Mayor"),CONCATENATE("R5C",'Riesgos de Gestión'!$V$22),"")</f>
        <v/>
      </c>
      <c r="AC40" s="36" t="str">
        <f>IF(AND('Riesgos de Gestión'!$AF$23="Baja",'Riesgos de Gestión'!$AH$23="Mayor"),CONCATENATE("R5C",'Riesgos de Gestión'!$V$23),"")</f>
        <v/>
      </c>
      <c r="AD40" s="36" t="str">
        <f>IF(AND('Riesgos de Gestión'!$AF$24="Baja",'Riesgos de Gestión'!$AH$24="Mayor"),CONCATENATE("R5C",'Riesgos de Gestión'!$V$24),"")</f>
        <v/>
      </c>
      <c r="AE40" s="36" t="str">
        <f>IF(AND('Riesgos de Gestión'!$AF$25="Baja",'Riesgos de Gestión'!$AH$25="Mayor"),CONCATENATE("R5C",'Riesgos de Gestión'!$V$25),"")</f>
        <v/>
      </c>
      <c r="AF40" s="36" t="str">
        <f>IF(AND('Riesgos de Gestión'!$AF$26="Baja",'Riesgos de Gestión'!$AH$26="Mayor"),CONCATENATE("R5C",'Riesgos de Gestión'!$V$26),"")</f>
        <v/>
      </c>
      <c r="AG40" s="37" t="str">
        <f>IF(AND('Riesgos de Gestión'!$AF$27="Baja",'Riesgos de Gestión'!$AH$27="Mayor"),CONCATENATE("R5C",'Riesgos de Gestión'!$V$27),"")</f>
        <v/>
      </c>
      <c r="AH40" s="38" t="str">
        <f>IF(AND('Riesgos de Gestión'!$AF$22="Baja",'Riesgos de Gestión'!$AH$22="Catastrófico"),CONCATENATE("R5C",'Riesgos de Gestión'!$V$22),"")</f>
        <v/>
      </c>
      <c r="AI40" s="39" t="str">
        <f>IF(AND('Riesgos de Gestión'!$AF$23="Baja",'Riesgos de Gestión'!$AH$23="Catastrófico"),CONCATENATE("R5C",'Riesgos de Gestión'!$V$23),"")</f>
        <v/>
      </c>
      <c r="AJ40" s="39" t="str">
        <f>IF(AND('Riesgos de Gestión'!$AF$24="Baja",'Riesgos de Gestión'!$AH$24="Catastrófico"),CONCATENATE("R5C",'Riesgos de Gestión'!$V$24),"")</f>
        <v/>
      </c>
      <c r="AK40" s="39" t="str">
        <f>IF(AND('Riesgos de Gestión'!$AF$25="Baja",'Riesgos de Gestión'!$AH$25="Catastrófico"),CONCATENATE("R5C",'Riesgos de Gestión'!$V$25),"")</f>
        <v/>
      </c>
      <c r="AL40" s="39" t="str">
        <f>IF(AND('Riesgos de Gestión'!$AF$26="Baja",'Riesgos de Gestión'!$AH$26="Catastrófico"),CONCATENATE("R5C",'Riesgos de Gestión'!$V$26),"")</f>
        <v/>
      </c>
      <c r="AM40" s="40" t="str">
        <f>IF(AND('Riesgos de Gestión'!$AF$27="Baja",'Riesgos de Gestión'!$AH$27="Catastrófico"),CONCATENATE("R5C",'Riesgos de Gestión'!$V$27),"")</f>
        <v/>
      </c>
      <c r="AN40" s="66"/>
      <c r="AO40" s="516"/>
      <c r="AP40" s="517"/>
      <c r="AQ40" s="517"/>
      <c r="AR40" s="517"/>
      <c r="AS40" s="517"/>
      <c r="AT40" s="518"/>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row>
    <row r="41" spans="1:80" ht="15" customHeight="1" x14ac:dyDescent="0.25">
      <c r="A41" s="66"/>
      <c r="B41" s="444"/>
      <c r="C41" s="444"/>
      <c r="D41" s="445"/>
      <c r="E41" s="485"/>
      <c r="F41" s="486"/>
      <c r="G41" s="486"/>
      <c r="H41" s="486"/>
      <c r="I41" s="486"/>
      <c r="J41" s="59" t="str">
        <f>IF(AND('Riesgos de Gestión'!$AF$28="Baja",'Riesgos de Gestión'!$AH$28="Leve"),CONCATENATE("R6C",'Riesgos de Gestión'!$V$28),"")</f>
        <v/>
      </c>
      <c r="K41" s="60" t="str">
        <f>IF(AND('Riesgos de Gestión'!$AF$29="Baja",'Riesgos de Gestión'!$AH$29="Leve"),CONCATENATE("R6C",'Riesgos de Gestión'!$V$29),"")</f>
        <v/>
      </c>
      <c r="L41" s="60" t="str">
        <f>IF(AND('Riesgos de Gestión'!$AF$30="Baja",'Riesgos de Gestión'!$AH$30="Leve"),CONCATENATE("R6C",'Riesgos de Gestión'!$V$30),"")</f>
        <v/>
      </c>
      <c r="M41" s="60" t="str">
        <f>IF(AND('Riesgos de Gestión'!$AF$31="Baja",'Riesgos de Gestión'!$AH$31="Leve"),CONCATENATE("R6C",'Riesgos de Gestión'!$V$31),"")</f>
        <v/>
      </c>
      <c r="N41" s="60" t="str">
        <f>IF(AND('Riesgos de Gestión'!$AF$32="Baja",'Riesgos de Gestión'!$AH$32="Leve"),CONCATENATE("R6C",'Riesgos de Gestión'!$V$32),"")</f>
        <v/>
      </c>
      <c r="O41" s="61" t="str">
        <f>IF(AND('Riesgos de Gestión'!$AF$33="Baja",'Riesgos de Gestión'!$AH$33="Leve"),CONCATENATE("R6C",'Riesgos de Gestión'!$V$33),"")</f>
        <v/>
      </c>
      <c r="P41" s="50" t="str">
        <f>IF(AND('Riesgos de Gestión'!$AF$28="Baja",'Riesgos de Gestión'!$AH$28="Menor"),CONCATENATE("R6C",'Riesgos de Gestión'!$V$28),"")</f>
        <v/>
      </c>
      <c r="Q41" s="51" t="str">
        <f>IF(AND('Riesgos de Gestión'!$AF$29="Baja",'Riesgos de Gestión'!$AH$29="Menor"),CONCATENATE("R6C",'Riesgos de Gestión'!$V$29),"")</f>
        <v/>
      </c>
      <c r="R41" s="51" t="str">
        <f>IF(AND('Riesgos de Gestión'!$AF$30="Baja",'Riesgos de Gestión'!$AH$30="Menor"),CONCATENATE("R6C",'Riesgos de Gestión'!$V$30),"")</f>
        <v/>
      </c>
      <c r="S41" s="51" t="str">
        <f>IF(AND('Riesgos de Gestión'!$AF$31="Baja",'Riesgos de Gestión'!$AH$31="Menor"),CONCATENATE("R6C",'Riesgos de Gestión'!$V$31),"")</f>
        <v/>
      </c>
      <c r="T41" s="51" t="str">
        <f>IF(AND('Riesgos de Gestión'!$AF$32="Baja",'Riesgos de Gestión'!$AH$32="Menor"),CONCATENATE("R6C",'Riesgos de Gestión'!$V$32),"")</f>
        <v/>
      </c>
      <c r="U41" s="52" t="str">
        <f>IF(AND('Riesgos de Gestión'!$AF$33="Baja",'Riesgos de Gestión'!$AH$33="Menor"),CONCATENATE("R6C",'Riesgos de Gestión'!$V$33),"")</f>
        <v/>
      </c>
      <c r="V41" s="50" t="str">
        <f>IF(AND('Riesgos de Gestión'!$AF$28="Baja",'Riesgos de Gestión'!$AH$28="Moderado"),CONCATENATE("R6C",'Riesgos de Gestión'!$V$28),"")</f>
        <v/>
      </c>
      <c r="W41" s="51" t="str">
        <f>IF(AND('Riesgos de Gestión'!$AF$29="Baja",'Riesgos de Gestión'!$AH$29="Moderado"),CONCATENATE("R6C",'Riesgos de Gestión'!$V$29),"")</f>
        <v/>
      </c>
      <c r="X41" s="51" t="str">
        <f>IF(AND('Riesgos de Gestión'!$AF$30="Baja",'Riesgos de Gestión'!$AH$30="Moderado"),CONCATENATE("R6C",'Riesgos de Gestión'!$V$30),"")</f>
        <v/>
      </c>
      <c r="Y41" s="51" t="str">
        <f>IF(AND('Riesgos de Gestión'!$AF$31="Baja",'Riesgos de Gestión'!$AH$31="Moderado"),CONCATENATE("R6C",'Riesgos de Gestión'!$V$31),"")</f>
        <v/>
      </c>
      <c r="Z41" s="51" t="str">
        <f>IF(AND('Riesgos de Gestión'!$AF$32="Baja",'Riesgos de Gestión'!$AH$32="Moderado"),CONCATENATE("R6C",'Riesgos de Gestión'!$V$32),"")</f>
        <v/>
      </c>
      <c r="AA41" s="52" t="str">
        <f>IF(AND('Riesgos de Gestión'!$AF$33="Baja",'Riesgos de Gestión'!$AH$33="Moderado"),CONCATENATE("R6C",'Riesgos de Gestión'!$V$33),"")</f>
        <v/>
      </c>
      <c r="AB41" s="35" t="str">
        <f>IF(AND('Riesgos de Gestión'!$AF$28="Baja",'Riesgos de Gestión'!$AH$28="Mayor"),CONCATENATE("R6C",'Riesgos de Gestión'!$V$28),"")</f>
        <v/>
      </c>
      <c r="AC41" s="36" t="str">
        <f>IF(AND('Riesgos de Gestión'!$AF$29="Baja",'Riesgos de Gestión'!$AH$29="Mayor"),CONCATENATE("R6C",'Riesgos de Gestión'!$V$29),"")</f>
        <v/>
      </c>
      <c r="AD41" s="36" t="str">
        <f>IF(AND('Riesgos de Gestión'!$AF$30="Baja",'Riesgos de Gestión'!$AH$30="Mayor"),CONCATENATE("R6C",'Riesgos de Gestión'!$V$30),"")</f>
        <v/>
      </c>
      <c r="AE41" s="36" t="str">
        <f>IF(AND('Riesgos de Gestión'!$AF$31="Baja",'Riesgos de Gestión'!$AH$31="Mayor"),CONCATENATE("R6C",'Riesgos de Gestión'!$V$31),"")</f>
        <v/>
      </c>
      <c r="AF41" s="36" t="str">
        <f>IF(AND('Riesgos de Gestión'!$AF$32="Baja",'Riesgos de Gestión'!$AH$32="Mayor"),CONCATENATE("R6C",'Riesgos de Gestión'!$V$32),"")</f>
        <v/>
      </c>
      <c r="AG41" s="37" t="str">
        <f>IF(AND('Riesgos de Gestión'!$AF$33="Baja",'Riesgos de Gestión'!$AH$33="Mayor"),CONCATENATE("R6C",'Riesgos de Gestión'!$V$33),"")</f>
        <v/>
      </c>
      <c r="AH41" s="38" t="str">
        <f>IF(AND('Riesgos de Gestión'!$AF$28="Baja",'Riesgos de Gestión'!$AH$28="Catastrófico"),CONCATENATE("R6C",'Riesgos de Gestión'!$V$28),"")</f>
        <v/>
      </c>
      <c r="AI41" s="39" t="str">
        <f>IF(AND('Riesgos de Gestión'!$AF$29="Baja",'Riesgos de Gestión'!$AH$29="Catastrófico"),CONCATENATE("R6C",'Riesgos de Gestión'!$V$29),"")</f>
        <v/>
      </c>
      <c r="AJ41" s="39" t="str">
        <f>IF(AND('Riesgos de Gestión'!$AF$30="Baja",'Riesgos de Gestión'!$AH$30="Catastrófico"),CONCATENATE("R6C",'Riesgos de Gestión'!$V$30),"")</f>
        <v/>
      </c>
      <c r="AK41" s="39" t="str">
        <f>IF(AND('Riesgos de Gestión'!$AF$31="Baja",'Riesgos de Gestión'!$AH$31="Catastrófico"),CONCATENATE("R6C",'Riesgos de Gestión'!$V$31),"")</f>
        <v/>
      </c>
      <c r="AL41" s="39" t="str">
        <f>IF(AND('Riesgos de Gestión'!$AF$32="Baja",'Riesgos de Gestión'!$AH$32="Catastrófico"),CONCATENATE("R6C",'Riesgos de Gestión'!$V$32),"")</f>
        <v/>
      </c>
      <c r="AM41" s="40" t="str">
        <f>IF(AND('Riesgos de Gestión'!$AF$33="Baja",'Riesgos de Gestión'!$AH$33="Catastrófico"),CONCATENATE("R6C",'Riesgos de Gestión'!$V$33),"")</f>
        <v/>
      </c>
      <c r="AN41" s="66"/>
      <c r="AO41" s="516"/>
      <c r="AP41" s="517"/>
      <c r="AQ41" s="517"/>
      <c r="AR41" s="517"/>
      <c r="AS41" s="517"/>
      <c r="AT41" s="518"/>
      <c r="AU41" s="66"/>
      <c r="AV41" s="66"/>
      <c r="AW41" s="66"/>
      <c r="AX41" s="66"/>
      <c r="AY41" s="66"/>
      <c r="AZ41" s="66"/>
      <c r="BA41" s="66"/>
      <c r="BB41" s="66"/>
      <c r="BC41" s="66"/>
      <c r="BD41" s="66"/>
      <c r="BE41" s="66"/>
      <c r="BF41" s="66"/>
      <c r="BG41" s="66"/>
      <c r="BH41" s="66"/>
      <c r="BI41" s="66"/>
      <c r="BJ41" s="66"/>
      <c r="BK41" s="66"/>
      <c r="BL41" s="66"/>
      <c r="BM41" s="66"/>
      <c r="BN41" s="66"/>
      <c r="BO41" s="66"/>
      <c r="BP41" s="66"/>
      <c r="BQ41" s="66"/>
      <c r="BR41" s="66"/>
      <c r="BS41" s="66"/>
      <c r="BT41" s="66"/>
      <c r="BU41" s="66"/>
      <c r="BV41" s="66"/>
      <c r="BW41" s="66"/>
      <c r="BX41" s="66"/>
    </row>
    <row r="42" spans="1:80" ht="15" customHeight="1" x14ac:dyDescent="0.25">
      <c r="A42" s="66"/>
      <c r="B42" s="444"/>
      <c r="C42" s="444"/>
      <c r="D42" s="445"/>
      <c r="E42" s="485"/>
      <c r="F42" s="486"/>
      <c r="G42" s="486"/>
      <c r="H42" s="486"/>
      <c r="I42" s="486"/>
      <c r="J42" s="59" t="str">
        <f>IF(AND('Riesgos de Gestión'!$AF$34="Baja",'Riesgos de Gestión'!$AH$34="Leve"),CONCATENATE("R7C",'Riesgos de Gestión'!$V$34),"")</f>
        <v/>
      </c>
      <c r="K42" s="60" t="str">
        <f>IF(AND('Riesgos de Gestión'!$AF$35="Baja",'Riesgos de Gestión'!$AH$35="Leve"),CONCATENATE("R7C",'Riesgos de Gestión'!$V$35),"")</f>
        <v/>
      </c>
      <c r="L42" s="60" t="str">
        <f>IF(AND('Riesgos de Gestión'!$AF$36="Baja",'Riesgos de Gestión'!$AH$36="Leve"),CONCATENATE("R7C",'Riesgos de Gestión'!$V$36),"")</f>
        <v/>
      </c>
      <c r="M42" s="60" t="str">
        <f>IF(AND('Riesgos de Gestión'!$AF$37="Baja",'Riesgos de Gestión'!$AH$37="Leve"),CONCATENATE("R7C",'Riesgos de Gestión'!$V$37),"")</f>
        <v/>
      </c>
      <c r="N42" s="60" t="str">
        <f>IF(AND('Riesgos de Gestión'!$AF$38="Baja",'Riesgos de Gestión'!$AH$38="Leve"),CONCATENATE("R7C",'Riesgos de Gestión'!$V$38),"")</f>
        <v/>
      </c>
      <c r="O42" s="61" t="str">
        <f>IF(AND('Riesgos de Gestión'!$AF$39="Baja",'Riesgos de Gestión'!$AH$39="Leve"),CONCATENATE("R7C",'Riesgos de Gestión'!$V$39),"")</f>
        <v/>
      </c>
      <c r="P42" s="50" t="str">
        <f>IF(AND('Riesgos de Gestión'!$AF$34="Baja",'Riesgos de Gestión'!$AH$34="Menor"),CONCATENATE("R7C",'Riesgos de Gestión'!$V$34),"")</f>
        <v/>
      </c>
      <c r="Q42" s="51" t="str">
        <f>IF(AND('Riesgos de Gestión'!$AF$35="Baja",'Riesgos de Gestión'!$AH$35="Menor"),CONCATENATE("R7C",'Riesgos de Gestión'!$V$35),"")</f>
        <v/>
      </c>
      <c r="R42" s="51" t="str">
        <f>IF(AND('Riesgos de Gestión'!$AF$36="Baja",'Riesgos de Gestión'!$AH$36="Menor"),CONCATENATE("R7C",'Riesgos de Gestión'!$V$36),"")</f>
        <v/>
      </c>
      <c r="S42" s="51" t="str">
        <f>IF(AND('Riesgos de Gestión'!$AF$37="Baja",'Riesgos de Gestión'!$AH$37="Menor"),CONCATENATE("R7C",'Riesgos de Gestión'!$V$37),"")</f>
        <v/>
      </c>
      <c r="T42" s="51" t="str">
        <f>IF(AND('Riesgos de Gestión'!$AF$38="Baja",'Riesgos de Gestión'!$AH$38="Menor"),CONCATENATE("R7C",'Riesgos de Gestión'!$V$38),"")</f>
        <v/>
      </c>
      <c r="U42" s="52" t="str">
        <f>IF(AND('Riesgos de Gestión'!$AF$39="Baja",'Riesgos de Gestión'!$AH$39="Menor"),CONCATENATE("R7C",'Riesgos de Gestión'!$V$39),"")</f>
        <v/>
      </c>
      <c r="V42" s="50" t="str">
        <f>IF(AND('Riesgos de Gestión'!$AF$34="Baja",'Riesgos de Gestión'!$AH$34="Moderado"),CONCATENATE("R7C",'Riesgos de Gestión'!$V$34),"")</f>
        <v/>
      </c>
      <c r="W42" s="51" t="str">
        <f>IF(AND('Riesgos de Gestión'!$AF$35="Baja",'Riesgos de Gestión'!$AH$35="Moderado"),CONCATENATE("R7C",'Riesgos de Gestión'!$V$35),"")</f>
        <v/>
      </c>
      <c r="X42" s="51" t="str">
        <f>IF(AND('Riesgos de Gestión'!$AF$36="Baja",'Riesgos de Gestión'!$AH$36="Moderado"),CONCATENATE("R7C",'Riesgos de Gestión'!$V$36),"")</f>
        <v/>
      </c>
      <c r="Y42" s="51" t="str">
        <f>IF(AND('Riesgos de Gestión'!$AF$37="Baja",'Riesgos de Gestión'!$AH$37="Moderado"),CONCATENATE("R7C",'Riesgos de Gestión'!$V$37),"")</f>
        <v/>
      </c>
      <c r="Z42" s="51" t="str">
        <f>IF(AND('Riesgos de Gestión'!$AF$38="Baja",'Riesgos de Gestión'!$AH$38="Moderado"),CONCATENATE("R7C",'Riesgos de Gestión'!$V$38),"")</f>
        <v/>
      </c>
      <c r="AA42" s="52" t="str">
        <f>IF(AND('Riesgos de Gestión'!$AF$39="Baja",'Riesgos de Gestión'!$AH$39="Moderado"),CONCATENATE("R7C",'Riesgos de Gestión'!$V$39),"")</f>
        <v/>
      </c>
      <c r="AB42" s="35" t="str">
        <f>IF(AND('Riesgos de Gestión'!$AF$34="Baja",'Riesgos de Gestión'!$AH$34="Mayor"),CONCATENATE("R7C",'Riesgos de Gestión'!$V$34),"")</f>
        <v/>
      </c>
      <c r="AC42" s="36" t="str">
        <f>IF(AND('Riesgos de Gestión'!$AF$35="Baja",'Riesgos de Gestión'!$AH$35="Mayor"),CONCATENATE("R7C",'Riesgos de Gestión'!$V$35),"")</f>
        <v/>
      </c>
      <c r="AD42" s="36" t="str">
        <f>IF(AND('Riesgos de Gestión'!$AF$36="Baja",'Riesgos de Gestión'!$AH$36="Mayor"),CONCATENATE("R7C",'Riesgos de Gestión'!$V$36),"")</f>
        <v/>
      </c>
      <c r="AE42" s="36" t="str">
        <f>IF(AND('Riesgos de Gestión'!$AF$37="Baja",'Riesgos de Gestión'!$AH$37="Mayor"),CONCATENATE("R7C",'Riesgos de Gestión'!$V$37),"")</f>
        <v/>
      </c>
      <c r="AF42" s="36" t="str">
        <f>IF(AND('Riesgos de Gestión'!$AF$38="Baja",'Riesgos de Gestión'!$AH$38="Mayor"),CONCATENATE("R7C",'Riesgos de Gestión'!$V$38),"")</f>
        <v/>
      </c>
      <c r="AG42" s="37" t="str">
        <f>IF(AND('Riesgos de Gestión'!$AF$39="Baja",'Riesgos de Gestión'!$AH$39="Mayor"),CONCATENATE("R7C",'Riesgos de Gestión'!$V$39),"")</f>
        <v/>
      </c>
      <c r="AH42" s="38" t="str">
        <f>IF(AND('Riesgos de Gestión'!$AF$34="Baja",'Riesgos de Gestión'!$AH$34="Catastrófico"),CONCATENATE("R7C",'Riesgos de Gestión'!$V$34),"")</f>
        <v/>
      </c>
      <c r="AI42" s="39" t="str">
        <f>IF(AND('Riesgos de Gestión'!$AF$35="Baja",'Riesgos de Gestión'!$AH$35="Catastrófico"),CONCATENATE("R7C",'Riesgos de Gestión'!$V$35),"")</f>
        <v/>
      </c>
      <c r="AJ42" s="39" t="str">
        <f>IF(AND('Riesgos de Gestión'!$AF$36="Baja",'Riesgos de Gestión'!$AH$36="Catastrófico"),CONCATENATE("R7C",'Riesgos de Gestión'!$V$36),"")</f>
        <v/>
      </c>
      <c r="AK42" s="39" t="str">
        <f>IF(AND('Riesgos de Gestión'!$AF$37="Baja",'Riesgos de Gestión'!$AH$37="Catastrófico"),CONCATENATE("R7C",'Riesgos de Gestión'!$V$37),"")</f>
        <v/>
      </c>
      <c r="AL42" s="39" t="str">
        <f>IF(AND('Riesgos de Gestión'!$AF$38="Baja",'Riesgos de Gestión'!$AH$38="Catastrófico"),CONCATENATE("R7C",'Riesgos de Gestión'!$V$38),"")</f>
        <v/>
      </c>
      <c r="AM42" s="40" t="str">
        <f>IF(AND('Riesgos de Gestión'!$AF$39="Baja",'Riesgos de Gestión'!$AH$39="Catastrófico"),CONCATENATE("R7C",'Riesgos de Gestión'!$V$39),"")</f>
        <v/>
      </c>
      <c r="AN42" s="66"/>
      <c r="AO42" s="516"/>
      <c r="AP42" s="517"/>
      <c r="AQ42" s="517"/>
      <c r="AR42" s="517"/>
      <c r="AS42" s="517"/>
      <c r="AT42" s="518"/>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row>
    <row r="43" spans="1:80" ht="15" customHeight="1" x14ac:dyDescent="0.25">
      <c r="A43" s="66"/>
      <c r="B43" s="444"/>
      <c r="C43" s="444"/>
      <c r="D43" s="445"/>
      <c r="E43" s="485"/>
      <c r="F43" s="486"/>
      <c r="G43" s="486"/>
      <c r="H43" s="486"/>
      <c r="I43" s="486"/>
      <c r="J43" s="59" t="str">
        <f>IF(AND('Riesgos de Gestión'!$AF$40="Baja",'Riesgos de Gestión'!$AH$40="Leve"),CONCATENATE("R8C",'Riesgos de Gestión'!$V$40),"")</f>
        <v/>
      </c>
      <c r="K43" s="60" t="str">
        <f>IF(AND('Riesgos de Gestión'!$AF$41="Baja",'Riesgos de Gestión'!$AH$41="Leve"),CONCATENATE("R8C",'Riesgos de Gestión'!$V$41),"")</f>
        <v/>
      </c>
      <c r="L43" s="60" t="str">
        <f>IF(AND('Riesgos de Gestión'!$AF$42="Baja",'Riesgos de Gestión'!$AH$42="Leve"),CONCATENATE("R8C",'Riesgos de Gestión'!$V$42),"")</f>
        <v/>
      </c>
      <c r="M43" s="60" t="str">
        <f>IF(AND('Riesgos de Gestión'!$AF$43="Baja",'Riesgos de Gestión'!$AH$43="Leve"),CONCATENATE("R8C",'Riesgos de Gestión'!$V$43),"")</f>
        <v/>
      </c>
      <c r="N43" s="60" t="str">
        <f>IF(AND('Riesgos de Gestión'!$AF$44="Baja",'Riesgos de Gestión'!$AH$44="Leve"),CONCATENATE("R8C",'Riesgos de Gestión'!$V$44),"")</f>
        <v/>
      </c>
      <c r="O43" s="61" t="str">
        <f>IF(AND('Riesgos de Gestión'!$AF$45="Baja",'Riesgos de Gestión'!$AH$45="Leve"),CONCATENATE("R8C",'Riesgos de Gestión'!$V$45),"")</f>
        <v/>
      </c>
      <c r="P43" s="50" t="str">
        <f>IF(AND('Riesgos de Gestión'!$AF$40="Baja",'Riesgos de Gestión'!$AH$40="Menor"),CONCATENATE("R8C",'Riesgos de Gestión'!$V$40),"")</f>
        <v/>
      </c>
      <c r="Q43" s="51" t="str">
        <f>IF(AND('Riesgos de Gestión'!$AF$41="Baja",'Riesgos de Gestión'!$AH$41="Menor"),CONCATENATE("R8C",'Riesgos de Gestión'!$V$41),"")</f>
        <v/>
      </c>
      <c r="R43" s="51" t="str">
        <f>IF(AND('Riesgos de Gestión'!$AF$42="Baja",'Riesgos de Gestión'!$AH$42="Menor"),CONCATENATE("R8C",'Riesgos de Gestión'!$V$42),"")</f>
        <v/>
      </c>
      <c r="S43" s="51" t="str">
        <f>IF(AND('Riesgos de Gestión'!$AF$43="Baja",'Riesgos de Gestión'!$AH$43="Menor"),CONCATENATE("R8C",'Riesgos de Gestión'!$V$43),"")</f>
        <v/>
      </c>
      <c r="T43" s="51" t="str">
        <f>IF(AND('Riesgos de Gestión'!$AF$44="Baja",'Riesgos de Gestión'!$AH$44="Menor"),CONCATENATE("R8C",'Riesgos de Gestión'!$V$44),"")</f>
        <v/>
      </c>
      <c r="U43" s="52" t="str">
        <f>IF(AND('Riesgos de Gestión'!$AF$45="Baja",'Riesgos de Gestión'!$AH$45="Menor"),CONCATENATE("R8C",'Riesgos de Gestión'!$V$45),"")</f>
        <v/>
      </c>
      <c r="V43" s="50" t="str">
        <f>IF(AND('Riesgos de Gestión'!$AF$40="Baja",'Riesgos de Gestión'!$AH$40="Moderado"),CONCATENATE("R8C",'Riesgos de Gestión'!$V$40),"")</f>
        <v/>
      </c>
      <c r="W43" s="51" t="str">
        <f>IF(AND('Riesgos de Gestión'!$AF$41="Baja",'Riesgos de Gestión'!$AH$41="Moderado"),CONCATENATE("R8C",'Riesgos de Gestión'!$V$41),"")</f>
        <v/>
      </c>
      <c r="X43" s="51" t="str">
        <f>IF(AND('Riesgos de Gestión'!$AF$42="Baja",'Riesgos de Gestión'!$AH$42="Moderado"),CONCATENATE("R8C",'Riesgos de Gestión'!$V$42),"")</f>
        <v/>
      </c>
      <c r="Y43" s="51" t="str">
        <f>IF(AND('Riesgos de Gestión'!$AF$43="Baja",'Riesgos de Gestión'!$AH$43="Moderado"),CONCATENATE("R8C",'Riesgos de Gestión'!$V$43),"")</f>
        <v/>
      </c>
      <c r="Z43" s="51" t="str">
        <f>IF(AND('Riesgos de Gestión'!$AF$44="Baja",'Riesgos de Gestión'!$AH$44="Moderado"),CONCATENATE("R8C",'Riesgos de Gestión'!$V$44),"")</f>
        <v/>
      </c>
      <c r="AA43" s="52" t="str">
        <f>IF(AND('Riesgos de Gestión'!$AF$45="Baja",'Riesgos de Gestión'!$AH$45="Moderado"),CONCATENATE("R8C",'Riesgos de Gestión'!$V$45),"")</f>
        <v/>
      </c>
      <c r="AB43" s="35" t="str">
        <f>IF(AND('Riesgos de Gestión'!$AF$40="Baja",'Riesgos de Gestión'!$AH$40="Mayor"),CONCATENATE("R8C",'Riesgos de Gestión'!$V$40),"")</f>
        <v/>
      </c>
      <c r="AC43" s="36" t="str">
        <f>IF(AND('Riesgos de Gestión'!$AF$41="Baja",'Riesgos de Gestión'!$AH$41="Mayor"),CONCATENATE("R8C",'Riesgos de Gestión'!$V$41),"")</f>
        <v/>
      </c>
      <c r="AD43" s="36" t="str">
        <f>IF(AND('Riesgos de Gestión'!$AF$42="Baja",'Riesgos de Gestión'!$AH$42="Mayor"),CONCATENATE("R8C",'Riesgos de Gestión'!$V$42),"")</f>
        <v/>
      </c>
      <c r="AE43" s="36" t="str">
        <f>IF(AND('Riesgos de Gestión'!$AF$43="Baja",'Riesgos de Gestión'!$AH$43="Mayor"),CONCATENATE("R8C",'Riesgos de Gestión'!$V$43),"")</f>
        <v/>
      </c>
      <c r="AF43" s="36" t="str">
        <f>IF(AND('Riesgos de Gestión'!$AF$44="Baja",'Riesgos de Gestión'!$AH$44="Mayor"),CONCATENATE("R8C",'Riesgos de Gestión'!$V$44),"")</f>
        <v/>
      </c>
      <c r="AG43" s="37" t="str">
        <f>IF(AND('Riesgos de Gestión'!$AF$45="Baja",'Riesgos de Gestión'!$AH$45="Mayor"),CONCATENATE("R8C",'Riesgos de Gestión'!$V$45),"")</f>
        <v/>
      </c>
      <c r="AH43" s="38" t="str">
        <f>IF(AND('Riesgos de Gestión'!$AF$40="Baja",'Riesgos de Gestión'!$AH$40="Catastrófico"),CONCATENATE("R8C",'Riesgos de Gestión'!$V$40),"")</f>
        <v/>
      </c>
      <c r="AI43" s="39" t="str">
        <f>IF(AND('Riesgos de Gestión'!$AF$41="Baja",'Riesgos de Gestión'!$AH$41="Catastrófico"),CONCATENATE("R8C",'Riesgos de Gestión'!$V$41),"")</f>
        <v/>
      </c>
      <c r="AJ43" s="39" t="str">
        <f>IF(AND('Riesgos de Gestión'!$AF$42="Baja",'Riesgos de Gestión'!$AH$42="Catastrófico"),CONCATENATE("R8C",'Riesgos de Gestión'!$V$42),"")</f>
        <v/>
      </c>
      <c r="AK43" s="39" t="str">
        <f>IF(AND('Riesgos de Gestión'!$AF$43="Baja",'Riesgos de Gestión'!$AH$43="Catastrófico"),CONCATENATE("R8C",'Riesgos de Gestión'!$V$43),"")</f>
        <v/>
      </c>
      <c r="AL43" s="39" t="str">
        <f>IF(AND('Riesgos de Gestión'!$AF$44="Baja",'Riesgos de Gestión'!$AH$44="Catastrófico"),CONCATENATE("R8C",'Riesgos de Gestión'!$V$44),"")</f>
        <v/>
      </c>
      <c r="AM43" s="40" t="str">
        <f>IF(AND('Riesgos de Gestión'!$AF$45="Baja",'Riesgos de Gestión'!$AH$45="Catastrófico"),CONCATENATE("R8C",'Riesgos de Gestión'!$V$45),"")</f>
        <v/>
      </c>
      <c r="AN43" s="66"/>
      <c r="AO43" s="516"/>
      <c r="AP43" s="517"/>
      <c r="AQ43" s="517"/>
      <c r="AR43" s="517"/>
      <c r="AS43" s="517"/>
      <c r="AT43" s="518"/>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row>
    <row r="44" spans="1:80" ht="15" customHeight="1" x14ac:dyDescent="0.25">
      <c r="A44" s="66"/>
      <c r="B44" s="444"/>
      <c r="C44" s="444"/>
      <c r="D44" s="445"/>
      <c r="E44" s="485"/>
      <c r="F44" s="486"/>
      <c r="G44" s="486"/>
      <c r="H44" s="486"/>
      <c r="I44" s="486"/>
      <c r="J44" s="59" t="str">
        <f>IF(AND('Riesgos de Gestión'!$AF$46="Baja",'Riesgos de Gestión'!$AH$46="Leve"),CONCATENATE("R9C",'Riesgos de Gestión'!$V$46),"")</f>
        <v/>
      </c>
      <c r="K44" s="60" t="str">
        <f>IF(AND('Riesgos de Gestión'!$AF$47="Baja",'Riesgos de Gestión'!$AH$47="Leve"),CONCATENATE("R9C",'Riesgos de Gestión'!$V$47),"")</f>
        <v/>
      </c>
      <c r="L44" s="60" t="str">
        <f>IF(AND('Riesgos de Gestión'!$AF$48="Baja",'Riesgos de Gestión'!$AH$48="Leve"),CONCATENATE("R9C",'Riesgos de Gestión'!$V$48),"")</f>
        <v/>
      </c>
      <c r="M44" s="60" t="str">
        <f>IF(AND('Riesgos de Gestión'!$AF$49="Baja",'Riesgos de Gestión'!$AH$49="Leve"),CONCATENATE("R9C",'Riesgos de Gestión'!$V$49),"")</f>
        <v/>
      </c>
      <c r="N44" s="60" t="str">
        <f>IF(AND('Riesgos de Gestión'!$AF$50="Baja",'Riesgos de Gestión'!$AH$50="Leve"),CONCATENATE("R9C",'Riesgos de Gestión'!$V$50),"")</f>
        <v/>
      </c>
      <c r="O44" s="61" t="str">
        <f>IF(AND('Riesgos de Gestión'!$AF$51="Baja",'Riesgos de Gestión'!$AH$51="Leve"),CONCATENATE("R9C",'Riesgos de Gestión'!$V$51),"")</f>
        <v/>
      </c>
      <c r="P44" s="50" t="str">
        <f>IF(AND('Riesgos de Gestión'!$AF$46="Baja",'Riesgos de Gestión'!$AH$46="Menor"),CONCATENATE("R9C",'Riesgos de Gestión'!$V$46),"")</f>
        <v/>
      </c>
      <c r="Q44" s="51" t="str">
        <f>IF(AND('Riesgos de Gestión'!$AF$47="Baja",'Riesgos de Gestión'!$AH$47="Menor"),CONCATENATE("R9C",'Riesgos de Gestión'!$V$47),"")</f>
        <v/>
      </c>
      <c r="R44" s="51" t="str">
        <f>IF(AND('Riesgos de Gestión'!$AF$48="Baja",'Riesgos de Gestión'!$AH$48="Menor"),CONCATENATE("R9C",'Riesgos de Gestión'!$V$48),"")</f>
        <v/>
      </c>
      <c r="S44" s="51" t="str">
        <f>IF(AND('Riesgos de Gestión'!$AF$49="Baja",'Riesgos de Gestión'!$AH$49="Menor"),CONCATENATE("R9C",'Riesgos de Gestión'!$V$49),"")</f>
        <v/>
      </c>
      <c r="T44" s="51" t="str">
        <f>IF(AND('Riesgos de Gestión'!$AF$50="Baja",'Riesgos de Gestión'!$AH$50="Menor"),CONCATENATE("R9C",'Riesgos de Gestión'!$V$50),"")</f>
        <v/>
      </c>
      <c r="U44" s="52" t="str">
        <f>IF(AND('Riesgos de Gestión'!$AF$51="Baja",'Riesgos de Gestión'!$AH$51="Menor"),CONCATENATE("R9C",'Riesgos de Gestión'!$V$51),"")</f>
        <v/>
      </c>
      <c r="V44" s="50" t="str">
        <f>IF(AND('Riesgos de Gestión'!$AF$46="Baja",'Riesgos de Gestión'!$AH$46="Moderado"),CONCATENATE("R9C",'Riesgos de Gestión'!$V$46),"")</f>
        <v/>
      </c>
      <c r="W44" s="51" t="str">
        <f>IF(AND('Riesgos de Gestión'!$AF$47="Baja",'Riesgos de Gestión'!$AH$47="Moderado"),CONCATENATE("R9C",'Riesgos de Gestión'!$V$47),"")</f>
        <v/>
      </c>
      <c r="X44" s="51" t="str">
        <f>IF(AND('Riesgos de Gestión'!$AF$48="Baja",'Riesgos de Gestión'!$AH$48="Moderado"),CONCATENATE("R9C",'Riesgos de Gestión'!$V$48),"")</f>
        <v/>
      </c>
      <c r="Y44" s="51" t="str">
        <f>IF(AND('Riesgos de Gestión'!$AF$49="Baja",'Riesgos de Gestión'!$AH$49="Moderado"),CONCATENATE("R9C",'Riesgos de Gestión'!$V$49),"")</f>
        <v/>
      </c>
      <c r="Z44" s="51" t="str">
        <f>IF(AND('Riesgos de Gestión'!$AF$50="Baja",'Riesgos de Gestión'!$AH$50="Moderado"),CONCATENATE("R9C",'Riesgos de Gestión'!$V$50),"")</f>
        <v/>
      </c>
      <c r="AA44" s="52" t="str">
        <f>IF(AND('Riesgos de Gestión'!$AF$51="Baja",'Riesgos de Gestión'!$AH$51="Moderado"),CONCATENATE("R9C",'Riesgos de Gestión'!$V$51),"")</f>
        <v/>
      </c>
      <c r="AB44" s="35" t="str">
        <f>IF(AND('Riesgos de Gestión'!$AF$46="Baja",'Riesgos de Gestión'!$AH$46="Mayor"),CONCATENATE("R9C",'Riesgos de Gestión'!$V$46),"")</f>
        <v/>
      </c>
      <c r="AC44" s="36" t="str">
        <f>IF(AND('Riesgos de Gestión'!$AF$47="Baja",'Riesgos de Gestión'!$AH$47="Mayor"),CONCATENATE("R9C",'Riesgos de Gestión'!$V$47),"")</f>
        <v/>
      </c>
      <c r="AD44" s="36" t="str">
        <f>IF(AND('Riesgos de Gestión'!$AF$48="Baja",'Riesgos de Gestión'!$AH$48="Mayor"),CONCATENATE("R9C",'Riesgos de Gestión'!$V$48),"")</f>
        <v/>
      </c>
      <c r="AE44" s="36" t="str">
        <f>IF(AND('Riesgos de Gestión'!$AF$49="Baja",'Riesgos de Gestión'!$AH$49="Mayor"),CONCATENATE("R9C",'Riesgos de Gestión'!$V$49),"")</f>
        <v/>
      </c>
      <c r="AF44" s="36" t="str">
        <f>IF(AND('Riesgos de Gestión'!$AF$50="Baja",'Riesgos de Gestión'!$AH$50="Mayor"),CONCATENATE("R9C",'Riesgos de Gestión'!$V$50),"")</f>
        <v/>
      </c>
      <c r="AG44" s="37" t="str">
        <f>IF(AND('Riesgos de Gestión'!$AF$51="Baja",'Riesgos de Gestión'!$AH$51="Mayor"),CONCATENATE("R9C",'Riesgos de Gestión'!$V$51),"")</f>
        <v/>
      </c>
      <c r="AH44" s="38" t="str">
        <f>IF(AND('Riesgos de Gestión'!$AF$46="Baja",'Riesgos de Gestión'!$AH$46="Catastrófico"),CONCATENATE("R9C",'Riesgos de Gestión'!$V$46),"")</f>
        <v/>
      </c>
      <c r="AI44" s="39" t="str">
        <f>IF(AND('Riesgos de Gestión'!$AF$47="Baja",'Riesgos de Gestión'!$AH$47="Catastrófico"),CONCATENATE("R9C",'Riesgos de Gestión'!$V$47),"")</f>
        <v/>
      </c>
      <c r="AJ44" s="39" t="str">
        <f>IF(AND('Riesgos de Gestión'!$AF$48="Baja",'Riesgos de Gestión'!$AH$48="Catastrófico"),CONCATENATE("R9C",'Riesgos de Gestión'!$V$48),"")</f>
        <v/>
      </c>
      <c r="AK44" s="39" t="str">
        <f>IF(AND('Riesgos de Gestión'!$AF$49="Baja",'Riesgos de Gestión'!$AH$49="Catastrófico"),CONCATENATE("R9C",'Riesgos de Gestión'!$V$49),"")</f>
        <v/>
      </c>
      <c r="AL44" s="39" t="str">
        <f>IF(AND('Riesgos de Gestión'!$AF$50="Baja",'Riesgos de Gestión'!$AH$50="Catastrófico"),CONCATENATE("R9C",'Riesgos de Gestión'!$V$50),"")</f>
        <v/>
      </c>
      <c r="AM44" s="40" t="str">
        <f>IF(AND('Riesgos de Gestión'!$AF$51="Baja",'Riesgos de Gestión'!$AH$51="Catastrófico"),CONCATENATE("R9C",'Riesgos de Gestión'!$V$51),"")</f>
        <v/>
      </c>
      <c r="AN44" s="66"/>
      <c r="AO44" s="516"/>
      <c r="AP44" s="517"/>
      <c r="AQ44" s="517"/>
      <c r="AR44" s="517"/>
      <c r="AS44" s="517"/>
      <c r="AT44" s="518"/>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row>
    <row r="45" spans="1:80" ht="15.75" customHeight="1" thickBot="1" x14ac:dyDescent="0.3">
      <c r="A45" s="66"/>
      <c r="B45" s="444"/>
      <c r="C45" s="444"/>
      <c r="D45" s="445"/>
      <c r="E45" s="488"/>
      <c r="F45" s="489"/>
      <c r="G45" s="489"/>
      <c r="H45" s="489"/>
      <c r="I45" s="489"/>
      <c r="J45" s="62" t="str">
        <f>IF(AND('Riesgos de Gestión'!$AF$52="Baja",'Riesgos de Gestión'!$AH$52="Leve"),CONCATENATE("R10C",'Riesgos de Gestión'!$V$52),"")</f>
        <v/>
      </c>
      <c r="K45" s="63" t="str">
        <f>IF(AND('Riesgos de Gestión'!$AF$53="Baja",'Riesgos de Gestión'!$AH$53="Leve"),CONCATENATE("R10C",'Riesgos de Gestión'!$V$53),"")</f>
        <v/>
      </c>
      <c r="L45" s="63" t="str">
        <f>IF(AND('Riesgos de Gestión'!$AF$54="Baja",'Riesgos de Gestión'!$AH$54="Leve"),CONCATENATE("R10C",'Riesgos de Gestión'!$V$54),"")</f>
        <v/>
      </c>
      <c r="M45" s="63" t="str">
        <f>IF(AND('Riesgos de Gestión'!$AF$55="Baja",'Riesgos de Gestión'!$AH$55="Leve"),CONCATENATE("R10C",'Riesgos de Gestión'!$V$55),"")</f>
        <v/>
      </c>
      <c r="N45" s="63" t="str">
        <f>IF(AND('Riesgos de Gestión'!$AF$56="Baja",'Riesgos de Gestión'!$AH$56="Leve"),CONCATENATE("R10C",'Riesgos de Gestión'!$V$56),"")</f>
        <v/>
      </c>
      <c r="O45" s="64" t="str">
        <f>IF(AND('Riesgos de Gestión'!$AF$57="Baja",'Riesgos de Gestión'!$AH$57="Leve"),CONCATENATE("R10C",'Riesgos de Gestión'!$V$57),"")</f>
        <v/>
      </c>
      <c r="P45" s="50" t="str">
        <f>IF(AND('Riesgos de Gestión'!$AF$52="Baja",'Riesgos de Gestión'!$AH$52="Menor"),CONCATENATE("R10C",'Riesgos de Gestión'!$V$52),"")</f>
        <v/>
      </c>
      <c r="Q45" s="51" t="str">
        <f>IF(AND('Riesgos de Gestión'!$AF$53="Baja",'Riesgos de Gestión'!$AH$53="Menor"),CONCATENATE("R10C",'Riesgos de Gestión'!$V$53),"")</f>
        <v/>
      </c>
      <c r="R45" s="51" t="str">
        <f>IF(AND('Riesgos de Gestión'!$AF$54="Baja",'Riesgos de Gestión'!$AH$54="Menor"),CONCATENATE("R10C",'Riesgos de Gestión'!$V$54),"")</f>
        <v/>
      </c>
      <c r="S45" s="51" t="str">
        <f>IF(AND('Riesgos de Gestión'!$AF$55="Baja",'Riesgos de Gestión'!$AH$55="Menor"),CONCATENATE("R10C",'Riesgos de Gestión'!$V$55),"")</f>
        <v/>
      </c>
      <c r="T45" s="51" t="str">
        <f>IF(AND('Riesgos de Gestión'!$AF$56="Baja",'Riesgos de Gestión'!$AH$56="Menor"),CONCATENATE("R10C",'Riesgos de Gestión'!$V$56),"")</f>
        <v/>
      </c>
      <c r="U45" s="52" t="str">
        <f>IF(AND('Riesgos de Gestión'!$AF$57="Baja",'Riesgos de Gestión'!$AH$57="Menor"),CONCATENATE("R10C",'Riesgos de Gestión'!$V$57),"")</f>
        <v/>
      </c>
      <c r="V45" s="53" t="str">
        <f>IF(AND('Riesgos de Gestión'!$AF$52="Baja",'Riesgos de Gestión'!$AH$52="Moderado"),CONCATENATE("R10C",'Riesgos de Gestión'!$V$52),"")</f>
        <v/>
      </c>
      <c r="W45" s="54" t="str">
        <f>IF(AND('Riesgos de Gestión'!$AF$53="Baja",'Riesgos de Gestión'!$AH$53="Moderado"),CONCATENATE("R10C",'Riesgos de Gestión'!$V$53),"")</f>
        <v/>
      </c>
      <c r="X45" s="54" t="str">
        <f>IF(AND('Riesgos de Gestión'!$AF$54="Baja",'Riesgos de Gestión'!$AH$54="Moderado"),CONCATENATE("R10C",'Riesgos de Gestión'!$V$54),"")</f>
        <v/>
      </c>
      <c r="Y45" s="54" t="str">
        <f>IF(AND('Riesgos de Gestión'!$AF$55="Baja",'Riesgos de Gestión'!$AH$55="Moderado"),CONCATENATE("R10C",'Riesgos de Gestión'!$V$55),"")</f>
        <v/>
      </c>
      <c r="Z45" s="54" t="str">
        <f>IF(AND('Riesgos de Gestión'!$AF$56="Baja",'Riesgos de Gestión'!$AH$56="Moderado"),CONCATENATE("R10C",'Riesgos de Gestión'!$V$56),"")</f>
        <v/>
      </c>
      <c r="AA45" s="55" t="str">
        <f>IF(AND('Riesgos de Gestión'!$AF$57="Baja",'Riesgos de Gestión'!$AH$57="Moderado"),CONCATENATE("R10C",'Riesgos de Gestión'!$V$57),"")</f>
        <v/>
      </c>
      <c r="AB45" s="41" t="str">
        <f>IF(AND('Riesgos de Gestión'!$AF$52="Baja",'Riesgos de Gestión'!$AH$52="Mayor"),CONCATENATE("R10C",'Riesgos de Gestión'!$V$52),"")</f>
        <v/>
      </c>
      <c r="AC45" s="42" t="str">
        <f>IF(AND('Riesgos de Gestión'!$AF$53="Baja",'Riesgos de Gestión'!$AH$53="Mayor"),CONCATENATE("R10C",'Riesgos de Gestión'!$V$53),"")</f>
        <v/>
      </c>
      <c r="AD45" s="42" t="str">
        <f>IF(AND('Riesgos de Gestión'!$AF$54="Baja",'Riesgos de Gestión'!$AH$54="Mayor"),CONCATENATE("R10C",'Riesgos de Gestión'!$V$54),"")</f>
        <v/>
      </c>
      <c r="AE45" s="42" t="str">
        <f>IF(AND('Riesgos de Gestión'!$AF$55="Baja",'Riesgos de Gestión'!$AH$55="Mayor"),CONCATENATE("R10C",'Riesgos de Gestión'!$V$55),"")</f>
        <v/>
      </c>
      <c r="AF45" s="42" t="str">
        <f>IF(AND('Riesgos de Gestión'!$AF$56="Baja",'Riesgos de Gestión'!$AH$56="Mayor"),CONCATENATE("R10C",'Riesgos de Gestión'!$V$56),"")</f>
        <v/>
      </c>
      <c r="AG45" s="43" t="str">
        <f>IF(AND('Riesgos de Gestión'!$AF$57="Baja",'Riesgos de Gestión'!$AH$57="Mayor"),CONCATENATE("R10C",'Riesgos de Gestión'!$V$57),"")</f>
        <v/>
      </c>
      <c r="AH45" s="44" t="str">
        <f>IF(AND('Riesgos de Gestión'!$AF$52="Baja",'Riesgos de Gestión'!$AH$52="Catastrófico"),CONCATENATE("R10C",'Riesgos de Gestión'!$V$52),"")</f>
        <v/>
      </c>
      <c r="AI45" s="45" t="str">
        <f>IF(AND('Riesgos de Gestión'!$AF$53="Baja",'Riesgos de Gestión'!$AH$53="Catastrófico"),CONCATENATE("R10C",'Riesgos de Gestión'!$V$53),"")</f>
        <v/>
      </c>
      <c r="AJ45" s="45" t="str">
        <f>IF(AND('Riesgos de Gestión'!$AF$54="Baja",'Riesgos de Gestión'!$AH$54="Catastrófico"),CONCATENATE("R10C",'Riesgos de Gestión'!$V$54),"")</f>
        <v/>
      </c>
      <c r="AK45" s="45" t="str">
        <f>IF(AND('Riesgos de Gestión'!$AF$55="Baja",'Riesgos de Gestión'!$AH$55="Catastrófico"),CONCATENATE("R10C",'Riesgos de Gestión'!$V$55),"")</f>
        <v/>
      </c>
      <c r="AL45" s="45" t="str">
        <f>IF(AND('Riesgos de Gestión'!$AF$56="Baja",'Riesgos de Gestión'!$AH$56="Catastrófico"),CONCATENATE("R10C",'Riesgos de Gestión'!$V$56),"")</f>
        <v/>
      </c>
      <c r="AM45" s="46" t="str">
        <f>IF(AND('Riesgos de Gestión'!$AF$57="Baja",'Riesgos de Gestión'!$AH$57="Catastrófico"),CONCATENATE("R10C",'Riesgos de Gestión'!$V$57),"")</f>
        <v/>
      </c>
      <c r="AN45" s="66"/>
      <c r="AO45" s="519"/>
      <c r="AP45" s="520"/>
      <c r="AQ45" s="520"/>
      <c r="AR45" s="520"/>
      <c r="AS45" s="520"/>
      <c r="AT45" s="521"/>
    </row>
    <row r="46" spans="1:80" ht="46.5" customHeight="1" x14ac:dyDescent="0.35">
      <c r="A46" s="66"/>
      <c r="B46" s="444"/>
      <c r="C46" s="444"/>
      <c r="D46" s="445"/>
      <c r="E46" s="482" t="s">
        <v>273</v>
      </c>
      <c r="F46" s="483"/>
      <c r="G46" s="483"/>
      <c r="H46" s="483"/>
      <c r="I46" s="484"/>
      <c r="J46" s="56" t="str">
        <f>IF(AND('Riesgos de Gestión'!$AF$13="Muy Baja",'Riesgos de Gestión'!$AH$13="Leve"),CONCATENATE("R1C",'Riesgos de Gestión'!$V$13),"")</f>
        <v/>
      </c>
      <c r="K46" s="57" t="e">
        <f>IF(AND('Riesgos de Gestión'!#REF!="Muy Baja",'Riesgos de Gestión'!#REF!="Leve"),CONCATENATE("R1C",'Riesgos de Gestión'!#REF!),"")</f>
        <v>#REF!</v>
      </c>
      <c r="L46" s="57" t="e">
        <f>IF(AND('Riesgos de Gestión'!#REF!="Muy Baja",'Riesgos de Gestión'!#REF!="Leve"),CONCATENATE("R1C",'Riesgos de Gestión'!#REF!),"")</f>
        <v>#REF!</v>
      </c>
      <c r="M46" s="57" t="e">
        <f>IF(AND('Riesgos de Gestión'!#REF!="Muy Baja",'Riesgos de Gestión'!#REF!="Leve"),CONCATENATE("R1C",'Riesgos de Gestión'!#REF!),"")</f>
        <v>#REF!</v>
      </c>
      <c r="N46" s="57" t="e">
        <f>IF(AND('Riesgos de Gestión'!#REF!="Muy Baja",'Riesgos de Gestión'!#REF!="Leve"),CONCATENATE("R1C",'Riesgos de Gestión'!#REF!),"")</f>
        <v>#REF!</v>
      </c>
      <c r="O46" s="58" t="e">
        <f>IF(AND('Riesgos de Gestión'!#REF!="Muy Baja",'Riesgos de Gestión'!#REF!="Leve"),CONCATENATE("R1C",'Riesgos de Gestión'!#REF!),"")</f>
        <v>#REF!</v>
      </c>
      <c r="P46" s="56" t="str">
        <f>IF(AND('Riesgos de Gestión'!$AF$13="Muy Baja",'Riesgos de Gestión'!$AH$13="Menor"),CONCATENATE("R1C",'Riesgos de Gestión'!$V$13),"")</f>
        <v/>
      </c>
      <c r="Q46" s="57" t="e">
        <f>IF(AND('Riesgos de Gestión'!#REF!="Muy Baja",'Riesgos de Gestión'!#REF!="Menor"),CONCATENATE("R1C",'Riesgos de Gestión'!#REF!),"")</f>
        <v>#REF!</v>
      </c>
      <c r="R46" s="57" t="e">
        <f>IF(AND('Riesgos de Gestión'!#REF!="Muy Baja",'Riesgos de Gestión'!#REF!="Menor"),CONCATENATE("R1C",'Riesgos de Gestión'!#REF!),"")</f>
        <v>#REF!</v>
      </c>
      <c r="S46" s="57" t="e">
        <f>IF(AND('Riesgos de Gestión'!#REF!="Muy Baja",'Riesgos de Gestión'!#REF!="Menor"),CONCATENATE("R1C",'Riesgos de Gestión'!#REF!),"")</f>
        <v>#REF!</v>
      </c>
      <c r="T46" s="57" t="e">
        <f>IF(AND('Riesgos de Gestión'!#REF!="Muy Baja",'Riesgos de Gestión'!#REF!="Menor"),CONCATENATE("R1C",'Riesgos de Gestión'!#REF!),"")</f>
        <v>#REF!</v>
      </c>
      <c r="U46" s="58" t="e">
        <f>IF(AND('Riesgos de Gestión'!#REF!="Muy Baja",'Riesgos de Gestión'!#REF!="Menor"),CONCATENATE("R1C",'Riesgos de Gestión'!#REF!),"")</f>
        <v>#REF!</v>
      </c>
      <c r="V46" s="47" t="str">
        <f>IF(AND('Riesgos de Gestión'!$AF$13="Muy Baja",'Riesgos de Gestión'!$AH$13="Moderado"),CONCATENATE("R1C",'Riesgos de Gestión'!$V$13),"")</f>
        <v/>
      </c>
      <c r="W46" s="65" t="e">
        <f>IF(AND('Riesgos de Gestión'!#REF!="Muy Baja",'Riesgos de Gestión'!#REF!="Moderado"),CONCATENATE("R1C",'Riesgos de Gestión'!#REF!),"")</f>
        <v>#REF!</v>
      </c>
      <c r="X46" s="48" t="e">
        <f>IF(AND('Riesgos de Gestión'!#REF!="Muy Baja",'Riesgos de Gestión'!#REF!="Moderado"),CONCATENATE("R1C",'Riesgos de Gestión'!#REF!),"")</f>
        <v>#REF!</v>
      </c>
      <c r="Y46" s="48" t="e">
        <f>IF(AND('Riesgos de Gestión'!#REF!="Muy Baja",'Riesgos de Gestión'!#REF!="Moderado"),CONCATENATE("R1C",'Riesgos de Gestión'!#REF!),"")</f>
        <v>#REF!</v>
      </c>
      <c r="Z46" s="48" t="e">
        <f>IF(AND('Riesgos de Gestión'!#REF!="Muy Baja",'Riesgos de Gestión'!#REF!="Moderado"),CONCATENATE("R1C",'Riesgos de Gestión'!#REF!),"")</f>
        <v>#REF!</v>
      </c>
      <c r="AA46" s="49" t="e">
        <f>IF(AND('Riesgos de Gestión'!#REF!="Muy Baja",'Riesgos de Gestión'!#REF!="Moderado"),CONCATENATE("R1C",'Riesgos de Gestión'!#REF!),"")</f>
        <v>#REF!</v>
      </c>
      <c r="AB46" s="29" t="str">
        <f>IF(AND('Riesgos de Gestión'!$AF$13="Muy Baja",'Riesgos de Gestión'!$AH$13="Mayor"),CONCATENATE("R1C",'Riesgos de Gestión'!$V$13),"")</f>
        <v/>
      </c>
      <c r="AC46" s="30" t="e">
        <f>IF(AND('Riesgos de Gestión'!#REF!="Muy Baja",'Riesgos de Gestión'!#REF!="Mayor"),CONCATENATE("R1C",'Riesgos de Gestión'!#REF!),"")</f>
        <v>#REF!</v>
      </c>
      <c r="AD46" s="30" t="e">
        <f>IF(AND('Riesgos de Gestión'!#REF!="Muy Baja",'Riesgos de Gestión'!#REF!="Mayor"),CONCATENATE("R1C",'Riesgos de Gestión'!#REF!),"")</f>
        <v>#REF!</v>
      </c>
      <c r="AE46" s="30" t="e">
        <f>IF(AND('Riesgos de Gestión'!#REF!="Muy Baja",'Riesgos de Gestión'!#REF!="Mayor"),CONCATENATE("R1C",'Riesgos de Gestión'!#REF!),"")</f>
        <v>#REF!</v>
      </c>
      <c r="AF46" s="30" t="e">
        <f>IF(AND('Riesgos de Gestión'!#REF!="Muy Baja",'Riesgos de Gestión'!#REF!="Mayor"),CONCATENATE("R1C",'Riesgos de Gestión'!#REF!),"")</f>
        <v>#REF!</v>
      </c>
      <c r="AG46" s="31" t="e">
        <f>IF(AND('Riesgos de Gestión'!#REF!="Muy Baja",'Riesgos de Gestión'!#REF!="Mayor"),CONCATENATE("R1C",'Riesgos de Gestión'!#REF!),"")</f>
        <v>#REF!</v>
      </c>
      <c r="AH46" s="32" t="str">
        <f>IF(AND('Riesgos de Gestión'!$AF$13="Muy Baja",'Riesgos de Gestión'!$AH$13="Catastrófico"),CONCATENATE("R1C",'Riesgos de Gestión'!$V$13),"")</f>
        <v/>
      </c>
      <c r="AI46" s="33" t="e">
        <f>IF(AND('Riesgos de Gestión'!#REF!="Muy Baja",'Riesgos de Gestión'!#REF!="Catastrófico"),CONCATENATE("R1C",'Riesgos de Gestión'!#REF!),"")</f>
        <v>#REF!</v>
      </c>
      <c r="AJ46" s="33" t="e">
        <f>IF(AND('Riesgos de Gestión'!#REF!="Muy Baja",'Riesgos de Gestión'!#REF!="Catastrófico"),CONCATENATE("R1C",'Riesgos de Gestión'!#REF!),"")</f>
        <v>#REF!</v>
      </c>
      <c r="AK46" s="33" t="e">
        <f>IF(AND('Riesgos de Gestión'!#REF!="Muy Baja",'Riesgos de Gestión'!#REF!="Catastrófico"),CONCATENATE("R1C",'Riesgos de Gestión'!#REF!),"")</f>
        <v>#REF!</v>
      </c>
      <c r="AL46" s="33" t="e">
        <f>IF(AND('Riesgos de Gestión'!#REF!="Muy Baja",'Riesgos de Gestión'!#REF!="Catastrófico"),CONCATENATE("R1C",'Riesgos de Gestión'!#REF!),"")</f>
        <v>#REF!</v>
      </c>
      <c r="AM46" s="34" t="e">
        <f>IF(AND('Riesgos de Gestión'!#REF!="Muy Baja",'Riesgos de Gestión'!#REF!="Catastrófico"),CONCATENATE("R1C",'Riesgos de Gestión'!#REF!),"")</f>
        <v>#REF!</v>
      </c>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row>
    <row r="47" spans="1:80" ht="46.5" customHeight="1" x14ac:dyDescent="0.25">
      <c r="A47" s="66"/>
      <c r="B47" s="444"/>
      <c r="C47" s="444"/>
      <c r="D47" s="445"/>
      <c r="E47" s="501"/>
      <c r="F47" s="486"/>
      <c r="G47" s="486"/>
      <c r="H47" s="486"/>
      <c r="I47" s="487"/>
      <c r="J47" s="59" t="str">
        <f>IF(AND('Riesgos de Gestión'!$AF$14="Muy Baja",'Riesgos de Gestión'!$AH$14="Leve"),CONCATENATE("R2C",'Riesgos de Gestión'!$V$14),"")</f>
        <v/>
      </c>
      <c r="K47" s="60" t="e">
        <f>IF(AND('Riesgos de Gestión'!#REF!="Muy Baja",'Riesgos de Gestión'!#REF!="Leve"),CONCATENATE("R2C",'Riesgos de Gestión'!#REF!),"")</f>
        <v>#REF!</v>
      </c>
      <c r="L47" s="60" t="e">
        <f>IF(AND('Riesgos de Gestión'!#REF!="Muy Baja",'Riesgos de Gestión'!#REF!="Leve"),CONCATENATE("R2C",'Riesgos de Gestión'!#REF!),"")</f>
        <v>#REF!</v>
      </c>
      <c r="M47" s="60" t="e">
        <f>IF(AND('Riesgos de Gestión'!#REF!="Muy Baja",'Riesgos de Gestión'!#REF!="Leve"),CONCATENATE("R2C",'Riesgos de Gestión'!#REF!),"")</f>
        <v>#REF!</v>
      </c>
      <c r="N47" s="60" t="e">
        <f>IF(AND('Riesgos de Gestión'!#REF!="Muy Baja",'Riesgos de Gestión'!#REF!="Leve"),CONCATENATE("R2C",'Riesgos de Gestión'!#REF!),"")</f>
        <v>#REF!</v>
      </c>
      <c r="O47" s="61" t="e">
        <f>IF(AND('Riesgos de Gestión'!#REF!="Muy Baja",'Riesgos de Gestión'!#REF!="Leve"),CONCATENATE("R2C",'Riesgos de Gestión'!#REF!),"")</f>
        <v>#REF!</v>
      </c>
      <c r="P47" s="59" t="str">
        <f>IF(AND('Riesgos de Gestión'!$AF$14="Muy Baja",'Riesgos de Gestión'!$AH$14="Menor"),CONCATENATE("R2C",'Riesgos de Gestión'!$V$14),"")</f>
        <v/>
      </c>
      <c r="Q47" s="60" t="e">
        <f>IF(AND('Riesgos de Gestión'!#REF!="Muy Baja",'Riesgos de Gestión'!#REF!="Menor"),CONCATENATE("R2C",'Riesgos de Gestión'!#REF!),"")</f>
        <v>#REF!</v>
      </c>
      <c r="R47" s="60" t="e">
        <f>IF(AND('Riesgos de Gestión'!#REF!="Muy Baja",'Riesgos de Gestión'!#REF!="Menor"),CONCATENATE("R2C",'Riesgos de Gestión'!#REF!),"")</f>
        <v>#REF!</v>
      </c>
      <c r="S47" s="60" t="e">
        <f>IF(AND('Riesgos de Gestión'!#REF!="Muy Baja",'Riesgos de Gestión'!#REF!="Menor"),CONCATENATE("R2C",'Riesgos de Gestión'!#REF!),"")</f>
        <v>#REF!</v>
      </c>
      <c r="T47" s="60" t="e">
        <f>IF(AND('Riesgos de Gestión'!#REF!="Muy Baja",'Riesgos de Gestión'!#REF!="Menor"),CONCATENATE("R2C",'Riesgos de Gestión'!#REF!),"")</f>
        <v>#REF!</v>
      </c>
      <c r="U47" s="61" t="e">
        <f>IF(AND('Riesgos de Gestión'!#REF!="Muy Baja",'Riesgos de Gestión'!#REF!="Menor"),CONCATENATE("R2C",'Riesgos de Gestión'!#REF!),"")</f>
        <v>#REF!</v>
      </c>
      <c r="V47" s="50" t="str">
        <f>IF(AND('Riesgos de Gestión'!$AF$14="Muy Baja",'Riesgos de Gestión'!$AH$14="Moderado"),CONCATENATE("R2C",'Riesgos de Gestión'!$V$14),"")</f>
        <v/>
      </c>
      <c r="W47" s="51" t="e">
        <f>IF(AND('Riesgos de Gestión'!#REF!="Muy Baja",'Riesgos de Gestión'!#REF!="Moderado"),CONCATENATE("R2C",'Riesgos de Gestión'!#REF!),"")</f>
        <v>#REF!</v>
      </c>
      <c r="X47" s="51" t="e">
        <f>IF(AND('Riesgos de Gestión'!#REF!="Muy Baja",'Riesgos de Gestión'!#REF!="Moderado"),CONCATENATE("R2C",'Riesgos de Gestión'!#REF!),"")</f>
        <v>#REF!</v>
      </c>
      <c r="Y47" s="51" t="e">
        <f>IF(AND('Riesgos de Gestión'!#REF!="Muy Baja",'Riesgos de Gestión'!#REF!="Moderado"),CONCATENATE("R2C",'Riesgos de Gestión'!#REF!),"")</f>
        <v>#REF!</v>
      </c>
      <c r="Z47" s="51" t="e">
        <f>IF(AND('Riesgos de Gestión'!#REF!="Muy Baja",'Riesgos de Gestión'!#REF!="Moderado"),CONCATENATE("R2C",'Riesgos de Gestión'!#REF!),"")</f>
        <v>#REF!</v>
      </c>
      <c r="AA47" s="52" t="e">
        <f>IF(AND('Riesgos de Gestión'!#REF!="Muy Baja",'Riesgos de Gestión'!#REF!="Moderado"),CONCATENATE("R2C",'Riesgos de Gestión'!#REF!),"")</f>
        <v>#REF!</v>
      </c>
      <c r="AB47" s="35" t="str">
        <f>IF(AND('Riesgos de Gestión'!$AF$14="Muy Baja",'Riesgos de Gestión'!$AH$14="Mayor"),CONCATENATE("R2C",'Riesgos de Gestión'!$V$14),"")</f>
        <v/>
      </c>
      <c r="AC47" s="36" t="e">
        <f>IF(AND('Riesgos de Gestión'!#REF!="Muy Baja",'Riesgos de Gestión'!#REF!="Mayor"),CONCATENATE("R2C",'Riesgos de Gestión'!#REF!),"")</f>
        <v>#REF!</v>
      </c>
      <c r="AD47" s="36" t="e">
        <f>IF(AND('Riesgos de Gestión'!#REF!="Muy Baja",'Riesgos de Gestión'!#REF!="Mayor"),CONCATENATE("R2C",'Riesgos de Gestión'!#REF!),"")</f>
        <v>#REF!</v>
      </c>
      <c r="AE47" s="36" t="e">
        <f>IF(AND('Riesgos de Gestión'!#REF!="Muy Baja",'Riesgos de Gestión'!#REF!="Mayor"),CONCATENATE("R2C",'Riesgos de Gestión'!#REF!),"")</f>
        <v>#REF!</v>
      </c>
      <c r="AF47" s="36" t="e">
        <f>IF(AND('Riesgos de Gestión'!#REF!="Muy Baja",'Riesgos de Gestión'!#REF!="Mayor"),CONCATENATE("R2C",'Riesgos de Gestión'!#REF!),"")</f>
        <v>#REF!</v>
      </c>
      <c r="AG47" s="37" t="e">
        <f>IF(AND('Riesgos de Gestión'!#REF!="Muy Baja",'Riesgos de Gestión'!#REF!="Mayor"),CONCATENATE("R2C",'Riesgos de Gestión'!#REF!),"")</f>
        <v>#REF!</v>
      </c>
      <c r="AH47" s="38" t="str">
        <f>IF(AND('Riesgos de Gestión'!$AF$14="Muy Baja",'Riesgos de Gestión'!$AH$14="Catastrófico"),CONCATENATE("R2C",'Riesgos de Gestión'!$V$14),"")</f>
        <v/>
      </c>
      <c r="AI47" s="39" t="e">
        <f>IF(AND('Riesgos de Gestión'!#REF!="Muy Baja",'Riesgos de Gestión'!#REF!="Catastrófico"),CONCATENATE("R2C",'Riesgos de Gestión'!#REF!),"")</f>
        <v>#REF!</v>
      </c>
      <c r="AJ47" s="39" t="e">
        <f>IF(AND('Riesgos de Gestión'!#REF!="Muy Baja",'Riesgos de Gestión'!#REF!="Catastrófico"),CONCATENATE("R2C",'Riesgos de Gestión'!#REF!),"")</f>
        <v>#REF!</v>
      </c>
      <c r="AK47" s="39" t="e">
        <f>IF(AND('Riesgos de Gestión'!#REF!="Muy Baja",'Riesgos de Gestión'!#REF!="Catastrófico"),CONCATENATE("R2C",'Riesgos de Gestión'!#REF!),"")</f>
        <v>#REF!</v>
      </c>
      <c r="AL47" s="39" t="e">
        <f>IF(AND('Riesgos de Gestión'!#REF!="Muy Baja",'Riesgos de Gestión'!#REF!="Catastrófico"),CONCATENATE("R2C",'Riesgos de Gestión'!#REF!),"")</f>
        <v>#REF!</v>
      </c>
      <c r="AM47" s="40" t="e">
        <f>IF(AND('Riesgos de Gestión'!#REF!="Muy Baja",'Riesgos de Gestión'!#REF!="Catastrófico"),CONCATENATE("R2C",'Riesgos de Gestión'!#REF!),"")</f>
        <v>#REF!</v>
      </c>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row>
    <row r="48" spans="1:80" ht="15" customHeight="1" x14ac:dyDescent="0.25">
      <c r="A48" s="66"/>
      <c r="B48" s="444"/>
      <c r="C48" s="444"/>
      <c r="D48" s="445"/>
      <c r="E48" s="501"/>
      <c r="F48" s="486"/>
      <c r="G48" s="486"/>
      <c r="H48" s="486"/>
      <c r="I48" s="487"/>
      <c r="J48" s="59" t="str">
        <f>IF(AND('Riesgos de Gestión'!$AF$15="Muy Baja",'Riesgos de Gestión'!$AH$15="Leve"),CONCATENATE("R3C",'Riesgos de Gestión'!$V$15),"")</f>
        <v/>
      </c>
      <c r="K48" s="60" t="e">
        <f>IF(AND('Riesgos de Gestión'!#REF!="Muy Baja",'Riesgos de Gestión'!#REF!="Leve"),CONCATENATE("R3C",'Riesgos de Gestión'!#REF!),"")</f>
        <v>#REF!</v>
      </c>
      <c r="L48" s="60" t="e">
        <f>IF(AND('Riesgos de Gestión'!#REF!="Muy Baja",'Riesgos de Gestión'!#REF!="Leve"),CONCATENATE("R3C",'Riesgos de Gestión'!#REF!),"")</f>
        <v>#REF!</v>
      </c>
      <c r="M48" s="60" t="e">
        <f>IF(AND('Riesgos de Gestión'!#REF!="Muy Baja",'Riesgos de Gestión'!#REF!="Leve"),CONCATENATE("R3C",'Riesgos de Gestión'!#REF!),"")</f>
        <v>#REF!</v>
      </c>
      <c r="N48" s="60" t="e">
        <f>IF(AND('Riesgos de Gestión'!#REF!="Muy Baja",'Riesgos de Gestión'!#REF!="Leve"),CONCATENATE("R3C",'Riesgos de Gestión'!#REF!),"")</f>
        <v>#REF!</v>
      </c>
      <c r="O48" s="61" t="e">
        <f>IF(AND('Riesgos de Gestión'!#REF!="Muy Baja",'Riesgos de Gestión'!#REF!="Leve"),CONCATENATE("R3C",'Riesgos de Gestión'!#REF!),"")</f>
        <v>#REF!</v>
      </c>
      <c r="P48" s="59" t="str">
        <f>IF(AND('Riesgos de Gestión'!$AF$15="Muy Baja",'Riesgos de Gestión'!$AH$15="Menor"),CONCATENATE("R3C",'Riesgos de Gestión'!$V$15),"")</f>
        <v/>
      </c>
      <c r="Q48" s="60" t="e">
        <f>IF(AND('Riesgos de Gestión'!#REF!="Muy Baja",'Riesgos de Gestión'!#REF!="Menor"),CONCATENATE("R3C",'Riesgos de Gestión'!#REF!),"")</f>
        <v>#REF!</v>
      </c>
      <c r="R48" s="60" t="e">
        <f>IF(AND('Riesgos de Gestión'!#REF!="Muy Baja",'Riesgos de Gestión'!#REF!="Menor"),CONCATENATE("R3C",'Riesgos de Gestión'!#REF!),"")</f>
        <v>#REF!</v>
      </c>
      <c r="S48" s="60" t="e">
        <f>IF(AND('Riesgos de Gestión'!#REF!="Muy Baja",'Riesgos de Gestión'!#REF!="Menor"),CONCATENATE("R3C",'Riesgos de Gestión'!#REF!),"")</f>
        <v>#REF!</v>
      </c>
      <c r="T48" s="60" t="e">
        <f>IF(AND('Riesgos de Gestión'!#REF!="Muy Baja",'Riesgos de Gestión'!#REF!="Menor"),CONCATENATE("R3C",'Riesgos de Gestión'!#REF!),"")</f>
        <v>#REF!</v>
      </c>
      <c r="U48" s="61" t="e">
        <f>IF(AND('Riesgos de Gestión'!#REF!="Muy Baja",'Riesgos de Gestión'!#REF!="Menor"),CONCATENATE("R3C",'Riesgos de Gestión'!#REF!),"")</f>
        <v>#REF!</v>
      </c>
      <c r="V48" s="50" t="str">
        <f>IF(AND('Riesgos de Gestión'!$AF$15="Muy Baja",'Riesgos de Gestión'!$AH$15="Moderado"),CONCATENATE("R3C",'Riesgos de Gestión'!$V$15),"")</f>
        <v/>
      </c>
      <c r="W48" s="51" t="e">
        <f>IF(AND('Riesgos de Gestión'!#REF!="Muy Baja",'Riesgos de Gestión'!#REF!="Moderado"),CONCATENATE("R3C",'Riesgos de Gestión'!#REF!),"")</f>
        <v>#REF!</v>
      </c>
      <c r="X48" s="51" t="e">
        <f>IF(AND('Riesgos de Gestión'!#REF!="Muy Baja",'Riesgos de Gestión'!#REF!="Moderado"),CONCATENATE("R3C",'Riesgos de Gestión'!#REF!),"")</f>
        <v>#REF!</v>
      </c>
      <c r="Y48" s="51" t="e">
        <f>IF(AND('Riesgos de Gestión'!#REF!="Muy Baja",'Riesgos de Gestión'!#REF!="Moderado"),CONCATENATE("R3C",'Riesgos de Gestión'!#REF!),"")</f>
        <v>#REF!</v>
      </c>
      <c r="Z48" s="51" t="e">
        <f>IF(AND('Riesgos de Gestión'!#REF!="Muy Baja",'Riesgos de Gestión'!#REF!="Moderado"),CONCATENATE("R3C",'Riesgos de Gestión'!#REF!),"")</f>
        <v>#REF!</v>
      </c>
      <c r="AA48" s="52" t="e">
        <f>IF(AND('Riesgos de Gestión'!#REF!="Muy Baja",'Riesgos de Gestión'!#REF!="Moderado"),CONCATENATE("R3C",'Riesgos de Gestión'!#REF!),"")</f>
        <v>#REF!</v>
      </c>
      <c r="AB48" s="35" t="str">
        <f>IF(AND('Riesgos de Gestión'!$AF$15="Muy Baja",'Riesgos de Gestión'!$AH$15="Mayor"),CONCATENATE("R3C",'Riesgos de Gestión'!$V$15),"")</f>
        <v/>
      </c>
      <c r="AC48" s="36" t="e">
        <f>IF(AND('Riesgos de Gestión'!#REF!="Muy Baja",'Riesgos de Gestión'!#REF!="Mayor"),CONCATENATE("R3C",'Riesgos de Gestión'!#REF!),"")</f>
        <v>#REF!</v>
      </c>
      <c r="AD48" s="36" t="e">
        <f>IF(AND('Riesgos de Gestión'!#REF!="Muy Baja",'Riesgos de Gestión'!#REF!="Mayor"),CONCATENATE("R3C",'Riesgos de Gestión'!#REF!),"")</f>
        <v>#REF!</v>
      </c>
      <c r="AE48" s="36" t="e">
        <f>IF(AND('Riesgos de Gestión'!#REF!="Muy Baja",'Riesgos de Gestión'!#REF!="Mayor"),CONCATENATE("R3C",'Riesgos de Gestión'!#REF!),"")</f>
        <v>#REF!</v>
      </c>
      <c r="AF48" s="36" t="e">
        <f>IF(AND('Riesgos de Gestión'!#REF!="Muy Baja",'Riesgos de Gestión'!#REF!="Mayor"),CONCATENATE("R3C",'Riesgos de Gestión'!#REF!),"")</f>
        <v>#REF!</v>
      </c>
      <c r="AG48" s="37" t="e">
        <f>IF(AND('Riesgos de Gestión'!#REF!="Muy Baja",'Riesgos de Gestión'!#REF!="Mayor"),CONCATENATE("R3C",'Riesgos de Gestión'!#REF!),"")</f>
        <v>#REF!</v>
      </c>
      <c r="AH48" s="38" t="str">
        <f>IF(AND('Riesgos de Gestión'!$AF$15="Muy Baja",'Riesgos de Gestión'!$AH$15="Catastrófico"),CONCATENATE("R3C",'Riesgos de Gestión'!$V$15),"")</f>
        <v/>
      </c>
      <c r="AI48" s="39" t="e">
        <f>IF(AND('Riesgos de Gestión'!#REF!="Muy Baja",'Riesgos de Gestión'!#REF!="Catastrófico"),CONCATENATE("R3C",'Riesgos de Gestión'!#REF!),"")</f>
        <v>#REF!</v>
      </c>
      <c r="AJ48" s="39" t="e">
        <f>IF(AND('Riesgos de Gestión'!#REF!="Muy Baja",'Riesgos de Gestión'!#REF!="Catastrófico"),CONCATENATE("R3C",'Riesgos de Gestión'!#REF!),"")</f>
        <v>#REF!</v>
      </c>
      <c r="AK48" s="39" t="e">
        <f>IF(AND('Riesgos de Gestión'!#REF!="Muy Baja",'Riesgos de Gestión'!#REF!="Catastrófico"),CONCATENATE("R3C",'Riesgos de Gestión'!#REF!),"")</f>
        <v>#REF!</v>
      </c>
      <c r="AL48" s="39" t="e">
        <f>IF(AND('Riesgos de Gestión'!#REF!="Muy Baja",'Riesgos de Gestión'!#REF!="Catastrófico"),CONCATENATE("R3C",'Riesgos de Gestión'!#REF!),"")</f>
        <v>#REF!</v>
      </c>
      <c r="AM48" s="40" t="e">
        <f>IF(AND('Riesgos de Gestión'!#REF!="Muy Baja",'Riesgos de Gestión'!#REF!="Catastrófico"),CONCATENATE("R3C",'Riesgos de Gestión'!#REF!),"")</f>
        <v>#REF!</v>
      </c>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row>
    <row r="49" spans="1:80" ht="15" customHeight="1" x14ac:dyDescent="0.25">
      <c r="A49" s="66"/>
      <c r="B49" s="444"/>
      <c r="C49" s="444"/>
      <c r="D49" s="445"/>
      <c r="E49" s="485"/>
      <c r="F49" s="486"/>
      <c r="G49" s="486"/>
      <c r="H49" s="486"/>
      <c r="I49" s="487"/>
      <c r="J49" s="59" t="str">
        <f>IF(AND('Riesgos de Gestión'!$AF$16="Muy Baja",'Riesgos de Gestión'!$AH$16="Leve"),CONCATENATE("R4C",'Riesgos de Gestión'!$V$16),"")</f>
        <v/>
      </c>
      <c r="K49" s="60" t="str">
        <f>IF(AND('Riesgos de Gestión'!$AF$17="Muy Baja",'Riesgos de Gestión'!$AH$17="Leve"),CONCATENATE("R4C",'Riesgos de Gestión'!$V$17),"")</f>
        <v/>
      </c>
      <c r="L49" s="60" t="str">
        <f>IF(AND('Riesgos de Gestión'!$AF$18="Muy Baja",'Riesgos de Gestión'!$AH$18="Leve"),CONCATENATE("R4C",'Riesgos de Gestión'!$V$18),"")</f>
        <v/>
      </c>
      <c r="M49" s="60" t="str">
        <f>IF(AND('Riesgos de Gestión'!$AF$19="Muy Baja",'Riesgos de Gestión'!$AH$19="Leve"),CONCATENATE("R4C",'Riesgos de Gestión'!$V$19),"")</f>
        <v/>
      </c>
      <c r="N49" s="60" t="str">
        <f>IF(AND('Riesgos de Gestión'!$AF$20="Muy Baja",'Riesgos de Gestión'!$AH$20="Leve"),CONCATENATE("R4C",'Riesgos de Gestión'!$V$20),"")</f>
        <v/>
      </c>
      <c r="O49" s="61" t="str">
        <f>IF(AND('Riesgos de Gestión'!$AF$21="Muy Baja",'Riesgos de Gestión'!$AH$21="Leve"),CONCATENATE("R4C",'Riesgos de Gestión'!$V$21),"")</f>
        <v/>
      </c>
      <c r="P49" s="59" t="str">
        <f>IF(AND('Riesgos de Gestión'!$AF$16="Muy Baja",'Riesgos de Gestión'!$AH$16="Menor"),CONCATENATE("R4C",'Riesgos de Gestión'!$V$16),"")</f>
        <v/>
      </c>
      <c r="Q49" s="60" t="str">
        <f>IF(AND('Riesgos de Gestión'!$AF$17="Muy Baja",'Riesgos de Gestión'!$AH$17="Menor"),CONCATENATE("R4C",'Riesgos de Gestión'!$V$17),"")</f>
        <v/>
      </c>
      <c r="R49" s="60" t="str">
        <f>IF(AND('Riesgos de Gestión'!$AF$18="Muy Baja",'Riesgos de Gestión'!$AH$18="Menor"),CONCATENATE("R4C",'Riesgos de Gestión'!$V$18),"")</f>
        <v/>
      </c>
      <c r="S49" s="60" t="str">
        <f>IF(AND('Riesgos de Gestión'!$AF$19="Muy Baja",'Riesgos de Gestión'!$AH$19="Menor"),CONCATENATE("R4C",'Riesgos de Gestión'!$V$19),"")</f>
        <v/>
      </c>
      <c r="T49" s="60" t="str">
        <f>IF(AND('Riesgos de Gestión'!$AF$20="Muy Baja",'Riesgos de Gestión'!$AH$20="Menor"),CONCATENATE("R4C",'Riesgos de Gestión'!$V$20),"")</f>
        <v/>
      </c>
      <c r="U49" s="61" t="str">
        <f>IF(AND('Riesgos de Gestión'!$AF$21="Muy Baja",'Riesgos de Gestión'!$AH$21="Menor"),CONCATENATE("R4C",'Riesgos de Gestión'!$V$21),"")</f>
        <v/>
      </c>
      <c r="V49" s="50" t="str">
        <f>IF(AND('Riesgos de Gestión'!$AF$16="Muy Baja",'Riesgos de Gestión'!$AH$16="Moderado"),CONCATENATE("R4C",'Riesgos de Gestión'!$V$16),"")</f>
        <v/>
      </c>
      <c r="W49" s="51" t="str">
        <f>IF(AND('Riesgos de Gestión'!$AF$17="Muy Baja",'Riesgos de Gestión'!$AH$17="Moderado"),CONCATENATE("R4C",'Riesgos de Gestión'!$V$17),"")</f>
        <v/>
      </c>
      <c r="X49" s="51" t="str">
        <f>IF(AND('Riesgos de Gestión'!$AF$18="Muy Baja",'Riesgos de Gestión'!$AH$18="Moderado"),CONCATENATE("R4C",'Riesgos de Gestión'!$V$18),"")</f>
        <v/>
      </c>
      <c r="Y49" s="51" t="str">
        <f>IF(AND('Riesgos de Gestión'!$AF$19="Muy Baja",'Riesgos de Gestión'!$AH$19="Moderado"),CONCATENATE("R4C",'Riesgos de Gestión'!$V$19),"")</f>
        <v/>
      </c>
      <c r="Z49" s="51" t="str">
        <f>IF(AND('Riesgos de Gestión'!$AF$20="Muy Baja",'Riesgos de Gestión'!$AH$20="Moderado"),CONCATENATE("R4C",'Riesgos de Gestión'!$V$20),"")</f>
        <v/>
      </c>
      <c r="AA49" s="52" t="str">
        <f>IF(AND('Riesgos de Gestión'!$AF$21="Muy Baja",'Riesgos de Gestión'!$AH$21="Moderado"),CONCATENATE("R4C",'Riesgos de Gestión'!$V$21),"")</f>
        <v/>
      </c>
      <c r="AB49" s="35" t="str">
        <f>IF(AND('Riesgos de Gestión'!$AF$16="Muy Baja",'Riesgos de Gestión'!$AH$16="Mayor"),CONCATENATE("R4C",'Riesgos de Gestión'!$V$16),"")</f>
        <v/>
      </c>
      <c r="AC49" s="36" t="str">
        <f>IF(AND('Riesgos de Gestión'!$AF$17="Muy Baja",'Riesgos de Gestión'!$AH$17="Mayor"),CONCATENATE("R4C",'Riesgos de Gestión'!$V$17),"")</f>
        <v/>
      </c>
      <c r="AD49" s="36" t="str">
        <f>IF(AND('Riesgos de Gestión'!$AF$18="Muy Baja",'Riesgos de Gestión'!$AH$18="Mayor"),CONCATENATE("R4C",'Riesgos de Gestión'!$V$18),"")</f>
        <v/>
      </c>
      <c r="AE49" s="36" t="str">
        <f>IF(AND('Riesgos de Gestión'!$AF$19="Muy Baja",'Riesgos de Gestión'!$AH$19="Mayor"),CONCATENATE("R4C",'Riesgos de Gestión'!$V$19),"")</f>
        <v/>
      </c>
      <c r="AF49" s="36" t="str">
        <f>IF(AND('Riesgos de Gestión'!$AF$20="Muy Baja",'Riesgos de Gestión'!$AH$20="Mayor"),CONCATENATE("R4C",'Riesgos de Gestión'!$V$20),"")</f>
        <v/>
      </c>
      <c r="AG49" s="37" t="str">
        <f>IF(AND('Riesgos de Gestión'!$AF$21="Muy Baja",'Riesgos de Gestión'!$AH$21="Mayor"),CONCATENATE("R4C",'Riesgos de Gestión'!$V$21),"")</f>
        <v/>
      </c>
      <c r="AH49" s="38" t="str">
        <f>IF(AND('Riesgos de Gestión'!$AF$16="Muy Baja",'Riesgos de Gestión'!$AH$16="Catastrófico"),CONCATENATE("R4C",'Riesgos de Gestión'!$V$16),"")</f>
        <v/>
      </c>
      <c r="AI49" s="39" t="str">
        <f>IF(AND('Riesgos de Gestión'!$AF$17="Muy Baja",'Riesgos de Gestión'!$AH$17="Catastrófico"),CONCATENATE("R4C",'Riesgos de Gestión'!$V$17),"")</f>
        <v/>
      </c>
      <c r="AJ49" s="39" t="str">
        <f>IF(AND('Riesgos de Gestión'!$AF$18="Muy Baja",'Riesgos de Gestión'!$AH$18="Catastrófico"),CONCATENATE("R4C",'Riesgos de Gestión'!$V$18),"")</f>
        <v/>
      </c>
      <c r="AK49" s="39" t="str">
        <f>IF(AND('Riesgos de Gestión'!$AF$19="Muy Baja",'Riesgos de Gestión'!$AH$19="Catastrófico"),CONCATENATE("R4C",'Riesgos de Gestión'!$V$19),"")</f>
        <v/>
      </c>
      <c r="AL49" s="39" t="str">
        <f>IF(AND('Riesgos de Gestión'!$AF$20="Muy Baja",'Riesgos de Gestión'!$AH$20="Catastrófico"),CONCATENATE("R4C",'Riesgos de Gestión'!$V$20),"")</f>
        <v/>
      </c>
      <c r="AM49" s="40" t="str">
        <f>IF(AND('Riesgos de Gestión'!$AF$21="Muy Baja",'Riesgos de Gestión'!$AH$21="Catastrófico"),CONCATENATE("R4C",'Riesgos de Gestión'!$V$21),"")</f>
        <v/>
      </c>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row>
    <row r="50" spans="1:80" ht="15" customHeight="1" x14ac:dyDescent="0.25">
      <c r="A50" s="66"/>
      <c r="B50" s="444"/>
      <c r="C50" s="444"/>
      <c r="D50" s="445"/>
      <c r="E50" s="485"/>
      <c r="F50" s="486"/>
      <c r="G50" s="486"/>
      <c r="H50" s="486"/>
      <c r="I50" s="487"/>
      <c r="J50" s="59" t="str">
        <f>IF(AND('Riesgos de Gestión'!$AF$22="Muy Baja",'Riesgos de Gestión'!$AH$22="Leve"),CONCATENATE("R5C",'Riesgos de Gestión'!$V$22),"")</f>
        <v/>
      </c>
      <c r="K50" s="60" t="str">
        <f>IF(AND('Riesgos de Gestión'!$AF$23="Muy Baja",'Riesgos de Gestión'!$AH$23="Leve"),CONCATENATE("R5C",'Riesgos de Gestión'!$V$23),"")</f>
        <v/>
      </c>
      <c r="L50" s="60" t="str">
        <f>IF(AND('Riesgos de Gestión'!$AF$24="Muy Baja",'Riesgos de Gestión'!$AH$24="Leve"),CONCATENATE("R5C",'Riesgos de Gestión'!$V$24),"")</f>
        <v/>
      </c>
      <c r="M50" s="60" t="str">
        <f>IF(AND('Riesgos de Gestión'!$AF$25="Muy Baja",'Riesgos de Gestión'!$AH$25="Leve"),CONCATENATE("R5C",'Riesgos de Gestión'!$V$25),"")</f>
        <v/>
      </c>
      <c r="N50" s="60" t="str">
        <f>IF(AND('Riesgos de Gestión'!$AF$26="Muy Baja",'Riesgos de Gestión'!$AH$26="Leve"),CONCATENATE("R5C",'Riesgos de Gestión'!$V$26),"")</f>
        <v/>
      </c>
      <c r="O50" s="61" t="str">
        <f>IF(AND('Riesgos de Gestión'!$AF$27="Muy Baja",'Riesgos de Gestión'!$AH$27="Leve"),CONCATENATE("R5C",'Riesgos de Gestión'!$V$27),"")</f>
        <v/>
      </c>
      <c r="P50" s="59" t="str">
        <f>IF(AND('Riesgos de Gestión'!$AF$22="Muy Baja",'Riesgos de Gestión'!$AH$22="Menor"),CONCATENATE("R5C",'Riesgos de Gestión'!$V$22),"")</f>
        <v/>
      </c>
      <c r="Q50" s="60" t="str">
        <f>IF(AND('Riesgos de Gestión'!$AF$23="Muy Baja",'Riesgos de Gestión'!$AH$23="Menor"),CONCATENATE("R5C",'Riesgos de Gestión'!$V$23),"")</f>
        <v/>
      </c>
      <c r="R50" s="60" t="str">
        <f>IF(AND('Riesgos de Gestión'!$AF$24="Muy Baja",'Riesgos de Gestión'!$AH$24="Menor"),CONCATENATE("R5C",'Riesgos de Gestión'!$V$24),"")</f>
        <v/>
      </c>
      <c r="S50" s="60" t="str">
        <f>IF(AND('Riesgos de Gestión'!$AF$25="Muy Baja",'Riesgos de Gestión'!$AH$25="Menor"),CONCATENATE("R5C",'Riesgos de Gestión'!$V$25),"")</f>
        <v/>
      </c>
      <c r="T50" s="60" t="str">
        <f>IF(AND('Riesgos de Gestión'!$AF$26="Muy Baja",'Riesgos de Gestión'!$AH$26="Menor"),CONCATENATE("R5C",'Riesgos de Gestión'!$V$26),"")</f>
        <v/>
      </c>
      <c r="U50" s="61" t="str">
        <f>IF(AND('Riesgos de Gestión'!$AF$27="Muy Baja",'Riesgos de Gestión'!$AH$27="Menor"),CONCATENATE("R5C",'Riesgos de Gestión'!$V$27),"")</f>
        <v/>
      </c>
      <c r="V50" s="50" t="str">
        <f>IF(AND('Riesgos de Gestión'!$AF$22="Muy Baja",'Riesgos de Gestión'!$AH$22="Moderado"),CONCATENATE("R5C",'Riesgos de Gestión'!$V$22),"")</f>
        <v/>
      </c>
      <c r="W50" s="51" t="str">
        <f>IF(AND('Riesgos de Gestión'!$AF$23="Muy Baja",'Riesgos de Gestión'!$AH$23="Moderado"),CONCATENATE("R5C",'Riesgos de Gestión'!$V$23),"")</f>
        <v/>
      </c>
      <c r="X50" s="51" t="str">
        <f>IF(AND('Riesgos de Gestión'!$AF$24="Muy Baja",'Riesgos de Gestión'!$AH$24="Moderado"),CONCATENATE("R5C",'Riesgos de Gestión'!$V$24),"")</f>
        <v/>
      </c>
      <c r="Y50" s="51" t="str">
        <f>IF(AND('Riesgos de Gestión'!$AF$25="Muy Baja",'Riesgos de Gestión'!$AH$25="Moderado"),CONCATENATE("R5C",'Riesgos de Gestión'!$V$25),"")</f>
        <v/>
      </c>
      <c r="Z50" s="51" t="str">
        <f>IF(AND('Riesgos de Gestión'!$AF$26="Muy Baja",'Riesgos de Gestión'!$AH$26="Moderado"),CONCATENATE("R5C",'Riesgos de Gestión'!$V$26),"")</f>
        <v/>
      </c>
      <c r="AA50" s="52" t="str">
        <f>IF(AND('Riesgos de Gestión'!$AF$27="Muy Baja",'Riesgos de Gestión'!$AH$27="Moderado"),CONCATENATE("R5C",'Riesgos de Gestión'!$V$27),"")</f>
        <v/>
      </c>
      <c r="AB50" s="35" t="str">
        <f>IF(AND('Riesgos de Gestión'!$AF$22="Muy Baja",'Riesgos de Gestión'!$AH$22="Mayor"),CONCATENATE("R5C",'Riesgos de Gestión'!$V$22),"")</f>
        <v/>
      </c>
      <c r="AC50" s="36" t="str">
        <f>IF(AND('Riesgos de Gestión'!$AF$23="Muy Baja",'Riesgos de Gestión'!$AH$23="Mayor"),CONCATENATE("R5C",'Riesgos de Gestión'!$V$23),"")</f>
        <v/>
      </c>
      <c r="AD50" s="36" t="str">
        <f>IF(AND('Riesgos de Gestión'!$AF$24="Muy Baja",'Riesgos de Gestión'!$AH$24="Mayor"),CONCATENATE("R5C",'Riesgos de Gestión'!$V$24),"")</f>
        <v/>
      </c>
      <c r="AE50" s="36" t="str">
        <f>IF(AND('Riesgos de Gestión'!$AF$25="Muy Baja",'Riesgos de Gestión'!$AH$25="Mayor"),CONCATENATE("R5C",'Riesgos de Gestión'!$V$25),"")</f>
        <v/>
      </c>
      <c r="AF50" s="36" t="str">
        <f>IF(AND('Riesgos de Gestión'!$AF$26="Muy Baja",'Riesgos de Gestión'!$AH$26="Mayor"),CONCATENATE("R5C",'Riesgos de Gestión'!$V$26),"")</f>
        <v/>
      </c>
      <c r="AG50" s="37" t="str">
        <f>IF(AND('Riesgos de Gestión'!$AF$27="Muy Baja",'Riesgos de Gestión'!$AH$27="Mayor"),CONCATENATE("R5C",'Riesgos de Gestión'!$V$27),"")</f>
        <v/>
      </c>
      <c r="AH50" s="38" t="str">
        <f>IF(AND('Riesgos de Gestión'!$AF$22="Muy Baja",'Riesgos de Gestión'!$AH$22="Catastrófico"),CONCATENATE("R5C",'Riesgos de Gestión'!$V$22),"")</f>
        <v/>
      </c>
      <c r="AI50" s="39" t="str">
        <f>IF(AND('Riesgos de Gestión'!$AF$23="Muy Baja",'Riesgos de Gestión'!$AH$23="Catastrófico"),CONCATENATE("R5C",'Riesgos de Gestión'!$V$23),"")</f>
        <v/>
      </c>
      <c r="AJ50" s="39" t="str">
        <f>IF(AND('Riesgos de Gestión'!$AF$24="Muy Baja",'Riesgos de Gestión'!$AH$24="Catastrófico"),CONCATENATE("R5C",'Riesgos de Gestión'!$V$24),"")</f>
        <v/>
      </c>
      <c r="AK50" s="39" t="str">
        <f>IF(AND('Riesgos de Gestión'!$AF$25="Muy Baja",'Riesgos de Gestión'!$AH$25="Catastrófico"),CONCATENATE("R5C",'Riesgos de Gestión'!$V$25),"")</f>
        <v/>
      </c>
      <c r="AL50" s="39" t="str">
        <f>IF(AND('Riesgos de Gestión'!$AF$26="Muy Baja",'Riesgos de Gestión'!$AH$26="Catastrófico"),CONCATENATE("R5C",'Riesgos de Gestión'!$V$26),"")</f>
        <v/>
      </c>
      <c r="AM50" s="40" t="str">
        <f>IF(AND('Riesgos de Gestión'!$AF$27="Muy Baja",'Riesgos de Gestión'!$AH$27="Catastrófico"),CONCATENATE("R5C",'Riesgos de Gestión'!$V$27),"")</f>
        <v/>
      </c>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row>
    <row r="51" spans="1:80" ht="15" customHeight="1" x14ac:dyDescent="0.25">
      <c r="A51" s="66"/>
      <c r="B51" s="444"/>
      <c r="C51" s="444"/>
      <c r="D51" s="445"/>
      <c r="E51" s="485"/>
      <c r="F51" s="486"/>
      <c r="G51" s="486"/>
      <c r="H51" s="486"/>
      <c r="I51" s="487"/>
      <c r="J51" s="59" t="str">
        <f>IF(AND('Riesgos de Gestión'!$AF$28="Muy Baja",'Riesgos de Gestión'!$AH$28="Leve"),CONCATENATE("R6C",'Riesgos de Gestión'!$V$28),"")</f>
        <v/>
      </c>
      <c r="K51" s="60" t="str">
        <f>IF(AND('Riesgos de Gestión'!$AF$29="Muy Baja",'Riesgos de Gestión'!$AH$29="Leve"),CONCATENATE("R6C",'Riesgos de Gestión'!$V$29),"")</f>
        <v/>
      </c>
      <c r="L51" s="60" t="str">
        <f>IF(AND('Riesgos de Gestión'!$AF$30="Muy Baja",'Riesgos de Gestión'!$AH$30="Leve"),CONCATENATE("R6C",'Riesgos de Gestión'!$V$30),"")</f>
        <v/>
      </c>
      <c r="M51" s="60" t="str">
        <f>IF(AND('Riesgos de Gestión'!$AF$31="Muy Baja",'Riesgos de Gestión'!$AH$31="Leve"),CONCATENATE("R6C",'Riesgos de Gestión'!$V$31),"")</f>
        <v/>
      </c>
      <c r="N51" s="60" t="str">
        <f>IF(AND('Riesgos de Gestión'!$AF$32="Muy Baja",'Riesgos de Gestión'!$AH$32="Leve"),CONCATENATE("R6C",'Riesgos de Gestión'!$V$32),"")</f>
        <v/>
      </c>
      <c r="O51" s="61" t="str">
        <f>IF(AND('Riesgos de Gestión'!$AF$33="Muy Baja",'Riesgos de Gestión'!$AH$33="Leve"),CONCATENATE("R6C",'Riesgos de Gestión'!$V$33),"")</f>
        <v/>
      </c>
      <c r="P51" s="59" t="str">
        <f>IF(AND('Riesgos de Gestión'!$AF$28="Muy Baja",'Riesgos de Gestión'!$AH$28="Menor"),CONCATENATE("R6C",'Riesgos de Gestión'!$V$28),"")</f>
        <v/>
      </c>
      <c r="Q51" s="60" t="str">
        <f>IF(AND('Riesgos de Gestión'!$AF$29="Muy Baja",'Riesgos de Gestión'!$AH$29="Menor"),CONCATENATE("R6C",'Riesgos de Gestión'!$V$29),"")</f>
        <v/>
      </c>
      <c r="R51" s="60" t="str">
        <f>IF(AND('Riesgos de Gestión'!$AF$30="Muy Baja",'Riesgos de Gestión'!$AH$30="Menor"),CONCATENATE("R6C",'Riesgos de Gestión'!$V$30),"")</f>
        <v/>
      </c>
      <c r="S51" s="60" t="str">
        <f>IF(AND('Riesgos de Gestión'!$AF$31="Muy Baja",'Riesgos de Gestión'!$AH$31="Menor"),CONCATENATE("R6C",'Riesgos de Gestión'!$V$31),"")</f>
        <v/>
      </c>
      <c r="T51" s="60" t="str">
        <f>IF(AND('Riesgos de Gestión'!$AF$32="Muy Baja",'Riesgos de Gestión'!$AH$32="Menor"),CONCATENATE("R6C",'Riesgos de Gestión'!$V$32),"")</f>
        <v/>
      </c>
      <c r="U51" s="61" t="str">
        <f>IF(AND('Riesgos de Gestión'!$AF$33="Muy Baja",'Riesgos de Gestión'!$AH$33="Menor"),CONCATENATE("R6C",'Riesgos de Gestión'!$V$33),"")</f>
        <v/>
      </c>
      <c r="V51" s="50" t="str">
        <f>IF(AND('Riesgos de Gestión'!$AF$28="Muy Baja",'Riesgos de Gestión'!$AH$28="Moderado"),CONCATENATE("R6C",'Riesgos de Gestión'!$V$28),"")</f>
        <v/>
      </c>
      <c r="W51" s="51" t="str">
        <f>IF(AND('Riesgos de Gestión'!$AF$29="Muy Baja",'Riesgos de Gestión'!$AH$29="Moderado"),CONCATENATE("R6C",'Riesgos de Gestión'!$V$29),"")</f>
        <v/>
      </c>
      <c r="X51" s="51" t="str">
        <f>IF(AND('Riesgos de Gestión'!$AF$30="Muy Baja",'Riesgos de Gestión'!$AH$30="Moderado"),CONCATENATE("R6C",'Riesgos de Gestión'!$V$30),"")</f>
        <v/>
      </c>
      <c r="Y51" s="51" t="str">
        <f>IF(AND('Riesgos de Gestión'!$AF$31="Muy Baja",'Riesgos de Gestión'!$AH$31="Moderado"),CONCATENATE("R6C",'Riesgos de Gestión'!$V$31),"")</f>
        <v/>
      </c>
      <c r="Z51" s="51" t="str">
        <f>IF(AND('Riesgos de Gestión'!$AF$32="Muy Baja",'Riesgos de Gestión'!$AH$32="Moderado"),CONCATENATE("R6C",'Riesgos de Gestión'!$V$32),"")</f>
        <v/>
      </c>
      <c r="AA51" s="52" t="str">
        <f>IF(AND('Riesgos de Gestión'!$AF$33="Muy Baja",'Riesgos de Gestión'!$AH$33="Moderado"),CONCATENATE("R6C",'Riesgos de Gestión'!$V$33),"")</f>
        <v/>
      </c>
      <c r="AB51" s="35" t="str">
        <f>IF(AND('Riesgos de Gestión'!$AF$28="Muy Baja",'Riesgos de Gestión'!$AH$28="Mayor"),CONCATENATE("R6C",'Riesgos de Gestión'!$V$28),"")</f>
        <v/>
      </c>
      <c r="AC51" s="36" t="str">
        <f>IF(AND('Riesgos de Gestión'!$AF$29="Muy Baja",'Riesgos de Gestión'!$AH$29="Mayor"),CONCATENATE("R6C",'Riesgos de Gestión'!$V$29),"")</f>
        <v/>
      </c>
      <c r="AD51" s="36" t="str">
        <f>IF(AND('Riesgos de Gestión'!$AF$30="Muy Baja",'Riesgos de Gestión'!$AH$30="Mayor"),CONCATENATE("R6C",'Riesgos de Gestión'!$V$30),"")</f>
        <v/>
      </c>
      <c r="AE51" s="36" t="str">
        <f>IF(AND('Riesgos de Gestión'!$AF$31="Muy Baja",'Riesgos de Gestión'!$AH$31="Mayor"),CONCATENATE("R6C",'Riesgos de Gestión'!$V$31),"")</f>
        <v/>
      </c>
      <c r="AF51" s="36" t="str">
        <f>IF(AND('Riesgos de Gestión'!$AF$32="Muy Baja",'Riesgos de Gestión'!$AH$32="Mayor"),CONCATENATE("R6C",'Riesgos de Gestión'!$V$32),"")</f>
        <v/>
      </c>
      <c r="AG51" s="37" t="str">
        <f>IF(AND('Riesgos de Gestión'!$AF$33="Muy Baja",'Riesgos de Gestión'!$AH$33="Mayor"),CONCATENATE("R6C",'Riesgos de Gestión'!$V$33),"")</f>
        <v/>
      </c>
      <c r="AH51" s="38" t="str">
        <f>IF(AND('Riesgos de Gestión'!$AF$28="Muy Baja",'Riesgos de Gestión'!$AH$28="Catastrófico"),CONCATENATE("R6C",'Riesgos de Gestión'!$V$28),"")</f>
        <v/>
      </c>
      <c r="AI51" s="39" t="str">
        <f>IF(AND('Riesgos de Gestión'!$AF$29="Muy Baja",'Riesgos de Gestión'!$AH$29="Catastrófico"),CONCATENATE("R6C",'Riesgos de Gestión'!$V$29),"")</f>
        <v/>
      </c>
      <c r="AJ51" s="39" t="str">
        <f>IF(AND('Riesgos de Gestión'!$AF$30="Muy Baja",'Riesgos de Gestión'!$AH$30="Catastrófico"),CONCATENATE("R6C",'Riesgos de Gestión'!$V$30),"")</f>
        <v/>
      </c>
      <c r="AK51" s="39" t="str">
        <f>IF(AND('Riesgos de Gestión'!$AF$31="Muy Baja",'Riesgos de Gestión'!$AH$31="Catastrófico"),CONCATENATE("R6C",'Riesgos de Gestión'!$V$31),"")</f>
        <v/>
      </c>
      <c r="AL51" s="39" t="str">
        <f>IF(AND('Riesgos de Gestión'!$AF$32="Muy Baja",'Riesgos de Gestión'!$AH$32="Catastrófico"),CONCATENATE("R6C",'Riesgos de Gestión'!$V$32),"")</f>
        <v/>
      </c>
      <c r="AM51" s="40" t="str">
        <f>IF(AND('Riesgos de Gestión'!$AF$33="Muy Baja",'Riesgos de Gestión'!$AH$33="Catastrófico"),CONCATENATE("R6C",'Riesgos de Gestión'!$V$33),"")</f>
        <v/>
      </c>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row>
    <row r="52" spans="1:80" ht="15" customHeight="1" x14ac:dyDescent="0.25">
      <c r="A52" s="66"/>
      <c r="B52" s="444"/>
      <c r="C52" s="444"/>
      <c r="D52" s="445"/>
      <c r="E52" s="485"/>
      <c r="F52" s="486"/>
      <c r="G52" s="486"/>
      <c r="H52" s="486"/>
      <c r="I52" s="487"/>
      <c r="J52" s="59" t="str">
        <f>IF(AND('Riesgos de Gestión'!$AF$34="Muy Baja",'Riesgos de Gestión'!$AH$34="Leve"),CONCATENATE("R7C",'Riesgos de Gestión'!$V$34),"")</f>
        <v/>
      </c>
      <c r="K52" s="60" t="str">
        <f>IF(AND('Riesgos de Gestión'!$AF$35="Muy Baja",'Riesgos de Gestión'!$AH$35="Leve"),CONCATENATE("R7C",'Riesgos de Gestión'!$V$35),"")</f>
        <v/>
      </c>
      <c r="L52" s="60" t="str">
        <f>IF(AND('Riesgos de Gestión'!$AF$36="Muy Baja",'Riesgos de Gestión'!$AH$36="Leve"),CONCATENATE("R7C",'Riesgos de Gestión'!$V$36),"")</f>
        <v/>
      </c>
      <c r="M52" s="60" t="str">
        <f>IF(AND('Riesgos de Gestión'!$AF$37="Muy Baja",'Riesgos de Gestión'!$AH$37="Leve"),CONCATENATE("R7C",'Riesgos de Gestión'!$V$37),"")</f>
        <v/>
      </c>
      <c r="N52" s="60" t="str">
        <f>IF(AND('Riesgos de Gestión'!$AF$38="Muy Baja",'Riesgos de Gestión'!$AH$38="Leve"),CONCATENATE("R7C",'Riesgos de Gestión'!$V$38),"")</f>
        <v/>
      </c>
      <c r="O52" s="61" t="str">
        <f>IF(AND('Riesgos de Gestión'!$AF$39="Muy Baja",'Riesgos de Gestión'!$AH$39="Leve"),CONCATENATE("R7C",'Riesgos de Gestión'!$V$39),"")</f>
        <v/>
      </c>
      <c r="P52" s="59" t="str">
        <f>IF(AND('Riesgos de Gestión'!$AF$34="Muy Baja",'Riesgos de Gestión'!$AH$34="Menor"),CONCATENATE("R7C",'Riesgos de Gestión'!$V$34),"")</f>
        <v/>
      </c>
      <c r="Q52" s="60" t="str">
        <f>IF(AND('Riesgos de Gestión'!$AF$35="Muy Baja",'Riesgos de Gestión'!$AH$35="Menor"),CONCATENATE("R7C",'Riesgos de Gestión'!$V$35),"")</f>
        <v/>
      </c>
      <c r="R52" s="60" t="str">
        <f>IF(AND('Riesgos de Gestión'!$AF$36="Muy Baja",'Riesgos de Gestión'!$AH$36="Menor"),CONCATENATE("R7C",'Riesgos de Gestión'!$V$36),"")</f>
        <v/>
      </c>
      <c r="S52" s="60" t="str">
        <f>IF(AND('Riesgos de Gestión'!$AF$37="Muy Baja",'Riesgos de Gestión'!$AH$37="Menor"),CONCATENATE("R7C",'Riesgos de Gestión'!$V$37),"")</f>
        <v/>
      </c>
      <c r="T52" s="60" t="str">
        <f>IF(AND('Riesgos de Gestión'!$AF$38="Muy Baja",'Riesgos de Gestión'!$AH$38="Menor"),CONCATENATE("R7C",'Riesgos de Gestión'!$V$38),"")</f>
        <v/>
      </c>
      <c r="U52" s="61" t="str">
        <f>IF(AND('Riesgos de Gestión'!$AF$39="Muy Baja",'Riesgos de Gestión'!$AH$39="Menor"),CONCATENATE("R7C",'Riesgos de Gestión'!$V$39),"")</f>
        <v/>
      </c>
      <c r="V52" s="50" t="str">
        <f>IF(AND('Riesgos de Gestión'!$AF$34="Muy Baja",'Riesgos de Gestión'!$AH$34="Moderado"),CONCATENATE("R7C",'Riesgos de Gestión'!$V$34),"")</f>
        <v/>
      </c>
      <c r="W52" s="51" t="str">
        <f>IF(AND('Riesgos de Gestión'!$AF$35="Muy Baja",'Riesgos de Gestión'!$AH$35="Moderado"),CONCATENATE("R7C",'Riesgos de Gestión'!$V$35),"")</f>
        <v/>
      </c>
      <c r="X52" s="51" t="str">
        <f>IF(AND('Riesgos de Gestión'!$AF$36="Muy Baja",'Riesgos de Gestión'!$AH$36="Moderado"),CONCATENATE("R7C",'Riesgos de Gestión'!$V$36),"")</f>
        <v/>
      </c>
      <c r="Y52" s="51" t="str">
        <f>IF(AND('Riesgos de Gestión'!$AF$37="Muy Baja",'Riesgos de Gestión'!$AH$37="Moderado"),CONCATENATE("R7C",'Riesgos de Gestión'!$V$37),"")</f>
        <v/>
      </c>
      <c r="Z52" s="51" t="str">
        <f>IF(AND('Riesgos de Gestión'!$AF$38="Muy Baja",'Riesgos de Gestión'!$AH$38="Moderado"),CONCATENATE("R7C",'Riesgos de Gestión'!$V$38),"")</f>
        <v/>
      </c>
      <c r="AA52" s="52" t="str">
        <f>IF(AND('Riesgos de Gestión'!$AF$39="Muy Baja",'Riesgos de Gestión'!$AH$39="Moderado"),CONCATENATE("R7C",'Riesgos de Gestión'!$V$39),"")</f>
        <v/>
      </c>
      <c r="AB52" s="35" t="str">
        <f>IF(AND('Riesgos de Gestión'!$AF$34="Muy Baja",'Riesgos de Gestión'!$AH$34="Mayor"),CONCATENATE("R7C",'Riesgos de Gestión'!$V$34),"")</f>
        <v/>
      </c>
      <c r="AC52" s="36" t="str">
        <f>IF(AND('Riesgos de Gestión'!$AF$35="Muy Baja",'Riesgos de Gestión'!$AH$35="Mayor"),CONCATENATE("R7C",'Riesgos de Gestión'!$V$35),"")</f>
        <v/>
      </c>
      <c r="AD52" s="36" t="str">
        <f>IF(AND('Riesgos de Gestión'!$AF$36="Muy Baja",'Riesgos de Gestión'!$AH$36="Mayor"),CONCATENATE("R7C",'Riesgos de Gestión'!$V$36),"")</f>
        <v/>
      </c>
      <c r="AE52" s="36" t="str">
        <f>IF(AND('Riesgos de Gestión'!$AF$37="Muy Baja",'Riesgos de Gestión'!$AH$37="Mayor"),CONCATENATE("R7C",'Riesgos de Gestión'!$V$37),"")</f>
        <v/>
      </c>
      <c r="AF52" s="36" t="str">
        <f>IF(AND('Riesgos de Gestión'!$AF$38="Muy Baja",'Riesgos de Gestión'!$AH$38="Mayor"),CONCATENATE("R7C",'Riesgos de Gestión'!$V$38),"")</f>
        <v/>
      </c>
      <c r="AG52" s="37" t="str">
        <f>IF(AND('Riesgos de Gestión'!$AF$39="Muy Baja",'Riesgos de Gestión'!$AH$39="Mayor"),CONCATENATE("R7C",'Riesgos de Gestión'!$V$39),"")</f>
        <v/>
      </c>
      <c r="AH52" s="38" t="str">
        <f>IF(AND('Riesgos de Gestión'!$AF$34="Muy Baja",'Riesgos de Gestión'!$AH$34="Catastrófico"),CONCATENATE("R7C",'Riesgos de Gestión'!$V$34),"")</f>
        <v/>
      </c>
      <c r="AI52" s="39" t="str">
        <f>IF(AND('Riesgos de Gestión'!$AF$35="Muy Baja",'Riesgos de Gestión'!$AH$35="Catastrófico"),CONCATENATE("R7C",'Riesgos de Gestión'!$V$35),"")</f>
        <v/>
      </c>
      <c r="AJ52" s="39" t="str">
        <f>IF(AND('Riesgos de Gestión'!$AF$36="Muy Baja",'Riesgos de Gestión'!$AH$36="Catastrófico"),CONCATENATE("R7C",'Riesgos de Gestión'!$V$36),"")</f>
        <v/>
      </c>
      <c r="AK52" s="39" t="str">
        <f>IF(AND('Riesgos de Gestión'!$AF$37="Muy Baja",'Riesgos de Gestión'!$AH$37="Catastrófico"),CONCATENATE("R7C",'Riesgos de Gestión'!$V$37),"")</f>
        <v/>
      </c>
      <c r="AL52" s="39" t="str">
        <f>IF(AND('Riesgos de Gestión'!$AF$38="Muy Baja",'Riesgos de Gestión'!$AH$38="Catastrófico"),CONCATENATE("R7C",'Riesgos de Gestión'!$V$38),"")</f>
        <v/>
      </c>
      <c r="AM52" s="40" t="str">
        <f>IF(AND('Riesgos de Gestión'!$AF$39="Muy Baja",'Riesgos de Gestión'!$AH$39="Catastrófico"),CONCATENATE("R7C",'Riesgos de Gestión'!$V$39),"")</f>
        <v/>
      </c>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row>
    <row r="53" spans="1:80" ht="15" customHeight="1" x14ac:dyDescent="0.25">
      <c r="A53" s="66"/>
      <c r="B53" s="444"/>
      <c r="C53" s="444"/>
      <c r="D53" s="445"/>
      <c r="E53" s="485"/>
      <c r="F53" s="486"/>
      <c r="G53" s="486"/>
      <c r="H53" s="486"/>
      <c r="I53" s="487"/>
      <c r="J53" s="59" t="str">
        <f>IF(AND('Riesgos de Gestión'!$AF$40="Muy Baja",'Riesgos de Gestión'!$AH$40="Leve"),CONCATENATE("R8C",'Riesgos de Gestión'!$V$40),"")</f>
        <v/>
      </c>
      <c r="K53" s="60" t="str">
        <f>IF(AND('Riesgos de Gestión'!$AF$41="Muy Baja",'Riesgos de Gestión'!$AH$41="Leve"),CONCATENATE("R8C",'Riesgos de Gestión'!$V$41),"")</f>
        <v/>
      </c>
      <c r="L53" s="60" t="str">
        <f>IF(AND('Riesgos de Gestión'!$AF$42="Muy Baja",'Riesgos de Gestión'!$AH$42="Leve"),CONCATENATE("R8C",'Riesgos de Gestión'!$V$42),"")</f>
        <v/>
      </c>
      <c r="M53" s="60" t="str">
        <f>IF(AND('Riesgos de Gestión'!$AF$43="Muy Baja",'Riesgos de Gestión'!$AH$43="Leve"),CONCATENATE("R8C",'Riesgos de Gestión'!$V$43),"")</f>
        <v/>
      </c>
      <c r="N53" s="60" t="str">
        <f>IF(AND('Riesgos de Gestión'!$AF$44="Muy Baja",'Riesgos de Gestión'!$AH$44="Leve"),CONCATENATE("R8C",'Riesgos de Gestión'!$V$44),"")</f>
        <v/>
      </c>
      <c r="O53" s="61" t="str">
        <f>IF(AND('Riesgos de Gestión'!$AF$45="Muy Baja",'Riesgos de Gestión'!$AH$45="Leve"),CONCATENATE("R8C",'Riesgos de Gestión'!$V$45),"")</f>
        <v/>
      </c>
      <c r="P53" s="59" t="str">
        <f>IF(AND('Riesgos de Gestión'!$AF$40="Muy Baja",'Riesgos de Gestión'!$AH$40="Menor"),CONCATENATE("R8C",'Riesgos de Gestión'!$V$40),"")</f>
        <v/>
      </c>
      <c r="Q53" s="60" t="str">
        <f>IF(AND('Riesgos de Gestión'!$AF$41="Muy Baja",'Riesgos de Gestión'!$AH$41="Menor"),CONCATENATE("R8C",'Riesgos de Gestión'!$V$41),"")</f>
        <v/>
      </c>
      <c r="R53" s="60" t="str">
        <f>IF(AND('Riesgos de Gestión'!$AF$42="Muy Baja",'Riesgos de Gestión'!$AH$42="Menor"),CONCATENATE("R8C",'Riesgos de Gestión'!$V$42),"")</f>
        <v/>
      </c>
      <c r="S53" s="60" t="str">
        <f>IF(AND('Riesgos de Gestión'!$AF$43="Muy Baja",'Riesgos de Gestión'!$AH$43="Menor"),CONCATENATE("R8C",'Riesgos de Gestión'!$V$43),"")</f>
        <v/>
      </c>
      <c r="T53" s="60" t="str">
        <f>IF(AND('Riesgos de Gestión'!$AF$44="Muy Baja",'Riesgos de Gestión'!$AH$44="Menor"),CONCATENATE("R8C",'Riesgos de Gestión'!$V$44),"")</f>
        <v/>
      </c>
      <c r="U53" s="61" t="str">
        <f>IF(AND('Riesgos de Gestión'!$AF$45="Muy Baja",'Riesgos de Gestión'!$AH$45="Menor"),CONCATENATE("R8C",'Riesgos de Gestión'!$V$45),"")</f>
        <v/>
      </c>
      <c r="V53" s="50" t="str">
        <f>IF(AND('Riesgos de Gestión'!$AF$40="Muy Baja",'Riesgos de Gestión'!$AH$40="Moderado"),CONCATENATE("R8C",'Riesgos de Gestión'!$V$40),"")</f>
        <v/>
      </c>
      <c r="W53" s="51" t="str">
        <f>IF(AND('Riesgos de Gestión'!$AF$41="Muy Baja",'Riesgos de Gestión'!$AH$41="Moderado"),CONCATENATE("R8C",'Riesgos de Gestión'!$V$41),"")</f>
        <v/>
      </c>
      <c r="X53" s="51" t="str">
        <f>IF(AND('Riesgos de Gestión'!$AF$42="Muy Baja",'Riesgos de Gestión'!$AH$42="Moderado"),CONCATENATE("R8C",'Riesgos de Gestión'!$V$42),"")</f>
        <v/>
      </c>
      <c r="Y53" s="51" t="str">
        <f>IF(AND('Riesgos de Gestión'!$AF$43="Muy Baja",'Riesgos de Gestión'!$AH$43="Moderado"),CONCATENATE("R8C",'Riesgos de Gestión'!$V$43),"")</f>
        <v/>
      </c>
      <c r="Z53" s="51" t="str">
        <f>IF(AND('Riesgos de Gestión'!$AF$44="Muy Baja",'Riesgos de Gestión'!$AH$44="Moderado"),CONCATENATE("R8C",'Riesgos de Gestión'!$V$44),"")</f>
        <v/>
      </c>
      <c r="AA53" s="52" t="str">
        <f>IF(AND('Riesgos de Gestión'!$AF$45="Muy Baja",'Riesgos de Gestión'!$AH$45="Moderado"),CONCATENATE("R8C",'Riesgos de Gestión'!$V$45),"")</f>
        <v/>
      </c>
      <c r="AB53" s="35" t="str">
        <f>IF(AND('Riesgos de Gestión'!$AF$40="Muy Baja",'Riesgos de Gestión'!$AH$40="Mayor"),CONCATENATE("R8C",'Riesgos de Gestión'!$V$40),"")</f>
        <v/>
      </c>
      <c r="AC53" s="36" t="str">
        <f>IF(AND('Riesgos de Gestión'!$AF$41="Muy Baja",'Riesgos de Gestión'!$AH$41="Mayor"),CONCATENATE("R8C",'Riesgos de Gestión'!$V$41),"")</f>
        <v/>
      </c>
      <c r="AD53" s="36" t="str">
        <f>IF(AND('Riesgos de Gestión'!$AF$42="Muy Baja",'Riesgos de Gestión'!$AH$42="Mayor"),CONCATENATE("R8C",'Riesgos de Gestión'!$V$42),"")</f>
        <v/>
      </c>
      <c r="AE53" s="36" t="str">
        <f>IF(AND('Riesgos de Gestión'!$AF$43="Muy Baja",'Riesgos de Gestión'!$AH$43="Mayor"),CONCATENATE("R8C",'Riesgos de Gestión'!$V$43),"")</f>
        <v/>
      </c>
      <c r="AF53" s="36" t="str">
        <f>IF(AND('Riesgos de Gestión'!$AF$44="Muy Baja",'Riesgos de Gestión'!$AH$44="Mayor"),CONCATENATE("R8C",'Riesgos de Gestión'!$V$44),"")</f>
        <v/>
      </c>
      <c r="AG53" s="37" t="str">
        <f>IF(AND('Riesgos de Gestión'!$AF$45="Muy Baja",'Riesgos de Gestión'!$AH$45="Mayor"),CONCATENATE("R8C",'Riesgos de Gestión'!$V$45),"")</f>
        <v/>
      </c>
      <c r="AH53" s="38" t="str">
        <f>IF(AND('Riesgos de Gestión'!$AF$40="Muy Baja",'Riesgos de Gestión'!$AH$40="Catastrófico"),CONCATENATE("R8C",'Riesgos de Gestión'!$V$40),"")</f>
        <v/>
      </c>
      <c r="AI53" s="39" t="str">
        <f>IF(AND('Riesgos de Gestión'!$AF$41="Muy Baja",'Riesgos de Gestión'!$AH$41="Catastrófico"),CONCATENATE("R8C",'Riesgos de Gestión'!$V$41),"")</f>
        <v/>
      </c>
      <c r="AJ53" s="39" t="str">
        <f>IF(AND('Riesgos de Gestión'!$AF$42="Muy Baja",'Riesgos de Gestión'!$AH$42="Catastrófico"),CONCATENATE("R8C",'Riesgos de Gestión'!$V$42),"")</f>
        <v/>
      </c>
      <c r="AK53" s="39" t="str">
        <f>IF(AND('Riesgos de Gestión'!$AF$43="Muy Baja",'Riesgos de Gestión'!$AH$43="Catastrófico"),CONCATENATE("R8C",'Riesgos de Gestión'!$V$43),"")</f>
        <v/>
      </c>
      <c r="AL53" s="39" t="str">
        <f>IF(AND('Riesgos de Gestión'!$AF$44="Muy Baja",'Riesgos de Gestión'!$AH$44="Catastrófico"),CONCATENATE("R8C",'Riesgos de Gestión'!$V$44),"")</f>
        <v/>
      </c>
      <c r="AM53" s="40" t="str">
        <f>IF(AND('Riesgos de Gestión'!$AF$45="Muy Baja",'Riesgos de Gestión'!$AH$45="Catastrófico"),CONCATENATE("R8C",'Riesgos de Gestión'!$V$45),"")</f>
        <v/>
      </c>
      <c r="AN53" s="66"/>
      <c r="AO53" s="66"/>
      <c r="AP53" s="66"/>
      <c r="AQ53" s="66"/>
      <c r="AR53" s="66"/>
      <c r="AS53" s="66"/>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row>
    <row r="54" spans="1:80" ht="15" customHeight="1" x14ac:dyDescent="0.25">
      <c r="A54" s="66"/>
      <c r="B54" s="444"/>
      <c r="C54" s="444"/>
      <c r="D54" s="445"/>
      <c r="E54" s="485"/>
      <c r="F54" s="486"/>
      <c r="G54" s="486"/>
      <c r="H54" s="486"/>
      <c r="I54" s="487"/>
      <c r="J54" s="59" t="str">
        <f>IF(AND('Riesgos de Gestión'!$AF$46="Muy Baja",'Riesgos de Gestión'!$AH$46="Leve"),CONCATENATE("R9C",'Riesgos de Gestión'!$V$46),"")</f>
        <v/>
      </c>
      <c r="K54" s="60" t="str">
        <f>IF(AND('Riesgos de Gestión'!$AF$47="Muy Baja",'Riesgos de Gestión'!$AH$47="Leve"),CONCATENATE("R9C",'Riesgos de Gestión'!$V$47),"")</f>
        <v/>
      </c>
      <c r="L54" s="60" t="str">
        <f>IF(AND('Riesgos de Gestión'!$AF$48="Muy Baja",'Riesgos de Gestión'!$AH$48="Leve"),CONCATENATE("R9C",'Riesgos de Gestión'!$V$48),"")</f>
        <v/>
      </c>
      <c r="M54" s="60" t="str">
        <f>IF(AND('Riesgos de Gestión'!$AF$49="Muy Baja",'Riesgos de Gestión'!$AH$49="Leve"),CONCATENATE("R9C",'Riesgos de Gestión'!$V$49),"")</f>
        <v/>
      </c>
      <c r="N54" s="60" t="str">
        <f>IF(AND('Riesgos de Gestión'!$AF$50="Muy Baja",'Riesgos de Gestión'!$AH$50="Leve"),CONCATENATE("R9C",'Riesgos de Gestión'!$V$50),"")</f>
        <v/>
      </c>
      <c r="O54" s="61" t="str">
        <f>IF(AND('Riesgos de Gestión'!$AF$51="Muy Baja",'Riesgos de Gestión'!$AH$51="Leve"),CONCATENATE("R9C",'Riesgos de Gestión'!$V$51),"")</f>
        <v/>
      </c>
      <c r="P54" s="59" t="str">
        <f>IF(AND('Riesgos de Gestión'!$AF$46="Muy Baja",'Riesgos de Gestión'!$AH$46="Menor"),CONCATENATE("R9C",'Riesgos de Gestión'!$V$46),"")</f>
        <v/>
      </c>
      <c r="Q54" s="60" t="str">
        <f>IF(AND('Riesgos de Gestión'!$AF$47="Muy Baja",'Riesgos de Gestión'!$AH$47="Menor"),CONCATENATE("R9C",'Riesgos de Gestión'!$V$47),"")</f>
        <v/>
      </c>
      <c r="R54" s="60" t="str">
        <f>IF(AND('Riesgos de Gestión'!$AF$48="Muy Baja",'Riesgos de Gestión'!$AH$48="Menor"),CONCATENATE("R9C",'Riesgos de Gestión'!$V$48),"")</f>
        <v/>
      </c>
      <c r="S54" s="60" t="str">
        <f>IF(AND('Riesgos de Gestión'!$AF$49="Muy Baja",'Riesgos de Gestión'!$AH$49="Menor"),CONCATENATE("R9C",'Riesgos de Gestión'!$V$49),"")</f>
        <v/>
      </c>
      <c r="T54" s="60" t="str">
        <f>IF(AND('Riesgos de Gestión'!$AF$50="Muy Baja",'Riesgos de Gestión'!$AH$50="Menor"),CONCATENATE("R9C",'Riesgos de Gestión'!$V$50),"")</f>
        <v/>
      </c>
      <c r="U54" s="61" t="str">
        <f>IF(AND('Riesgos de Gestión'!$AF$51="Muy Baja",'Riesgos de Gestión'!$AH$51="Menor"),CONCATENATE("R9C",'Riesgos de Gestión'!$V$51),"")</f>
        <v/>
      </c>
      <c r="V54" s="50" t="str">
        <f>IF(AND('Riesgos de Gestión'!$AF$46="Muy Baja",'Riesgos de Gestión'!$AH$46="Moderado"),CONCATENATE("R9C",'Riesgos de Gestión'!$V$46),"")</f>
        <v/>
      </c>
      <c r="W54" s="51" t="str">
        <f>IF(AND('Riesgos de Gestión'!$AF$47="Muy Baja",'Riesgos de Gestión'!$AH$47="Moderado"),CONCATENATE("R9C",'Riesgos de Gestión'!$V$47),"")</f>
        <v/>
      </c>
      <c r="X54" s="51" t="str">
        <f>IF(AND('Riesgos de Gestión'!$AF$48="Muy Baja",'Riesgos de Gestión'!$AH$48="Moderado"),CONCATENATE("R9C",'Riesgos de Gestión'!$V$48),"")</f>
        <v/>
      </c>
      <c r="Y54" s="51" t="str">
        <f>IF(AND('Riesgos de Gestión'!$AF$49="Muy Baja",'Riesgos de Gestión'!$AH$49="Moderado"),CONCATENATE("R9C",'Riesgos de Gestión'!$V$49),"")</f>
        <v/>
      </c>
      <c r="Z54" s="51" t="str">
        <f>IF(AND('Riesgos de Gestión'!$AF$50="Muy Baja",'Riesgos de Gestión'!$AH$50="Moderado"),CONCATENATE("R9C",'Riesgos de Gestión'!$V$50),"")</f>
        <v/>
      </c>
      <c r="AA54" s="52" t="str">
        <f>IF(AND('Riesgos de Gestión'!$AF$51="Muy Baja",'Riesgos de Gestión'!$AH$51="Moderado"),CONCATENATE("R9C",'Riesgos de Gestión'!$V$51),"")</f>
        <v/>
      </c>
      <c r="AB54" s="35" t="str">
        <f>IF(AND('Riesgos de Gestión'!$AF$46="Muy Baja",'Riesgos de Gestión'!$AH$46="Mayor"),CONCATENATE("R9C",'Riesgos de Gestión'!$V$46),"")</f>
        <v/>
      </c>
      <c r="AC54" s="36" t="str">
        <f>IF(AND('Riesgos de Gestión'!$AF$47="Muy Baja",'Riesgos de Gestión'!$AH$47="Mayor"),CONCATENATE("R9C",'Riesgos de Gestión'!$V$47),"")</f>
        <v/>
      </c>
      <c r="AD54" s="36" t="str">
        <f>IF(AND('Riesgos de Gestión'!$AF$48="Muy Baja",'Riesgos de Gestión'!$AH$48="Mayor"),CONCATENATE("R9C",'Riesgos de Gestión'!$V$48),"")</f>
        <v/>
      </c>
      <c r="AE54" s="36" t="str">
        <f>IF(AND('Riesgos de Gestión'!$AF$49="Muy Baja",'Riesgos de Gestión'!$AH$49="Mayor"),CONCATENATE("R9C",'Riesgos de Gestión'!$V$49),"")</f>
        <v/>
      </c>
      <c r="AF54" s="36" t="str">
        <f>IF(AND('Riesgos de Gestión'!$AF$50="Muy Baja",'Riesgos de Gestión'!$AH$50="Mayor"),CONCATENATE("R9C",'Riesgos de Gestión'!$V$50),"")</f>
        <v/>
      </c>
      <c r="AG54" s="37" t="str">
        <f>IF(AND('Riesgos de Gestión'!$AF$51="Muy Baja",'Riesgos de Gestión'!$AH$51="Mayor"),CONCATENATE("R9C",'Riesgos de Gestión'!$V$51),"")</f>
        <v/>
      </c>
      <c r="AH54" s="38" t="str">
        <f>IF(AND('Riesgos de Gestión'!$AF$46="Muy Baja",'Riesgos de Gestión'!$AH$46="Catastrófico"),CONCATENATE("R9C",'Riesgos de Gestión'!$V$46),"")</f>
        <v/>
      </c>
      <c r="AI54" s="39" t="str">
        <f>IF(AND('Riesgos de Gestión'!$AF$47="Muy Baja",'Riesgos de Gestión'!$AH$47="Catastrófico"),CONCATENATE("R9C",'Riesgos de Gestión'!$V$47),"")</f>
        <v/>
      </c>
      <c r="AJ54" s="39" t="str">
        <f>IF(AND('Riesgos de Gestión'!$AF$48="Muy Baja",'Riesgos de Gestión'!$AH$48="Catastrófico"),CONCATENATE("R9C",'Riesgos de Gestión'!$V$48),"")</f>
        <v/>
      </c>
      <c r="AK54" s="39" t="str">
        <f>IF(AND('Riesgos de Gestión'!$AF$49="Muy Baja",'Riesgos de Gestión'!$AH$49="Catastrófico"),CONCATENATE("R9C",'Riesgos de Gestión'!$V$49),"")</f>
        <v/>
      </c>
      <c r="AL54" s="39" t="str">
        <f>IF(AND('Riesgos de Gestión'!$AF$50="Muy Baja",'Riesgos de Gestión'!$AH$50="Catastrófico"),CONCATENATE("R9C",'Riesgos de Gestión'!$V$50),"")</f>
        <v/>
      </c>
      <c r="AM54" s="40" t="str">
        <f>IF(AND('Riesgos de Gestión'!$AF$51="Muy Baja",'Riesgos de Gestión'!$AH$51="Catastrófico"),CONCATENATE("R9C",'Riesgos de Gestión'!$V$51),"")</f>
        <v/>
      </c>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row>
    <row r="55" spans="1:80" ht="15.75" customHeight="1" thickBot="1" x14ac:dyDescent="0.3">
      <c r="A55" s="66"/>
      <c r="B55" s="444"/>
      <c r="C55" s="444"/>
      <c r="D55" s="445"/>
      <c r="E55" s="488"/>
      <c r="F55" s="489"/>
      <c r="G55" s="489"/>
      <c r="H55" s="489"/>
      <c r="I55" s="490"/>
      <c r="J55" s="62" t="str">
        <f>IF(AND('Riesgos de Gestión'!$AF$52="Muy Baja",'Riesgos de Gestión'!$AH$52="Leve"),CONCATENATE("R10C",'Riesgos de Gestión'!$V$52),"")</f>
        <v/>
      </c>
      <c r="K55" s="63" t="str">
        <f>IF(AND('Riesgos de Gestión'!$AF$53="Muy Baja",'Riesgos de Gestión'!$AH$53="Leve"),CONCATENATE("R10C",'Riesgos de Gestión'!$V$53),"")</f>
        <v/>
      </c>
      <c r="L55" s="63" t="str">
        <f>IF(AND('Riesgos de Gestión'!$AF$54="Muy Baja",'Riesgos de Gestión'!$AH$54="Leve"),CONCATENATE("R10C",'Riesgos de Gestión'!$V$54),"")</f>
        <v/>
      </c>
      <c r="M55" s="63" t="str">
        <f>IF(AND('Riesgos de Gestión'!$AF$55="Muy Baja",'Riesgos de Gestión'!$AH$55="Leve"),CONCATENATE("R10C",'Riesgos de Gestión'!$V$55),"")</f>
        <v/>
      </c>
      <c r="N55" s="63" t="str">
        <f>IF(AND('Riesgos de Gestión'!$AF$56="Muy Baja",'Riesgos de Gestión'!$AH$56="Leve"),CONCATENATE("R10C",'Riesgos de Gestión'!$V$56),"")</f>
        <v/>
      </c>
      <c r="O55" s="64" t="str">
        <f>IF(AND('Riesgos de Gestión'!$AF$57="Muy Baja",'Riesgos de Gestión'!$AH$57="Leve"),CONCATENATE("R10C",'Riesgos de Gestión'!$V$57),"")</f>
        <v/>
      </c>
      <c r="P55" s="62" t="str">
        <f>IF(AND('Riesgos de Gestión'!$AF$52="Muy Baja",'Riesgos de Gestión'!$AH$52="Menor"),CONCATENATE("R10C",'Riesgos de Gestión'!$V$52),"")</f>
        <v/>
      </c>
      <c r="Q55" s="63" t="str">
        <f>IF(AND('Riesgos de Gestión'!$AF$53="Muy Baja",'Riesgos de Gestión'!$AH$53="Menor"),CONCATENATE("R10C",'Riesgos de Gestión'!$V$53),"")</f>
        <v/>
      </c>
      <c r="R55" s="63" t="str">
        <f>IF(AND('Riesgos de Gestión'!$AF$54="Muy Baja",'Riesgos de Gestión'!$AH$54="Menor"),CONCATENATE("R10C",'Riesgos de Gestión'!$V$54),"")</f>
        <v/>
      </c>
      <c r="S55" s="63" t="str">
        <f>IF(AND('Riesgos de Gestión'!$AF$55="Muy Baja",'Riesgos de Gestión'!$AH$55="Menor"),CONCATENATE("R10C",'Riesgos de Gestión'!$V$55),"")</f>
        <v/>
      </c>
      <c r="T55" s="63" t="str">
        <f>IF(AND('Riesgos de Gestión'!$AF$56="Muy Baja",'Riesgos de Gestión'!$AH$56="Menor"),CONCATENATE("R10C",'Riesgos de Gestión'!$V$56),"")</f>
        <v/>
      </c>
      <c r="U55" s="64" t="str">
        <f>IF(AND('Riesgos de Gestión'!$AF$57="Muy Baja",'Riesgos de Gestión'!$AH$57="Menor"),CONCATENATE("R10C",'Riesgos de Gestión'!$V$57),"")</f>
        <v/>
      </c>
      <c r="V55" s="53" t="str">
        <f>IF(AND('Riesgos de Gestión'!$AF$52="Muy Baja",'Riesgos de Gestión'!$AH$52="Moderado"),CONCATENATE("R10C",'Riesgos de Gestión'!$V$52),"")</f>
        <v/>
      </c>
      <c r="W55" s="54" t="str">
        <f>IF(AND('Riesgos de Gestión'!$AF$53="Muy Baja",'Riesgos de Gestión'!$AH$53="Moderado"),CONCATENATE("R10C",'Riesgos de Gestión'!$V$53),"")</f>
        <v/>
      </c>
      <c r="X55" s="54" t="str">
        <f>IF(AND('Riesgos de Gestión'!$AF$54="Muy Baja",'Riesgos de Gestión'!$AH$54="Moderado"),CONCATENATE("R10C",'Riesgos de Gestión'!$V$54),"")</f>
        <v/>
      </c>
      <c r="Y55" s="54" t="str">
        <f>IF(AND('Riesgos de Gestión'!$AF$55="Muy Baja",'Riesgos de Gestión'!$AH$55="Moderado"),CONCATENATE("R10C",'Riesgos de Gestión'!$V$55),"")</f>
        <v/>
      </c>
      <c r="Z55" s="54" t="str">
        <f>IF(AND('Riesgos de Gestión'!$AF$56="Muy Baja",'Riesgos de Gestión'!$AH$56="Moderado"),CONCATENATE("R10C",'Riesgos de Gestión'!$V$56),"")</f>
        <v/>
      </c>
      <c r="AA55" s="55" t="str">
        <f>IF(AND('Riesgos de Gestión'!$AF$57="Muy Baja",'Riesgos de Gestión'!$AH$57="Moderado"),CONCATENATE("R10C",'Riesgos de Gestión'!$V$57),"")</f>
        <v/>
      </c>
      <c r="AB55" s="41" t="str">
        <f>IF(AND('Riesgos de Gestión'!$AF$52="Muy Baja",'Riesgos de Gestión'!$AH$52="Mayor"),CONCATENATE("R10C",'Riesgos de Gestión'!$V$52),"")</f>
        <v/>
      </c>
      <c r="AC55" s="42" t="str">
        <f>IF(AND('Riesgos de Gestión'!$AF$53="Muy Baja",'Riesgos de Gestión'!$AH$53="Mayor"),CONCATENATE("R10C",'Riesgos de Gestión'!$V$53),"")</f>
        <v/>
      </c>
      <c r="AD55" s="42" t="str">
        <f>IF(AND('Riesgos de Gestión'!$AF$54="Muy Baja",'Riesgos de Gestión'!$AH$54="Mayor"),CONCATENATE("R10C",'Riesgos de Gestión'!$V$54),"")</f>
        <v/>
      </c>
      <c r="AE55" s="42" t="str">
        <f>IF(AND('Riesgos de Gestión'!$AF$55="Muy Baja",'Riesgos de Gestión'!$AH$55="Mayor"),CONCATENATE("R10C",'Riesgos de Gestión'!$V$55),"")</f>
        <v/>
      </c>
      <c r="AF55" s="42" t="str">
        <f>IF(AND('Riesgos de Gestión'!$AF$56="Muy Baja",'Riesgos de Gestión'!$AH$56="Mayor"),CONCATENATE("R10C",'Riesgos de Gestión'!$V$56),"")</f>
        <v/>
      </c>
      <c r="AG55" s="43" t="str">
        <f>IF(AND('Riesgos de Gestión'!$AF$57="Muy Baja",'Riesgos de Gestión'!$AH$57="Mayor"),CONCATENATE("R10C",'Riesgos de Gestión'!$V$57),"")</f>
        <v/>
      </c>
      <c r="AH55" s="44" t="str">
        <f>IF(AND('Riesgos de Gestión'!$AF$52="Muy Baja",'Riesgos de Gestión'!$AH$52="Catastrófico"),CONCATENATE("R10C",'Riesgos de Gestión'!$V$52),"")</f>
        <v/>
      </c>
      <c r="AI55" s="45" t="str">
        <f>IF(AND('Riesgos de Gestión'!$AF$53="Muy Baja",'Riesgos de Gestión'!$AH$53="Catastrófico"),CONCATENATE("R10C",'Riesgos de Gestión'!$V$53),"")</f>
        <v/>
      </c>
      <c r="AJ55" s="45" t="str">
        <f>IF(AND('Riesgos de Gestión'!$AF$54="Muy Baja",'Riesgos de Gestión'!$AH$54="Catastrófico"),CONCATENATE("R10C",'Riesgos de Gestión'!$V$54),"")</f>
        <v/>
      </c>
      <c r="AK55" s="45" t="str">
        <f>IF(AND('Riesgos de Gestión'!$AF$55="Muy Baja",'Riesgos de Gestión'!$AH$55="Catastrófico"),CONCATENATE("R10C",'Riesgos de Gestión'!$V$55),"")</f>
        <v/>
      </c>
      <c r="AL55" s="45" t="str">
        <f>IF(AND('Riesgos de Gestión'!$AF$56="Muy Baja",'Riesgos de Gestión'!$AH$56="Catastrófico"),CONCATENATE("R10C",'Riesgos de Gestión'!$V$56),"")</f>
        <v/>
      </c>
      <c r="AM55" s="46" t="str">
        <f>IF(AND('Riesgos de Gestión'!$AF$57="Muy Baja",'Riesgos de Gestión'!$AH$57="Catastrófico"),CONCATENATE("R10C",'Riesgos de Gestión'!$V$57),"")</f>
        <v/>
      </c>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row>
    <row r="56" spans="1:80" x14ac:dyDescent="0.25">
      <c r="A56" s="66"/>
      <c r="B56" s="66"/>
      <c r="C56" s="66"/>
      <c r="D56" s="66"/>
      <c r="E56" s="66"/>
      <c r="F56" s="66"/>
      <c r="G56" s="66"/>
      <c r="H56" s="66"/>
      <c r="I56" s="66"/>
      <c r="J56" s="482" t="s">
        <v>274</v>
      </c>
      <c r="K56" s="483"/>
      <c r="L56" s="483"/>
      <c r="M56" s="483"/>
      <c r="N56" s="483"/>
      <c r="O56" s="484"/>
      <c r="P56" s="482" t="s">
        <v>275</v>
      </c>
      <c r="Q56" s="483"/>
      <c r="R56" s="483"/>
      <c r="S56" s="483"/>
      <c r="T56" s="483"/>
      <c r="U56" s="484"/>
      <c r="V56" s="482" t="s">
        <v>276</v>
      </c>
      <c r="W56" s="483"/>
      <c r="X56" s="483"/>
      <c r="Y56" s="483"/>
      <c r="Z56" s="483"/>
      <c r="AA56" s="484"/>
      <c r="AB56" s="482" t="s">
        <v>277</v>
      </c>
      <c r="AC56" s="491"/>
      <c r="AD56" s="483"/>
      <c r="AE56" s="483"/>
      <c r="AF56" s="483"/>
      <c r="AG56" s="484"/>
      <c r="AH56" s="482" t="s">
        <v>278</v>
      </c>
      <c r="AI56" s="483"/>
      <c r="AJ56" s="483"/>
      <c r="AK56" s="483"/>
      <c r="AL56" s="483"/>
      <c r="AM56" s="484"/>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row>
    <row r="57" spans="1:80" x14ac:dyDescent="0.25">
      <c r="A57" s="66"/>
      <c r="B57" s="66"/>
      <c r="C57" s="66"/>
      <c r="D57" s="66"/>
      <c r="E57" s="66"/>
      <c r="F57" s="66"/>
      <c r="G57" s="66"/>
      <c r="H57" s="66"/>
      <c r="I57" s="66"/>
      <c r="J57" s="485"/>
      <c r="K57" s="486"/>
      <c r="L57" s="486"/>
      <c r="M57" s="486"/>
      <c r="N57" s="486"/>
      <c r="O57" s="487"/>
      <c r="P57" s="485"/>
      <c r="Q57" s="486"/>
      <c r="R57" s="486"/>
      <c r="S57" s="486"/>
      <c r="T57" s="486"/>
      <c r="U57" s="487"/>
      <c r="V57" s="485"/>
      <c r="W57" s="486"/>
      <c r="X57" s="486"/>
      <c r="Y57" s="486"/>
      <c r="Z57" s="486"/>
      <c r="AA57" s="487"/>
      <c r="AB57" s="485"/>
      <c r="AC57" s="486"/>
      <c r="AD57" s="486"/>
      <c r="AE57" s="486"/>
      <c r="AF57" s="486"/>
      <c r="AG57" s="487"/>
      <c r="AH57" s="485"/>
      <c r="AI57" s="486"/>
      <c r="AJ57" s="486"/>
      <c r="AK57" s="486"/>
      <c r="AL57" s="486"/>
      <c r="AM57" s="487"/>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row>
    <row r="58" spans="1:80" x14ac:dyDescent="0.25">
      <c r="A58" s="66"/>
      <c r="B58" s="66"/>
      <c r="C58" s="66"/>
      <c r="D58" s="66"/>
      <c r="E58" s="66"/>
      <c r="F58" s="66"/>
      <c r="G58" s="66"/>
      <c r="H58" s="66"/>
      <c r="I58" s="66"/>
      <c r="J58" s="485"/>
      <c r="K58" s="486"/>
      <c r="L58" s="486"/>
      <c r="M58" s="486"/>
      <c r="N58" s="486"/>
      <c r="O58" s="487"/>
      <c r="P58" s="485"/>
      <c r="Q58" s="486"/>
      <c r="R58" s="486"/>
      <c r="S58" s="486"/>
      <c r="T58" s="486"/>
      <c r="U58" s="487"/>
      <c r="V58" s="485"/>
      <c r="W58" s="486"/>
      <c r="X58" s="486"/>
      <c r="Y58" s="486"/>
      <c r="Z58" s="486"/>
      <c r="AA58" s="487"/>
      <c r="AB58" s="485"/>
      <c r="AC58" s="486"/>
      <c r="AD58" s="486"/>
      <c r="AE58" s="486"/>
      <c r="AF58" s="486"/>
      <c r="AG58" s="487"/>
      <c r="AH58" s="485"/>
      <c r="AI58" s="486"/>
      <c r="AJ58" s="486"/>
      <c r="AK58" s="486"/>
      <c r="AL58" s="486"/>
      <c r="AM58" s="487"/>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row>
    <row r="59" spans="1:80" x14ac:dyDescent="0.25">
      <c r="A59" s="66"/>
      <c r="B59" s="66"/>
      <c r="C59" s="66"/>
      <c r="D59" s="66"/>
      <c r="E59" s="66"/>
      <c r="F59" s="66"/>
      <c r="G59" s="66"/>
      <c r="H59" s="66"/>
      <c r="I59" s="66"/>
      <c r="J59" s="485"/>
      <c r="K59" s="486"/>
      <c r="L59" s="486"/>
      <c r="M59" s="486"/>
      <c r="N59" s="486"/>
      <c r="O59" s="487"/>
      <c r="P59" s="485"/>
      <c r="Q59" s="486"/>
      <c r="R59" s="486"/>
      <c r="S59" s="486"/>
      <c r="T59" s="486"/>
      <c r="U59" s="487"/>
      <c r="V59" s="485"/>
      <c r="W59" s="486"/>
      <c r="X59" s="486"/>
      <c r="Y59" s="486"/>
      <c r="Z59" s="486"/>
      <c r="AA59" s="487"/>
      <c r="AB59" s="485"/>
      <c r="AC59" s="486"/>
      <c r="AD59" s="486"/>
      <c r="AE59" s="486"/>
      <c r="AF59" s="486"/>
      <c r="AG59" s="487"/>
      <c r="AH59" s="485"/>
      <c r="AI59" s="486"/>
      <c r="AJ59" s="486"/>
      <c r="AK59" s="486"/>
      <c r="AL59" s="486"/>
      <c r="AM59" s="487"/>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row>
    <row r="60" spans="1:80" x14ac:dyDescent="0.25">
      <c r="A60" s="66"/>
      <c r="B60" s="66"/>
      <c r="C60" s="66"/>
      <c r="D60" s="66"/>
      <c r="E60" s="66"/>
      <c r="F60" s="66"/>
      <c r="G60" s="66"/>
      <c r="H60" s="66"/>
      <c r="I60" s="66"/>
      <c r="J60" s="485"/>
      <c r="K60" s="486"/>
      <c r="L60" s="486"/>
      <c r="M60" s="486"/>
      <c r="N60" s="486"/>
      <c r="O60" s="487"/>
      <c r="P60" s="485"/>
      <c r="Q60" s="486"/>
      <c r="R60" s="486"/>
      <c r="S60" s="486"/>
      <c r="T60" s="486"/>
      <c r="U60" s="487"/>
      <c r="V60" s="485"/>
      <c r="W60" s="486"/>
      <c r="X60" s="486"/>
      <c r="Y60" s="486"/>
      <c r="Z60" s="486"/>
      <c r="AA60" s="487"/>
      <c r="AB60" s="485"/>
      <c r="AC60" s="486"/>
      <c r="AD60" s="486"/>
      <c r="AE60" s="486"/>
      <c r="AF60" s="486"/>
      <c r="AG60" s="487"/>
      <c r="AH60" s="485"/>
      <c r="AI60" s="486"/>
      <c r="AJ60" s="486"/>
      <c r="AK60" s="486"/>
      <c r="AL60" s="486"/>
      <c r="AM60" s="487"/>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row>
    <row r="61" spans="1:80" ht="15.75" thickBot="1" x14ac:dyDescent="0.3">
      <c r="A61" s="66"/>
      <c r="B61" s="66"/>
      <c r="C61" s="66"/>
      <c r="D61" s="66"/>
      <c r="E61" s="66"/>
      <c r="F61" s="66"/>
      <c r="G61" s="66"/>
      <c r="H61" s="66"/>
      <c r="I61" s="66"/>
      <c r="J61" s="488"/>
      <c r="K61" s="489"/>
      <c r="L61" s="489"/>
      <c r="M61" s="489"/>
      <c r="N61" s="489"/>
      <c r="O61" s="490"/>
      <c r="P61" s="488"/>
      <c r="Q61" s="489"/>
      <c r="R61" s="489"/>
      <c r="S61" s="489"/>
      <c r="T61" s="489"/>
      <c r="U61" s="490"/>
      <c r="V61" s="488"/>
      <c r="W61" s="489"/>
      <c r="X61" s="489"/>
      <c r="Y61" s="489"/>
      <c r="Z61" s="489"/>
      <c r="AA61" s="490"/>
      <c r="AB61" s="488"/>
      <c r="AC61" s="489"/>
      <c r="AD61" s="489"/>
      <c r="AE61" s="489"/>
      <c r="AF61" s="489"/>
      <c r="AG61" s="490"/>
      <c r="AH61" s="488"/>
      <c r="AI61" s="489"/>
      <c r="AJ61" s="489"/>
      <c r="AK61" s="489"/>
      <c r="AL61" s="489"/>
      <c r="AM61" s="490"/>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row>
    <row r="62" spans="1:80" x14ac:dyDescent="0.25">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row>
    <row r="63" spans="1:80" ht="15" customHeight="1" x14ac:dyDescent="0.25">
      <c r="A63" s="6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66"/>
      <c r="AV63" s="66"/>
      <c r="AW63" s="66"/>
      <c r="AX63" s="66"/>
      <c r="AY63" s="66"/>
      <c r="AZ63" s="66"/>
      <c r="BA63" s="66"/>
      <c r="BB63" s="66"/>
      <c r="BC63" s="66"/>
      <c r="BD63" s="66"/>
      <c r="BE63" s="66"/>
      <c r="BF63" s="66"/>
      <c r="BG63" s="66"/>
      <c r="BH63" s="66"/>
    </row>
    <row r="64" spans="1:80" ht="15" customHeight="1" x14ac:dyDescent="0.25">
      <c r="A64" s="66"/>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66"/>
      <c r="AV64" s="66"/>
      <c r="AW64" s="66"/>
      <c r="AX64" s="66"/>
      <c r="AY64" s="66"/>
      <c r="AZ64" s="66"/>
      <c r="BA64" s="66"/>
      <c r="BB64" s="66"/>
      <c r="BC64" s="66"/>
      <c r="BD64" s="66"/>
      <c r="BE64" s="66"/>
      <c r="BF64" s="66"/>
      <c r="BG64" s="66"/>
      <c r="BH64" s="66"/>
    </row>
    <row r="65" spans="1:60" x14ac:dyDescent="0.25">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row>
    <row r="66" spans="1:60" x14ac:dyDescent="0.25">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row>
    <row r="67" spans="1:60" x14ac:dyDescent="0.25">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row>
    <row r="68" spans="1:60" x14ac:dyDescent="0.25">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row>
    <row r="69" spans="1:60" x14ac:dyDescent="0.25">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row>
    <row r="70" spans="1:60" x14ac:dyDescent="0.25">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row>
    <row r="71" spans="1:60" x14ac:dyDescent="0.25">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row>
    <row r="72" spans="1:60" x14ac:dyDescent="0.25">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BD72" s="66"/>
      <c r="BE72" s="66"/>
      <c r="BF72" s="66"/>
      <c r="BG72" s="66"/>
      <c r="BH72" s="66"/>
    </row>
    <row r="73" spans="1:60" x14ac:dyDescent="0.25">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row>
    <row r="74" spans="1:60" x14ac:dyDescent="0.25">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row>
    <row r="75" spans="1:60" x14ac:dyDescent="0.2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row>
    <row r="76" spans="1:60" x14ac:dyDescent="0.25">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BD76" s="66"/>
      <c r="BE76" s="66"/>
      <c r="BF76" s="66"/>
      <c r="BG76" s="66"/>
      <c r="BH76" s="66"/>
    </row>
    <row r="77" spans="1:60" x14ac:dyDescent="0.25">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row>
    <row r="78" spans="1:60" x14ac:dyDescent="0.25">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BD78" s="66"/>
      <c r="BE78" s="66"/>
      <c r="BF78" s="66"/>
      <c r="BG78" s="66"/>
      <c r="BH78" s="66"/>
    </row>
    <row r="79" spans="1:60" x14ac:dyDescent="0.25">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row>
    <row r="80" spans="1:60" x14ac:dyDescent="0.25">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row>
    <row r="81" spans="1:60" x14ac:dyDescent="0.25">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6"/>
      <c r="BB81" s="66"/>
      <c r="BC81" s="66"/>
      <c r="BD81" s="66"/>
      <c r="BE81" s="66"/>
      <c r="BF81" s="66"/>
      <c r="BG81" s="66"/>
      <c r="BH81" s="66"/>
    </row>
    <row r="82" spans="1:60" x14ac:dyDescent="0.25">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row>
    <row r="83" spans="1:60" x14ac:dyDescent="0.25">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row>
    <row r="84" spans="1:60" x14ac:dyDescent="0.25">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row>
    <row r="85" spans="1:60" x14ac:dyDescent="0.2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row>
    <row r="86" spans="1:60"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row>
    <row r="87" spans="1:60" x14ac:dyDescent="0.25">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row>
    <row r="88" spans="1:60" x14ac:dyDescent="0.25">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BD88" s="66"/>
      <c r="BE88" s="66"/>
      <c r="BF88" s="66"/>
      <c r="BG88" s="66"/>
      <c r="BH88" s="66"/>
    </row>
    <row r="89" spans="1:60" x14ac:dyDescent="0.25">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row>
    <row r="90" spans="1:60" x14ac:dyDescent="0.25">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c r="BF90" s="66"/>
      <c r="BG90" s="66"/>
      <c r="BH90" s="66"/>
    </row>
    <row r="91" spans="1:60" x14ac:dyDescent="0.2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row>
    <row r="92" spans="1:60" x14ac:dyDescent="0.2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BD92" s="66"/>
      <c r="BE92" s="66"/>
      <c r="BF92" s="66"/>
      <c r="BG92" s="66"/>
      <c r="BH92" s="66"/>
    </row>
    <row r="93" spans="1:60" x14ac:dyDescent="0.25">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row>
    <row r="94" spans="1:60" x14ac:dyDescent="0.25">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BD94" s="66"/>
      <c r="BE94" s="66"/>
      <c r="BF94" s="66"/>
      <c r="BG94" s="66"/>
      <c r="BH94" s="66"/>
    </row>
    <row r="95" spans="1:60" x14ac:dyDescent="0.2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row>
    <row r="96" spans="1:60" x14ac:dyDescent="0.25">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BD96" s="66"/>
      <c r="BE96" s="66"/>
      <c r="BF96" s="66"/>
      <c r="BG96" s="66"/>
      <c r="BH96" s="66"/>
    </row>
    <row r="97" spans="1:60" x14ac:dyDescent="0.25">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row>
    <row r="98" spans="1:60" x14ac:dyDescent="0.25">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row>
    <row r="99" spans="1:60" x14ac:dyDescent="0.25">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row>
    <row r="100" spans="1:60" x14ac:dyDescent="0.25">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row>
    <row r="101" spans="1:60" x14ac:dyDescent="0.25">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D101" s="66"/>
      <c r="BE101" s="66"/>
      <c r="BF101" s="66"/>
      <c r="BG101" s="66"/>
      <c r="BH101" s="66"/>
    </row>
    <row r="102" spans="1:60" x14ac:dyDescent="0.25">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row>
    <row r="103" spans="1:60" x14ac:dyDescent="0.25">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row>
    <row r="104" spans="1:60" x14ac:dyDescent="0.2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66"/>
      <c r="BE104" s="66"/>
      <c r="BF104" s="66"/>
      <c r="BG104" s="66"/>
      <c r="BH104" s="66"/>
    </row>
    <row r="105" spans="1:60" x14ac:dyDescent="0.2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BD105" s="66"/>
      <c r="BE105" s="66"/>
      <c r="BF105" s="66"/>
      <c r="BG105" s="66"/>
      <c r="BH105" s="66"/>
    </row>
    <row r="106" spans="1:60" x14ac:dyDescent="0.2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row>
    <row r="107" spans="1:60" x14ac:dyDescent="0.25">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row>
    <row r="108" spans="1:60" x14ac:dyDescent="0.25">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BD108" s="66"/>
      <c r="BE108" s="66"/>
      <c r="BF108" s="66"/>
      <c r="BG108" s="66"/>
      <c r="BH108" s="66"/>
    </row>
    <row r="109" spans="1:60" x14ac:dyDescent="0.2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row>
    <row r="110" spans="1:60" x14ac:dyDescent="0.2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6"/>
      <c r="BD110" s="66"/>
      <c r="BE110" s="66"/>
      <c r="BF110" s="66"/>
      <c r="BG110" s="66"/>
      <c r="BH110" s="66"/>
    </row>
    <row r="111" spans="1:60" x14ac:dyDescent="0.2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BD111" s="66"/>
      <c r="BE111" s="66"/>
      <c r="BF111" s="66"/>
      <c r="BG111" s="66"/>
      <c r="BH111" s="66"/>
    </row>
    <row r="112" spans="1:60" x14ac:dyDescent="0.2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c r="BE112" s="66"/>
      <c r="BF112" s="66"/>
      <c r="BG112" s="66"/>
      <c r="BH112" s="66"/>
    </row>
    <row r="113" spans="1:60" x14ac:dyDescent="0.2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6"/>
      <c r="AY113" s="66"/>
      <c r="AZ113" s="66"/>
      <c r="BA113" s="66"/>
      <c r="BB113" s="66"/>
      <c r="BC113" s="66"/>
      <c r="BD113" s="66"/>
      <c r="BE113" s="66"/>
      <c r="BF113" s="66"/>
      <c r="BG113" s="66"/>
      <c r="BH113" s="66"/>
    </row>
    <row r="114" spans="1:60" x14ac:dyDescent="0.2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BD114" s="66"/>
      <c r="BE114" s="66"/>
      <c r="BF114" s="66"/>
      <c r="BG114" s="66"/>
      <c r="BH114" s="66"/>
    </row>
    <row r="115" spans="1:60" x14ac:dyDescent="0.2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c r="BE115" s="66"/>
      <c r="BF115" s="66"/>
      <c r="BG115" s="66"/>
      <c r="BH115" s="66"/>
    </row>
    <row r="116" spans="1:60" x14ac:dyDescent="0.25">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BD116" s="66"/>
      <c r="BE116" s="66"/>
      <c r="BF116" s="66"/>
      <c r="BG116" s="66"/>
      <c r="BH116" s="66"/>
    </row>
    <row r="117" spans="1:60" x14ac:dyDescent="0.25">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c r="AT117" s="66"/>
      <c r="AU117" s="66"/>
      <c r="AV117" s="66"/>
      <c r="AW117" s="66"/>
      <c r="AX117" s="66"/>
      <c r="AY117" s="66"/>
      <c r="AZ117" s="66"/>
      <c r="BA117" s="66"/>
      <c r="BB117" s="66"/>
      <c r="BC117" s="66"/>
      <c r="BD117" s="66"/>
      <c r="BE117" s="66"/>
      <c r="BF117" s="66"/>
      <c r="BG117" s="66"/>
      <c r="BH117" s="66"/>
    </row>
    <row r="118" spans="1:60" x14ac:dyDescent="0.2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row>
    <row r="119" spans="1:60" x14ac:dyDescent="0.2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BD119" s="66"/>
      <c r="BE119" s="66"/>
      <c r="BF119" s="66"/>
      <c r="BG119" s="66"/>
      <c r="BH119" s="66"/>
    </row>
    <row r="120" spans="1:60" x14ac:dyDescent="0.2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BD120" s="66"/>
      <c r="BE120" s="66"/>
      <c r="BF120" s="66"/>
      <c r="BG120" s="66"/>
      <c r="BH120" s="66"/>
    </row>
    <row r="121" spans="1:60" x14ac:dyDescent="0.25">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BD121" s="66"/>
      <c r="BE121" s="66"/>
      <c r="BF121" s="66"/>
      <c r="BG121" s="66"/>
      <c r="BH121" s="66"/>
    </row>
    <row r="122" spans="1:60" x14ac:dyDescent="0.25">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BD122" s="66"/>
      <c r="BE122" s="66"/>
      <c r="BF122" s="66"/>
      <c r="BG122" s="66"/>
      <c r="BH122" s="66"/>
    </row>
    <row r="123" spans="1:60" x14ac:dyDescent="0.25">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BD123" s="66"/>
      <c r="BE123" s="66"/>
      <c r="BF123" s="66"/>
      <c r="BG123" s="66"/>
      <c r="BH123" s="66"/>
    </row>
    <row r="124" spans="1:60" x14ac:dyDescent="0.25">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6"/>
      <c r="BD124" s="66"/>
      <c r="BE124" s="66"/>
      <c r="BF124" s="66"/>
      <c r="BG124" s="66"/>
      <c r="BH124" s="66"/>
    </row>
    <row r="125" spans="1:60" x14ac:dyDescent="0.25">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row>
    <row r="126" spans="1:60" x14ac:dyDescent="0.25">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c r="AR126" s="66"/>
      <c r="AS126" s="66"/>
      <c r="AT126" s="66"/>
      <c r="AU126" s="66"/>
      <c r="AV126" s="66"/>
      <c r="AW126" s="66"/>
      <c r="AX126" s="66"/>
      <c r="AY126" s="66"/>
      <c r="AZ126" s="66"/>
      <c r="BA126" s="66"/>
      <c r="BB126" s="66"/>
      <c r="BC126" s="66"/>
      <c r="BD126" s="66"/>
      <c r="BE126" s="66"/>
      <c r="BF126" s="66"/>
      <c r="BG126" s="66"/>
      <c r="BH126" s="66"/>
    </row>
    <row r="127" spans="1:60" x14ac:dyDescent="0.25">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BD127" s="66"/>
      <c r="BE127" s="66"/>
      <c r="BF127" s="66"/>
      <c r="BG127" s="66"/>
      <c r="BH127" s="66"/>
    </row>
    <row r="128" spans="1:60" x14ac:dyDescent="0.25">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row>
    <row r="129" spans="1:60" x14ac:dyDescent="0.25">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c r="BD129" s="66"/>
      <c r="BE129" s="66"/>
      <c r="BF129" s="66"/>
      <c r="BG129" s="66"/>
      <c r="BH129" s="66"/>
    </row>
    <row r="130" spans="1:60" x14ac:dyDescent="0.25">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row>
    <row r="131" spans="1:60" x14ac:dyDescent="0.25">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BD131" s="66"/>
      <c r="BE131" s="66"/>
      <c r="BF131" s="66"/>
      <c r="BG131" s="66"/>
      <c r="BH131" s="66"/>
    </row>
    <row r="132" spans="1:60" x14ac:dyDescent="0.25">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row>
    <row r="133" spans="1:60" x14ac:dyDescent="0.25">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66"/>
      <c r="AW133" s="66"/>
      <c r="AX133" s="66"/>
      <c r="AY133" s="66"/>
      <c r="AZ133" s="66"/>
      <c r="BA133" s="66"/>
      <c r="BB133" s="66"/>
      <c r="BC133" s="66"/>
      <c r="BD133" s="66"/>
      <c r="BE133" s="66"/>
      <c r="BF133" s="66"/>
      <c r="BG133" s="66"/>
      <c r="BH133" s="66"/>
    </row>
    <row r="134" spans="1:60" x14ac:dyDescent="0.2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BD134" s="66"/>
      <c r="BE134" s="66"/>
      <c r="BF134" s="66"/>
      <c r="BG134" s="66"/>
      <c r="BH134" s="66"/>
    </row>
    <row r="135" spans="1:60" x14ac:dyDescent="0.25">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6"/>
      <c r="BD135" s="66"/>
      <c r="BE135" s="66"/>
      <c r="BF135" s="66"/>
      <c r="BG135" s="66"/>
      <c r="BH135" s="66"/>
    </row>
    <row r="136" spans="1:60" x14ac:dyDescent="0.25">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c r="AR136" s="66"/>
      <c r="AS136" s="66"/>
      <c r="AT136" s="66"/>
      <c r="AU136" s="66"/>
      <c r="AV136" s="66"/>
      <c r="AW136" s="66"/>
      <c r="AX136" s="66"/>
      <c r="AY136" s="66"/>
      <c r="AZ136" s="66"/>
      <c r="BA136" s="66"/>
      <c r="BB136" s="66"/>
      <c r="BC136" s="66"/>
      <c r="BD136" s="66"/>
      <c r="BE136" s="66"/>
      <c r="BF136" s="66"/>
      <c r="BG136" s="66"/>
      <c r="BH136" s="66"/>
    </row>
    <row r="137" spans="1:60" x14ac:dyDescent="0.2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BD137" s="66"/>
      <c r="BE137" s="66"/>
      <c r="BF137" s="66"/>
      <c r="BG137" s="66"/>
      <c r="BH137" s="66"/>
    </row>
    <row r="138" spans="1:60" x14ac:dyDescent="0.25">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6"/>
      <c r="BD138" s="66"/>
      <c r="BE138" s="66"/>
      <c r="BF138" s="66"/>
      <c r="BG138" s="66"/>
      <c r="BH138" s="66"/>
    </row>
    <row r="139" spans="1:60" x14ac:dyDescent="0.25">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row>
    <row r="140" spans="1:60" x14ac:dyDescent="0.25">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D140" s="66"/>
      <c r="BE140" s="66"/>
      <c r="BF140" s="66"/>
      <c r="BG140" s="66"/>
      <c r="BH140" s="66"/>
    </row>
    <row r="141" spans="1:60" x14ac:dyDescent="0.25">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6"/>
      <c r="BD141" s="66"/>
      <c r="BE141" s="66"/>
      <c r="BF141" s="66"/>
      <c r="BG141" s="66"/>
      <c r="BH141" s="66"/>
    </row>
    <row r="142" spans="1:60" x14ac:dyDescent="0.25">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c r="AR142" s="66"/>
      <c r="AS142" s="66"/>
      <c r="AT142" s="66"/>
      <c r="AU142" s="66"/>
      <c r="AV142" s="66"/>
      <c r="AW142" s="66"/>
      <c r="AX142" s="66"/>
      <c r="AY142" s="66"/>
      <c r="AZ142" s="66"/>
      <c r="BA142" s="66"/>
      <c r="BB142" s="66"/>
      <c r="BC142" s="66"/>
      <c r="BD142" s="66"/>
      <c r="BE142" s="66"/>
      <c r="BF142" s="66"/>
      <c r="BG142" s="66"/>
      <c r="BH142" s="66"/>
    </row>
    <row r="143" spans="1:60" x14ac:dyDescent="0.25">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6"/>
      <c r="BD143" s="66"/>
      <c r="BE143" s="66"/>
      <c r="BF143" s="66"/>
      <c r="BG143" s="66"/>
      <c r="BH143" s="66"/>
    </row>
    <row r="144" spans="1:60" x14ac:dyDescent="0.25">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BD144" s="66"/>
      <c r="BE144" s="66"/>
      <c r="BF144" s="66"/>
      <c r="BG144" s="66"/>
      <c r="BH144" s="66"/>
    </row>
    <row r="145" spans="1:60" x14ac:dyDescent="0.2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c r="AR145" s="66"/>
      <c r="AS145" s="66"/>
      <c r="AT145" s="66"/>
      <c r="AU145" s="66"/>
      <c r="AV145" s="66"/>
      <c r="AW145" s="66"/>
      <c r="AX145" s="66"/>
      <c r="AY145" s="66"/>
      <c r="AZ145" s="66"/>
      <c r="BA145" s="66"/>
      <c r="BB145" s="66"/>
      <c r="BC145" s="66"/>
      <c r="BD145" s="66"/>
      <c r="BE145" s="66"/>
      <c r="BF145" s="66"/>
      <c r="BG145" s="66"/>
      <c r="BH145" s="66"/>
    </row>
    <row r="146" spans="1:60"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row>
    <row r="147" spans="1:60"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row>
    <row r="148" spans="1:60"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row>
    <row r="149" spans="1:60"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row>
    <row r="150" spans="1:60"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row>
    <row r="151" spans="1:60"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row>
    <row r="152" spans="1:60"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row>
    <row r="153" spans="1:60"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row>
    <row r="154" spans="1:60"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row>
    <row r="155" spans="1:60"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row>
    <row r="156" spans="1:60"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row>
    <row r="157" spans="1:60"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row>
    <row r="158" spans="1:60"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row>
    <row r="159" spans="1:60"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row>
    <row r="160" spans="1:60"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row>
    <row r="161" spans="1:60"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row>
    <row r="162" spans="1:60"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row>
    <row r="163" spans="1:60"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row>
    <row r="164" spans="1:60"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row>
    <row r="165" spans="1:60"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row>
    <row r="166" spans="1:60"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row>
    <row r="167" spans="1:60"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row>
    <row r="168" spans="1:60"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row>
    <row r="169" spans="1:60"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row>
    <row r="170" spans="1:60"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row>
    <row r="171" spans="1:60"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row>
    <row r="172" spans="1:60"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row>
    <row r="173" spans="1:60"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row>
    <row r="174" spans="1:60"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row>
    <row r="175" spans="1:60"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row>
    <row r="176" spans="1:60"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row>
    <row r="177" spans="1:60"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row>
    <row r="178" spans="1:60"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row>
    <row r="179" spans="1:60"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row>
    <row r="180" spans="1:60"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row>
    <row r="181" spans="1:60"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row>
    <row r="182" spans="1:60"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row>
    <row r="183" spans="1:60"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row>
    <row r="184" spans="1:60"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row>
    <row r="185" spans="1:60"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row>
    <row r="186" spans="1:60"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row>
    <row r="187" spans="1:60"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row>
    <row r="188" spans="1:60"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row>
    <row r="189" spans="1:60"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row>
    <row r="190" spans="1:60"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row>
    <row r="191" spans="1:60" x14ac:dyDescent="0.25">
      <c r="A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row>
    <row r="192" spans="1:60" x14ac:dyDescent="0.25">
      <c r="A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row>
    <row r="193" spans="1:60" x14ac:dyDescent="0.25">
      <c r="A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row>
    <row r="194" spans="1:60" x14ac:dyDescent="0.25">
      <c r="A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row>
    <row r="195" spans="1:60" x14ac:dyDescent="0.25">
      <c r="A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row>
    <row r="196" spans="1:60" x14ac:dyDescent="0.25">
      <c r="A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row>
    <row r="197" spans="1:60" x14ac:dyDescent="0.25">
      <c r="A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row>
    <row r="198" spans="1:60" x14ac:dyDescent="0.25">
      <c r="A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row>
    <row r="199" spans="1:60" x14ac:dyDescent="0.25">
      <c r="A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row>
    <row r="200" spans="1:60" x14ac:dyDescent="0.25">
      <c r="A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row>
    <row r="201" spans="1:60" x14ac:dyDescent="0.25">
      <c r="A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row>
    <row r="202" spans="1:60" x14ac:dyDescent="0.25">
      <c r="A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row>
    <row r="203" spans="1:60" x14ac:dyDescent="0.25">
      <c r="A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row>
    <row r="204" spans="1:60" x14ac:dyDescent="0.25">
      <c r="A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row>
    <row r="205" spans="1:60" x14ac:dyDescent="0.25">
      <c r="A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row>
    <row r="206" spans="1:60" x14ac:dyDescent="0.25">
      <c r="A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row>
    <row r="207" spans="1:60" x14ac:dyDescent="0.25">
      <c r="A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row>
    <row r="208" spans="1:60" x14ac:dyDescent="0.25">
      <c r="A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row>
    <row r="209" spans="1:60" x14ac:dyDescent="0.25">
      <c r="A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row>
    <row r="210" spans="1:60" x14ac:dyDescent="0.25">
      <c r="A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row>
    <row r="211" spans="1:60" x14ac:dyDescent="0.25">
      <c r="A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row>
    <row r="212" spans="1:60" x14ac:dyDescent="0.25">
      <c r="A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row>
    <row r="213" spans="1:60" x14ac:dyDescent="0.25">
      <c r="A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row>
    <row r="214" spans="1:60" x14ac:dyDescent="0.25">
      <c r="A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row>
    <row r="215" spans="1:60" x14ac:dyDescent="0.25">
      <c r="A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row>
    <row r="216" spans="1:60" x14ac:dyDescent="0.25">
      <c r="A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row>
    <row r="217" spans="1:60" x14ac:dyDescent="0.25">
      <c r="A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row>
    <row r="218" spans="1:60" x14ac:dyDescent="0.25">
      <c r="A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row>
    <row r="219" spans="1:60" x14ac:dyDescent="0.25">
      <c r="A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row>
    <row r="220" spans="1:60" x14ac:dyDescent="0.25">
      <c r="A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row>
    <row r="221" spans="1:60" x14ac:dyDescent="0.25">
      <c r="A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row>
    <row r="222" spans="1:60" x14ac:dyDescent="0.25">
      <c r="A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row>
    <row r="223" spans="1:60" x14ac:dyDescent="0.25">
      <c r="A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row>
    <row r="224" spans="1:60" x14ac:dyDescent="0.25">
      <c r="A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row>
    <row r="225" spans="1:60" x14ac:dyDescent="0.25">
      <c r="A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row>
    <row r="226" spans="1:60" x14ac:dyDescent="0.25">
      <c r="A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row>
    <row r="227" spans="1:60" x14ac:dyDescent="0.25">
      <c r="A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row>
    <row r="228" spans="1:60" x14ac:dyDescent="0.25">
      <c r="A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row>
    <row r="229" spans="1:60" x14ac:dyDescent="0.25">
      <c r="A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row>
    <row r="230" spans="1:60" x14ac:dyDescent="0.25">
      <c r="A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row>
    <row r="231" spans="1:60" x14ac:dyDescent="0.25">
      <c r="A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row>
    <row r="232" spans="1:60" x14ac:dyDescent="0.25">
      <c r="A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row>
    <row r="233" spans="1:60" x14ac:dyDescent="0.25">
      <c r="A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row>
    <row r="234" spans="1:60" x14ac:dyDescent="0.25">
      <c r="A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row>
    <row r="235" spans="1:60" x14ac:dyDescent="0.25">
      <c r="A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row>
    <row r="236" spans="1:60" x14ac:dyDescent="0.25">
      <c r="A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row>
    <row r="237" spans="1:60" x14ac:dyDescent="0.25">
      <c r="A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row>
    <row r="238" spans="1:60" x14ac:dyDescent="0.25">
      <c r="A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row>
    <row r="239" spans="1:60" x14ac:dyDescent="0.25">
      <c r="A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row>
    <row r="240" spans="1:60" x14ac:dyDescent="0.25">
      <c r="A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row>
    <row r="241" spans="1:60" x14ac:dyDescent="0.25">
      <c r="A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row>
    <row r="242" spans="1:60" x14ac:dyDescent="0.25">
      <c r="A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row>
    <row r="243" spans="1:60" x14ac:dyDescent="0.25">
      <c r="A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row>
    <row r="244" spans="1:60" x14ac:dyDescent="0.25">
      <c r="A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row>
    <row r="245" spans="1:60" x14ac:dyDescent="0.25">
      <c r="A245" s="66"/>
    </row>
    <row r="246" spans="1:60" x14ac:dyDescent="0.25">
      <c r="A246" s="66"/>
    </row>
    <row r="247" spans="1:60" x14ac:dyDescent="0.25">
      <c r="A247" s="66"/>
    </row>
    <row r="248" spans="1:60" x14ac:dyDescent="0.25">
      <c r="A248" s="6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JL71"/>
  <sheetViews>
    <sheetView tabSelected="1" topLeftCell="S1" zoomScale="70" zoomScaleNormal="70" zoomScaleSheetLayoutView="40" zoomScalePageLayoutView="60" workbookViewId="0">
      <selection activeCell="AJ14" sqref="AJ14"/>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40.140625" style="218" customWidth="1"/>
    <col min="6" max="6" width="17.7109375" style="198" customWidth="1"/>
    <col min="7" max="7" width="16" style="198" customWidth="1"/>
    <col min="8" max="8" width="24.28515625" style="198" customWidth="1"/>
    <col min="9" max="10" width="28.42578125" style="198" customWidth="1"/>
    <col min="11" max="11" width="28.7109375" style="198" customWidth="1"/>
    <col min="12" max="12" width="19.42578125" style="198" customWidth="1"/>
    <col min="13" max="13" width="20.5703125" style="198" customWidth="1"/>
    <col min="14" max="14" width="14.7109375" style="219" customWidth="1"/>
    <col min="15" max="15" width="16.7109375" style="198" customWidth="1"/>
    <col min="16" max="16" width="10.42578125" style="198" hidden="1" customWidth="1"/>
    <col min="17" max="17" width="30.42578125" style="198" customWidth="1"/>
    <col min="18" max="18" width="35.85546875" style="198" hidden="1" customWidth="1"/>
    <col min="19" max="19" width="17.140625" style="198" customWidth="1"/>
    <col min="20" max="20" width="17.5703125" style="198" hidden="1" customWidth="1"/>
    <col min="21" max="21" width="15" style="198" customWidth="1"/>
    <col min="22" max="22" width="16" style="198" customWidth="1"/>
    <col min="23" max="23" width="45.42578125" style="198" customWidth="1"/>
    <col min="24" max="24" width="26.85546875" style="198" hidden="1" customWidth="1"/>
    <col min="25" max="25" width="5.85546875" style="198" customWidth="1"/>
    <col min="26" max="26" width="6.85546875" style="198" customWidth="1"/>
    <col min="27" max="27" width="5" style="198" hidden="1" customWidth="1"/>
    <col min="28" max="28" width="5.5703125" style="198" customWidth="1"/>
    <col min="29" max="29" width="7.140625" style="198" customWidth="1"/>
    <col min="30" max="30" width="6.7109375" style="198" customWidth="1"/>
    <col min="31" max="31" width="7.5703125" style="198" hidden="1" customWidth="1"/>
    <col min="32" max="32" width="8.5703125" style="198" customWidth="1"/>
    <col min="33" max="37" width="10.85546875" style="198" customWidth="1"/>
    <col min="38" max="38" width="39.28515625" style="217" customWidth="1"/>
    <col min="39" max="39" width="23" style="198" customWidth="1"/>
    <col min="40" max="40" width="18.85546875" style="198" customWidth="1"/>
    <col min="41" max="41" width="21.5703125" style="198" customWidth="1"/>
    <col min="42" max="42" width="22.42578125" style="198" customWidth="1"/>
    <col min="43" max="43" width="16.42578125" style="198" customWidth="1"/>
    <col min="44" max="44" width="20.5703125" style="198" customWidth="1"/>
    <col min="45" max="16384" width="11.42578125" style="198"/>
  </cols>
  <sheetData>
    <row r="1" spans="1:272" s="201" customFormat="1" ht="20.25" x14ac:dyDescent="0.3">
      <c r="A1" s="374"/>
      <c r="B1" s="375"/>
      <c r="C1" s="376"/>
      <c r="D1" s="365" t="s">
        <v>208</v>
      </c>
      <c r="E1" s="366"/>
      <c r="F1" s="366"/>
      <c r="G1" s="366"/>
      <c r="H1" s="366"/>
      <c r="I1" s="366"/>
      <c r="J1" s="366"/>
      <c r="K1" s="366"/>
      <c r="L1" s="366"/>
      <c r="M1" s="366"/>
      <c r="N1" s="366"/>
      <c r="O1" s="366"/>
      <c r="P1" s="366"/>
      <c r="Q1" s="366"/>
      <c r="R1" s="366"/>
      <c r="S1" s="366"/>
      <c r="T1" s="367"/>
      <c r="U1" s="252"/>
      <c r="V1" s="252"/>
      <c r="W1" s="252"/>
      <c r="X1" s="384"/>
      <c r="Y1" s="384"/>
      <c r="Z1" s="384"/>
      <c r="AA1" s="384"/>
      <c r="AB1" s="384"/>
      <c r="AC1" s="384"/>
      <c r="AD1" s="384"/>
      <c r="AE1" s="384"/>
      <c r="AF1" s="384"/>
      <c r="AG1" s="384"/>
      <c r="AH1" s="384"/>
      <c r="AI1" s="384"/>
      <c r="AJ1" s="384"/>
      <c r="AK1" s="384"/>
      <c r="AL1" s="384"/>
      <c r="AM1" s="384"/>
      <c r="AN1" s="384"/>
      <c r="AO1" s="384"/>
      <c r="AP1" s="384"/>
      <c r="AQ1" s="384"/>
      <c r="AR1" s="384"/>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2" s="201" customFormat="1" ht="21" thickBot="1" x14ac:dyDescent="0.35">
      <c r="A2" s="377"/>
      <c r="B2" s="378"/>
      <c r="C2" s="379"/>
      <c r="D2" s="368"/>
      <c r="E2" s="369"/>
      <c r="F2" s="369"/>
      <c r="G2" s="369"/>
      <c r="H2" s="369"/>
      <c r="I2" s="369"/>
      <c r="J2" s="369"/>
      <c r="K2" s="369"/>
      <c r="L2" s="369"/>
      <c r="M2" s="369"/>
      <c r="N2" s="369"/>
      <c r="O2" s="369"/>
      <c r="P2" s="369"/>
      <c r="Q2" s="369"/>
      <c r="R2" s="369"/>
      <c r="S2" s="369"/>
      <c r="T2" s="370"/>
      <c r="U2" s="252"/>
      <c r="V2" s="252"/>
      <c r="W2" s="252"/>
      <c r="X2" s="384"/>
      <c r="Y2" s="384"/>
      <c r="Z2" s="384"/>
      <c r="AA2" s="384"/>
      <c r="AB2" s="384"/>
      <c r="AC2" s="384"/>
      <c r="AD2" s="384"/>
      <c r="AE2" s="384"/>
      <c r="AF2" s="384"/>
      <c r="AG2" s="384"/>
      <c r="AH2" s="384"/>
      <c r="AI2" s="384"/>
      <c r="AJ2" s="384"/>
      <c r="AK2" s="384"/>
      <c r="AL2" s="384"/>
      <c r="AM2" s="384"/>
      <c r="AN2" s="384"/>
      <c r="AO2" s="384"/>
      <c r="AP2" s="384"/>
      <c r="AQ2" s="384"/>
      <c r="AR2" s="384"/>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2" s="201" customFormat="1" ht="27.75" customHeight="1" thickBot="1" x14ac:dyDescent="0.35">
      <c r="A3" s="377"/>
      <c r="B3" s="378"/>
      <c r="C3" s="379"/>
      <c r="D3" s="371" t="s">
        <v>209</v>
      </c>
      <c r="E3" s="372"/>
      <c r="F3" s="372"/>
      <c r="G3" s="372"/>
      <c r="H3" s="372"/>
      <c r="I3" s="373"/>
      <c r="J3" s="371" t="s">
        <v>210</v>
      </c>
      <c r="K3" s="372"/>
      <c r="L3" s="372"/>
      <c r="M3" s="372"/>
      <c r="N3" s="372"/>
      <c r="O3" s="372"/>
      <c r="P3" s="372"/>
      <c r="Q3" s="372"/>
      <c r="R3" s="372"/>
      <c r="S3" s="372"/>
      <c r="T3" s="373"/>
      <c r="U3" s="253"/>
      <c r="V3" s="253"/>
      <c r="W3" s="252"/>
      <c r="X3" s="385"/>
      <c r="Y3" s="385"/>
      <c r="Z3" s="385"/>
      <c r="AA3" s="385"/>
      <c r="AB3" s="385"/>
      <c r="AC3" s="385"/>
      <c r="AD3" s="385"/>
      <c r="AE3" s="385"/>
      <c r="AF3" s="385"/>
      <c r="AG3" s="385"/>
      <c r="AH3" s="385"/>
      <c r="AI3" s="385"/>
      <c r="AJ3" s="385"/>
      <c r="AK3" s="385"/>
      <c r="AL3" s="385"/>
      <c r="AM3" s="385"/>
      <c r="AN3" s="385"/>
      <c r="AO3" s="385"/>
      <c r="AP3" s="385"/>
      <c r="AQ3" s="385"/>
      <c r="AR3" s="385"/>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2" s="201" customFormat="1" ht="27.75" customHeight="1" thickBot="1" x14ac:dyDescent="0.35">
      <c r="A4" s="380"/>
      <c r="B4" s="381"/>
      <c r="C4" s="382"/>
      <c r="D4" s="371" t="s">
        <v>422</v>
      </c>
      <c r="E4" s="372"/>
      <c r="F4" s="372"/>
      <c r="G4" s="372"/>
      <c r="H4" s="372"/>
      <c r="I4" s="372"/>
      <c r="J4" s="372"/>
      <c r="K4" s="372"/>
      <c r="L4" s="372"/>
      <c r="M4" s="372"/>
      <c r="N4" s="372"/>
      <c r="O4" s="372"/>
      <c r="P4" s="372"/>
      <c r="Q4" s="372"/>
      <c r="R4" s="372"/>
      <c r="S4" s="372"/>
      <c r="T4" s="373"/>
      <c r="U4" s="252"/>
      <c r="V4" s="252"/>
      <c r="W4" s="252"/>
      <c r="X4" s="385"/>
      <c r="Y4" s="385"/>
      <c r="Z4" s="385"/>
      <c r="AA4" s="385"/>
      <c r="AB4" s="385"/>
      <c r="AC4" s="385"/>
      <c r="AD4" s="385"/>
      <c r="AE4" s="385"/>
      <c r="AF4" s="385"/>
      <c r="AG4" s="385"/>
      <c r="AH4" s="385"/>
      <c r="AI4" s="385"/>
      <c r="AJ4" s="385"/>
      <c r="AK4" s="385"/>
      <c r="AL4" s="385"/>
      <c r="AM4" s="385"/>
      <c r="AN4" s="385"/>
      <c r="AO4" s="385"/>
      <c r="AP4" s="385"/>
      <c r="AQ4" s="385"/>
      <c r="AR4" s="385"/>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2"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2" ht="27" customHeight="1" thickBot="1" x14ac:dyDescent="0.25">
      <c r="A6" s="386" t="s">
        <v>211</v>
      </c>
      <c r="B6" s="387"/>
      <c r="C6" s="393"/>
      <c r="D6" s="394"/>
      <c r="E6" s="394"/>
      <c r="F6" s="394"/>
      <c r="G6" s="394"/>
      <c r="H6" s="394"/>
      <c r="I6" s="394"/>
      <c r="J6" s="394"/>
      <c r="K6" s="394"/>
      <c r="L6" s="394"/>
      <c r="M6" s="394"/>
      <c r="N6" s="394"/>
      <c r="O6" s="394"/>
      <c r="P6" s="394"/>
      <c r="Q6" s="394"/>
      <c r="R6" s="394"/>
      <c r="S6" s="394"/>
      <c r="T6" s="395"/>
      <c r="U6" s="255"/>
      <c r="V6" s="255"/>
      <c r="W6" s="392"/>
      <c r="X6" s="392"/>
      <c r="Y6" s="392"/>
      <c r="Z6" s="383"/>
      <c r="AA6" s="383"/>
      <c r="AB6" s="383"/>
      <c r="AC6" s="383"/>
      <c r="AD6" s="383"/>
      <c r="AE6" s="383"/>
      <c r="AF6" s="383"/>
      <c r="AG6" s="383"/>
      <c r="AH6" s="383"/>
      <c r="AI6" s="383"/>
      <c r="AJ6" s="383"/>
      <c r="AK6" s="383"/>
      <c r="AL6" s="383"/>
      <c r="AM6" s="383"/>
      <c r="AN6" s="383"/>
      <c r="AO6" s="383"/>
      <c r="AP6" s="383"/>
      <c r="AQ6" s="383"/>
      <c r="AR6" s="383"/>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2" ht="27" customHeight="1" thickBot="1" x14ac:dyDescent="0.3">
      <c r="A7" s="388" t="s">
        <v>212</v>
      </c>
      <c r="B7" s="389"/>
      <c r="C7" s="362"/>
      <c r="D7" s="363"/>
      <c r="E7" s="363"/>
      <c r="F7" s="363"/>
      <c r="G7" s="363"/>
      <c r="H7" s="363"/>
      <c r="I7" s="363"/>
      <c r="J7" s="363"/>
      <c r="K7" s="363"/>
      <c r="L7" s="363"/>
      <c r="M7" s="363"/>
      <c r="N7" s="363"/>
      <c r="O7" s="363"/>
      <c r="P7" s="363"/>
      <c r="Q7" s="363"/>
      <c r="R7" s="363"/>
      <c r="S7" s="363"/>
      <c r="T7" s="364"/>
      <c r="U7" s="256"/>
      <c r="V7" s="256"/>
      <c r="W7" s="257"/>
      <c r="X7" s="257"/>
      <c r="Y7" s="257"/>
      <c r="Z7" s="383"/>
      <c r="AA7" s="383"/>
      <c r="AB7" s="383"/>
      <c r="AC7" s="383"/>
      <c r="AD7" s="383"/>
      <c r="AE7" s="383"/>
      <c r="AF7" s="383"/>
      <c r="AG7" s="383"/>
      <c r="AH7" s="383"/>
      <c r="AI7" s="383"/>
      <c r="AJ7" s="383"/>
      <c r="AK7" s="383"/>
      <c r="AL7" s="383"/>
      <c r="AM7" s="383"/>
      <c r="AN7" s="383"/>
      <c r="AO7" s="383"/>
      <c r="AP7" s="383"/>
      <c r="AQ7" s="383"/>
      <c r="AR7" s="383"/>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2" ht="27" customHeight="1" thickBot="1" x14ac:dyDescent="0.3">
      <c r="A8" s="390" t="s">
        <v>213</v>
      </c>
      <c r="B8" s="391"/>
      <c r="C8" s="362"/>
      <c r="D8" s="363"/>
      <c r="E8" s="363"/>
      <c r="F8" s="363"/>
      <c r="G8" s="363"/>
      <c r="H8" s="363"/>
      <c r="I8" s="363"/>
      <c r="J8" s="363"/>
      <c r="K8" s="363"/>
      <c r="L8" s="363"/>
      <c r="M8" s="363"/>
      <c r="N8" s="363"/>
      <c r="O8" s="363"/>
      <c r="P8" s="363"/>
      <c r="Q8" s="363"/>
      <c r="R8" s="363"/>
      <c r="S8" s="363"/>
      <c r="T8" s="364"/>
      <c r="U8" s="256"/>
      <c r="V8" s="256"/>
      <c r="W8" s="257"/>
      <c r="X8" s="257"/>
      <c r="Y8" s="257"/>
      <c r="Z8" s="383"/>
      <c r="AA8" s="383"/>
      <c r="AB8" s="383"/>
      <c r="AC8" s="383"/>
      <c r="AD8" s="383"/>
      <c r="AE8" s="383"/>
      <c r="AF8" s="383"/>
      <c r="AG8" s="383"/>
      <c r="AH8" s="383"/>
      <c r="AI8" s="383"/>
      <c r="AJ8" s="383"/>
      <c r="AK8" s="383"/>
      <c r="AL8" s="383"/>
      <c r="AM8" s="383"/>
      <c r="AN8" s="383"/>
      <c r="AO8" s="383"/>
      <c r="AP8" s="383"/>
      <c r="AQ8" s="383"/>
      <c r="AR8" s="383"/>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2"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2" ht="39" customHeight="1" x14ac:dyDescent="0.2">
      <c r="A10" s="359" t="s">
        <v>214</v>
      </c>
      <c r="B10" s="360"/>
      <c r="C10" s="360"/>
      <c r="D10" s="360"/>
      <c r="E10" s="360"/>
      <c r="F10" s="361"/>
      <c r="G10" s="332" t="s">
        <v>215</v>
      </c>
      <c r="H10" s="333"/>
      <c r="I10" s="333"/>
      <c r="J10" s="333"/>
      <c r="K10" s="334"/>
      <c r="L10" s="344" t="s">
        <v>216</v>
      </c>
      <c r="M10" s="345"/>
      <c r="N10" s="224"/>
      <c r="O10" s="224"/>
      <c r="P10" s="330" t="s">
        <v>217</v>
      </c>
      <c r="Q10" s="330"/>
      <c r="R10" s="330"/>
      <c r="S10" s="330"/>
      <c r="T10" s="330"/>
      <c r="U10" s="330"/>
      <c r="V10" s="330"/>
      <c r="W10" s="330" t="s">
        <v>218</v>
      </c>
      <c r="X10" s="330"/>
      <c r="Y10" s="330"/>
      <c r="Z10" s="330"/>
      <c r="AA10" s="330"/>
      <c r="AB10" s="330"/>
      <c r="AC10" s="330"/>
      <c r="AD10" s="330"/>
      <c r="AE10" s="330"/>
      <c r="AF10" s="324" t="s">
        <v>219</v>
      </c>
      <c r="AG10" s="325"/>
      <c r="AH10" s="325"/>
      <c r="AI10" s="325"/>
      <c r="AJ10" s="326"/>
      <c r="AK10" s="324" t="s">
        <v>423</v>
      </c>
      <c r="AL10" s="325"/>
      <c r="AM10" s="325"/>
      <c r="AN10" s="325"/>
      <c r="AO10" s="326"/>
      <c r="AP10" s="324" t="s">
        <v>424</v>
      </c>
      <c r="AQ10" s="325"/>
      <c r="AR10" s="326"/>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row>
    <row r="11" spans="1:272" ht="26.25" customHeight="1" x14ac:dyDescent="0.2">
      <c r="A11" s="347" t="s">
        <v>222</v>
      </c>
      <c r="B11" s="348" t="s">
        <v>15</v>
      </c>
      <c r="C11" s="349" t="s">
        <v>17</v>
      </c>
      <c r="D11" s="349" t="s">
        <v>19</v>
      </c>
      <c r="E11" s="348" t="s">
        <v>21</v>
      </c>
      <c r="F11" s="349" t="s">
        <v>23</v>
      </c>
      <c r="G11" s="350" t="s">
        <v>124</v>
      </c>
      <c r="H11" s="350" t="s">
        <v>280</v>
      </c>
      <c r="I11" s="350" t="s">
        <v>224</v>
      </c>
      <c r="J11" s="350" t="s">
        <v>225</v>
      </c>
      <c r="K11" s="350" t="s">
        <v>226</v>
      </c>
      <c r="L11" s="344"/>
      <c r="M11" s="345"/>
      <c r="N11" s="329" t="s">
        <v>227</v>
      </c>
      <c r="O11" s="329" t="s">
        <v>228</v>
      </c>
      <c r="P11" s="342" t="s">
        <v>229</v>
      </c>
      <c r="Q11" s="329" t="s">
        <v>230</v>
      </c>
      <c r="R11" s="329" t="s">
        <v>231</v>
      </c>
      <c r="S11" s="329" t="s">
        <v>232</v>
      </c>
      <c r="T11" s="342" t="s">
        <v>229</v>
      </c>
      <c r="U11" s="329" t="s">
        <v>29</v>
      </c>
      <c r="V11" s="328" t="s">
        <v>233</v>
      </c>
      <c r="W11" s="329" t="s">
        <v>31</v>
      </c>
      <c r="X11" s="329" t="s">
        <v>33</v>
      </c>
      <c r="Y11" s="329" t="s">
        <v>234</v>
      </c>
      <c r="Z11" s="329"/>
      <c r="AA11" s="329"/>
      <c r="AB11" s="329"/>
      <c r="AC11" s="329"/>
      <c r="AD11" s="329"/>
      <c r="AE11" s="328" t="s">
        <v>235</v>
      </c>
      <c r="AF11" s="328" t="s">
        <v>236</v>
      </c>
      <c r="AG11" s="328" t="s">
        <v>229</v>
      </c>
      <c r="AH11" s="328" t="s">
        <v>237</v>
      </c>
      <c r="AI11" s="328" t="s">
        <v>229</v>
      </c>
      <c r="AJ11" s="328" t="s">
        <v>238</v>
      </c>
      <c r="AK11" s="328" t="s">
        <v>49</v>
      </c>
      <c r="AL11" s="329" t="s">
        <v>239</v>
      </c>
      <c r="AM11" s="329" t="s">
        <v>240</v>
      </c>
      <c r="AN11" s="329" t="s">
        <v>241</v>
      </c>
      <c r="AO11" s="329" t="s">
        <v>242</v>
      </c>
      <c r="AP11" s="329" t="s">
        <v>239</v>
      </c>
      <c r="AQ11" s="329" t="s">
        <v>241</v>
      </c>
      <c r="AR11" s="329" t="s">
        <v>240</v>
      </c>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row>
    <row r="12" spans="1:272" s="213" customFormat="1" ht="73.5" customHeight="1" x14ac:dyDescent="0.25">
      <c r="A12" s="347"/>
      <c r="B12" s="348"/>
      <c r="C12" s="349"/>
      <c r="D12" s="349"/>
      <c r="E12" s="348"/>
      <c r="F12" s="349"/>
      <c r="G12" s="351"/>
      <c r="H12" s="351"/>
      <c r="I12" s="351"/>
      <c r="J12" s="351"/>
      <c r="K12" s="351"/>
      <c r="L12" s="250" t="s">
        <v>425</v>
      </c>
      <c r="M12" s="250" t="s">
        <v>246</v>
      </c>
      <c r="N12" s="329"/>
      <c r="O12" s="329"/>
      <c r="P12" s="342"/>
      <c r="Q12" s="342"/>
      <c r="R12" s="329"/>
      <c r="S12" s="342"/>
      <c r="T12" s="342"/>
      <c r="U12" s="329"/>
      <c r="V12" s="328"/>
      <c r="W12" s="329"/>
      <c r="X12" s="329"/>
      <c r="Y12" s="210" t="s">
        <v>247</v>
      </c>
      <c r="Z12" s="210" t="s">
        <v>248</v>
      </c>
      <c r="AA12" s="210" t="s">
        <v>249</v>
      </c>
      <c r="AB12" s="210" t="s">
        <v>250</v>
      </c>
      <c r="AC12" s="210" t="s">
        <v>251</v>
      </c>
      <c r="AD12" s="210" t="s">
        <v>252</v>
      </c>
      <c r="AE12" s="328"/>
      <c r="AF12" s="328"/>
      <c r="AG12" s="328"/>
      <c r="AH12" s="328"/>
      <c r="AI12" s="328"/>
      <c r="AJ12" s="328"/>
      <c r="AK12" s="328"/>
      <c r="AL12" s="329"/>
      <c r="AM12" s="329"/>
      <c r="AN12" s="329"/>
      <c r="AO12" s="329"/>
      <c r="AP12" s="329"/>
      <c r="AQ12" s="329"/>
      <c r="AR12" s="329"/>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row>
    <row r="13" spans="1:272" s="215" customFormat="1" ht="165" x14ac:dyDescent="0.25">
      <c r="A13" s="352">
        <v>1</v>
      </c>
      <c r="B13" s="353" t="s">
        <v>118</v>
      </c>
      <c r="C13" s="353" t="s">
        <v>476</v>
      </c>
      <c r="D13" s="353" t="s">
        <v>441</v>
      </c>
      <c r="E13" s="531" t="s">
        <v>442</v>
      </c>
      <c r="F13" s="353" t="s">
        <v>149</v>
      </c>
      <c r="G13" s="335" t="s">
        <v>127</v>
      </c>
      <c r="H13" s="335" t="s">
        <v>443</v>
      </c>
      <c r="I13" s="335" t="s">
        <v>444</v>
      </c>
      <c r="J13" s="335" t="s">
        <v>445</v>
      </c>
      <c r="K13" s="335" t="s">
        <v>477</v>
      </c>
      <c r="L13" s="335" t="s">
        <v>137</v>
      </c>
      <c r="M13" s="335" t="s">
        <v>137</v>
      </c>
      <c r="N13" s="341">
        <v>365</v>
      </c>
      <c r="O13" s="346" t="str">
        <f>IF(N13&lt;=0,"",IF(N13&lt;=2,"Muy Baja",IF(N13&lt;=24,"Baja",IF(N13&lt;=500,"Media",IF(N13&lt;=5000,"Alta","Muy Alta")))))</f>
        <v>Media</v>
      </c>
      <c r="P13" s="331">
        <f>IF(O13="","",IF(O13="Muy Baja",0.2,IF(O13="Baja",0.4,IF(O13="Media",0.6,IF(O13="Alta",0.8,IF(O13="Muy Alta",1,))))))</f>
        <v>0.6</v>
      </c>
      <c r="Q13" s="343" t="s">
        <v>356</v>
      </c>
      <c r="R13" s="331" t="str">
        <f>IF(NOT(ISERROR(MATCH(Q13,'Tabla Impacto'!$B$222:$B$224,0))),'Tabla Impacto'!$F$224&amp;"Por favor no seleccionar los criterios de impacto(Afectación Económica o presupuestal y Pérdida Reputacional)",Q13)</f>
        <v xml:space="preserve">     El riesgo afecta la imagen de de la entidad con efecto publicitario sostenido a nivel de sector administrativo, nivel departamental o municipal</v>
      </c>
      <c r="S13" s="346" t="str">
        <f>IF(OR(R13='Tabla Impacto'!$C$12,R13='Tabla Impacto'!$D$12),"Leve",IF(OR(R13='Tabla Impacto'!$C$13,R13='Tabla Impacto'!$D$13),"Menor",IF(OR(R13='Tabla Impacto'!$C$14,R13='Tabla Impacto'!$D$14),"Moderado",IF(OR(R13='Tabla Impacto'!$C$15,R13='Tabla Impacto'!$D$15),"Mayor",IF(OR(R13='Tabla Impacto'!$C$16,R13='Tabla Impacto'!$D$16),"Catastrófico","")))))</f>
        <v>Mayor</v>
      </c>
      <c r="T13" s="331">
        <f>IF(S13="","",IF(S13="Leve",0.2,IF(S13="Menor",0.4,IF(S13="Moderado",0.6,IF(S13="Mayor",0.8,IF(S13="Catastrófico",1,))))))</f>
        <v>0.8</v>
      </c>
      <c r="U13" s="327" t="str">
        <f>IF(OR(AND(O13="Muy Baja",S13="Leve"),AND(O13="Muy Baja",S13="Menor"),AND(O13="Baja",S13="Leve")),"Bajo",IF(OR(AND(O13="Muy baja",S13="Moderado"),AND(O13="Baja",S13="Menor"),AND(O13="Baja",S13="Moderado"),AND(O13="Media",S13="Leve"),AND(O13="Media",S13="Menor"),AND(O13="Media",S13="Moderado"),AND(O13="Alta",S13="Leve"),AND(O13="Alta",S13="Menor")),"Moderado",IF(OR(AND(O13="Muy Baja",S13="Mayor"),AND(O13="Baja",S13="Mayor"),AND(O13="Media",S13="Mayor"),AND(O13="Alta",S13="Moderado"),AND(O13="Alta",S13="Mayor"),AND(O13="Muy Alta",S13="Leve"),AND(O13="Muy Alta",S13="Menor"),AND(O13="Muy Alta",S13="Moderado"),AND(O13="Muy Alta",S13="Mayor")),"Alto",IF(OR(AND(O13="Muy Baja",S13="Catastrófico"),AND(O13="Baja",S13="Catastrófico"),AND(O13="Media",S13="Catastrófico"),AND(O13="Alta",S13="Catastrófico"),AND(O13="Muy Alta",S13="Catastrófico")),"Extremo",""))))</f>
        <v>Alto</v>
      </c>
      <c r="V13" s="214">
        <v>1</v>
      </c>
      <c r="W13" s="240" t="s">
        <v>478</v>
      </c>
      <c r="X13" s="189" t="str">
        <f t="shared" ref="X13:X14" si="0">IF(OR(Y13="Preventivo",Y13="Detectivo"),"Probabilidad",IF(Y13="Correctivo","Impacto",""))</f>
        <v>Probabilidad</v>
      </c>
      <c r="Y13" s="190" t="s">
        <v>254</v>
      </c>
      <c r="Z13" s="190" t="s">
        <v>255</v>
      </c>
      <c r="AA13" s="191" t="str">
        <f>IF(AND(Y13="Preventivo",Z13="Automático"),"50%",IF(AND(Y13="Preventivo",Z13="Manual"),"40%",IF(AND(Y13="Detectivo",Z13="Automático"),"40%",IF(AND(Y13="Detectivo",Z13="Manual"),"30%",IF(AND(Y13="Correctivo",Z13="Automático"),"35%",IF(AND(Y13="Correctivo",Z13="Manual"),"25%",""))))))</f>
        <v>40%</v>
      </c>
      <c r="AB13" s="190" t="s">
        <v>256</v>
      </c>
      <c r="AC13" s="190" t="s">
        <v>257</v>
      </c>
      <c r="AD13" s="190" t="s">
        <v>258</v>
      </c>
      <c r="AE13" s="192">
        <f>IFERROR(IF(X13="Probabilidad",(P13-(+P13*AA13)),IF(X13="Impacto",P13,"")),"")</f>
        <v>0.36</v>
      </c>
      <c r="AF13" s="193" t="str">
        <f>IFERROR(IF(AE13="","",IF(AE13&lt;=0.2,"Muy Baja",IF(AE13&lt;=0.4,"Baja",IF(AE13&lt;=0.6,"Media",IF(AE13&lt;=0.8,"Alta","Muy Alta"))))),"")</f>
        <v>Baja</v>
      </c>
      <c r="AG13" s="191">
        <f>+AE13</f>
        <v>0.36</v>
      </c>
      <c r="AH13" s="193" t="str">
        <f>IFERROR(IF(AI13="","",IF(AI13&lt;=0.2,"Leve",IF(AI13&lt;=0.4,"Menor",IF(AI13&lt;=0.6,"Moderado",IF(AI13&lt;=0.8,"Mayor","Catastrófico"))))),"")</f>
        <v>Mayor</v>
      </c>
      <c r="AI13" s="191">
        <f>IFERROR(IF(X13="Impacto",(T13-(+T13*AA13)),IF(X13="Probabilidad",T13,"")),"")</f>
        <v>0.8</v>
      </c>
      <c r="AJ13" s="194" t="str">
        <f>IFERROR(IF(OR(AND(AF13="Muy Baja",AH13="Leve"),AND(AF13="Muy Baja",AH13="Menor"),AND(AF13="Baja",AH13="Leve")),"Bajo",IF(OR(AND(AF13="Muy baja",AH13="Moderado"),AND(AF13="Baja",AH13="Menor"),AND(AF13="Baja",AH13="Moderado"),AND(AF13="Media",AH13="Leve"),AND(AF13="Media",AH13="Menor"),AND(AF13="Media",AH13="Moderado"),AND(AF13="Alta",AH13="Leve"),AND(AF13="Alta",AH13="Menor")),"Moderado",IF(OR(AND(AF13="Muy Baja",AH13="Mayor"),AND(AF13="Baja",AH13="Mayor"),AND(AF13="Media",AH13="Mayor"),AND(AF13="Alta",AH13="Moderado"),AND(AF13="Alta",AH13="Mayor"),AND(AF13="Muy Alta",AH13="Leve"),AND(AF13="Muy Alta",AH13="Menor"),AND(AF13="Muy Alta",AH13="Moderado"),AND(AF13="Muy Alta",AH13="Mayor")),"Alto",IF(OR(AND(AF13="Muy Baja",AH13="Catastrófico"),AND(AF13="Baja",AH13="Catastrófico"),AND(AF13="Media",AH13="Catastrófico"),AND(AF13="Alta",AH13="Catastrófico"),AND(AF13="Muy Alta",AH13="Catastrófico")),"Extremo","")))),"")</f>
        <v>Alto</v>
      </c>
      <c r="AK13" s="195" t="s">
        <v>123</v>
      </c>
      <c r="AL13" s="186" t="s">
        <v>446</v>
      </c>
      <c r="AM13" s="186" t="s">
        <v>447</v>
      </c>
      <c r="AN13" s="196" t="s">
        <v>448</v>
      </c>
      <c r="AO13" s="197" t="s">
        <v>434</v>
      </c>
      <c r="AP13" s="353" t="s">
        <v>449</v>
      </c>
      <c r="AQ13" s="353" t="s">
        <v>450</v>
      </c>
      <c r="AR13" s="353" t="s">
        <v>451</v>
      </c>
    </row>
    <row r="14" spans="1:272" ht="165" x14ac:dyDescent="0.2">
      <c r="A14" s="352"/>
      <c r="B14" s="353"/>
      <c r="C14" s="353"/>
      <c r="D14" s="353"/>
      <c r="E14" s="531"/>
      <c r="F14" s="353"/>
      <c r="G14" s="336"/>
      <c r="H14" s="336"/>
      <c r="I14" s="336"/>
      <c r="J14" s="336"/>
      <c r="K14" s="336"/>
      <c r="L14" s="336"/>
      <c r="M14" s="336"/>
      <c r="N14" s="341"/>
      <c r="O14" s="346"/>
      <c r="P14" s="331"/>
      <c r="Q14" s="343"/>
      <c r="R14" s="331">
        <f>IF(NOT(ISERROR(MATCH(Q14,_xlfn.ANCHORARRAY(E21),0))),P23&amp;"Por favor no seleccionar los criterios de impacto",Q14)</f>
        <v>0</v>
      </c>
      <c r="S14" s="346"/>
      <c r="T14" s="331"/>
      <c r="U14" s="327"/>
      <c r="V14" s="214">
        <v>2</v>
      </c>
      <c r="W14" s="240" t="s">
        <v>480</v>
      </c>
      <c r="X14" s="189" t="str">
        <f t="shared" si="0"/>
        <v>Probabilidad</v>
      </c>
      <c r="Y14" s="190" t="s">
        <v>254</v>
      </c>
      <c r="Z14" s="190" t="s">
        <v>255</v>
      </c>
      <c r="AA14" s="191" t="str">
        <f t="shared" ref="AA14" si="1">IF(AND(Y14="Preventivo",Z14="Automático"),"50%",IF(AND(Y14="Preventivo",Z14="Manual"),"40%",IF(AND(Y14="Detectivo",Z14="Automático"),"40%",IF(AND(Y14="Detectivo",Z14="Manual"),"30%",IF(AND(Y14="Correctivo",Z14="Automático"),"35%",IF(AND(Y14="Correctivo",Z14="Manual"),"25%",""))))))</f>
        <v>40%</v>
      </c>
      <c r="AB14" s="190" t="s">
        <v>256</v>
      </c>
      <c r="AC14" s="190" t="s">
        <v>257</v>
      </c>
      <c r="AD14" s="190" t="s">
        <v>258</v>
      </c>
      <c r="AE14" s="192">
        <f>IFERROR(IF(AND(X13="Probabilidad",X14="Probabilidad"),(AG13-(+AG13*AA14)),IF(X14="Probabilidad",(P13-(+P13*AA14)),IF(X14="Impacto",AG13,""))),"")</f>
        <v>0.216</v>
      </c>
      <c r="AF14" s="193" t="str">
        <f t="shared" ref="AF14:AF68" si="2">IFERROR(IF(AE14="","",IF(AE14&lt;=0.2,"Muy Baja",IF(AE14&lt;=0.4,"Baja",IF(AE14&lt;=0.6,"Media",IF(AE14&lt;=0.8,"Alta","Muy Alta"))))),"")</f>
        <v>Baja</v>
      </c>
      <c r="AG14" s="191">
        <f t="shared" ref="AG14" si="3">+AE14</f>
        <v>0.216</v>
      </c>
      <c r="AH14" s="193" t="str">
        <f t="shared" ref="AH14:AH68" si="4">IFERROR(IF(AI14="","",IF(AI14&lt;=0.2,"Leve",IF(AI14&lt;=0.4,"Menor",IF(AI14&lt;=0.6,"Moderado",IF(AI14&lt;=0.8,"Mayor","Catastrófico"))))),"")</f>
        <v>Mayor</v>
      </c>
      <c r="AI14" s="191">
        <f>IFERROR(IF(AND(X13="Impacto",X14="Impacto"),(AI13-(+AI13*AA14)),IF(X14="Impacto",($T$13-(+$T$13*AA14)),IF(X14="Probabilidad",AI13,""))),"")</f>
        <v>0.8</v>
      </c>
      <c r="AJ14" s="194" t="str">
        <f t="shared" ref="AJ14" si="5">IFERROR(IF(OR(AND(AF14="Muy Baja",AH14="Leve"),AND(AF14="Muy Baja",AH14="Menor"),AND(AF14="Baja",AH14="Leve")),"Bajo",IF(OR(AND(AF14="Muy baja",AH14="Moderado"),AND(AF14="Baja",AH14="Menor"),AND(AF14="Baja",AH14="Moderado"),AND(AF14="Media",AH14="Leve"),AND(AF14="Media",AH14="Menor"),AND(AF14="Media",AH14="Moderado"),AND(AF14="Alta",AH14="Leve"),AND(AF14="Alta",AH14="Menor")),"Moderado",IF(OR(AND(AF14="Muy Baja",AH14="Mayor"),AND(AF14="Baja",AH14="Mayor"),AND(AF14="Media",AH14="Mayor"),AND(AF14="Alta",AH14="Moderado"),AND(AF14="Alta",AH14="Mayor"),AND(AF14="Muy Alta",AH14="Leve"),AND(AF14="Muy Alta",AH14="Menor"),AND(AF14="Muy Alta",AH14="Moderado"),AND(AF14="Muy Alta",AH14="Mayor")),"Alto",IF(OR(AND(AF14="Muy Baja",AH14="Catastrófico"),AND(AF14="Baja",AH14="Catastrófico"),AND(AF14="Media",AH14="Catastrófico"),AND(AF14="Alta",AH14="Catastrófico"),AND(AF14="Muy Alta",AH14="Catastrófico")),"Extremo","")))),"")</f>
        <v>Alto</v>
      </c>
      <c r="AK14" s="195" t="s">
        <v>119</v>
      </c>
      <c r="AL14" s="186"/>
      <c r="AM14" s="196"/>
      <c r="AN14" s="186"/>
      <c r="AO14" s="197"/>
      <c r="AP14" s="353"/>
      <c r="AQ14" s="353"/>
      <c r="AR14" s="353"/>
    </row>
    <row r="15" spans="1:272" ht="37.5" customHeight="1" x14ac:dyDescent="0.2">
      <c r="A15" s="352">
        <v>2</v>
      </c>
      <c r="B15" s="353"/>
      <c r="C15" s="353"/>
      <c r="D15" s="353"/>
      <c r="E15" s="531"/>
      <c r="F15" s="353"/>
      <c r="G15" s="335"/>
      <c r="H15" s="335"/>
      <c r="I15" s="335"/>
      <c r="J15" s="335"/>
      <c r="K15" s="335"/>
      <c r="L15" s="335"/>
      <c r="M15" s="335"/>
      <c r="N15" s="341"/>
      <c r="O15" s="346" t="str">
        <f>IF(N15&lt;=0,"",IF(N15&lt;=2,"Muy Baja",IF(N15&lt;=24,"Baja",IF(N15&lt;=500,"Media",IF(N15&lt;=5000,"Alta","Muy Alta")))))</f>
        <v/>
      </c>
      <c r="P15" s="331" t="str">
        <f>IF(O15="","",IF(O15="Muy Baja",0.2,IF(O15="Baja",0.4,IF(O15="Media",0.6,IF(O15="Alta",0.8,IF(O15="Muy Alta",1,))))))</f>
        <v/>
      </c>
      <c r="Q15" s="343"/>
      <c r="R15" s="331">
        <f>IF(NOT(ISERROR(MATCH(Q15,'Tabla Impacto'!$B$222:$B$224,0))),'Tabla Impacto'!$F$224&amp;"Por favor no seleccionar los criterios de impacto(Afectación Económica o presupuestal y Pérdida Reputacional)",Q15)</f>
        <v>0</v>
      </c>
      <c r="S15" s="346" t="str">
        <f>IF(OR(R15='Tabla Impacto'!$C$12,R15='Tabla Impacto'!$D$12),"Leve",IF(OR(R15='Tabla Impacto'!$C$13,R15='Tabla Impacto'!$D$13),"Menor",IF(OR(R15='Tabla Impacto'!$C$14,R15='Tabla Impacto'!$D$14),"Moderado",IF(OR(R15='Tabla Impacto'!$C$15,R15='Tabla Impacto'!$D$15),"Mayor",IF(OR(R15='Tabla Impacto'!$C$16,R15='Tabla Impacto'!$D$16),"Catastrófico","")))))</f>
        <v/>
      </c>
      <c r="T15" s="331" t="str">
        <f>IF(S15="","",IF(S15="Leve",0.2,IF(S15="Menor",0.4,IF(S15="Moderado",0.6,IF(S15="Mayor",0.8,IF(S15="Catastrófico",1,))))))</f>
        <v/>
      </c>
      <c r="U15" s="327" t="str">
        <f>IF(OR(AND(O15="Muy Baja",S15="Leve"),AND(O15="Muy Baja",S15="Menor"),AND(O15="Baja",S15="Leve")),"Bajo",IF(OR(AND(O15="Muy baja",S15="Moderado"),AND(O15="Baja",S15="Menor"),AND(O15="Baja",S15="Moderado"),AND(O15="Media",S15="Leve"),AND(O15="Media",S15="Menor"),AND(O15="Media",S15="Moderado"),AND(O15="Alta",S15="Leve"),AND(O15="Alta",S15="Menor")),"Moderado",IF(OR(AND(O15="Muy Baja",S15="Mayor"),AND(O15="Baja",S15="Mayor"),AND(O15="Media",S15="Mayor"),AND(O15="Alta",S15="Moderado"),AND(O15="Alta",S15="Mayor"),AND(O15="Muy Alta",S15="Leve"),AND(O15="Muy Alta",S15="Menor"),AND(O15="Muy Alta",S15="Moderado"),AND(O15="Muy Alta",S15="Mayor")),"Alto",IF(OR(AND(O15="Muy Baja",S15="Catastrófico"),AND(O15="Baja",S15="Catastrófico"),AND(O15="Media",S15="Catastrófico"),AND(O15="Alta",S15="Catastrófico"),AND(O15="Muy Alta",S15="Catastrófico")),"Extremo",""))))</f>
        <v/>
      </c>
      <c r="V15" s="214">
        <v>1</v>
      </c>
      <c r="W15" s="187"/>
      <c r="X15" s="189" t="str">
        <f>IF(OR(Y15="Preventivo",Y15="Detectivo"),"Probabilidad",IF(Y15="Correctivo","Impacto",""))</f>
        <v/>
      </c>
      <c r="Y15" s="190"/>
      <c r="Z15" s="190"/>
      <c r="AA15" s="191" t="str">
        <f>IF(AND(Y15="Preventivo",Z15="Automático"),"50%",IF(AND(Y15="Preventivo",Z15="Manual"),"40%",IF(AND(Y15="Detectivo",Z15="Automático"),"40%",IF(AND(Y15="Detectivo",Z15="Manual"),"30%",IF(AND(Y15="Correctivo",Z15="Automático"),"35%",IF(AND(Y15="Correctivo",Z15="Manual"),"25%",""))))))</f>
        <v/>
      </c>
      <c r="AB15" s="190"/>
      <c r="AC15" s="190"/>
      <c r="AD15" s="190"/>
      <c r="AE15" s="192" t="str">
        <f>IFERROR(IF(X15="Probabilidad",(P15-(+P15*AA15)),IF(X15="Impacto",P15,"")),"")</f>
        <v/>
      </c>
      <c r="AF15" s="193" t="str">
        <f>IFERROR(IF(AE15="","",IF(AE15&lt;=0.2,"Muy Baja",IF(AE15&lt;=0.4,"Baja",IF(AE15&lt;=0.6,"Media",IF(AE15&lt;=0.8,"Alta","Muy Alta"))))),"")</f>
        <v/>
      </c>
      <c r="AG15" s="191" t="str">
        <f>+AE15</f>
        <v/>
      </c>
      <c r="AH15" s="193" t="str">
        <f>IFERROR(IF(AI15="","",IF(AI15&lt;=0.2,"Leve",IF(AI15&lt;=0.4,"Menor",IF(AI15&lt;=0.6,"Moderado",IF(AI15&lt;=0.8,"Mayor","Catastrófico"))))),"")</f>
        <v/>
      </c>
      <c r="AI15" s="191" t="str">
        <f t="shared" ref="AI15" si="6">IFERROR(IF(X15="Impacto",(T15-(+T15*AA15)),IF(X15="Probabilidad",T15,"")),"")</f>
        <v/>
      </c>
      <c r="AJ15" s="194" t="str">
        <f>IFERROR(IF(OR(AND(AF15="Muy Baja",AH15="Leve"),AND(AF15="Muy Baja",AH15="Menor"),AND(AF15="Baja",AH15="Leve")),"Bajo",IF(OR(AND(AF15="Muy baja",AH15="Moderado"),AND(AF15="Baja",AH15="Menor"),AND(AF15="Baja",AH15="Moderado"),AND(AF15="Media",AH15="Leve"),AND(AF15="Media",AH15="Menor"),AND(AF15="Media",AH15="Moderado"),AND(AF15="Alta",AH15="Leve"),AND(AF15="Alta",AH15="Menor")),"Moderado",IF(OR(AND(AF15="Muy Baja",AH15="Mayor"),AND(AF15="Baja",AH15="Mayor"),AND(AF15="Media",AH15="Mayor"),AND(AF15="Alta",AH15="Moderado"),AND(AF15="Alta",AH15="Mayor"),AND(AF15="Muy Alta",AH15="Leve"),AND(AF15="Muy Alta",AH15="Menor"),AND(AF15="Muy Alta",AH15="Moderado"),AND(AF15="Muy Alta",AH15="Mayor")),"Alto",IF(OR(AND(AF15="Muy Baja",AH15="Catastrófico"),AND(AF15="Baja",AH15="Catastrófico"),AND(AF15="Media",AH15="Catastrófico"),AND(AF15="Alta",AH15="Catastrófico"),AND(AF15="Muy Alta",AH15="Catastrófico")),"Extremo","")))),"")</f>
        <v/>
      </c>
      <c r="AK15" s="195"/>
      <c r="AL15" s="186"/>
      <c r="AM15" s="196"/>
      <c r="AN15" s="196"/>
      <c r="AO15" s="197"/>
      <c r="AP15" s="341"/>
      <c r="AQ15" s="341"/>
      <c r="AR15" s="341"/>
    </row>
    <row r="16" spans="1:272" ht="37.5" customHeight="1" x14ac:dyDescent="0.2">
      <c r="A16" s="352"/>
      <c r="B16" s="353"/>
      <c r="C16" s="353"/>
      <c r="D16" s="353"/>
      <c r="E16" s="531"/>
      <c r="F16" s="353"/>
      <c r="G16" s="336"/>
      <c r="H16" s="336"/>
      <c r="I16" s="336"/>
      <c r="J16" s="336"/>
      <c r="K16" s="336"/>
      <c r="L16" s="336"/>
      <c r="M16" s="336"/>
      <c r="N16" s="341"/>
      <c r="O16" s="346"/>
      <c r="P16" s="331"/>
      <c r="Q16" s="343"/>
      <c r="R16" s="331">
        <f>IF(NOT(ISERROR(MATCH(Q16,_xlfn.ANCHORARRAY(E27),0))),P29&amp;"Por favor no seleccionar los criterios de impacto",Q16)</f>
        <v>0</v>
      </c>
      <c r="S16" s="346"/>
      <c r="T16" s="331"/>
      <c r="U16" s="327"/>
      <c r="V16" s="214">
        <v>2</v>
      </c>
      <c r="W16" s="187"/>
      <c r="X16" s="189" t="str">
        <f>IF(OR(Y16="Preventivo",Y16="Detectivo"),"Probabilidad",IF(Y16="Correctivo","Impacto",""))</f>
        <v/>
      </c>
      <c r="Y16" s="190"/>
      <c r="Z16" s="190"/>
      <c r="AA16" s="191" t="str">
        <f t="shared" ref="AA16:AA20" si="7">IF(AND(Y16="Preventivo",Z16="Automático"),"50%",IF(AND(Y16="Preventivo",Z16="Manual"),"40%",IF(AND(Y16="Detectivo",Z16="Automático"),"40%",IF(AND(Y16="Detectivo",Z16="Manual"),"30%",IF(AND(Y16="Correctivo",Z16="Automático"),"35%",IF(AND(Y16="Correctivo",Z16="Manual"),"25%",""))))))</f>
        <v/>
      </c>
      <c r="AB16" s="190"/>
      <c r="AC16" s="190"/>
      <c r="AD16" s="190"/>
      <c r="AE16" s="192" t="str">
        <f>IFERROR(IF(AND(X15="Probabilidad",X16="Probabilidad"),(AG15-(+AG15*AA16)),IF(X16="Probabilidad",(P15-(+P15*AA16)),IF(X16="Impacto",AG15,""))),"")</f>
        <v/>
      </c>
      <c r="AF16" s="193" t="str">
        <f t="shared" si="2"/>
        <v/>
      </c>
      <c r="AG16" s="191" t="str">
        <f t="shared" ref="AG16:AG20" si="8">+AE16</f>
        <v/>
      </c>
      <c r="AH16" s="193" t="str">
        <f t="shared" si="4"/>
        <v/>
      </c>
      <c r="AI16" s="191" t="str">
        <f t="shared" ref="AI16" si="9">IFERROR(IF(AND(X15="Impacto",X16="Impacto"),(AI15-(+AI15*AA16)),IF(X16="Impacto",($T$13-(+$T$13*AA16)),IF(X16="Probabilidad",AI15,""))),"")</f>
        <v/>
      </c>
      <c r="AJ16" s="194" t="str">
        <f t="shared" ref="AJ16:AJ17" si="10">IFERROR(IF(OR(AND(AF16="Muy Baja",AH16="Leve"),AND(AF16="Muy Baja",AH16="Menor"),AND(AF16="Baja",AH16="Leve")),"Bajo",IF(OR(AND(AF16="Muy baja",AH16="Moderado"),AND(AF16="Baja",AH16="Menor"),AND(AF16="Baja",AH16="Moderado"),AND(AF16="Media",AH16="Leve"),AND(AF16="Media",AH16="Menor"),AND(AF16="Media",AH16="Moderado"),AND(AF16="Alta",AH16="Leve"),AND(AF16="Alta",AH16="Menor")),"Moderado",IF(OR(AND(AF16="Muy Baja",AH16="Mayor"),AND(AF16="Baja",AH16="Mayor"),AND(AF16="Media",AH16="Mayor"),AND(AF16="Alta",AH16="Moderado"),AND(AF16="Alta",AH16="Mayor"),AND(AF16="Muy Alta",AH16="Leve"),AND(AF16="Muy Alta",AH16="Menor"),AND(AF16="Muy Alta",AH16="Moderado"),AND(AF16="Muy Alta",AH16="Mayor")),"Alto",IF(OR(AND(AF16="Muy Baja",AH16="Catastrófico"),AND(AF16="Baja",AH16="Catastrófico"),AND(AF16="Media",AH16="Catastrófico"),AND(AF16="Alta",AH16="Catastrófico"),AND(AF16="Muy Alta",AH16="Catastrófico")),"Extremo","")))),"")</f>
        <v/>
      </c>
      <c r="AK16" s="195"/>
      <c r="AL16" s="186"/>
      <c r="AM16" s="196"/>
      <c r="AN16" s="186"/>
      <c r="AO16" s="197"/>
      <c r="AP16" s="341"/>
      <c r="AQ16" s="341"/>
      <c r="AR16" s="341"/>
    </row>
    <row r="17" spans="1:44" ht="37.5" customHeight="1" x14ac:dyDescent="0.2">
      <c r="A17" s="352"/>
      <c r="B17" s="353"/>
      <c r="C17" s="353"/>
      <c r="D17" s="353"/>
      <c r="E17" s="531"/>
      <c r="F17" s="353"/>
      <c r="G17" s="336"/>
      <c r="H17" s="336"/>
      <c r="I17" s="336"/>
      <c r="J17" s="336"/>
      <c r="K17" s="336"/>
      <c r="L17" s="336"/>
      <c r="M17" s="336"/>
      <c r="N17" s="341"/>
      <c r="O17" s="346"/>
      <c r="P17" s="331"/>
      <c r="Q17" s="343"/>
      <c r="R17" s="331">
        <f>IF(NOT(ISERROR(MATCH(Q17,_xlfn.ANCHORARRAY(E28),0))),P30&amp;"Por favor no seleccionar los criterios de impacto",Q17)</f>
        <v>0</v>
      </c>
      <c r="S17" s="346"/>
      <c r="T17" s="331"/>
      <c r="U17" s="327"/>
      <c r="V17" s="214">
        <v>3</v>
      </c>
      <c r="W17" s="188"/>
      <c r="X17" s="189" t="str">
        <f>IF(OR(Y17="Preventivo",Y17="Detectivo"),"Probabilidad",IF(Y17="Correctivo","Impacto",""))</f>
        <v/>
      </c>
      <c r="Y17" s="190"/>
      <c r="Z17" s="190"/>
      <c r="AA17" s="191" t="str">
        <f t="shared" si="7"/>
        <v/>
      </c>
      <c r="AB17" s="190"/>
      <c r="AC17" s="190"/>
      <c r="AD17" s="190"/>
      <c r="AE17" s="192" t="str">
        <f>IFERROR(IF(AND(X16="Probabilidad",X17="Probabilidad"),(AG16-(+AG16*AA17)),IF(AND(X16="Impacto",X17="Probabilidad"),(AG15-(+AG15*AA17)),IF(X17="Impacto",AG16,""))),"")</f>
        <v/>
      </c>
      <c r="AF17" s="193" t="str">
        <f t="shared" si="2"/>
        <v/>
      </c>
      <c r="AG17" s="191" t="str">
        <f t="shared" si="8"/>
        <v/>
      </c>
      <c r="AH17" s="193" t="str">
        <f t="shared" si="4"/>
        <v/>
      </c>
      <c r="AI17" s="191" t="str">
        <f t="shared" ref="AI17:AI68" si="11">IFERROR(IF(AND(X16="Impacto",X17="Impacto"),(AI16-(+AI16*AA17)),IF(AND(X16="Probabilidad",X17="Impacto"),(AI15-(+AI15*AA17)),IF(X17="Probabilidad",AI16,""))),"")</f>
        <v/>
      </c>
      <c r="AJ17" s="194" t="str">
        <f t="shared" si="10"/>
        <v/>
      </c>
      <c r="AK17" s="195"/>
      <c r="AL17" s="186"/>
      <c r="AM17" s="196"/>
      <c r="AN17" s="196"/>
      <c r="AO17" s="197"/>
      <c r="AP17" s="341"/>
      <c r="AQ17" s="341"/>
      <c r="AR17" s="341"/>
    </row>
    <row r="18" spans="1:44" ht="37.5" customHeight="1" x14ac:dyDescent="0.2">
      <c r="A18" s="352"/>
      <c r="B18" s="353"/>
      <c r="C18" s="353"/>
      <c r="D18" s="353"/>
      <c r="E18" s="531"/>
      <c r="F18" s="353"/>
      <c r="G18" s="336"/>
      <c r="H18" s="336"/>
      <c r="I18" s="336"/>
      <c r="J18" s="336"/>
      <c r="K18" s="336"/>
      <c r="L18" s="336"/>
      <c r="M18" s="336"/>
      <c r="N18" s="341"/>
      <c r="O18" s="346"/>
      <c r="P18" s="331"/>
      <c r="Q18" s="343"/>
      <c r="R18" s="331">
        <f>IF(NOT(ISERROR(MATCH(Q18,_xlfn.ANCHORARRAY(E29),0))),P31&amp;"Por favor no seleccionar los criterios de impacto",Q18)</f>
        <v>0</v>
      </c>
      <c r="S18" s="346"/>
      <c r="T18" s="331"/>
      <c r="U18" s="327"/>
      <c r="V18" s="214">
        <v>4</v>
      </c>
      <c r="W18" s="187"/>
      <c r="X18" s="189" t="str">
        <f t="shared" ref="X18:X20" si="12">IF(OR(Y18="Preventivo",Y18="Detectivo"),"Probabilidad",IF(Y18="Correctivo","Impacto",""))</f>
        <v/>
      </c>
      <c r="Y18" s="190"/>
      <c r="Z18" s="190"/>
      <c r="AA18" s="191" t="str">
        <f t="shared" si="7"/>
        <v/>
      </c>
      <c r="AB18" s="190"/>
      <c r="AC18" s="190"/>
      <c r="AD18" s="190"/>
      <c r="AE18" s="192" t="str">
        <f t="shared" ref="AE18:AE20" si="13">IFERROR(IF(AND(X17="Probabilidad",X18="Probabilidad"),(AG17-(+AG17*AA18)),IF(AND(X17="Impacto",X18="Probabilidad"),(AG16-(+AG16*AA18)),IF(X18="Impacto",AG17,""))),"")</f>
        <v/>
      </c>
      <c r="AF18" s="193" t="str">
        <f t="shared" si="2"/>
        <v/>
      </c>
      <c r="AG18" s="191" t="str">
        <f t="shared" si="8"/>
        <v/>
      </c>
      <c r="AH18" s="193" t="str">
        <f t="shared" si="4"/>
        <v/>
      </c>
      <c r="AI18" s="191" t="str">
        <f t="shared" si="11"/>
        <v/>
      </c>
      <c r="AJ18" s="194" t="str">
        <f>IFERROR(IF(OR(AND(AF18="Muy Baja",AH18="Leve"),AND(AF18="Muy Baja",AH18="Menor"),AND(AF18="Baja",AH18="Leve")),"Bajo",IF(OR(AND(AF18="Muy baja",AH18="Moderado"),AND(AF18="Baja",AH18="Menor"),AND(AF18="Baja",AH18="Moderado"),AND(AF18="Media",AH18="Leve"),AND(AF18="Media",AH18="Menor"),AND(AF18="Media",AH18="Moderado"),AND(AF18="Alta",AH18="Leve"),AND(AF18="Alta",AH18="Menor")),"Moderado",IF(OR(AND(AF18="Muy Baja",AH18="Mayor"),AND(AF18="Baja",AH18="Mayor"),AND(AF18="Media",AH18="Mayor"),AND(AF18="Alta",AH18="Moderado"),AND(AF18="Alta",AH18="Mayor"),AND(AF18="Muy Alta",AH18="Leve"),AND(AF18="Muy Alta",AH18="Menor"),AND(AF18="Muy Alta",AH18="Moderado"),AND(AF18="Muy Alta",AH18="Mayor")),"Alto",IF(OR(AND(AF18="Muy Baja",AH18="Catastrófico"),AND(AF18="Baja",AH18="Catastrófico"),AND(AF18="Media",AH18="Catastrófico"),AND(AF18="Alta",AH18="Catastrófico"),AND(AF18="Muy Alta",AH18="Catastrófico")),"Extremo","")))),"")</f>
        <v/>
      </c>
      <c r="AK18" s="195"/>
      <c r="AL18" s="186"/>
      <c r="AM18" s="196"/>
      <c r="AN18" s="196"/>
      <c r="AO18" s="197"/>
      <c r="AP18" s="341"/>
      <c r="AQ18" s="341"/>
      <c r="AR18" s="341"/>
    </row>
    <row r="19" spans="1:44" ht="37.5" customHeight="1" x14ac:dyDescent="0.2">
      <c r="A19" s="352"/>
      <c r="B19" s="353"/>
      <c r="C19" s="353"/>
      <c r="D19" s="353"/>
      <c r="E19" s="531"/>
      <c r="F19" s="353"/>
      <c r="G19" s="336"/>
      <c r="H19" s="336"/>
      <c r="I19" s="336"/>
      <c r="J19" s="336"/>
      <c r="K19" s="336"/>
      <c r="L19" s="336"/>
      <c r="M19" s="336"/>
      <c r="N19" s="341"/>
      <c r="O19" s="346"/>
      <c r="P19" s="331"/>
      <c r="Q19" s="343"/>
      <c r="R19" s="331">
        <f>IF(NOT(ISERROR(MATCH(Q19,_xlfn.ANCHORARRAY(E30),0))),P32&amp;"Por favor no seleccionar los criterios de impacto",Q19)</f>
        <v>0</v>
      </c>
      <c r="S19" s="346"/>
      <c r="T19" s="331"/>
      <c r="U19" s="327"/>
      <c r="V19" s="214">
        <v>5</v>
      </c>
      <c r="W19" s="187"/>
      <c r="X19" s="189" t="str">
        <f t="shared" si="12"/>
        <v/>
      </c>
      <c r="Y19" s="190"/>
      <c r="Z19" s="190"/>
      <c r="AA19" s="191" t="str">
        <f t="shared" si="7"/>
        <v/>
      </c>
      <c r="AB19" s="190"/>
      <c r="AC19" s="190"/>
      <c r="AD19" s="190"/>
      <c r="AE19" s="192" t="str">
        <f t="shared" si="13"/>
        <v/>
      </c>
      <c r="AF19" s="193" t="str">
        <f t="shared" si="2"/>
        <v/>
      </c>
      <c r="AG19" s="191" t="str">
        <f t="shared" si="8"/>
        <v/>
      </c>
      <c r="AH19" s="193" t="str">
        <f t="shared" si="4"/>
        <v/>
      </c>
      <c r="AI19" s="191" t="str">
        <f t="shared" si="11"/>
        <v/>
      </c>
      <c r="AJ19" s="194" t="str">
        <f t="shared" ref="AJ19:AJ20" si="14">IFERROR(IF(OR(AND(AF19="Muy Baja",AH19="Leve"),AND(AF19="Muy Baja",AH19="Menor"),AND(AF19="Baja",AH19="Leve")),"Bajo",IF(OR(AND(AF19="Muy baja",AH19="Moderado"),AND(AF19="Baja",AH19="Menor"),AND(AF19="Baja",AH19="Moderado"),AND(AF19="Media",AH19="Leve"),AND(AF19="Media",AH19="Menor"),AND(AF19="Media",AH19="Moderado"),AND(AF19="Alta",AH19="Leve"),AND(AF19="Alta",AH19="Menor")),"Moderado",IF(OR(AND(AF19="Muy Baja",AH19="Mayor"),AND(AF19="Baja",AH19="Mayor"),AND(AF19="Media",AH19="Mayor"),AND(AF19="Alta",AH19="Moderado"),AND(AF19="Alta",AH19="Mayor"),AND(AF19="Muy Alta",AH19="Leve"),AND(AF19="Muy Alta",AH19="Menor"),AND(AF19="Muy Alta",AH19="Moderado"),AND(AF19="Muy Alta",AH19="Mayor")),"Alto",IF(OR(AND(AF19="Muy Baja",AH19="Catastrófico"),AND(AF19="Baja",AH19="Catastrófico"),AND(AF19="Media",AH19="Catastrófico"),AND(AF19="Alta",AH19="Catastrófico"),AND(AF19="Muy Alta",AH19="Catastrófico")),"Extremo","")))),"")</f>
        <v/>
      </c>
      <c r="AK19" s="195"/>
      <c r="AL19" s="186"/>
      <c r="AM19" s="196"/>
      <c r="AN19" s="196"/>
      <c r="AO19" s="197"/>
      <c r="AP19" s="341"/>
      <c r="AQ19" s="341"/>
      <c r="AR19" s="341"/>
    </row>
    <row r="20" spans="1:44" ht="37.5" customHeight="1" x14ac:dyDescent="0.2">
      <c r="A20" s="352"/>
      <c r="B20" s="353"/>
      <c r="C20" s="353"/>
      <c r="D20" s="353"/>
      <c r="E20" s="531"/>
      <c r="F20" s="353"/>
      <c r="G20" s="337"/>
      <c r="H20" s="337"/>
      <c r="I20" s="337"/>
      <c r="J20" s="337"/>
      <c r="K20" s="337"/>
      <c r="L20" s="337"/>
      <c r="M20" s="337"/>
      <c r="N20" s="341"/>
      <c r="O20" s="346"/>
      <c r="P20" s="331"/>
      <c r="Q20" s="343"/>
      <c r="R20" s="331">
        <f>IF(NOT(ISERROR(MATCH(Q20,_xlfn.ANCHORARRAY(E31),0))),P33&amp;"Por favor no seleccionar los criterios de impacto",Q20)</f>
        <v>0</v>
      </c>
      <c r="S20" s="346"/>
      <c r="T20" s="331"/>
      <c r="U20" s="327"/>
      <c r="V20" s="214">
        <v>6</v>
      </c>
      <c r="W20" s="187"/>
      <c r="X20" s="189" t="str">
        <f t="shared" si="12"/>
        <v/>
      </c>
      <c r="Y20" s="190"/>
      <c r="Z20" s="190"/>
      <c r="AA20" s="191" t="str">
        <f t="shared" si="7"/>
        <v/>
      </c>
      <c r="AB20" s="190"/>
      <c r="AC20" s="190"/>
      <c r="AD20" s="190"/>
      <c r="AE20" s="192" t="str">
        <f t="shared" si="13"/>
        <v/>
      </c>
      <c r="AF20" s="193" t="str">
        <f t="shared" si="2"/>
        <v/>
      </c>
      <c r="AG20" s="191" t="str">
        <f t="shared" si="8"/>
        <v/>
      </c>
      <c r="AH20" s="193" t="str">
        <f t="shared" si="4"/>
        <v/>
      </c>
      <c r="AI20" s="191" t="str">
        <f t="shared" si="11"/>
        <v/>
      </c>
      <c r="AJ20" s="194" t="str">
        <f t="shared" si="14"/>
        <v/>
      </c>
      <c r="AK20" s="195"/>
      <c r="AL20" s="186"/>
      <c r="AM20" s="196"/>
      <c r="AN20" s="196"/>
      <c r="AO20" s="197"/>
      <c r="AP20" s="341"/>
      <c r="AQ20" s="341"/>
      <c r="AR20" s="341"/>
    </row>
    <row r="21" spans="1:44" ht="37.5" customHeight="1" x14ac:dyDescent="0.2">
      <c r="A21" s="352">
        <v>3</v>
      </c>
      <c r="B21" s="353"/>
      <c r="C21" s="353"/>
      <c r="D21" s="353"/>
      <c r="E21" s="531"/>
      <c r="F21" s="353"/>
      <c r="G21" s="335"/>
      <c r="H21" s="335"/>
      <c r="I21" s="335"/>
      <c r="J21" s="335"/>
      <c r="K21" s="335"/>
      <c r="L21" s="335"/>
      <c r="M21" s="335"/>
      <c r="N21" s="341"/>
      <c r="O21" s="346" t="str">
        <f>IF(N21&lt;=0,"",IF(N21&lt;=2,"Muy Baja",IF(N21&lt;=24,"Baja",IF(N21&lt;=500,"Media",IF(N21&lt;=5000,"Alta","Muy Alta")))))</f>
        <v/>
      </c>
      <c r="P21" s="331" t="str">
        <f>IF(O21="","",IF(O21="Muy Baja",0.2,IF(O21="Baja",0.4,IF(O21="Media",0.6,IF(O21="Alta",0.8,IF(O21="Muy Alta",1,))))))</f>
        <v/>
      </c>
      <c r="Q21" s="343"/>
      <c r="R21" s="331">
        <f>IF(NOT(ISERROR(MATCH(Q21,'Tabla Impacto'!$B$222:$B$224,0))),'Tabla Impacto'!$F$224&amp;"Por favor no seleccionar los criterios de impacto(Afectación Económica o presupuestal y Pérdida Reputacional)",Q21)</f>
        <v>0</v>
      </c>
      <c r="S21" s="346" t="str">
        <f>IF(OR(R21='Tabla Impacto'!$C$12,R21='Tabla Impacto'!$D$12),"Leve",IF(OR(R21='Tabla Impacto'!$C$13,R21='Tabla Impacto'!$D$13),"Menor",IF(OR(R21='Tabla Impacto'!$C$14,R21='Tabla Impacto'!$D$14),"Moderado",IF(OR(R21='Tabla Impacto'!$C$15,R21='Tabla Impacto'!$D$15),"Mayor",IF(OR(R21='Tabla Impacto'!$C$16,R21='Tabla Impacto'!$D$16),"Catastrófico","")))))</f>
        <v/>
      </c>
      <c r="T21" s="331" t="str">
        <f>IF(S21="","",IF(S21="Leve",0.2,IF(S21="Menor",0.4,IF(S21="Moderado",0.6,IF(S21="Mayor",0.8,IF(S21="Catastrófico",1,))))))</f>
        <v/>
      </c>
      <c r="U21" s="327" t="str">
        <f>IF(OR(AND(O21="Muy Baja",S21="Leve"),AND(O21="Muy Baja",S21="Menor"),AND(O21="Baja",S21="Leve")),"Bajo",IF(OR(AND(O21="Muy baja",S21="Moderado"),AND(O21="Baja",S21="Menor"),AND(O21="Baja",S21="Moderado"),AND(O21="Media",S21="Leve"),AND(O21="Media",S21="Menor"),AND(O21="Media",S21="Moderado"),AND(O21="Alta",S21="Leve"),AND(O21="Alta",S21="Menor")),"Moderado",IF(OR(AND(O21="Muy Baja",S21="Mayor"),AND(O21="Baja",S21="Mayor"),AND(O21="Media",S21="Mayor"),AND(O21="Alta",S21="Moderado"),AND(O21="Alta",S21="Mayor"),AND(O21="Muy Alta",S21="Leve"),AND(O21="Muy Alta",S21="Menor"),AND(O21="Muy Alta",S21="Moderado"),AND(O21="Muy Alta",S21="Mayor")),"Alto",IF(OR(AND(O21="Muy Baja",S21="Catastrófico"),AND(O21="Baja",S21="Catastrófico"),AND(O21="Media",S21="Catastrófico"),AND(O21="Alta",S21="Catastrófico"),AND(O21="Muy Alta",S21="Catastrófico")),"Extremo",""))))</f>
        <v/>
      </c>
      <c r="V21" s="214">
        <v>1</v>
      </c>
      <c r="W21" s="187"/>
      <c r="X21" s="189" t="str">
        <f>IF(OR(Y21="Preventivo",Y21="Detectivo"),"Probabilidad",IF(Y21="Correctivo","Impacto",""))</f>
        <v/>
      </c>
      <c r="Y21" s="190"/>
      <c r="Z21" s="190"/>
      <c r="AA21" s="191" t="str">
        <f>IF(AND(Y21="Preventivo",Z21="Automático"),"50%",IF(AND(Y21="Preventivo",Z21="Manual"),"40%",IF(AND(Y21="Detectivo",Z21="Automático"),"40%",IF(AND(Y21="Detectivo",Z21="Manual"),"30%",IF(AND(Y21="Correctivo",Z21="Automático"),"35%",IF(AND(Y21="Correctivo",Z21="Manual"),"25%",""))))))</f>
        <v/>
      </c>
      <c r="AB21" s="190"/>
      <c r="AC21" s="190"/>
      <c r="AD21" s="190"/>
      <c r="AE21" s="192" t="str">
        <f>IFERROR(IF(X21="Probabilidad",(P21-(+P21*AA21)),IF(X21="Impacto",P21,"")),"")</f>
        <v/>
      </c>
      <c r="AF21" s="193" t="str">
        <f>IFERROR(IF(AE21="","",IF(AE21&lt;=0.2,"Muy Baja",IF(AE21&lt;=0.4,"Baja",IF(AE21&lt;=0.6,"Media",IF(AE21&lt;=0.8,"Alta","Muy Alta"))))),"")</f>
        <v/>
      </c>
      <c r="AG21" s="191" t="str">
        <f>+AE21</f>
        <v/>
      </c>
      <c r="AH21" s="193" t="str">
        <f>IFERROR(IF(AI21="","",IF(AI21&lt;=0.2,"Leve",IF(AI21&lt;=0.4,"Menor",IF(AI21&lt;=0.6,"Moderado",IF(AI21&lt;=0.8,"Mayor","Catastrófico"))))),"")</f>
        <v/>
      </c>
      <c r="AI21" s="191" t="str">
        <f t="shared" ref="AI21" si="15">IFERROR(IF(X21="Impacto",(T21-(+T21*AA21)),IF(X21="Probabilidad",T21,"")),"")</f>
        <v/>
      </c>
      <c r="AJ21" s="194" t="str">
        <f>IFERROR(IF(OR(AND(AF21="Muy Baja",AH21="Leve"),AND(AF21="Muy Baja",AH21="Menor"),AND(AF21="Baja",AH21="Leve")),"Bajo",IF(OR(AND(AF21="Muy baja",AH21="Moderado"),AND(AF21="Baja",AH21="Menor"),AND(AF21="Baja",AH21="Moderado"),AND(AF21="Media",AH21="Leve"),AND(AF21="Media",AH21="Menor"),AND(AF21="Media",AH21="Moderado"),AND(AF21="Alta",AH21="Leve"),AND(AF21="Alta",AH21="Menor")),"Moderado",IF(OR(AND(AF21="Muy Baja",AH21="Mayor"),AND(AF21="Baja",AH21="Mayor"),AND(AF21="Media",AH21="Mayor"),AND(AF21="Alta",AH21="Moderado"),AND(AF21="Alta",AH21="Mayor"),AND(AF21="Muy Alta",AH21="Leve"),AND(AF21="Muy Alta",AH21="Menor"),AND(AF21="Muy Alta",AH21="Moderado"),AND(AF21="Muy Alta",AH21="Mayor")),"Alto",IF(OR(AND(AF21="Muy Baja",AH21="Catastrófico"),AND(AF21="Baja",AH21="Catastrófico"),AND(AF21="Media",AH21="Catastrófico"),AND(AF21="Alta",AH21="Catastrófico"),AND(AF21="Muy Alta",AH21="Catastrófico")),"Extremo","")))),"")</f>
        <v/>
      </c>
      <c r="AK21" s="195"/>
      <c r="AL21" s="186"/>
      <c r="AM21" s="196"/>
      <c r="AN21" s="196"/>
      <c r="AO21" s="197"/>
      <c r="AP21" s="341"/>
      <c r="AQ21" s="341"/>
      <c r="AR21" s="341"/>
    </row>
    <row r="22" spans="1:44" ht="37.5" customHeight="1" x14ac:dyDescent="0.2">
      <c r="A22" s="352"/>
      <c r="B22" s="353"/>
      <c r="C22" s="353"/>
      <c r="D22" s="353"/>
      <c r="E22" s="531"/>
      <c r="F22" s="353"/>
      <c r="G22" s="336"/>
      <c r="H22" s="336"/>
      <c r="I22" s="336"/>
      <c r="J22" s="336"/>
      <c r="K22" s="336"/>
      <c r="L22" s="336"/>
      <c r="M22" s="336"/>
      <c r="N22" s="341"/>
      <c r="O22" s="346"/>
      <c r="P22" s="331"/>
      <c r="Q22" s="343"/>
      <c r="R22" s="331">
        <f>IF(NOT(ISERROR(MATCH(Q22,_xlfn.ANCHORARRAY(E33),0))),P35&amp;"Por favor no seleccionar los criterios de impacto",Q22)</f>
        <v>0</v>
      </c>
      <c r="S22" s="346"/>
      <c r="T22" s="331"/>
      <c r="U22" s="327"/>
      <c r="V22" s="214">
        <v>2</v>
      </c>
      <c r="W22" s="187"/>
      <c r="X22" s="189" t="str">
        <f>IF(OR(Y22="Preventivo",Y22="Detectivo"),"Probabilidad",IF(Y22="Correctivo","Impacto",""))</f>
        <v/>
      </c>
      <c r="Y22" s="190"/>
      <c r="Z22" s="190"/>
      <c r="AA22" s="191" t="str">
        <f t="shared" ref="AA22:AA26" si="16">IF(AND(Y22="Preventivo",Z22="Automático"),"50%",IF(AND(Y22="Preventivo",Z22="Manual"),"40%",IF(AND(Y22="Detectivo",Z22="Automático"),"40%",IF(AND(Y22="Detectivo",Z22="Manual"),"30%",IF(AND(Y22="Correctivo",Z22="Automático"),"35%",IF(AND(Y22="Correctivo",Z22="Manual"),"25%",""))))))</f>
        <v/>
      </c>
      <c r="AB22" s="190"/>
      <c r="AC22" s="190"/>
      <c r="AD22" s="190"/>
      <c r="AE22" s="192" t="str">
        <f>IFERROR(IF(AND(X21="Probabilidad",X22="Probabilidad"),(AG21-(+AG21*AA22)),IF(X22="Probabilidad",(P21-(+P21*AA22)),IF(X22="Impacto",AG21,""))),"")</f>
        <v/>
      </c>
      <c r="AF22" s="193" t="str">
        <f t="shared" si="2"/>
        <v/>
      </c>
      <c r="AG22" s="191" t="str">
        <f t="shared" ref="AG22:AG26" si="17">+AE22</f>
        <v/>
      </c>
      <c r="AH22" s="193" t="str">
        <f t="shared" si="4"/>
        <v/>
      </c>
      <c r="AI22" s="191" t="str">
        <f t="shared" ref="AI22" si="18">IFERROR(IF(AND(X21="Impacto",X22="Impacto"),(AI21-(+AI21*AA22)),IF(X22="Impacto",($T$13-(+$T$13*AA22)),IF(X22="Probabilidad",AI21,""))),"")</f>
        <v/>
      </c>
      <c r="AJ22" s="194" t="str">
        <f t="shared" ref="AJ22:AJ23" si="19">IFERROR(IF(OR(AND(AF22="Muy Baja",AH22="Leve"),AND(AF22="Muy Baja",AH22="Menor"),AND(AF22="Baja",AH22="Leve")),"Bajo",IF(OR(AND(AF22="Muy baja",AH22="Moderado"),AND(AF22="Baja",AH22="Menor"),AND(AF22="Baja",AH22="Moderado"),AND(AF22="Media",AH22="Leve"),AND(AF22="Media",AH22="Menor"),AND(AF22="Media",AH22="Moderado"),AND(AF22="Alta",AH22="Leve"),AND(AF22="Alta",AH22="Menor")),"Moderado",IF(OR(AND(AF22="Muy Baja",AH22="Mayor"),AND(AF22="Baja",AH22="Mayor"),AND(AF22="Media",AH22="Mayor"),AND(AF22="Alta",AH22="Moderado"),AND(AF22="Alta",AH22="Mayor"),AND(AF22="Muy Alta",AH22="Leve"),AND(AF22="Muy Alta",AH22="Menor"),AND(AF22="Muy Alta",AH22="Moderado"),AND(AF22="Muy Alta",AH22="Mayor")),"Alto",IF(OR(AND(AF22="Muy Baja",AH22="Catastrófico"),AND(AF22="Baja",AH22="Catastrófico"),AND(AF22="Media",AH22="Catastrófico"),AND(AF22="Alta",AH22="Catastrófico"),AND(AF22="Muy Alta",AH22="Catastrófico")),"Extremo","")))),"")</f>
        <v/>
      </c>
      <c r="AK22" s="195"/>
      <c r="AL22" s="186"/>
      <c r="AM22" s="196"/>
      <c r="AN22" s="196"/>
      <c r="AO22" s="197"/>
      <c r="AP22" s="341"/>
      <c r="AQ22" s="341"/>
      <c r="AR22" s="341"/>
    </row>
    <row r="23" spans="1:44" ht="37.5" customHeight="1" x14ac:dyDescent="0.2">
      <c r="A23" s="352"/>
      <c r="B23" s="353"/>
      <c r="C23" s="353"/>
      <c r="D23" s="353"/>
      <c r="E23" s="531"/>
      <c r="F23" s="353"/>
      <c r="G23" s="336"/>
      <c r="H23" s="336"/>
      <c r="I23" s="336"/>
      <c r="J23" s="336"/>
      <c r="K23" s="336"/>
      <c r="L23" s="336"/>
      <c r="M23" s="336"/>
      <c r="N23" s="341"/>
      <c r="O23" s="346"/>
      <c r="P23" s="331"/>
      <c r="Q23" s="343"/>
      <c r="R23" s="331">
        <f>IF(NOT(ISERROR(MATCH(Q23,_xlfn.ANCHORARRAY(E34),0))),P36&amp;"Por favor no seleccionar los criterios de impacto",Q23)</f>
        <v>0</v>
      </c>
      <c r="S23" s="346"/>
      <c r="T23" s="331"/>
      <c r="U23" s="327"/>
      <c r="V23" s="214">
        <v>3</v>
      </c>
      <c r="W23" s="187"/>
      <c r="X23" s="189" t="str">
        <f>IF(OR(Y23="Preventivo",Y23="Detectivo"),"Probabilidad",IF(Y23="Correctivo","Impacto",""))</f>
        <v/>
      </c>
      <c r="Y23" s="190"/>
      <c r="Z23" s="190"/>
      <c r="AA23" s="191" t="str">
        <f t="shared" si="16"/>
        <v/>
      </c>
      <c r="AB23" s="190"/>
      <c r="AC23" s="190"/>
      <c r="AD23" s="190"/>
      <c r="AE23" s="192" t="str">
        <f>IFERROR(IF(AND(X22="Probabilidad",X23="Probabilidad"),(AG22-(+AG22*AA23)),IF(AND(X22="Impacto",X23="Probabilidad"),(AG21-(+AG21*AA23)),IF(X23="Impacto",AG22,""))),"")</f>
        <v/>
      </c>
      <c r="AF23" s="193" t="str">
        <f t="shared" si="2"/>
        <v/>
      </c>
      <c r="AG23" s="191" t="str">
        <f t="shared" si="17"/>
        <v/>
      </c>
      <c r="AH23" s="193" t="str">
        <f t="shared" si="4"/>
        <v/>
      </c>
      <c r="AI23" s="191" t="str">
        <f t="shared" ref="AI23" si="20">IFERROR(IF(AND(X22="Impacto",X23="Impacto"),(AI22-(+AI22*AA23)),IF(AND(X22="Probabilidad",X23="Impacto"),(AI21-(+AI21*AA23)),IF(X23="Probabilidad",AI22,""))),"")</f>
        <v/>
      </c>
      <c r="AJ23" s="194" t="str">
        <f t="shared" si="19"/>
        <v/>
      </c>
      <c r="AK23" s="195"/>
      <c r="AL23" s="186"/>
      <c r="AM23" s="196"/>
      <c r="AN23" s="196"/>
      <c r="AO23" s="197"/>
      <c r="AP23" s="341"/>
      <c r="AQ23" s="341"/>
      <c r="AR23" s="341"/>
    </row>
    <row r="24" spans="1:44" ht="37.5" customHeight="1" x14ac:dyDescent="0.2">
      <c r="A24" s="352"/>
      <c r="B24" s="353"/>
      <c r="C24" s="353"/>
      <c r="D24" s="353"/>
      <c r="E24" s="531"/>
      <c r="F24" s="353"/>
      <c r="G24" s="336"/>
      <c r="H24" s="336"/>
      <c r="I24" s="336"/>
      <c r="J24" s="336"/>
      <c r="K24" s="336"/>
      <c r="L24" s="336"/>
      <c r="M24" s="336"/>
      <c r="N24" s="341"/>
      <c r="O24" s="346"/>
      <c r="P24" s="331"/>
      <c r="Q24" s="343"/>
      <c r="R24" s="331">
        <f>IF(NOT(ISERROR(MATCH(Q24,_xlfn.ANCHORARRAY(E35),0))),P37&amp;"Por favor no seleccionar los criterios de impacto",Q24)</f>
        <v>0</v>
      </c>
      <c r="S24" s="346"/>
      <c r="T24" s="331"/>
      <c r="U24" s="327"/>
      <c r="V24" s="214">
        <v>4</v>
      </c>
      <c r="W24" s="187"/>
      <c r="X24" s="189" t="str">
        <f t="shared" ref="X24:X26" si="21">IF(OR(Y24="Preventivo",Y24="Detectivo"),"Probabilidad",IF(Y24="Correctivo","Impacto",""))</f>
        <v/>
      </c>
      <c r="Y24" s="190"/>
      <c r="Z24" s="190"/>
      <c r="AA24" s="191" t="str">
        <f t="shared" si="16"/>
        <v/>
      </c>
      <c r="AB24" s="190"/>
      <c r="AC24" s="190"/>
      <c r="AD24" s="190"/>
      <c r="AE24" s="192" t="str">
        <f t="shared" ref="AE24:AE26" si="22">IFERROR(IF(AND(X23="Probabilidad",X24="Probabilidad"),(AG23-(+AG23*AA24)),IF(AND(X23="Impacto",X24="Probabilidad"),(AG22-(+AG22*AA24)),IF(X24="Impacto",AG23,""))),"")</f>
        <v/>
      </c>
      <c r="AF24" s="193" t="str">
        <f t="shared" si="2"/>
        <v/>
      </c>
      <c r="AG24" s="191" t="str">
        <f t="shared" si="17"/>
        <v/>
      </c>
      <c r="AH24" s="193" t="str">
        <f t="shared" si="4"/>
        <v/>
      </c>
      <c r="AI24" s="191" t="str">
        <f t="shared" si="11"/>
        <v/>
      </c>
      <c r="AJ24" s="194" t="str">
        <f>IFERROR(IF(OR(AND(AF24="Muy Baja",AH24="Leve"),AND(AF24="Muy Baja",AH24="Menor"),AND(AF24="Baja",AH24="Leve")),"Bajo",IF(OR(AND(AF24="Muy baja",AH24="Moderado"),AND(AF24="Baja",AH24="Menor"),AND(AF24="Baja",AH24="Moderado"),AND(AF24="Media",AH24="Leve"),AND(AF24="Media",AH24="Menor"),AND(AF24="Media",AH24="Moderado"),AND(AF24="Alta",AH24="Leve"),AND(AF24="Alta",AH24="Menor")),"Moderado",IF(OR(AND(AF24="Muy Baja",AH24="Mayor"),AND(AF24="Baja",AH24="Mayor"),AND(AF24="Media",AH24="Mayor"),AND(AF24="Alta",AH24="Moderado"),AND(AF24="Alta",AH24="Mayor"),AND(AF24="Muy Alta",AH24="Leve"),AND(AF24="Muy Alta",AH24="Menor"),AND(AF24="Muy Alta",AH24="Moderado"),AND(AF24="Muy Alta",AH24="Mayor")),"Alto",IF(OR(AND(AF24="Muy Baja",AH24="Catastrófico"),AND(AF24="Baja",AH24="Catastrófico"),AND(AF24="Media",AH24="Catastrófico"),AND(AF24="Alta",AH24="Catastrófico"),AND(AF24="Muy Alta",AH24="Catastrófico")),"Extremo","")))),"")</f>
        <v/>
      </c>
      <c r="AK24" s="195"/>
      <c r="AL24" s="186"/>
      <c r="AM24" s="196"/>
      <c r="AN24" s="196"/>
      <c r="AO24" s="197"/>
      <c r="AP24" s="341"/>
      <c r="AQ24" s="341"/>
      <c r="AR24" s="341"/>
    </row>
    <row r="25" spans="1:44" ht="37.5" customHeight="1" x14ac:dyDescent="0.2">
      <c r="A25" s="352"/>
      <c r="B25" s="353"/>
      <c r="C25" s="353"/>
      <c r="D25" s="353"/>
      <c r="E25" s="531"/>
      <c r="F25" s="353"/>
      <c r="G25" s="336"/>
      <c r="H25" s="336"/>
      <c r="I25" s="336"/>
      <c r="J25" s="336"/>
      <c r="K25" s="336"/>
      <c r="L25" s="336"/>
      <c r="M25" s="336"/>
      <c r="N25" s="341"/>
      <c r="O25" s="346"/>
      <c r="P25" s="331"/>
      <c r="Q25" s="343"/>
      <c r="R25" s="331">
        <f>IF(NOT(ISERROR(MATCH(Q25,_xlfn.ANCHORARRAY(E36),0))),P38&amp;"Por favor no seleccionar los criterios de impacto",Q25)</f>
        <v>0</v>
      </c>
      <c r="S25" s="346"/>
      <c r="T25" s="331"/>
      <c r="U25" s="327"/>
      <c r="V25" s="214">
        <v>5</v>
      </c>
      <c r="W25" s="187"/>
      <c r="X25" s="189" t="str">
        <f t="shared" si="21"/>
        <v/>
      </c>
      <c r="Y25" s="190"/>
      <c r="Z25" s="190"/>
      <c r="AA25" s="191" t="str">
        <f t="shared" si="16"/>
        <v/>
      </c>
      <c r="AB25" s="190"/>
      <c r="AC25" s="190"/>
      <c r="AD25" s="190"/>
      <c r="AE25" s="192" t="str">
        <f t="shared" si="22"/>
        <v/>
      </c>
      <c r="AF25" s="193" t="str">
        <f t="shared" si="2"/>
        <v/>
      </c>
      <c r="AG25" s="191" t="str">
        <f t="shared" si="17"/>
        <v/>
      </c>
      <c r="AH25" s="193" t="str">
        <f t="shared" si="4"/>
        <v/>
      </c>
      <c r="AI25" s="191" t="str">
        <f t="shared" si="11"/>
        <v/>
      </c>
      <c r="AJ25" s="194" t="str">
        <f t="shared" ref="AJ25:AJ26" si="23">IFERROR(IF(OR(AND(AF25="Muy Baja",AH25="Leve"),AND(AF25="Muy Baja",AH25="Menor"),AND(AF25="Baja",AH25="Leve")),"Bajo",IF(OR(AND(AF25="Muy baja",AH25="Moderado"),AND(AF25="Baja",AH25="Menor"),AND(AF25="Baja",AH25="Moderado"),AND(AF25="Media",AH25="Leve"),AND(AF25="Media",AH25="Menor"),AND(AF25="Media",AH25="Moderado"),AND(AF25="Alta",AH25="Leve"),AND(AF25="Alta",AH25="Menor")),"Moderado",IF(OR(AND(AF25="Muy Baja",AH25="Mayor"),AND(AF25="Baja",AH25="Mayor"),AND(AF25="Media",AH25="Mayor"),AND(AF25="Alta",AH25="Moderado"),AND(AF25="Alta",AH25="Mayor"),AND(AF25="Muy Alta",AH25="Leve"),AND(AF25="Muy Alta",AH25="Menor"),AND(AF25="Muy Alta",AH25="Moderado"),AND(AF25="Muy Alta",AH25="Mayor")),"Alto",IF(OR(AND(AF25="Muy Baja",AH25="Catastrófico"),AND(AF25="Baja",AH25="Catastrófico"),AND(AF25="Media",AH25="Catastrófico"),AND(AF25="Alta",AH25="Catastrófico"),AND(AF25="Muy Alta",AH25="Catastrófico")),"Extremo","")))),"")</f>
        <v/>
      </c>
      <c r="AK25" s="195"/>
      <c r="AL25" s="186"/>
      <c r="AM25" s="196"/>
      <c r="AN25" s="196"/>
      <c r="AO25" s="197"/>
      <c r="AP25" s="341"/>
      <c r="AQ25" s="341"/>
      <c r="AR25" s="341"/>
    </row>
    <row r="26" spans="1:44" ht="37.5" customHeight="1" x14ac:dyDescent="0.2">
      <c r="A26" s="352"/>
      <c r="B26" s="353"/>
      <c r="C26" s="353"/>
      <c r="D26" s="353"/>
      <c r="E26" s="531"/>
      <c r="F26" s="353"/>
      <c r="G26" s="337"/>
      <c r="H26" s="337"/>
      <c r="I26" s="337"/>
      <c r="J26" s="337"/>
      <c r="K26" s="337"/>
      <c r="L26" s="337"/>
      <c r="M26" s="337"/>
      <c r="N26" s="341"/>
      <c r="O26" s="346"/>
      <c r="P26" s="331"/>
      <c r="Q26" s="343"/>
      <c r="R26" s="331">
        <f>IF(NOT(ISERROR(MATCH(Q26,_xlfn.ANCHORARRAY(E37),0))),P39&amp;"Por favor no seleccionar los criterios de impacto",Q26)</f>
        <v>0</v>
      </c>
      <c r="S26" s="346"/>
      <c r="T26" s="331"/>
      <c r="U26" s="327"/>
      <c r="V26" s="214">
        <v>6</v>
      </c>
      <c r="W26" s="187"/>
      <c r="X26" s="189" t="str">
        <f t="shared" si="21"/>
        <v/>
      </c>
      <c r="Y26" s="190"/>
      <c r="Z26" s="190"/>
      <c r="AA26" s="191" t="str">
        <f t="shared" si="16"/>
        <v/>
      </c>
      <c r="AB26" s="190"/>
      <c r="AC26" s="190"/>
      <c r="AD26" s="190"/>
      <c r="AE26" s="192" t="str">
        <f t="shared" si="22"/>
        <v/>
      </c>
      <c r="AF26" s="193" t="str">
        <f t="shared" si="2"/>
        <v/>
      </c>
      <c r="AG26" s="191" t="str">
        <f t="shared" si="17"/>
        <v/>
      </c>
      <c r="AH26" s="193" t="str">
        <f t="shared" si="4"/>
        <v/>
      </c>
      <c r="AI26" s="191" t="str">
        <f t="shared" si="11"/>
        <v/>
      </c>
      <c r="AJ26" s="194" t="str">
        <f t="shared" si="23"/>
        <v/>
      </c>
      <c r="AK26" s="195"/>
      <c r="AL26" s="186"/>
      <c r="AM26" s="196"/>
      <c r="AN26" s="196"/>
      <c r="AO26" s="197"/>
      <c r="AP26" s="341"/>
      <c r="AQ26" s="341"/>
      <c r="AR26" s="341"/>
    </row>
    <row r="27" spans="1:44" ht="37.5" customHeight="1" x14ac:dyDescent="0.2">
      <c r="A27" s="352">
        <v>4</v>
      </c>
      <c r="B27" s="353"/>
      <c r="C27" s="353"/>
      <c r="D27" s="353"/>
      <c r="E27" s="353"/>
      <c r="F27" s="353"/>
      <c r="G27" s="335"/>
      <c r="H27" s="335"/>
      <c r="I27" s="335"/>
      <c r="J27" s="335"/>
      <c r="K27" s="335"/>
      <c r="L27" s="335"/>
      <c r="M27" s="335"/>
      <c r="N27" s="341"/>
      <c r="O27" s="346" t="str">
        <f>IF(N27&lt;=0,"",IF(N27&lt;=2,"Muy Baja",IF(N27&lt;=24,"Baja",IF(N27&lt;=500,"Media",IF(N27&lt;=5000,"Alta","Muy Alta")))))</f>
        <v/>
      </c>
      <c r="P27" s="331" t="str">
        <f>IF(O27="","",IF(O27="Muy Baja",0.2,IF(O27="Baja",0.4,IF(O27="Media",0.6,IF(O27="Alta",0.8,IF(O27="Muy Alta",1,))))))</f>
        <v/>
      </c>
      <c r="Q27" s="343"/>
      <c r="R27" s="331">
        <f>IF(NOT(ISERROR(MATCH(Q27,'Tabla Impacto'!$B$222:$B$224,0))),'Tabla Impacto'!$F$224&amp;"Por favor no seleccionar los criterios de impacto(Afectación Económica o presupuestal y Pérdida Reputacional)",Q27)</f>
        <v>0</v>
      </c>
      <c r="S27" s="346" t="str">
        <f>IF(OR(R27='Tabla Impacto'!$C$12,R27='Tabla Impacto'!$D$12),"Leve",IF(OR(R27='Tabla Impacto'!$C$13,R27='Tabla Impacto'!$D$13),"Menor",IF(OR(R27='Tabla Impacto'!$C$14,R27='Tabla Impacto'!$D$14),"Moderado",IF(OR(R27='Tabla Impacto'!$C$15,R27='Tabla Impacto'!$D$15),"Mayor",IF(OR(R27='Tabla Impacto'!$C$16,R27='Tabla Impacto'!$D$16),"Catastrófico","")))))</f>
        <v/>
      </c>
      <c r="T27" s="331" t="str">
        <f>IF(S27="","",IF(S27="Leve",0.2,IF(S27="Menor",0.4,IF(S27="Moderado",0.6,IF(S27="Mayor",0.8,IF(S27="Catastrófico",1,))))))</f>
        <v/>
      </c>
      <c r="U27" s="327" t="str">
        <f>IF(OR(AND(O27="Muy Baja",S27="Leve"),AND(O27="Muy Baja",S27="Menor"),AND(O27="Baja",S27="Leve")),"Bajo",IF(OR(AND(O27="Muy baja",S27="Moderado"),AND(O27="Baja",S27="Menor"),AND(O27="Baja",S27="Moderado"),AND(O27="Media",S27="Leve"),AND(O27="Media",S27="Menor"),AND(O27="Media",S27="Moderado"),AND(O27="Alta",S27="Leve"),AND(O27="Alta",S27="Menor")),"Moderado",IF(OR(AND(O27="Muy Baja",S27="Mayor"),AND(O27="Baja",S27="Mayor"),AND(O27="Media",S27="Mayor"),AND(O27="Alta",S27="Moderado"),AND(O27="Alta",S27="Mayor"),AND(O27="Muy Alta",S27="Leve"),AND(O27="Muy Alta",S27="Menor"),AND(O27="Muy Alta",S27="Moderado"),AND(O27="Muy Alta",S27="Mayor")),"Alto",IF(OR(AND(O27="Muy Baja",S27="Catastrófico"),AND(O27="Baja",S27="Catastrófico"),AND(O27="Media",S27="Catastrófico"),AND(O27="Alta",S27="Catastrófico"),AND(O27="Muy Alta",S27="Catastrófico")),"Extremo",""))))</f>
        <v/>
      </c>
      <c r="V27" s="214">
        <v>1</v>
      </c>
      <c r="W27" s="187"/>
      <c r="X27" s="189" t="str">
        <f>IF(OR(Y27="Preventivo",Y27="Detectivo"),"Probabilidad",IF(Y27="Correctivo","Impacto",""))</f>
        <v/>
      </c>
      <c r="Y27" s="190"/>
      <c r="Z27" s="190"/>
      <c r="AA27" s="191" t="str">
        <f>IF(AND(Y27="Preventivo",Z27="Automático"),"50%",IF(AND(Y27="Preventivo",Z27="Manual"),"40%",IF(AND(Y27="Detectivo",Z27="Automático"),"40%",IF(AND(Y27="Detectivo",Z27="Manual"),"30%",IF(AND(Y27="Correctivo",Z27="Automático"),"35%",IF(AND(Y27="Correctivo",Z27="Manual"),"25%",""))))))</f>
        <v/>
      </c>
      <c r="AB27" s="190"/>
      <c r="AC27" s="190"/>
      <c r="AD27" s="190"/>
      <c r="AE27" s="192" t="str">
        <f>IFERROR(IF(X27="Probabilidad",(P27-(+P27*AA27)),IF(X27="Impacto",P27,"")),"")</f>
        <v/>
      </c>
      <c r="AF27" s="193" t="str">
        <f>IFERROR(IF(AE27="","",IF(AE27&lt;=0.2,"Muy Baja",IF(AE27&lt;=0.4,"Baja",IF(AE27&lt;=0.6,"Media",IF(AE27&lt;=0.8,"Alta","Muy Alta"))))),"")</f>
        <v/>
      </c>
      <c r="AG27" s="191" t="str">
        <f>+AE27</f>
        <v/>
      </c>
      <c r="AH27" s="193" t="str">
        <f>IFERROR(IF(AI27="","",IF(AI27&lt;=0.2,"Leve",IF(AI27&lt;=0.4,"Menor",IF(AI27&lt;=0.6,"Moderado",IF(AI27&lt;=0.8,"Mayor","Catastrófico"))))),"")</f>
        <v/>
      </c>
      <c r="AI27" s="191" t="str">
        <f t="shared" ref="AI27" si="24">IFERROR(IF(X27="Impacto",(T27-(+T27*AA27)),IF(X27="Probabilidad",T27,"")),"")</f>
        <v/>
      </c>
      <c r="AJ27" s="194" t="str">
        <f>IFERROR(IF(OR(AND(AF27="Muy Baja",AH27="Leve"),AND(AF27="Muy Baja",AH27="Menor"),AND(AF27="Baja",AH27="Leve")),"Bajo",IF(OR(AND(AF27="Muy baja",AH27="Moderado"),AND(AF27="Baja",AH27="Menor"),AND(AF27="Baja",AH27="Moderado"),AND(AF27="Media",AH27="Leve"),AND(AF27="Media",AH27="Menor"),AND(AF27="Media",AH27="Moderado"),AND(AF27="Alta",AH27="Leve"),AND(AF27="Alta",AH27="Menor")),"Moderado",IF(OR(AND(AF27="Muy Baja",AH27="Mayor"),AND(AF27="Baja",AH27="Mayor"),AND(AF27="Media",AH27="Mayor"),AND(AF27="Alta",AH27="Moderado"),AND(AF27="Alta",AH27="Mayor"),AND(AF27="Muy Alta",AH27="Leve"),AND(AF27="Muy Alta",AH27="Menor"),AND(AF27="Muy Alta",AH27="Moderado"),AND(AF27="Muy Alta",AH27="Mayor")),"Alto",IF(OR(AND(AF27="Muy Baja",AH27="Catastrófico"),AND(AF27="Baja",AH27="Catastrófico"),AND(AF27="Media",AH27="Catastrófico"),AND(AF27="Alta",AH27="Catastrófico"),AND(AF27="Muy Alta",AH27="Catastrófico")),"Extremo","")))),"")</f>
        <v/>
      </c>
      <c r="AK27" s="195"/>
      <c r="AL27" s="186"/>
      <c r="AM27" s="196"/>
      <c r="AN27" s="196"/>
      <c r="AO27" s="197"/>
      <c r="AP27" s="341"/>
      <c r="AQ27" s="341"/>
      <c r="AR27" s="341"/>
    </row>
    <row r="28" spans="1:44" ht="37.5" customHeight="1" x14ac:dyDescent="0.2">
      <c r="A28" s="352"/>
      <c r="B28" s="353"/>
      <c r="C28" s="353"/>
      <c r="D28" s="353"/>
      <c r="E28" s="353"/>
      <c r="F28" s="353"/>
      <c r="G28" s="336"/>
      <c r="H28" s="336"/>
      <c r="I28" s="336"/>
      <c r="J28" s="336"/>
      <c r="K28" s="336"/>
      <c r="L28" s="336"/>
      <c r="M28" s="336"/>
      <c r="N28" s="341"/>
      <c r="O28" s="346"/>
      <c r="P28" s="331"/>
      <c r="Q28" s="343"/>
      <c r="R28" s="331">
        <f>IF(NOT(ISERROR(MATCH(Q28,_xlfn.ANCHORARRAY(E39),0))),P41&amp;"Por favor no seleccionar los criterios de impacto",Q28)</f>
        <v>0</v>
      </c>
      <c r="S28" s="346"/>
      <c r="T28" s="331"/>
      <c r="U28" s="327"/>
      <c r="V28" s="214">
        <v>2</v>
      </c>
      <c r="W28" s="187"/>
      <c r="X28" s="189" t="str">
        <f>IF(OR(Y28="Preventivo",Y28="Detectivo"),"Probabilidad",IF(Y28="Correctivo","Impacto",""))</f>
        <v/>
      </c>
      <c r="Y28" s="190"/>
      <c r="Z28" s="190"/>
      <c r="AA28" s="191" t="str">
        <f t="shared" ref="AA28:AA32" si="25">IF(AND(Y28="Preventivo",Z28="Automático"),"50%",IF(AND(Y28="Preventivo",Z28="Manual"),"40%",IF(AND(Y28="Detectivo",Z28="Automático"),"40%",IF(AND(Y28="Detectivo",Z28="Manual"),"30%",IF(AND(Y28="Correctivo",Z28="Automático"),"35%",IF(AND(Y28="Correctivo",Z28="Manual"),"25%",""))))))</f>
        <v/>
      </c>
      <c r="AB28" s="190"/>
      <c r="AC28" s="190"/>
      <c r="AD28" s="190"/>
      <c r="AE28" s="192" t="str">
        <f>IFERROR(IF(AND(X27="Probabilidad",X28="Probabilidad"),(AG27-(+AG27*AA28)),IF(X28="Probabilidad",(P27-(+P27*AA28)),IF(X28="Impacto",AG27,""))),"")</f>
        <v/>
      </c>
      <c r="AF28" s="193" t="str">
        <f t="shared" si="2"/>
        <v/>
      </c>
      <c r="AG28" s="191" t="str">
        <f t="shared" ref="AG28:AG32" si="26">+AE28</f>
        <v/>
      </c>
      <c r="AH28" s="193" t="str">
        <f t="shared" si="4"/>
        <v/>
      </c>
      <c r="AI28" s="191" t="str">
        <f t="shared" ref="AI28" si="27">IFERROR(IF(AND(X27="Impacto",X28="Impacto"),(AI27-(+AI27*AA28)),IF(X28="Impacto",($T$13-(+$T$13*AA28)),IF(X28="Probabilidad",AI27,""))),"")</f>
        <v/>
      </c>
      <c r="AJ28" s="194" t="str">
        <f t="shared" ref="AJ28:AJ29" si="28">IFERROR(IF(OR(AND(AF28="Muy Baja",AH28="Leve"),AND(AF28="Muy Baja",AH28="Menor"),AND(AF28="Baja",AH28="Leve")),"Bajo",IF(OR(AND(AF28="Muy baja",AH28="Moderado"),AND(AF28="Baja",AH28="Menor"),AND(AF28="Baja",AH28="Moderado"),AND(AF28="Media",AH28="Leve"),AND(AF28="Media",AH28="Menor"),AND(AF28="Media",AH28="Moderado"),AND(AF28="Alta",AH28="Leve"),AND(AF28="Alta",AH28="Menor")),"Moderado",IF(OR(AND(AF28="Muy Baja",AH28="Mayor"),AND(AF28="Baja",AH28="Mayor"),AND(AF28="Media",AH28="Mayor"),AND(AF28="Alta",AH28="Moderado"),AND(AF28="Alta",AH28="Mayor"),AND(AF28="Muy Alta",AH28="Leve"),AND(AF28="Muy Alta",AH28="Menor"),AND(AF28="Muy Alta",AH28="Moderado"),AND(AF28="Muy Alta",AH28="Mayor")),"Alto",IF(OR(AND(AF28="Muy Baja",AH28="Catastrófico"),AND(AF28="Baja",AH28="Catastrófico"),AND(AF28="Media",AH28="Catastrófico"),AND(AF28="Alta",AH28="Catastrófico"),AND(AF28="Muy Alta",AH28="Catastrófico")),"Extremo","")))),"")</f>
        <v/>
      </c>
      <c r="AK28" s="195"/>
      <c r="AL28" s="186"/>
      <c r="AM28" s="196"/>
      <c r="AN28" s="196"/>
      <c r="AO28" s="197"/>
      <c r="AP28" s="341"/>
      <c r="AQ28" s="341"/>
      <c r="AR28" s="341"/>
    </row>
    <row r="29" spans="1:44" ht="37.5" customHeight="1" x14ac:dyDescent="0.2">
      <c r="A29" s="352"/>
      <c r="B29" s="353"/>
      <c r="C29" s="353"/>
      <c r="D29" s="353"/>
      <c r="E29" s="353"/>
      <c r="F29" s="353"/>
      <c r="G29" s="336"/>
      <c r="H29" s="336"/>
      <c r="I29" s="336"/>
      <c r="J29" s="336"/>
      <c r="K29" s="336"/>
      <c r="L29" s="336"/>
      <c r="M29" s="336"/>
      <c r="N29" s="341"/>
      <c r="O29" s="346"/>
      <c r="P29" s="331"/>
      <c r="Q29" s="343"/>
      <c r="R29" s="331">
        <f>IF(NOT(ISERROR(MATCH(Q29,_xlfn.ANCHORARRAY(E40),0))),P42&amp;"Por favor no seleccionar los criterios de impacto",Q29)</f>
        <v>0</v>
      </c>
      <c r="S29" s="346"/>
      <c r="T29" s="331"/>
      <c r="U29" s="327"/>
      <c r="V29" s="214">
        <v>3</v>
      </c>
      <c r="W29" s="188"/>
      <c r="X29" s="189" t="str">
        <f>IF(OR(Y29="Preventivo",Y29="Detectivo"),"Probabilidad",IF(Y29="Correctivo","Impacto",""))</f>
        <v/>
      </c>
      <c r="Y29" s="190"/>
      <c r="Z29" s="190"/>
      <c r="AA29" s="191" t="str">
        <f t="shared" si="25"/>
        <v/>
      </c>
      <c r="AB29" s="190"/>
      <c r="AC29" s="190"/>
      <c r="AD29" s="190"/>
      <c r="AE29" s="192" t="str">
        <f>IFERROR(IF(AND(X28="Probabilidad",X29="Probabilidad"),(AG28-(+AG28*AA29)),IF(AND(X28="Impacto",X29="Probabilidad"),(AG27-(+AG27*AA29)),IF(X29="Impacto",AG28,""))),"")</f>
        <v/>
      </c>
      <c r="AF29" s="193" t="str">
        <f t="shared" si="2"/>
        <v/>
      </c>
      <c r="AG29" s="191" t="str">
        <f t="shared" si="26"/>
        <v/>
      </c>
      <c r="AH29" s="193" t="str">
        <f t="shared" si="4"/>
        <v/>
      </c>
      <c r="AI29" s="191" t="str">
        <f t="shared" ref="AI29" si="29">IFERROR(IF(AND(X28="Impacto",X29="Impacto"),(AI28-(+AI28*AA29)),IF(AND(X28="Probabilidad",X29="Impacto"),(AI27-(+AI27*AA29)),IF(X29="Probabilidad",AI28,""))),"")</f>
        <v/>
      </c>
      <c r="AJ29" s="194" t="str">
        <f t="shared" si="28"/>
        <v/>
      </c>
      <c r="AK29" s="195"/>
      <c r="AL29" s="186"/>
      <c r="AM29" s="196"/>
      <c r="AN29" s="196"/>
      <c r="AO29" s="197"/>
      <c r="AP29" s="341"/>
      <c r="AQ29" s="341"/>
      <c r="AR29" s="341"/>
    </row>
    <row r="30" spans="1:44" ht="37.5" customHeight="1" x14ac:dyDescent="0.2">
      <c r="A30" s="352"/>
      <c r="B30" s="353"/>
      <c r="C30" s="353"/>
      <c r="D30" s="353"/>
      <c r="E30" s="353"/>
      <c r="F30" s="353"/>
      <c r="G30" s="336"/>
      <c r="H30" s="336"/>
      <c r="I30" s="336"/>
      <c r="J30" s="336"/>
      <c r="K30" s="336"/>
      <c r="L30" s="336"/>
      <c r="M30" s="336"/>
      <c r="N30" s="341"/>
      <c r="O30" s="346"/>
      <c r="P30" s="331"/>
      <c r="Q30" s="343"/>
      <c r="R30" s="331">
        <f>IF(NOT(ISERROR(MATCH(Q30,_xlfn.ANCHORARRAY(E41),0))),P43&amp;"Por favor no seleccionar los criterios de impacto",Q30)</f>
        <v>0</v>
      </c>
      <c r="S30" s="346"/>
      <c r="T30" s="331"/>
      <c r="U30" s="327"/>
      <c r="V30" s="214">
        <v>4</v>
      </c>
      <c r="W30" s="187"/>
      <c r="X30" s="189" t="str">
        <f t="shared" ref="X30:X32" si="30">IF(OR(Y30="Preventivo",Y30="Detectivo"),"Probabilidad",IF(Y30="Correctivo","Impacto",""))</f>
        <v/>
      </c>
      <c r="Y30" s="190"/>
      <c r="Z30" s="190"/>
      <c r="AA30" s="191" t="str">
        <f t="shared" si="25"/>
        <v/>
      </c>
      <c r="AB30" s="190"/>
      <c r="AC30" s="190"/>
      <c r="AD30" s="190"/>
      <c r="AE30" s="192" t="str">
        <f t="shared" ref="AE30:AE32" si="31">IFERROR(IF(AND(X29="Probabilidad",X30="Probabilidad"),(AG29-(+AG29*AA30)),IF(AND(X29="Impacto",X30="Probabilidad"),(AG28-(+AG28*AA30)),IF(X30="Impacto",AG29,""))),"")</f>
        <v/>
      </c>
      <c r="AF30" s="193" t="str">
        <f t="shared" si="2"/>
        <v/>
      </c>
      <c r="AG30" s="191" t="str">
        <f t="shared" si="26"/>
        <v/>
      </c>
      <c r="AH30" s="193" t="str">
        <f t="shared" si="4"/>
        <v/>
      </c>
      <c r="AI30" s="191" t="str">
        <f t="shared" si="11"/>
        <v/>
      </c>
      <c r="AJ30" s="194" t="str">
        <f>IFERROR(IF(OR(AND(AF30="Muy Baja",AH30="Leve"),AND(AF30="Muy Baja",AH30="Menor"),AND(AF30="Baja",AH30="Leve")),"Bajo",IF(OR(AND(AF30="Muy baja",AH30="Moderado"),AND(AF30="Baja",AH30="Menor"),AND(AF30="Baja",AH30="Moderado"),AND(AF30="Media",AH30="Leve"),AND(AF30="Media",AH30="Menor"),AND(AF30="Media",AH30="Moderado"),AND(AF30="Alta",AH30="Leve"),AND(AF30="Alta",AH30="Menor")),"Moderado",IF(OR(AND(AF30="Muy Baja",AH30="Mayor"),AND(AF30="Baja",AH30="Mayor"),AND(AF30="Media",AH30="Mayor"),AND(AF30="Alta",AH30="Moderado"),AND(AF30="Alta",AH30="Mayor"),AND(AF30="Muy Alta",AH30="Leve"),AND(AF30="Muy Alta",AH30="Menor"),AND(AF30="Muy Alta",AH30="Moderado"),AND(AF30="Muy Alta",AH30="Mayor")),"Alto",IF(OR(AND(AF30="Muy Baja",AH30="Catastrófico"),AND(AF30="Baja",AH30="Catastrófico"),AND(AF30="Media",AH30="Catastrófico"),AND(AF30="Alta",AH30="Catastrófico"),AND(AF30="Muy Alta",AH30="Catastrófico")),"Extremo","")))),"")</f>
        <v/>
      </c>
      <c r="AK30" s="195"/>
      <c r="AL30" s="186"/>
      <c r="AM30" s="196"/>
      <c r="AN30" s="196"/>
      <c r="AO30" s="197"/>
      <c r="AP30" s="341"/>
      <c r="AQ30" s="341"/>
      <c r="AR30" s="341"/>
    </row>
    <row r="31" spans="1:44" ht="37.5" customHeight="1" x14ac:dyDescent="0.2">
      <c r="A31" s="352"/>
      <c r="B31" s="353"/>
      <c r="C31" s="353"/>
      <c r="D31" s="353"/>
      <c r="E31" s="353"/>
      <c r="F31" s="353"/>
      <c r="G31" s="336"/>
      <c r="H31" s="336"/>
      <c r="I31" s="336"/>
      <c r="J31" s="336"/>
      <c r="K31" s="336"/>
      <c r="L31" s="336"/>
      <c r="M31" s="336"/>
      <c r="N31" s="341"/>
      <c r="O31" s="346"/>
      <c r="P31" s="331"/>
      <c r="Q31" s="343"/>
      <c r="R31" s="331">
        <f>IF(NOT(ISERROR(MATCH(Q31,_xlfn.ANCHORARRAY(E42),0))),P44&amp;"Por favor no seleccionar los criterios de impacto",Q31)</f>
        <v>0</v>
      </c>
      <c r="S31" s="346"/>
      <c r="T31" s="331"/>
      <c r="U31" s="327"/>
      <c r="V31" s="214">
        <v>5</v>
      </c>
      <c r="W31" s="187"/>
      <c r="X31" s="189" t="str">
        <f t="shared" si="30"/>
        <v/>
      </c>
      <c r="Y31" s="190"/>
      <c r="Z31" s="190"/>
      <c r="AA31" s="191" t="str">
        <f t="shared" si="25"/>
        <v/>
      </c>
      <c r="AB31" s="190"/>
      <c r="AC31" s="190"/>
      <c r="AD31" s="190"/>
      <c r="AE31" s="192" t="str">
        <f t="shared" si="31"/>
        <v/>
      </c>
      <c r="AF31" s="193" t="str">
        <f>IFERROR(IF(AE31="","",IF(AE31&lt;=0.2,"Muy Baja",IF(AE31&lt;=0.4,"Baja",IF(AE31&lt;=0.6,"Media",IF(AE31&lt;=0.8,"Alta","Muy Alta"))))),"")</f>
        <v/>
      </c>
      <c r="AG31" s="191" t="str">
        <f t="shared" si="26"/>
        <v/>
      </c>
      <c r="AH31" s="193" t="str">
        <f t="shared" si="4"/>
        <v/>
      </c>
      <c r="AI31" s="191" t="str">
        <f t="shared" si="11"/>
        <v/>
      </c>
      <c r="AJ31" s="194" t="str">
        <f t="shared" ref="AJ31:AJ32" si="32">IFERROR(IF(OR(AND(AF31="Muy Baja",AH31="Leve"),AND(AF31="Muy Baja",AH31="Menor"),AND(AF31="Baja",AH31="Leve")),"Bajo",IF(OR(AND(AF31="Muy baja",AH31="Moderado"),AND(AF31="Baja",AH31="Menor"),AND(AF31="Baja",AH31="Moderado"),AND(AF31="Media",AH31="Leve"),AND(AF31="Media",AH31="Menor"),AND(AF31="Media",AH31="Moderado"),AND(AF31="Alta",AH31="Leve"),AND(AF31="Alta",AH31="Menor")),"Moderado",IF(OR(AND(AF31="Muy Baja",AH31="Mayor"),AND(AF31="Baja",AH31="Mayor"),AND(AF31="Media",AH31="Mayor"),AND(AF31="Alta",AH31="Moderado"),AND(AF31="Alta",AH31="Mayor"),AND(AF31="Muy Alta",AH31="Leve"),AND(AF31="Muy Alta",AH31="Menor"),AND(AF31="Muy Alta",AH31="Moderado"),AND(AF31="Muy Alta",AH31="Mayor")),"Alto",IF(OR(AND(AF31="Muy Baja",AH31="Catastrófico"),AND(AF31="Baja",AH31="Catastrófico"),AND(AF31="Media",AH31="Catastrófico"),AND(AF31="Alta",AH31="Catastrófico"),AND(AF31="Muy Alta",AH31="Catastrófico")),"Extremo","")))),"")</f>
        <v/>
      </c>
      <c r="AK31" s="195"/>
      <c r="AL31" s="186"/>
      <c r="AM31" s="196"/>
      <c r="AN31" s="196"/>
      <c r="AO31" s="197"/>
      <c r="AP31" s="341"/>
      <c r="AQ31" s="341"/>
      <c r="AR31" s="341"/>
    </row>
    <row r="32" spans="1:44" ht="37.5" customHeight="1" x14ac:dyDescent="0.2">
      <c r="A32" s="352"/>
      <c r="B32" s="353"/>
      <c r="C32" s="353"/>
      <c r="D32" s="353"/>
      <c r="E32" s="353"/>
      <c r="F32" s="353"/>
      <c r="G32" s="337"/>
      <c r="H32" s="337"/>
      <c r="I32" s="337"/>
      <c r="J32" s="337"/>
      <c r="K32" s="337"/>
      <c r="L32" s="337"/>
      <c r="M32" s="337"/>
      <c r="N32" s="341"/>
      <c r="O32" s="346"/>
      <c r="P32" s="331"/>
      <c r="Q32" s="343"/>
      <c r="R32" s="331">
        <f>IF(NOT(ISERROR(MATCH(Q32,_xlfn.ANCHORARRAY(E43),0))),P45&amp;"Por favor no seleccionar los criterios de impacto",Q32)</f>
        <v>0</v>
      </c>
      <c r="S32" s="346"/>
      <c r="T32" s="331"/>
      <c r="U32" s="327"/>
      <c r="V32" s="214">
        <v>6</v>
      </c>
      <c r="W32" s="187"/>
      <c r="X32" s="189" t="str">
        <f t="shared" si="30"/>
        <v/>
      </c>
      <c r="Y32" s="190"/>
      <c r="Z32" s="190"/>
      <c r="AA32" s="191" t="str">
        <f t="shared" si="25"/>
        <v/>
      </c>
      <c r="AB32" s="190"/>
      <c r="AC32" s="190"/>
      <c r="AD32" s="190"/>
      <c r="AE32" s="192" t="str">
        <f t="shared" si="31"/>
        <v/>
      </c>
      <c r="AF32" s="193" t="str">
        <f t="shared" si="2"/>
        <v/>
      </c>
      <c r="AG32" s="191" t="str">
        <f t="shared" si="26"/>
        <v/>
      </c>
      <c r="AH32" s="193" t="str">
        <f t="shared" si="4"/>
        <v/>
      </c>
      <c r="AI32" s="191" t="str">
        <f t="shared" si="11"/>
        <v/>
      </c>
      <c r="AJ32" s="194" t="str">
        <f t="shared" si="32"/>
        <v/>
      </c>
      <c r="AK32" s="195"/>
      <c r="AL32" s="186"/>
      <c r="AM32" s="196"/>
      <c r="AN32" s="196"/>
      <c r="AO32" s="197"/>
      <c r="AP32" s="341"/>
      <c r="AQ32" s="341"/>
      <c r="AR32" s="341"/>
    </row>
    <row r="33" spans="1:44" ht="37.5" customHeight="1" x14ac:dyDescent="0.2">
      <c r="A33" s="352">
        <v>5</v>
      </c>
      <c r="B33" s="353"/>
      <c r="C33" s="353"/>
      <c r="D33" s="353"/>
      <c r="E33" s="353"/>
      <c r="F33" s="353"/>
      <c r="G33" s="335"/>
      <c r="H33" s="335"/>
      <c r="I33" s="335"/>
      <c r="J33" s="335"/>
      <c r="K33" s="335"/>
      <c r="L33" s="335"/>
      <c r="M33" s="335"/>
      <c r="N33" s="341"/>
      <c r="O33" s="346" t="str">
        <f>IF(N33&lt;=0,"",IF(N33&lt;=2,"Muy Baja",IF(N33&lt;=24,"Baja",IF(N33&lt;=500,"Media",IF(N33&lt;=5000,"Alta","Muy Alta")))))</f>
        <v/>
      </c>
      <c r="P33" s="331" t="str">
        <f>IF(O33="","",IF(O33="Muy Baja",0.2,IF(O33="Baja",0.4,IF(O33="Media",0.6,IF(O33="Alta",0.8,IF(O33="Muy Alta",1,))))))</f>
        <v/>
      </c>
      <c r="Q33" s="343"/>
      <c r="R33" s="331">
        <f>IF(NOT(ISERROR(MATCH(Q33,'Tabla Impacto'!$B$222:$B$224,0))),'Tabla Impacto'!$F$224&amp;"Por favor no seleccionar los criterios de impacto(Afectación Económica o presupuestal y Pérdida Reputacional)",Q33)</f>
        <v>0</v>
      </c>
      <c r="S33" s="346" t="str">
        <f>IF(OR(R33='Tabla Impacto'!$C$12,R33='Tabla Impacto'!$D$12),"Leve",IF(OR(R33='Tabla Impacto'!$C$13,R33='Tabla Impacto'!$D$13),"Menor",IF(OR(R33='Tabla Impacto'!$C$14,R33='Tabla Impacto'!$D$14),"Moderado",IF(OR(R33='Tabla Impacto'!$C$15,R33='Tabla Impacto'!$D$15),"Mayor",IF(OR(R33='Tabla Impacto'!$C$16,R33='Tabla Impacto'!$D$16),"Catastrófico","")))))</f>
        <v/>
      </c>
      <c r="T33" s="331" t="str">
        <f>IF(S33="","",IF(S33="Leve",0.2,IF(S33="Menor",0.4,IF(S33="Moderado",0.6,IF(S33="Mayor",0.8,IF(S33="Catastrófico",1,))))))</f>
        <v/>
      </c>
      <c r="U33" s="327" t="str">
        <f>IF(OR(AND(O33="Muy Baja",S33="Leve"),AND(O33="Muy Baja",S33="Menor"),AND(O33="Baja",S33="Leve")),"Bajo",IF(OR(AND(O33="Muy baja",S33="Moderado"),AND(O33="Baja",S33="Menor"),AND(O33="Baja",S33="Moderado"),AND(O33="Media",S33="Leve"),AND(O33="Media",S33="Menor"),AND(O33="Media",S33="Moderado"),AND(O33="Alta",S33="Leve"),AND(O33="Alta",S33="Menor")),"Moderado",IF(OR(AND(O33="Muy Baja",S33="Mayor"),AND(O33="Baja",S33="Mayor"),AND(O33="Media",S33="Mayor"),AND(O33="Alta",S33="Moderado"),AND(O33="Alta",S33="Mayor"),AND(O33="Muy Alta",S33="Leve"),AND(O33="Muy Alta",S33="Menor"),AND(O33="Muy Alta",S33="Moderado"),AND(O33="Muy Alta",S33="Mayor")),"Alto",IF(OR(AND(O33="Muy Baja",S33="Catastrófico"),AND(O33="Baja",S33="Catastrófico"),AND(O33="Media",S33="Catastrófico"),AND(O33="Alta",S33="Catastrófico"),AND(O33="Muy Alta",S33="Catastrófico")),"Extremo",""))))</f>
        <v/>
      </c>
      <c r="V33" s="214">
        <v>1</v>
      </c>
      <c r="W33" s="187"/>
      <c r="X33" s="189" t="str">
        <f>IF(OR(Y33="Preventivo",Y33="Detectivo"),"Probabilidad",IF(Y33="Correctivo","Impacto",""))</f>
        <v/>
      </c>
      <c r="Y33" s="190"/>
      <c r="Z33" s="190"/>
      <c r="AA33" s="191" t="str">
        <f>IF(AND(Y33="Preventivo",Z33="Automático"),"50%",IF(AND(Y33="Preventivo",Z33="Manual"),"40%",IF(AND(Y33="Detectivo",Z33="Automático"),"40%",IF(AND(Y33="Detectivo",Z33="Manual"),"30%",IF(AND(Y33="Correctivo",Z33="Automático"),"35%",IF(AND(Y33="Correctivo",Z33="Manual"),"25%",""))))))</f>
        <v/>
      </c>
      <c r="AB33" s="190"/>
      <c r="AC33" s="190"/>
      <c r="AD33" s="190"/>
      <c r="AE33" s="192" t="str">
        <f>IFERROR(IF(X33="Probabilidad",(P33-(+P33*AA33)),IF(X33="Impacto",P33,"")),"")</f>
        <v/>
      </c>
      <c r="AF33" s="193" t="str">
        <f>IFERROR(IF(AE33="","",IF(AE33&lt;=0.2,"Muy Baja",IF(AE33&lt;=0.4,"Baja",IF(AE33&lt;=0.6,"Media",IF(AE33&lt;=0.8,"Alta","Muy Alta"))))),"")</f>
        <v/>
      </c>
      <c r="AG33" s="191" t="str">
        <f>+AE33</f>
        <v/>
      </c>
      <c r="AH33" s="193" t="str">
        <f>IFERROR(IF(AI33="","",IF(AI33&lt;=0.2,"Leve",IF(AI33&lt;=0.4,"Menor",IF(AI33&lt;=0.6,"Moderado",IF(AI33&lt;=0.8,"Mayor","Catastrófico"))))),"")</f>
        <v/>
      </c>
      <c r="AI33" s="191" t="str">
        <f t="shared" ref="AI33" si="33">IFERROR(IF(X33="Impacto",(T33-(+T33*AA33)),IF(X33="Probabilidad",T33,"")),"")</f>
        <v/>
      </c>
      <c r="AJ33" s="194" t="str">
        <f>IFERROR(IF(OR(AND(AF33="Muy Baja",AH33="Leve"),AND(AF33="Muy Baja",AH33="Menor"),AND(AF33="Baja",AH33="Leve")),"Bajo",IF(OR(AND(AF33="Muy baja",AH33="Moderado"),AND(AF33="Baja",AH33="Menor"),AND(AF33="Baja",AH33="Moderado"),AND(AF33="Media",AH33="Leve"),AND(AF33="Media",AH33="Menor"),AND(AF33="Media",AH33="Moderado"),AND(AF33="Alta",AH33="Leve"),AND(AF33="Alta",AH33="Menor")),"Moderado",IF(OR(AND(AF33="Muy Baja",AH33="Mayor"),AND(AF33="Baja",AH33="Mayor"),AND(AF33="Media",AH33="Mayor"),AND(AF33="Alta",AH33="Moderado"),AND(AF33="Alta",AH33="Mayor"),AND(AF33="Muy Alta",AH33="Leve"),AND(AF33="Muy Alta",AH33="Menor"),AND(AF33="Muy Alta",AH33="Moderado"),AND(AF33="Muy Alta",AH33="Mayor")),"Alto",IF(OR(AND(AF33="Muy Baja",AH33="Catastrófico"),AND(AF33="Baja",AH33="Catastrófico"),AND(AF33="Media",AH33="Catastrófico"),AND(AF33="Alta",AH33="Catastrófico"),AND(AF33="Muy Alta",AH33="Catastrófico")),"Extremo","")))),"")</f>
        <v/>
      </c>
      <c r="AK33" s="195"/>
      <c r="AL33" s="186"/>
      <c r="AM33" s="196"/>
      <c r="AN33" s="196"/>
      <c r="AO33" s="197"/>
      <c r="AP33" s="341"/>
      <c r="AQ33" s="341"/>
      <c r="AR33" s="341"/>
    </row>
    <row r="34" spans="1:44" ht="37.5" customHeight="1" x14ac:dyDescent="0.2">
      <c r="A34" s="352"/>
      <c r="B34" s="353"/>
      <c r="C34" s="353"/>
      <c r="D34" s="353"/>
      <c r="E34" s="353"/>
      <c r="F34" s="353"/>
      <c r="G34" s="336"/>
      <c r="H34" s="336"/>
      <c r="I34" s="336"/>
      <c r="J34" s="336"/>
      <c r="K34" s="336"/>
      <c r="L34" s="336"/>
      <c r="M34" s="336"/>
      <c r="N34" s="341"/>
      <c r="O34" s="346"/>
      <c r="P34" s="331"/>
      <c r="Q34" s="343"/>
      <c r="R34" s="331">
        <f>IF(NOT(ISERROR(MATCH(Q34,_xlfn.ANCHORARRAY(E45),0))),P47&amp;"Por favor no seleccionar los criterios de impacto",Q34)</f>
        <v>0</v>
      </c>
      <c r="S34" s="346"/>
      <c r="T34" s="331"/>
      <c r="U34" s="327"/>
      <c r="V34" s="214">
        <v>2</v>
      </c>
      <c r="W34" s="187"/>
      <c r="X34" s="189" t="str">
        <f>IF(OR(Y34="Preventivo",Y34="Detectivo"),"Probabilidad",IF(Y34="Correctivo","Impacto",""))</f>
        <v/>
      </c>
      <c r="Y34" s="190"/>
      <c r="Z34" s="190"/>
      <c r="AA34" s="191" t="str">
        <f t="shared" ref="AA34:AA38" si="34">IF(AND(Y34="Preventivo",Z34="Automático"),"50%",IF(AND(Y34="Preventivo",Z34="Manual"),"40%",IF(AND(Y34="Detectivo",Z34="Automático"),"40%",IF(AND(Y34="Detectivo",Z34="Manual"),"30%",IF(AND(Y34="Correctivo",Z34="Automático"),"35%",IF(AND(Y34="Correctivo",Z34="Manual"),"25%",""))))))</f>
        <v/>
      </c>
      <c r="AB34" s="190"/>
      <c r="AC34" s="190"/>
      <c r="AD34" s="190"/>
      <c r="AE34" s="192" t="str">
        <f>IFERROR(IF(AND(X33="Probabilidad",X34="Probabilidad"),(AG33-(+AG33*AA34)),IF(X34="Probabilidad",(P33-(+P33*AA34)),IF(X34="Impacto",AG33,""))),"")</f>
        <v/>
      </c>
      <c r="AF34" s="193" t="str">
        <f t="shared" si="2"/>
        <v/>
      </c>
      <c r="AG34" s="191" t="str">
        <f t="shared" ref="AG34:AG38" si="35">+AE34</f>
        <v/>
      </c>
      <c r="AH34" s="193" t="str">
        <f t="shared" si="4"/>
        <v/>
      </c>
      <c r="AI34" s="191" t="str">
        <f t="shared" ref="AI34" si="36">IFERROR(IF(AND(X33="Impacto",X34="Impacto"),(AI33-(+AI33*AA34)),IF(X34="Impacto",($T$13-(+$T$13*AA34)),IF(X34="Probabilidad",AI33,""))),"")</f>
        <v/>
      </c>
      <c r="AJ34" s="194" t="str">
        <f t="shared" ref="AJ34:AJ35" si="37">IFERROR(IF(OR(AND(AF34="Muy Baja",AH34="Leve"),AND(AF34="Muy Baja",AH34="Menor"),AND(AF34="Baja",AH34="Leve")),"Bajo",IF(OR(AND(AF34="Muy baja",AH34="Moderado"),AND(AF34="Baja",AH34="Menor"),AND(AF34="Baja",AH34="Moderado"),AND(AF34="Media",AH34="Leve"),AND(AF34="Media",AH34="Menor"),AND(AF34="Media",AH34="Moderado"),AND(AF34="Alta",AH34="Leve"),AND(AF34="Alta",AH34="Menor")),"Moderado",IF(OR(AND(AF34="Muy Baja",AH34="Mayor"),AND(AF34="Baja",AH34="Mayor"),AND(AF34="Media",AH34="Mayor"),AND(AF34="Alta",AH34="Moderado"),AND(AF34="Alta",AH34="Mayor"),AND(AF34="Muy Alta",AH34="Leve"),AND(AF34="Muy Alta",AH34="Menor"),AND(AF34="Muy Alta",AH34="Moderado"),AND(AF34="Muy Alta",AH34="Mayor")),"Alto",IF(OR(AND(AF34="Muy Baja",AH34="Catastrófico"),AND(AF34="Baja",AH34="Catastrófico"),AND(AF34="Media",AH34="Catastrófico"),AND(AF34="Alta",AH34="Catastrófico"),AND(AF34="Muy Alta",AH34="Catastrófico")),"Extremo","")))),"")</f>
        <v/>
      </c>
      <c r="AK34" s="195"/>
      <c r="AL34" s="186"/>
      <c r="AM34" s="196"/>
      <c r="AN34" s="196"/>
      <c r="AO34" s="197"/>
      <c r="AP34" s="341"/>
      <c r="AQ34" s="341"/>
      <c r="AR34" s="341"/>
    </row>
    <row r="35" spans="1:44" ht="37.5" customHeight="1" x14ac:dyDescent="0.2">
      <c r="A35" s="352"/>
      <c r="B35" s="353"/>
      <c r="C35" s="353"/>
      <c r="D35" s="353"/>
      <c r="E35" s="353"/>
      <c r="F35" s="353"/>
      <c r="G35" s="336"/>
      <c r="H35" s="336"/>
      <c r="I35" s="336"/>
      <c r="J35" s="336"/>
      <c r="K35" s="336"/>
      <c r="L35" s="336"/>
      <c r="M35" s="336"/>
      <c r="N35" s="341"/>
      <c r="O35" s="346"/>
      <c r="P35" s="331"/>
      <c r="Q35" s="343"/>
      <c r="R35" s="331">
        <f>IF(NOT(ISERROR(MATCH(Q35,_xlfn.ANCHORARRAY(E46),0))),P48&amp;"Por favor no seleccionar los criterios de impacto",Q35)</f>
        <v>0</v>
      </c>
      <c r="S35" s="346"/>
      <c r="T35" s="331"/>
      <c r="U35" s="327"/>
      <c r="V35" s="214">
        <v>3</v>
      </c>
      <c r="W35" s="188"/>
      <c r="X35" s="189" t="str">
        <f>IF(OR(Y35="Preventivo",Y35="Detectivo"),"Probabilidad",IF(Y35="Correctivo","Impacto",""))</f>
        <v/>
      </c>
      <c r="Y35" s="190"/>
      <c r="Z35" s="190"/>
      <c r="AA35" s="191" t="str">
        <f t="shared" si="34"/>
        <v/>
      </c>
      <c r="AB35" s="190"/>
      <c r="AC35" s="190"/>
      <c r="AD35" s="190"/>
      <c r="AE35" s="192" t="str">
        <f>IFERROR(IF(AND(X34="Probabilidad",X35="Probabilidad"),(AG34-(+AG34*AA35)),IF(AND(X34="Impacto",X35="Probabilidad"),(AG33-(+AG33*AA35)),IF(X35="Impacto",AG34,""))),"")</f>
        <v/>
      </c>
      <c r="AF35" s="193" t="str">
        <f t="shared" si="2"/>
        <v/>
      </c>
      <c r="AG35" s="191" t="str">
        <f t="shared" si="35"/>
        <v/>
      </c>
      <c r="AH35" s="193" t="str">
        <f t="shared" si="4"/>
        <v/>
      </c>
      <c r="AI35" s="191" t="str">
        <f t="shared" ref="AI35" si="38">IFERROR(IF(AND(X34="Impacto",X35="Impacto"),(AI34-(+AI34*AA35)),IF(AND(X34="Probabilidad",X35="Impacto"),(AI33-(+AI33*AA35)),IF(X35="Probabilidad",AI34,""))),"")</f>
        <v/>
      </c>
      <c r="AJ35" s="194" t="str">
        <f t="shared" si="37"/>
        <v/>
      </c>
      <c r="AK35" s="195"/>
      <c r="AL35" s="186"/>
      <c r="AM35" s="196"/>
      <c r="AN35" s="196"/>
      <c r="AO35" s="197"/>
      <c r="AP35" s="341"/>
      <c r="AQ35" s="341"/>
      <c r="AR35" s="341"/>
    </row>
    <row r="36" spans="1:44" ht="37.5" customHeight="1" x14ac:dyDescent="0.2">
      <c r="A36" s="352"/>
      <c r="B36" s="353"/>
      <c r="C36" s="353"/>
      <c r="D36" s="353"/>
      <c r="E36" s="353"/>
      <c r="F36" s="353"/>
      <c r="G36" s="336"/>
      <c r="H36" s="336"/>
      <c r="I36" s="336"/>
      <c r="J36" s="336"/>
      <c r="K36" s="336"/>
      <c r="L36" s="336"/>
      <c r="M36" s="336"/>
      <c r="N36" s="341"/>
      <c r="O36" s="346"/>
      <c r="P36" s="331"/>
      <c r="Q36" s="343"/>
      <c r="R36" s="331">
        <f>IF(NOT(ISERROR(MATCH(Q36,_xlfn.ANCHORARRAY(E47),0))),P49&amp;"Por favor no seleccionar los criterios de impacto",Q36)</f>
        <v>0</v>
      </c>
      <c r="S36" s="346"/>
      <c r="T36" s="331"/>
      <c r="U36" s="327"/>
      <c r="V36" s="214">
        <v>4</v>
      </c>
      <c r="W36" s="187"/>
      <c r="X36" s="189" t="str">
        <f t="shared" ref="X36:X38" si="39">IF(OR(Y36="Preventivo",Y36="Detectivo"),"Probabilidad",IF(Y36="Correctivo","Impacto",""))</f>
        <v/>
      </c>
      <c r="Y36" s="190"/>
      <c r="Z36" s="190"/>
      <c r="AA36" s="191" t="str">
        <f t="shared" si="34"/>
        <v/>
      </c>
      <c r="AB36" s="190"/>
      <c r="AC36" s="190"/>
      <c r="AD36" s="190"/>
      <c r="AE36" s="192" t="str">
        <f t="shared" ref="AE36:AE38" si="40">IFERROR(IF(AND(X35="Probabilidad",X36="Probabilidad"),(AG35-(+AG35*AA36)),IF(AND(X35="Impacto",X36="Probabilidad"),(AG34-(+AG34*AA36)),IF(X36="Impacto",AG35,""))),"")</f>
        <v/>
      </c>
      <c r="AF36" s="193" t="str">
        <f t="shared" si="2"/>
        <v/>
      </c>
      <c r="AG36" s="191" t="str">
        <f t="shared" si="35"/>
        <v/>
      </c>
      <c r="AH36" s="193" t="str">
        <f t="shared" si="4"/>
        <v/>
      </c>
      <c r="AI36" s="191" t="str">
        <f t="shared" si="11"/>
        <v/>
      </c>
      <c r="AJ36" s="194" t="str">
        <f>IFERROR(IF(OR(AND(AF36="Muy Baja",AH36="Leve"),AND(AF36="Muy Baja",AH36="Menor"),AND(AF36="Baja",AH36="Leve")),"Bajo",IF(OR(AND(AF36="Muy baja",AH36="Moderado"),AND(AF36="Baja",AH36="Menor"),AND(AF36="Baja",AH36="Moderado"),AND(AF36="Media",AH36="Leve"),AND(AF36="Media",AH36="Menor"),AND(AF36="Media",AH36="Moderado"),AND(AF36="Alta",AH36="Leve"),AND(AF36="Alta",AH36="Menor")),"Moderado",IF(OR(AND(AF36="Muy Baja",AH36="Mayor"),AND(AF36="Baja",AH36="Mayor"),AND(AF36="Media",AH36="Mayor"),AND(AF36="Alta",AH36="Moderado"),AND(AF36="Alta",AH36="Mayor"),AND(AF36="Muy Alta",AH36="Leve"),AND(AF36="Muy Alta",AH36="Menor"),AND(AF36="Muy Alta",AH36="Moderado"),AND(AF36="Muy Alta",AH36="Mayor")),"Alto",IF(OR(AND(AF36="Muy Baja",AH36="Catastrófico"),AND(AF36="Baja",AH36="Catastrófico"),AND(AF36="Media",AH36="Catastrófico"),AND(AF36="Alta",AH36="Catastrófico"),AND(AF36="Muy Alta",AH36="Catastrófico")),"Extremo","")))),"")</f>
        <v/>
      </c>
      <c r="AK36" s="195"/>
      <c r="AL36" s="186"/>
      <c r="AM36" s="196"/>
      <c r="AN36" s="196"/>
      <c r="AO36" s="197"/>
      <c r="AP36" s="341"/>
      <c r="AQ36" s="341"/>
      <c r="AR36" s="341"/>
    </row>
    <row r="37" spans="1:44" ht="37.5" customHeight="1" x14ac:dyDescent="0.2">
      <c r="A37" s="352"/>
      <c r="B37" s="353"/>
      <c r="C37" s="353"/>
      <c r="D37" s="353"/>
      <c r="E37" s="353"/>
      <c r="F37" s="353"/>
      <c r="G37" s="336"/>
      <c r="H37" s="336"/>
      <c r="I37" s="336"/>
      <c r="J37" s="336"/>
      <c r="K37" s="336"/>
      <c r="L37" s="336"/>
      <c r="M37" s="336"/>
      <c r="N37" s="341"/>
      <c r="O37" s="346"/>
      <c r="P37" s="331"/>
      <c r="Q37" s="343"/>
      <c r="R37" s="331">
        <f>IF(NOT(ISERROR(MATCH(Q37,_xlfn.ANCHORARRAY(E48),0))),P50&amp;"Por favor no seleccionar los criterios de impacto",Q37)</f>
        <v>0</v>
      </c>
      <c r="S37" s="346"/>
      <c r="T37" s="331"/>
      <c r="U37" s="327"/>
      <c r="V37" s="214">
        <v>5</v>
      </c>
      <c r="W37" s="187"/>
      <c r="X37" s="189" t="str">
        <f t="shared" si="39"/>
        <v/>
      </c>
      <c r="Y37" s="190"/>
      <c r="Z37" s="190"/>
      <c r="AA37" s="191" t="str">
        <f t="shared" si="34"/>
        <v/>
      </c>
      <c r="AB37" s="190"/>
      <c r="AC37" s="190"/>
      <c r="AD37" s="190"/>
      <c r="AE37" s="192" t="str">
        <f t="shared" si="40"/>
        <v/>
      </c>
      <c r="AF37" s="193" t="str">
        <f t="shared" si="2"/>
        <v/>
      </c>
      <c r="AG37" s="191" t="str">
        <f t="shared" si="35"/>
        <v/>
      </c>
      <c r="AH37" s="193" t="str">
        <f t="shared" si="4"/>
        <v/>
      </c>
      <c r="AI37" s="191" t="str">
        <f t="shared" si="11"/>
        <v/>
      </c>
      <c r="AJ37" s="194" t="str">
        <f t="shared" ref="AJ37:AJ38" si="41">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195"/>
      <c r="AL37" s="186"/>
      <c r="AM37" s="196"/>
      <c r="AN37" s="196"/>
      <c r="AO37" s="197"/>
      <c r="AP37" s="341"/>
      <c r="AQ37" s="341"/>
      <c r="AR37" s="341"/>
    </row>
    <row r="38" spans="1:44" ht="37.5" customHeight="1" x14ac:dyDescent="0.2">
      <c r="A38" s="352"/>
      <c r="B38" s="353"/>
      <c r="C38" s="353"/>
      <c r="D38" s="353"/>
      <c r="E38" s="353"/>
      <c r="F38" s="353"/>
      <c r="G38" s="337"/>
      <c r="H38" s="337"/>
      <c r="I38" s="337"/>
      <c r="J38" s="337"/>
      <c r="K38" s="337"/>
      <c r="L38" s="337"/>
      <c r="M38" s="337"/>
      <c r="N38" s="341"/>
      <c r="O38" s="346"/>
      <c r="P38" s="331"/>
      <c r="Q38" s="343"/>
      <c r="R38" s="331">
        <f>IF(NOT(ISERROR(MATCH(Q38,_xlfn.ANCHORARRAY(E49),0))),P51&amp;"Por favor no seleccionar los criterios de impacto",Q38)</f>
        <v>0</v>
      </c>
      <c r="S38" s="346"/>
      <c r="T38" s="331"/>
      <c r="U38" s="327"/>
      <c r="V38" s="214">
        <v>6</v>
      </c>
      <c r="W38" s="187"/>
      <c r="X38" s="189" t="str">
        <f t="shared" si="39"/>
        <v/>
      </c>
      <c r="Y38" s="190"/>
      <c r="Z38" s="190"/>
      <c r="AA38" s="191" t="str">
        <f t="shared" si="34"/>
        <v/>
      </c>
      <c r="AB38" s="190"/>
      <c r="AC38" s="190"/>
      <c r="AD38" s="190"/>
      <c r="AE38" s="192" t="str">
        <f t="shared" si="40"/>
        <v/>
      </c>
      <c r="AF38" s="193" t="str">
        <f t="shared" si="2"/>
        <v/>
      </c>
      <c r="AG38" s="191" t="str">
        <f t="shared" si="35"/>
        <v/>
      </c>
      <c r="AH38" s="193" t="str">
        <f t="shared" si="4"/>
        <v/>
      </c>
      <c r="AI38" s="191" t="str">
        <f t="shared" si="11"/>
        <v/>
      </c>
      <c r="AJ38" s="194" t="str">
        <f t="shared" si="41"/>
        <v/>
      </c>
      <c r="AK38" s="195"/>
      <c r="AL38" s="186"/>
      <c r="AM38" s="196"/>
      <c r="AN38" s="196"/>
      <c r="AO38" s="197"/>
      <c r="AP38" s="341"/>
      <c r="AQ38" s="341"/>
      <c r="AR38" s="341"/>
    </row>
    <row r="39" spans="1:44" ht="37.5" customHeight="1" x14ac:dyDescent="0.2">
      <c r="A39" s="352">
        <v>6</v>
      </c>
      <c r="B39" s="353"/>
      <c r="C39" s="353"/>
      <c r="D39" s="353"/>
      <c r="E39" s="335"/>
      <c r="F39" s="353"/>
      <c r="G39" s="335"/>
      <c r="H39" s="335"/>
      <c r="I39" s="335"/>
      <c r="J39" s="335"/>
      <c r="K39" s="335"/>
      <c r="L39" s="335"/>
      <c r="M39" s="335"/>
      <c r="N39" s="341"/>
      <c r="O39" s="346" t="str">
        <f>IF(N39&lt;=0,"",IF(N39&lt;=2,"Muy Baja",IF(N39&lt;=24,"Baja",IF(N39&lt;=500,"Media",IF(N39&lt;=5000,"Alta","Muy Alta")))))</f>
        <v/>
      </c>
      <c r="P39" s="331" t="str">
        <f>IF(O39="","",IF(O39="Muy Baja",0.2,IF(O39="Baja",0.4,IF(O39="Media",0.6,IF(O39="Alta",0.8,IF(O39="Muy Alta",1,))))))</f>
        <v/>
      </c>
      <c r="Q39" s="343"/>
      <c r="R39" s="331">
        <f>IF(NOT(ISERROR(MATCH(Q39,'Tabla Impacto'!$B$222:$B$224,0))),'Tabla Impacto'!$F$224&amp;"Por favor no seleccionar los criterios de impacto(Afectación Económica o presupuestal y Pérdida Reputacional)",Q39)</f>
        <v>0</v>
      </c>
      <c r="S39" s="346" t="str">
        <f>IF(OR(R39='Tabla Impacto'!$C$12,R39='Tabla Impacto'!$D$12),"Leve",IF(OR(R39='Tabla Impacto'!$C$13,R39='Tabla Impacto'!$D$13),"Menor",IF(OR(R39='Tabla Impacto'!$C$14,R39='Tabla Impacto'!$D$14),"Moderado",IF(OR(R39='Tabla Impacto'!$C$15,R39='Tabla Impacto'!$D$15),"Mayor",IF(OR(R39='Tabla Impacto'!$C$16,R39='Tabla Impacto'!$D$16),"Catastrófico","")))))</f>
        <v/>
      </c>
      <c r="T39" s="331" t="str">
        <f>IF(S39="","",IF(S39="Leve",0.2,IF(S39="Menor",0.4,IF(S39="Moderado",0.6,IF(S39="Mayor",0.8,IF(S39="Catastrófico",1,))))))</f>
        <v/>
      </c>
      <c r="U39" s="327" t="str">
        <f>IF(OR(AND(O39="Muy Baja",S39="Leve"),AND(O39="Muy Baja",S39="Menor"),AND(O39="Baja",S39="Leve")),"Bajo",IF(OR(AND(O39="Muy baja",S39="Moderado"),AND(O39="Baja",S39="Menor"),AND(O39="Baja",S39="Moderado"),AND(O39="Media",S39="Leve"),AND(O39="Media",S39="Menor"),AND(O39="Media",S39="Moderado"),AND(O39="Alta",S39="Leve"),AND(O39="Alta",S39="Menor")),"Moderado",IF(OR(AND(O39="Muy Baja",S39="Mayor"),AND(O39="Baja",S39="Mayor"),AND(O39="Media",S39="Mayor"),AND(O39="Alta",S39="Moderado"),AND(O39="Alta",S39="Mayor"),AND(O39="Muy Alta",S39="Leve"),AND(O39="Muy Alta",S39="Menor"),AND(O39="Muy Alta",S39="Moderado"),AND(O39="Muy Alta",S39="Mayor")),"Alto",IF(OR(AND(O39="Muy Baja",S39="Catastrófico"),AND(O39="Baja",S39="Catastrófico"),AND(O39="Media",S39="Catastrófico"),AND(O39="Alta",S39="Catastrófico"),AND(O39="Muy Alta",S39="Catastrófico")),"Extremo",""))))</f>
        <v/>
      </c>
      <c r="V39" s="214">
        <v>1</v>
      </c>
      <c r="W39" s="187"/>
      <c r="X39" s="189" t="str">
        <f>IF(OR(Y39="Preventivo",Y39="Detectivo"),"Probabilidad",IF(Y39="Correctivo","Impacto",""))</f>
        <v/>
      </c>
      <c r="Y39" s="190"/>
      <c r="Z39" s="190"/>
      <c r="AA39" s="191" t="str">
        <f>IF(AND(Y39="Preventivo",Z39="Automático"),"50%",IF(AND(Y39="Preventivo",Z39="Manual"),"40%",IF(AND(Y39="Detectivo",Z39="Automático"),"40%",IF(AND(Y39="Detectivo",Z39="Manual"),"30%",IF(AND(Y39="Correctivo",Z39="Automático"),"35%",IF(AND(Y39="Correctivo",Z39="Manual"),"25%",""))))))</f>
        <v/>
      </c>
      <c r="AB39" s="190"/>
      <c r="AC39" s="190"/>
      <c r="AD39" s="190"/>
      <c r="AE39" s="192" t="str">
        <f>IFERROR(IF(X39="Probabilidad",(P39-(+P39*AA39)),IF(X39="Impacto",P39,"")),"")</f>
        <v/>
      </c>
      <c r="AF39" s="193" t="str">
        <f>IFERROR(IF(AE39="","",IF(AE39&lt;=0.2,"Muy Baja",IF(AE39&lt;=0.4,"Baja",IF(AE39&lt;=0.6,"Media",IF(AE39&lt;=0.8,"Alta","Muy Alta"))))),"")</f>
        <v/>
      </c>
      <c r="AG39" s="191" t="str">
        <f>+AE39</f>
        <v/>
      </c>
      <c r="AH39" s="193" t="str">
        <f>IFERROR(IF(AI39="","",IF(AI39&lt;=0.2,"Leve",IF(AI39&lt;=0.4,"Menor",IF(AI39&lt;=0.6,"Moderado",IF(AI39&lt;=0.8,"Mayor","Catastrófico"))))),"")</f>
        <v/>
      </c>
      <c r="AI39" s="191" t="str">
        <f t="shared" ref="AI39" si="42">IFERROR(IF(X39="Impacto",(T39-(+T39*AA39)),IF(X39="Probabilidad",T39,"")),"")</f>
        <v/>
      </c>
      <c r="AJ39" s="194" t="str">
        <f>IFERROR(IF(OR(AND(AF39="Muy Baja",AH39="Leve"),AND(AF39="Muy Baja",AH39="Menor"),AND(AF39="Baja",AH39="Leve")),"Bajo",IF(OR(AND(AF39="Muy baja",AH39="Moderado"),AND(AF39="Baja",AH39="Menor"),AND(AF39="Baja",AH39="Moderado"),AND(AF39="Media",AH39="Leve"),AND(AF39="Media",AH39="Menor"),AND(AF39="Media",AH39="Moderado"),AND(AF39="Alta",AH39="Leve"),AND(AF39="Alta",AH39="Menor")),"Moderado",IF(OR(AND(AF39="Muy Baja",AH39="Mayor"),AND(AF39="Baja",AH39="Mayor"),AND(AF39="Media",AH39="Mayor"),AND(AF39="Alta",AH39="Moderado"),AND(AF39="Alta",AH39="Mayor"),AND(AF39="Muy Alta",AH39="Leve"),AND(AF39="Muy Alta",AH39="Menor"),AND(AF39="Muy Alta",AH39="Moderado"),AND(AF39="Muy Alta",AH39="Mayor")),"Alto",IF(OR(AND(AF39="Muy Baja",AH39="Catastrófico"),AND(AF39="Baja",AH39="Catastrófico"),AND(AF39="Media",AH39="Catastrófico"),AND(AF39="Alta",AH39="Catastrófico"),AND(AF39="Muy Alta",AH39="Catastrófico")),"Extremo","")))),"")</f>
        <v/>
      </c>
      <c r="AK39" s="190"/>
      <c r="AL39" s="186"/>
      <c r="AM39" s="196"/>
      <c r="AN39" s="196"/>
      <c r="AO39" s="197"/>
      <c r="AP39" s="341"/>
      <c r="AQ39" s="341"/>
      <c r="AR39" s="341"/>
    </row>
    <row r="40" spans="1:44" ht="37.5" customHeight="1" x14ac:dyDescent="0.2">
      <c r="A40" s="352"/>
      <c r="B40" s="353"/>
      <c r="C40" s="353"/>
      <c r="D40" s="353"/>
      <c r="E40" s="336"/>
      <c r="F40" s="353"/>
      <c r="G40" s="336"/>
      <c r="H40" s="336"/>
      <c r="I40" s="336"/>
      <c r="J40" s="336"/>
      <c r="K40" s="336"/>
      <c r="L40" s="336"/>
      <c r="M40" s="336"/>
      <c r="N40" s="341"/>
      <c r="O40" s="346"/>
      <c r="P40" s="331"/>
      <c r="Q40" s="343"/>
      <c r="R40" s="331">
        <f>IF(NOT(ISERROR(MATCH(Q40,_xlfn.ANCHORARRAY(E51),0))),P53&amp;"Por favor no seleccionar los criterios de impacto",Q40)</f>
        <v>0</v>
      </c>
      <c r="S40" s="346"/>
      <c r="T40" s="331"/>
      <c r="U40" s="327"/>
      <c r="V40" s="214">
        <v>2</v>
      </c>
      <c r="W40" s="187"/>
      <c r="X40" s="189" t="str">
        <f>IF(OR(Y40="Preventivo",Y40="Detectivo"),"Probabilidad",IF(Y40="Correctivo","Impacto",""))</f>
        <v/>
      </c>
      <c r="Y40" s="190"/>
      <c r="Z40" s="190"/>
      <c r="AA40" s="191" t="str">
        <f t="shared" ref="AA40:AA44" si="43">IF(AND(Y40="Preventivo",Z40="Automático"),"50%",IF(AND(Y40="Preventivo",Z40="Manual"),"40%",IF(AND(Y40="Detectivo",Z40="Automático"),"40%",IF(AND(Y40="Detectivo",Z40="Manual"),"30%",IF(AND(Y40="Correctivo",Z40="Automático"),"35%",IF(AND(Y40="Correctivo",Z40="Manual"),"25%",""))))))</f>
        <v/>
      </c>
      <c r="AB40" s="190"/>
      <c r="AC40" s="190"/>
      <c r="AD40" s="190"/>
      <c r="AE40" s="192" t="str">
        <f>IFERROR(IF(AND(X39="Probabilidad",X40="Probabilidad"),(AG39-(+AG39*AA40)),IF(X40="Probabilidad",(P39-(+P39*AA40)),IF(X40="Impacto",AG39,""))),"")</f>
        <v/>
      </c>
      <c r="AF40" s="193" t="str">
        <f t="shared" si="2"/>
        <v/>
      </c>
      <c r="AG40" s="191" t="str">
        <f t="shared" ref="AG40:AG44" si="44">+AE40</f>
        <v/>
      </c>
      <c r="AH40" s="193" t="str">
        <f t="shared" si="4"/>
        <v/>
      </c>
      <c r="AI40" s="191" t="str">
        <f t="shared" ref="AI40" si="45">IFERROR(IF(AND(X39="Impacto",X40="Impacto"),(AI39-(+AI39*AA40)),IF(X40="Impacto",($T$13-(+$T$13*AA40)),IF(X40="Probabilidad",AI39,""))),"")</f>
        <v/>
      </c>
      <c r="AJ40" s="194" t="str">
        <f t="shared" ref="AJ40:AJ41" si="46">IFERROR(IF(OR(AND(AF40="Muy Baja",AH40="Leve"),AND(AF40="Muy Baja",AH40="Menor"),AND(AF40="Baja",AH40="Leve")),"Bajo",IF(OR(AND(AF40="Muy baja",AH40="Moderado"),AND(AF40="Baja",AH40="Menor"),AND(AF40="Baja",AH40="Moderado"),AND(AF40="Media",AH40="Leve"),AND(AF40="Media",AH40="Menor"),AND(AF40="Media",AH40="Moderado"),AND(AF40="Alta",AH40="Leve"),AND(AF40="Alta",AH40="Menor")),"Moderado",IF(OR(AND(AF40="Muy Baja",AH40="Mayor"),AND(AF40="Baja",AH40="Mayor"),AND(AF40="Media",AH40="Mayor"),AND(AF40="Alta",AH40="Moderado"),AND(AF40="Alta",AH40="Mayor"),AND(AF40="Muy Alta",AH40="Leve"),AND(AF40="Muy Alta",AH40="Menor"),AND(AF40="Muy Alta",AH40="Moderado"),AND(AF40="Muy Alta",AH40="Mayor")),"Alto",IF(OR(AND(AF40="Muy Baja",AH40="Catastrófico"),AND(AF40="Baja",AH40="Catastrófico"),AND(AF40="Media",AH40="Catastrófico"),AND(AF40="Alta",AH40="Catastrófico"),AND(AF40="Muy Alta",AH40="Catastrófico")),"Extremo","")))),"")</f>
        <v/>
      </c>
      <c r="AK40" s="195"/>
      <c r="AL40" s="186"/>
      <c r="AM40" s="196"/>
      <c r="AN40" s="196"/>
      <c r="AO40" s="197"/>
      <c r="AP40" s="341"/>
      <c r="AQ40" s="341"/>
      <c r="AR40" s="341"/>
    </row>
    <row r="41" spans="1:44" ht="37.5" customHeight="1" x14ac:dyDescent="0.2">
      <c r="A41" s="352"/>
      <c r="B41" s="353"/>
      <c r="C41" s="353"/>
      <c r="D41" s="353"/>
      <c r="E41" s="336"/>
      <c r="F41" s="353"/>
      <c r="G41" s="336"/>
      <c r="H41" s="336"/>
      <c r="I41" s="336"/>
      <c r="J41" s="336"/>
      <c r="K41" s="336"/>
      <c r="L41" s="336"/>
      <c r="M41" s="336"/>
      <c r="N41" s="341"/>
      <c r="O41" s="346"/>
      <c r="P41" s="331"/>
      <c r="Q41" s="343"/>
      <c r="R41" s="331">
        <f>IF(NOT(ISERROR(MATCH(Q41,_xlfn.ANCHORARRAY(E52),0))),P54&amp;"Por favor no seleccionar los criterios de impacto",Q41)</f>
        <v>0</v>
      </c>
      <c r="S41" s="346"/>
      <c r="T41" s="331"/>
      <c r="U41" s="327"/>
      <c r="V41" s="214">
        <v>3</v>
      </c>
      <c r="W41" s="188"/>
      <c r="X41" s="189" t="str">
        <f>IF(OR(Y41="Preventivo",Y41="Detectivo"),"Probabilidad",IF(Y41="Correctivo","Impacto",""))</f>
        <v/>
      </c>
      <c r="Y41" s="190"/>
      <c r="Z41" s="190"/>
      <c r="AA41" s="191" t="str">
        <f t="shared" si="43"/>
        <v/>
      </c>
      <c r="AB41" s="190"/>
      <c r="AC41" s="190"/>
      <c r="AD41" s="190"/>
      <c r="AE41" s="192" t="str">
        <f>IFERROR(IF(AND(X40="Probabilidad",X41="Probabilidad"),(AG40-(+AG40*AA41)),IF(AND(X40="Impacto",X41="Probabilidad"),(AG39-(+AG39*AA41)),IF(X41="Impacto",AG40,""))),"")</f>
        <v/>
      </c>
      <c r="AF41" s="193" t="str">
        <f t="shared" si="2"/>
        <v/>
      </c>
      <c r="AG41" s="191" t="str">
        <f t="shared" si="44"/>
        <v/>
      </c>
      <c r="AH41" s="193" t="str">
        <f t="shared" si="4"/>
        <v/>
      </c>
      <c r="AI41" s="191" t="str">
        <f t="shared" ref="AI41" si="47">IFERROR(IF(AND(X40="Impacto",X41="Impacto"),(AI40-(+AI40*AA41)),IF(AND(X40="Probabilidad",X41="Impacto"),(AI39-(+AI39*AA41)),IF(X41="Probabilidad",AI40,""))),"")</f>
        <v/>
      </c>
      <c r="AJ41" s="194" t="str">
        <f t="shared" si="46"/>
        <v/>
      </c>
      <c r="AK41" s="195"/>
      <c r="AL41" s="186"/>
      <c r="AM41" s="196"/>
      <c r="AN41" s="196"/>
      <c r="AO41" s="197"/>
      <c r="AP41" s="341"/>
      <c r="AQ41" s="341"/>
      <c r="AR41" s="341"/>
    </row>
    <row r="42" spans="1:44" ht="37.5" customHeight="1" x14ac:dyDescent="0.2">
      <c r="A42" s="352"/>
      <c r="B42" s="353"/>
      <c r="C42" s="353"/>
      <c r="D42" s="353"/>
      <c r="E42" s="336"/>
      <c r="F42" s="353"/>
      <c r="G42" s="336"/>
      <c r="H42" s="336"/>
      <c r="I42" s="336"/>
      <c r="J42" s="336"/>
      <c r="K42" s="336"/>
      <c r="L42" s="336"/>
      <c r="M42" s="336"/>
      <c r="N42" s="341"/>
      <c r="O42" s="346"/>
      <c r="P42" s="331"/>
      <c r="Q42" s="343"/>
      <c r="R42" s="331">
        <f>IF(NOT(ISERROR(MATCH(Q42,_xlfn.ANCHORARRAY(E53),0))),P55&amp;"Por favor no seleccionar los criterios de impacto",Q42)</f>
        <v>0</v>
      </c>
      <c r="S42" s="346"/>
      <c r="T42" s="331"/>
      <c r="U42" s="327"/>
      <c r="V42" s="214">
        <v>4</v>
      </c>
      <c r="W42" s="187"/>
      <c r="X42" s="189" t="str">
        <f t="shared" ref="X42:X44" si="48">IF(OR(Y42="Preventivo",Y42="Detectivo"),"Probabilidad",IF(Y42="Correctivo","Impacto",""))</f>
        <v/>
      </c>
      <c r="Y42" s="190"/>
      <c r="Z42" s="190"/>
      <c r="AA42" s="191" t="str">
        <f t="shared" si="43"/>
        <v/>
      </c>
      <c r="AB42" s="190"/>
      <c r="AC42" s="190"/>
      <c r="AD42" s="190"/>
      <c r="AE42" s="192" t="str">
        <f t="shared" ref="AE42:AE44" si="49">IFERROR(IF(AND(X41="Probabilidad",X42="Probabilidad"),(AG41-(+AG41*AA42)),IF(AND(X41="Impacto",X42="Probabilidad"),(AG40-(+AG40*AA42)),IF(X42="Impacto",AG41,""))),"")</f>
        <v/>
      </c>
      <c r="AF42" s="193" t="str">
        <f t="shared" si="2"/>
        <v/>
      </c>
      <c r="AG42" s="191" t="str">
        <f t="shared" si="44"/>
        <v/>
      </c>
      <c r="AH42" s="193" t="str">
        <f t="shared" si="4"/>
        <v/>
      </c>
      <c r="AI42" s="191" t="str">
        <f t="shared" si="11"/>
        <v/>
      </c>
      <c r="AJ42" s="194" t="str">
        <f>IFERROR(IF(OR(AND(AF42="Muy Baja",AH42="Leve"),AND(AF42="Muy Baja",AH42="Menor"),AND(AF42="Baja",AH42="Leve")),"Bajo",IF(OR(AND(AF42="Muy baja",AH42="Moderado"),AND(AF42="Baja",AH42="Menor"),AND(AF42="Baja",AH42="Moderado"),AND(AF42="Media",AH42="Leve"),AND(AF42="Media",AH42="Menor"),AND(AF42="Media",AH42="Moderado"),AND(AF42="Alta",AH42="Leve"),AND(AF42="Alta",AH42="Menor")),"Moderado",IF(OR(AND(AF42="Muy Baja",AH42="Mayor"),AND(AF42="Baja",AH42="Mayor"),AND(AF42="Media",AH42="Mayor"),AND(AF42="Alta",AH42="Moderado"),AND(AF42="Alta",AH42="Mayor"),AND(AF42="Muy Alta",AH42="Leve"),AND(AF42="Muy Alta",AH42="Menor"),AND(AF42="Muy Alta",AH42="Moderado"),AND(AF42="Muy Alta",AH42="Mayor")),"Alto",IF(OR(AND(AF42="Muy Baja",AH42="Catastrófico"),AND(AF42="Baja",AH42="Catastrófico"),AND(AF42="Media",AH42="Catastrófico"),AND(AF42="Alta",AH42="Catastrófico"),AND(AF42="Muy Alta",AH42="Catastrófico")),"Extremo","")))),"")</f>
        <v/>
      </c>
      <c r="AK42" s="195"/>
      <c r="AL42" s="186"/>
      <c r="AM42" s="196"/>
      <c r="AN42" s="196"/>
      <c r="AO42" s="197"/>
      <c r="AP42" s="341"/>
      <c r="AQ42" s="341"/>
      <c r="AR42" s="341"/>
    </row>
    <row r="43" spans="1:44" ht="37.5" customHeight="1" x14ac:dyDescent="0.2">
      <c r="A43" s="352"/>
      <c r="B43" s="353"/>
      <c r="C43" s="353"/>
      <c r="D43" s="353"/>
      <c r="E43" s="336"/>
      <c r="F43" s="353"/>
      <c r="G43" s="336"/>
      <c r="H43" s="336"/>
      <c r="I43" s="336"/>
      <c r="J43" s="336"/>
      <c r="K43" s="336"/>
      <c r="L43" s="336"/>
      <c r="M43" s="336"/>
      <c r="N43" s="341"/>
      <c r="O43" s="346"/>
      <c r="P43" s="331"/>
      <c r="Q43" s="343"/>
      <c r="R43" s="331">
        <f>IF(NOT(ISERROR(MATCH(Q43,_xlfn.ANCHORARRAY(E54),0))),P56&amp;"Por favor no seleccionar los criterios de impacto",Q43)</f>
        <v>0</v>
      </c>
      <c r="S43" s="346"/>
      <c r="T43" s="331"/>
      <c r="U43" s="327"/>
      <c r="V43" s="214">
        <v>5</v>
      </c>
      <c r="W43" s="187"/>
      <c r="X43" s="189" t="str">
        <f t="shared" si="48"/>
        <v/>
      </c>
      <c r="Y43" s="190"/>
      <c r="Z43" s="190"/>
      <c r="AA43" s="191" t="str">
        <f t="shared" si="43"/>
        <v/>
      </c>
      <c r="AB43" s="190"/>
      <c r="AC43" s="190"/>
      <c r="AD43" s="190"/>
      <c r="AE43" s="192" t="str">
        <f t="shared" si="49"/>
        <v/>
      </c>
      <c r="AF43" s="193" t="str">
        <f t="shared" si="2"/>
        <v/>
      </c>
      <c r="AG43" s="191" t="str">
        <f t="shared" si="44"/>
        <v/>
      </c>
      <c r="AH43" s="193" t="str">
        <f t="shared" si="4"/>
        <v/>
      </c>
      <c r="AI43" s="191" t="str">
        <f t="shared" si="11"/>
        <v/>
      </c>
      <c r="AJ43" s="194" t="str">
        <f t="shared" ref="AJ43" si="50">IFERROR(IF(OR(AND(AF43="Muy Baja",AH43="Leve"),AND(AF43="Muy Baja",AH43="Menor"),AND(AF43="Baja",AH43="Leve")),"Bajo",IF(OR(AND(AF43="Muy baja",AH43="Moderado"),AND(AF43="Baja",AH43="Menor"),AND(AF43="Baja",AH43="Moderado"),AND(AF43="Media",AH43="Leve"),AND(AF43="Media",AH43="Menor"),AND(AF43="Media",AH43="Moderado"),AND(AF43="Alta",AH43="Leve"),AND(AF43="Alta",AH43="Menor")),"Moderado",IF(OR(AND(AF43="Muy Baja",AH43="Mayor"),AND(AF43="Baja",AH43="Mayor"),AND(AF43="Media",AH43="Mayor"),AND(AF43="Alta",AH43="Moderado"),AND(AF43="Alta",AH43="Mayor"),AND(AF43="Muy Alta",AH43="Leve"),AND(AF43="Muy Alta",AH43="Menor"),AND(AF43="Muy Alta",AH43="Moderado"),AND(AF43="Muy Alta",AH43="Mayor")),"Alto",IF(OR(AND(AF43="Muy Baja",AH43="Catastrófico"),AND(AF43="Baja",AH43="Catastrófico"),AND(AF43="Media",AH43="Catastrófico"),AND(AF43="Alta",AH43="Catastrófico"),AND(AF43="Muy Alta",AH43="Catastrófico")),"Extremo","")))),"")</f>
        <v/>
      </c>
      <c r="AK43" s="195"/>
      <c r="AL43" s="186"/>
      <c r="AM43" s="196"/>
      <c r="AN43" s="196"/>
      <c r="AO43" s="197"/>
      <c r="AP43" s="341"/>
      <c r="AQ43" s="341"/>
      <c r="AR43" s="341"/>
    </row>
    <row r="44" spans="1:44" ht="37.5" customHeight="1" x14ac:dyDescent="0.2">
      <c r="A44" s="352"/>
      <c r="B44" s="353"/>
      <c r="C44" s="353"/>
      <c r="D44" s="353"/>
      <c r="E44" s="337"/>
      <c r="F44" s="353"/>
      <c r="G44" s="337"/>
      <c r="H44" s="337"/>
      <c r="I44" s="337"/>
      <c r="J44" s="337"/>
      <c r="K44" s="337"/>
      <c r="L44" s="337"/>
      <c r="M44" s="337"/>
      <c r="N44" s="341"/>
      <c r="O44" s="346"/>
      <c r="P44" s="331"/>
      <c r="Q44" s="343"/>
      <c r="R44" s="331">
        <f>IF(NOT(ISERROR(MATCH(Q44,_xlfn.ANCHORARRAY(E55),0))),P57&amp;"Por favor no seleccionar los criterios de impacto",Q44)</f>
        <v>0</v>
      </c>
      <c r="S44" s="346"/>
      <c r="T44" s="331"/>
      <c r="U44" s="327"/>
      <c r="V44" s="214">
        <v>6</v>
      </c>
      <c r="W44" s="187"/>
      <c r="X44" s="189" t="str">
        <f t="shared" si="48"/>
        <v/>
      </c>
      <c r="Y44" s="190"/>
      <c r="Z44" s="190"/>
      <c r="AA44" s="191" t="str">
        <f t="shared" si="43"/>
        <v/>
      </c>
      <c r="AB44" s="190"/>
      <c r="AC44" s="190"/>
      <c r="AD44" s="190"/>
      <c r="AE44" s="192" t="str">
        <f t="shared" si="49"/>
        <v/>
      </c>
      <c r="AF44" s="193" t="str">
        <f t="shared" si="2"/>
        <v/>
      </c>
      <c r="AG44" s="191" t="str">
        <f t="shared" si="44"/>
        <v/>
      </c>
      <c r="AH44" s="193" t="str">
        <f>IFERROR(IF(AI44="","",IF(AI44&lt;=0.2,"Leve",IF(AI44&lt;=0.4,"Menor",IF(AI44&lt;=0.6,"Moderado",IF(AI44&lt;=0.8,"Mayor","Catastrófico"))))),"")</f>
        <v/>
      </c>
      <c r="AI44" s="191" t="str">
        <f t="shared" si="11"/>
        <v/>
      </c>
      <c r="AJ44" s="194" t="str">
        <f>IFERROR(IF(OR(AND(AF44="Muy Baja",AH44="Leve"),AND(AF44="Muy Baja",AH44="Menor"),AND(AF44="Baja",AH44="Leve")),"Bajo",IF(OR(AND(AF44="Muy baja",AH44="Moderado"),AND(AF44="Baja",AH44="Menor"),AND(AF44="Baja",AH44="Moderado"),AND(AF44="Media",AH44="Leve"),AND(AF44="Media",AH44="Menor"),AND(AF44="Media",AH44="Moderado"),AND(AF44="Alta",AH44="Leve"),AND(AF44="Alta",AH44="Menor")),"Moderado",IF(OR(AND(AF44="Muy Baja",AH44="Mayor"),AND(AF44="Baja",AH44="Mayor"),AND(AF44="Media",AH44="Mayor"),AND(AF44="Alta",AH44="Moderado"),AND(AF44="Alta",AH44="Mayor"),AND(AF44="Muy Alta",AH44="Leve"),AND(AF44="Muy Alta",AH44="Menor"),AND(AF44="Muy Alta",AH44="Moderado"),AND(AF44="Muy Alta",AH44="Mayor")),"Alto",IF(OR(AND(AF44="Muy Baja",AH44="Catastrófico"),AND(AF44="Baja",AH44="Catastrófico"),AND(AF44="Media",AH44="Catastrófico"),AND(AF44="Alta",AH44="Catastrófico"),AND(AF44="Muy Alta",AH44="Catastrófico")),"Extremo","")))),"")</f>
        <v/>
      </c>
      <c r="AK44" s="195"/>
      <c r="AL44" s="186"/>
      <c r="AM44" s="196"/>
      <c r="AN44" s="196"/>
      <c r="AO44" s="197"/>
      <c r="AP44" s="341"/>
      <c r="AQ44" s="341"/>
      <c r="AR44" s="341"/>
    </row>
    <row r="45" spans="1:44" ht="37.5" customHeight="1" x14ac:dyDescent="0.2">
      <c r="A45" s="352">
        <v>7</v>
      </c>
      <c r="B45" s="353"/>
      <c r="C45" s="353"/>
      <c r="D45" s="356"/>
      <c r="E45" s="353"/>
      <c r="F45" s="353"/>
      <c r="G45" s="335"/>
      <c r="H45" s="335"/>
      <c r="I45" s="335"/>
      <c r="J45" s="335"/>
      <c r="K45" s="335"/>
      <c r="L45" s="335"/>
      <c r="M45" s="335"/>
      <c r="N45" s="341"/>
      <c r="O45" s="346" t="str">
        <f>IF(N45&lt;=0,"",IF(N45&lt;=2,"Muy Baja",IF(N45&lt;=24,"Baja",IF(N45&lt;=500,"Media",IF(N45&lt;=5000,"Alta","Muy Alta")))))</f>
        <v/>
      </c>
      <c r="P45" s="331" t="str">
        <f>IF(O45="","",IF(O45="Muy Baja",0.2,IF(O45="Baja",0.4,IF(O45="Media",0.6,IF(O45="Alta",0.8,IF(O45="Muy Alta",1,))))))</f>
        <v/>
      </c>
      <c r="Q45" s="343"/>
      <c r="R45" s="331">
        <f>IF(NOT(ISERROR(MATCH(Q45,'Tabla Impacto'!$B$222:$B$224,0))),'Tabla Impacto'!$F$224&amp;"Por favor no seleccionar los criterios de impacto(Afectación Económica o presupuestal y Pérdida Reputacional)",Q45)</f>
        <v>0</v>
      </c>
      <c r="S45" s="346" t="str">
        <f>IF(OR(R45='Tabla Impacto'!$C$12,R45='Tabla Impacto'!$D$12),"Leve",IF(OR(R45='Tabla Impacto'!$C$13,R45='Tabla Impacto'!$D$13),"Menor",IF(OR(R45='Tabla Impacto'!$C$14,R45='Tabla Impacto'!$D$14),"Moderado",IF(OR(R45='Tabla Impacto'!$C$15,R45='Tabla Impacto'!$D$15),"Mayor",IF(OR(R45='Tabla Impacto'!$C$16,R45='Tabla Impacto'!$D$16),"Catastrófico","")))))</f>
        <v/>
      </c>
      <c r="T45" s="331" t="str">
        <f>IF(S45="","",IF(S45="Leve",0.2,IF(S45="Menor",0.4,IF(S45="Moderado",0.6,IF(S45="Mayor",0.8,IF(S45="Catastrófico",1,))))))</f>
        <v/>
      </c>
      <c r="U45" s="327" t="str">
        <f>IF(OR(AND(O45="Muy Baja",S45="Leve"),AND(O45="Muy Baja",S45="Menor"),AND(O45="Baja",S45="Leve")),"Bajo",IF(OR(AND(O45="Muy baja",S45="Moderado"),AND(O45="Baja",S45="Menor"),AND(O45="Baja",S45="Moderado"),AND(O45="Media",S45="Leve"),AND(O45="Media",S45="Menor"),AND(O45="Media",S45="Moderado"),AND(O45="Alta",S45="Leve"),AND(O45="Alta",S45="Menor")),"Moderado",IF(OR(AND(O45="Muy Baja",S45="Mayor"),AND(O45="Baja",S45="Mayor"),AND(O45="Media",S45="Mayor"),AND(O45="Alta",S45="Moderado"),AND(O45="Alta",S45="Mayor"),AND(O45="Muy Alta",S45="Leve"),AND(O45="Muy Alta",S45="Menor"),AND(O45="Muy Alta",S45="Moderado"),AND(O45="Muy Alta",S45="Mayor")),"Alto",IF(OR(AND(O45="Muy Baja",S45="Catastrófico"),AND(O45="Baja",S45="Catastrófico"),AND(O45="Media",S45="Catastrófico"),AND(O45="Alta",S45="Catastrófico"),AND(O45="Muy Alta",S45="Catastrófico")),"Extremo",""))))</f>
        <v/>
      </c>
      <c r="V45" s="214">
        <v>1</v>
      </c>
      <c r="W45" s="199"/>
      <c r="X45" s="189" t="str">
        <f>IF(OR(Y45="Preventivo",Y45="Detectivo"),"Probabilidad",IF(Y45="Correctivo","Impacto",""))</f>
        <v/>
      </c>
      <c r="Y45" s="190"/>
      <c r="Z45" s="190"/>
      <c r="AA45" s="191" t="str">
        <f>IF(AND(Y45="Preventivo",Z45="Automático"),"50%",IF(AND(Y45="Preventivo",Z45="Manual"),"40%",IF(AND(Y45="Detectivo",Z45="Automático"),"40%",IF(AND(Y45="Detectivo",Z45="Manual"),"30%",IF(AND(Y45="Correctivo",Z45="Automático"),"35%",IF(AND(Y45="Correctivo",Z45="Manual"),"25%",""))))))</f>
        <v/>
      </c>
      <c r="AB45" s="190"/>
      <c r="AC45" s="190"/>
      <c r="AD45" s="190"/>
      <c r="AE45" s="192" t="str">
        <f>IFERROR(IF(X45="Probabilidad",(P45-(+P45*AA45)),IF(X45="Impacto",P45,"")),"")</f>
        <v/>
      </c>
      <c r="AF45" s="193" t="str">
        <f>IFERROR(IF(AE45="","",IF(AE45&lt;=0.2,"Muy Baja",IF(AE45&lt;=0.4,"Baja",IF(AE45&lt;=0.6,"Media",IF(AE45&lt;=0.8,"Alta","Muy Alta"))))),"")</f>
        <v/>
      </c>
      <c r="AG45" s="191" t="str">
        <f>+AE45</f>
        <v/>
      </c>
      <c r="AH45" s="193" t="str">
        <f>IFERROR(IF(AI45="","",IF(AI45&lt;=0.2,"Leve",IF(AI45&lt;=0.4,"Menor",IF(AI45&lt;=0.6,"Moderado",IF(AI45&lt;=0.8,"Mayor","Catastrófico"))))),"")</f>
        <v/>
      </c>
      <c r="AI45" s="191" t="str">
        <f t="shared" ref="AI45" si="51">IFERROR(IF(X45="Impacto",(T45-(+T45*AA45)),IF(X45="Probabilidad",T45,"")),"")</f>
        <v/>
      </c>
      <c r="AJ45" s="194" t="str">
        <f>IFERROR(IF(OR(AND(AF45="Muy Baja",AH45="Leve"),AND(AF45="Muy Baja",AH45="Menor"),AND(AF45="Baja",AH45="Leve")),"Bajo",IF(OR(AND(AF45="Muy baja",AH45="Moderado"),AND(AF45="Baja",AH45="Menor"),AND(AF45="Baja",AH45="Moderado"),AND(AF45="Media",AH45="Leve"),AND(AF45="Media",AH45="Menor"),AND(AF45="Media",AH45="Moderado"),AND(AF45="Alta",AH45="Leve"),AND(AF45="Alta",AH45="Menor")),"Moderado",IF(OR(AND(AF45="Muy Baja",AH45="Mayor"),AND(AF45="Baja",AH45="Mayor"),AND(AF45="Media",AH45="Mayor"),AND(AF45="Alta",AH45="Moderado"),AND(AF45="Alta",AH45="Mayor"),AND(AF45="Muy Alta",AH45="Leve"),AND(AF45="Muy Alta",AH45="Menor"),AND(AF45="Muy Alta",AH45="Moderado"),AND(AF45="Muy Alta",AH45="Mayor")),"Alto",IF(OR(AND(AF45="Muy Baja",AH45="Catastrófico"),AND(AF45="Baja",AH45="Catastrófico"),AND(AF45="Media",AH45="Catastrófico"),AND(AF45="Alta",AH45="Catastrófico"),AND(AF45="Muy Alta",AH45="Catastrófico")),"Extremo","")))),"")</f>
        <v/>
      </c>
      <c r="AK45" s="195"/>
      <c r="AL45" s="186"/>
      <c r="AM45" s="196"/>
      <c r="AN45" s="196"/>
      <c r="AO45" s="197"/>
      <c r="AP45" s="341"/>
      <c r="AQ45" s="341"/>
      <c r="AR45" s="341"/>
    </row>
    <row r="46" spans="1:44" ht="37.5" customHeight="1" x14ac:dyDescent="0.2">
      <c r="A46" s="352"/>
      <c r="B46" s="353"/>
      <c r="C46" s="353"/>
      <c r="D46" s="356"/>
      <c r="E46" s="353"/>
      <c r="F46" s="353"/>
      <c r="G46" s="336"/>
      <c r="H46" s="336"/>
      <c r="I46" s="336"/>
      <c r="J46" s="336"/>
      <c r="K46" s="336"/>
      <c r="L46" s="336"/>
      <c r="M46" s="336"/>
      <c r="N46" s="341"/>
      <c r="O46" s="346"/>
      <c r="P46" s="331"/>
      <c r="Q46" s="343"/>
      <c r="R46" s="331">
        <f>IF(NOT(ISERROR(MATCH(Q46,_xlfn.ANCHORARRAY(E57),0))),P59&amp;"Por favor no seleccionar los criterios de impacto",Q46)</f>
        <v>0</v>
      </c>
      <c r="S46" s="346"/>
      <c r="T46" s="331"/>
      <c r="U46" s="327"/>
      <c r="V46" s="214">
        <v>2</v>
      </c>
      <c r="W46" s="187"/>
      <c r="X46" s="189" t="str">
        <f>IF(OR(Y46="Preventivo",Y46="Detectivo"),"Probabilidad",IF(Y46="Correctivo","Impacto",""))</f>
        <v/>
      </c>
      <c r="Y46" s="190"/>
      <c r="Z46" s="190"/>
      <c r="AA46" s="191" t="str">
        <f t="shared" ref="AA46:AA50" si="52">IF(AND(Y46="Preventivo",Z46="Automático"),"50%",IF(AND(Y46="Preventivo",Z46="Manual"),"40%",IF(AND(Y46="Detectivo",Z46="Automático"),"40%",IF(AND(Y46="Detectivo",Z46="Manual"),"30%",IF(AND(Y46="Correctivo",Z46="Automático"),"35%",IF(AND(Y46="Correctivo",Z46="Manual"),"25%",""))))))</f>
        <v/>
      </c>
      <c r="AB46" s="190"/>
      <c r="AC46" s="190"/>
      <c r="AD46" s="190"/>
      <c r="AE46" s="192" t="str">
        <f>IFERROR(IF(AND(X45="Probabilidad",X46="Probabilidad"),(AG45-(+AG45*AA46)),IF(X46="Probabilidad",(P45-(+P45*AA46)),IF(X46="Impacto",AG45,""))),"")</f>
        <v/>
      </c>
      <c r="AF46" s="193" t="str">
        <f t="shared" si="2"/>
        <v/>
      </c>
      <c r="AG46" s="191" t="str">
        <f t="shared" ref="AG46:AG50" si="53">+AE46</f>
        <v/>
      </c>
      <c r="AH46" s="193" t="str">
        <f t="shared" si="4"/>
        <v/>
      </c>
      <c r="AI46" s="191" t="str">
        <f t="shared" ref="AI46" si="54">IFERROR(IF(AND(X45="Impacto",X46="Impacto"),(AI45-(+AI45*AA46)),IF(X46="Impacto",($T$13-(+$T$13*AA46)),IF(X46="Probabilidad",AI45,""))),"")</f>
        <v/>
      </c>
      <c r="AJ46" s="194" t="str">
        <f t="shared" ref="AJ46:AJ47" si="55">IFERROR(IF(OR(AND(AF46="Muy Baja",AH46="Leve"),AND(AF46="Muy Baja",AH46="Menor"),AND(AF46="Baja",AH46="Leve")),"Bajo",IF(OR(AND(AF46="Muy baja",AH46="Moderado"),AND(AF46="Baja",AH46="Menor"),AND(AF46="Baja",AH46="Moderado"),AND(AF46="Media",AH46="Leve"),AND(AF46="Media",AH46="Menor"),AND(AF46="Media",AH46="Moderado"),AND(AF46="Alta",AH46="Leve"),AND(AF46="Alta",AH46="Menor")),"Moderado",IF(OR(AND(AF46="Muy Baja",AH46="Mayor"),AND(AF46="Baja",AH46="Mayor"),AND(AF46="Media",AH46="Mayor"),AND(AF46="Alta",AH46="Moderado"),AND(AF46="Alta",AH46="Mayor"),AND(AF46="Muy Alta",AH46="Leve"),AND(AF46="Muy Alta",AH46="Menor"),AND(AF46="Muy Alta",AH46="Moderado"),AND(AF46="Muy Alta",AH46="Mayor")),"Alto",IF(OR(AND(AF46="Muy Baja",AH46="Catastrófico"),AND(AF46="Baja",AH46="Catastrófico"),AND(AF46="Media",AH46="Catastrófico"),AND(AF46="Alta",AH46="Catastrófico"),AND(AF46="Muy Alta",AH46="Catastrófico")),"Extremo","")))),"")</f>
        <v/>
      </c>
      <c r="AK46" s="195"/>
      <c r="AL46" s="186"/>
      <c r="AM46" s="196"/>
      <c r="AN46" s="196"/>
      <c r="AO46" s="197"/>
      <c r="AP46" s="341"/>
      <c r="AQ46" s="341"/>
      <c r="AR46" s="341"/>
    </row>
    <row r="47" spans="1:44" ht="37.5" customHeight="1" x14ac:dyDescent="0.2">
      <c r="A47" s="352"/>
      <c r="B47" s="353"/>
      <c r="C47" s="353"/>
      <c r="D47" s="356"/>
      <c r="E47" s="353"/>
      <c r="F47" s="353"/>
      <c r="G47" s="336"/>
      <c r="H47" s="336"/>
      <c r="I47" s="336"/>
      <c r="J47" s="336"/>
      <c r="K47" s="336"/>
      <c r="L47" s="336"/>
      <c r="M47" s="336"/>
      <c r="N47" s="341"/>
      <c r="O47" s="346"/>
      <c r="P47" s="331"/>
      <c r="Q47" s="343"/>
      <c r="R47" s="331">
        <f>IF(NOT(ISERROR(MATCH(Q47,_xlfn.ANCHORARRAY(E58),0))),P60&amp;"Por favor no seleccionar los criterios de impacto",Q47)</f>
        <v>0</v>
      </c>
      <c r="S47" s="346"/>
      <c r="T47" s="331"/>
      <c r="U47" s="327"/>
      <c r="V47" s="214">
        <v>3</v>
      </c>
      <c r="W47" s="188"/>
      <c r="X47" s="189" t="str">
        <f>IF(OR(Y47="Preventivo",Y47="Detectivo"),"Probabilidad",IF(Y47="Correctivo","Impacto",""))</f>
        <v/>
      </c>
      <c r="Y47" s="190"/>
      <c r="Z47" s="190"/>
      <c r="AA47" s="191" t="str">
        <f t="shared" si="52"/>
        <v/>
      </c>
      <c r="AB47" s="190"/>
      <c r="AC47" s="190"/>
      <c r="AD47" s="190"/>
      <c r="AE47" s="192" t="str">
        <f>IFERROR(IF(AND(X46="Probabilidad",X47="Probabilidad"),(AG46-(+AG46*AA47)),IF(AND(X46="Impacto",X47="Probabilidad"),(AG45-(+AG45*AA47)),IF(X47="Impacto",AG46,""))),"")</f>
        <v/>
      </c>
      <c r="AF47" s="193" t="str">
        <f t="shared" si="2"/>
        <v/>
      </c>
      <c r="AG47" s="191" t="str">
        <f t="shared" si="53"/>
        <v/>
      </c>
      <c r="AH47" s="193" t="str">
        <f t="shared" si="4"/>
        <v/>
      </c>
      <c r="AI47" s="191" t="str">
        <f t="shared" ref="AI47" si="56">IFERROR(IF(AND(X46="Impacto",X47="Impacto"),(AI46-(+AI46*AA47)),IF(AND(X46="Probabilidad",X47="Impacto"),(AI45-(+AI45*AA47)),IF(X47="Probabilidad",AI46,""))),"")</f>
        <v/>
      </c>
      <c r="AJ47" s="194" t="str">
        <f t="shared" si="55"/>
        <v/>
      </c>
      <c r="AK47" s="195"/>
      <c r="AL47" s="186"/>
      <c r="AM47" s="196"/>
      <c r="AN47" s="196"/>
      <c r="AO47" s="197"/>
      <c r="AP47" s="341"/>
      <c r="AQ47" s="341"/>
      <c r="AR47" s="341"/>
    </row>
    <row r="48" spans="1:44" ht="37.5" customHeight="1" x14ac:dyDescent="0.2">
      <c r="A48" s="352"/>
      <c r="B48" s="353"/>
      <c r="C48" s="353"/>
      <c r="D48" s="356"/>
      <c r="E48" s="353"/>
      <c r="F48" s="353"/>
      <c r="G48" s="336"/>
      <c r="H48" s="336"/>
      <c r="I48" s="336"/>
      <c r="J48" s="336"/>
      <c r="K48" s="336"/>
      <c r="L48" s="336"/>
      <c r="M48" s="336"/>
      <c r="N48" s="341"/>
      <c r="O48" s="346"/>
      <c r="P48" s="331"/>
      <c r="Q48" s="343"/>
      <c r="R48" s="331">
        <f>IF(NOT(ISERROR(MATCH(Q48,_xlfn.ANCHORARRAY(E59),0))),P61&amp;"Por favor no seleccionar los criterios de impacto",Q48)</f>
        <v>0</v>
      </c>
      <c r="S48" s="346"/>
      <c r="T48" s="331"/>
      <c r="U48" s="327"/>
      <c r="V48" s="214">
        <v>4</v>
      </c>
      <c r="W48" s="187"/>
      <c r="X48" s="189" t="str">
        <f t="shared" ref="X48:X50" si="57">IF(OR(Y48="Preventivo",Y48="Detectivo"),"Probabilidad",IF(Y48="Correctivo","Impacto",""))</f>
        <v/>
      </c>
      <c r="Y48" s="190"/>
      <c r="Z48" s="190"/>
      <c r="AA48" s="191" t="str">
        <f t="shared" si="52"/>
        <v/>
      </c>
      <c r="AB48" s="190"/>
      <c r="AC48" s="190"/>
      <c r="AD48" s="190"/>
      <c r="AE48" s="192" t="str">
        <f t="shared" ref="AE48:AE50" si="58">IFERROR(IF(AND(X47="Probabilidad",X48="Probabilidad"),(AG47-(+AG47*AA48)),IF(AND(X47="Impacto",X48="Probabilidad"),(AG46-(+AG46*AA48)),IF(X48="Impacto",AG47,""))),"")</f>
        <v/>
      </c>
      <c r="AF48" s="193" t="str">
        <f t="shared" si="2"/>
        <v/>
      </c>
      <c r="AG48" s="191" t="str">
        <f t="shared" si="53"/>
        <v/>
      </c>
      <c r="AH48" s="193" t="str">
        <f t="shared" si="4"/>
        <v/>
      </c>
      <c r="AI48" s="191" t="str">
        <f t="shared" si="11"/>
        <v/>
      </c>
      <c r="AJ48" s="194" t="str">
        <f>IFERROR(IF(OR(AND(AF48="Muy Baja",AH48="Leve"),AND(AF48="Muy Baja",AH48="Menor"),AND(AF48="Baja",AH48="Leve")),"Bajo",IF(OR(AND(AF48="Muy baja",AH48="Moderado"),AND(AF48="Baja",AH48="Menor"),AND(AF48="Baja",AH48="Moderado"),AND(AF48="Media",AH48="Leve"),AND(AF48="Media",AH48="Menor"),AND(AF48="Media",AH48="Moderado"),AND(AF48="Alta",AH48="Leve"),AND(AF48="Alta",AH48="Menor")),"Moderado",IF(OR(AND(AF48="Muy Baja",AH48="Mayor"),AND(AF48="Baja",AH48="Mayor"),AND(AF48="Media",AH48="Mayor"),AND(AF48="Alta",AH48="Moderado"),AND(AF48="Alta",AH48="Mayor"),AND(AF48="Muy Alta",AH48="Leve"),AND(AF48="Muy Alta",AH48="Menor"),AND(AF48="Muy Alta",AH48="Moderado"),AND(AF48="Muy Alta",AH48="Mayor")),"Alto",IF(OR(AND(AF48="Muy Baja",AH48="Catastrófico"),AND(AF48="Baja",AH48="Catastrófico"),AND(AF48="Media",AH48="Catastrófico"),AND(AF48="Alta",AH48="Catastrófico"),AND(AF48="Muy Alta",AH48="Catastrófico")),"Extremo","")))),"")</f>
        <v/>
      </c>
      <c r="AK48" s="195"/>
      <c r="AL48" s="186"/>
      <c r="AM48" s="196"/>
      <c r="AN48" s="196"/>
      <c r="AO48" s="197"/>
      <c r="AP48" s="341"/>
      <c r="AQ48" s="341"/>
      <c r="AR48" s="341"/>
    </row>
    <row r="49" spans="1:44" ht="37.5" customHeight="1" x14ac:dyDescent="0.2">
      <c r="A49" s="352"/>
      <c r="B49" s="353"/>
      <c r="C49" s="353"/>
      <c r="D49" s="356"/>
      <c r="E49" s="353"/>
      <c r="F49" s="353"/>
      <c r="G49" s="336"/>
      <c r="H49" s="336"/>
      <c r="I49" s="336"/>
      <c r="J49" s="336"/>
      <c r="K49" s="336"/>
      <c r="L49" s="336"/>
      <c r="M49" s="336"/>
      <c r="N49" s="341"/>
      <c r="O49" s="346"/>
      <c r="P49" s="331"/>
      <c r="Q49" s="343"/>
      <c r="R49" s="331">
        <f>IF(NOT(ISERROR(MATCH(Q49,_xlfn.ANCHORARRAY(E60),0))),P62&amp;"Por favor no seleccionar los criterios de impacto",Q49)</f>
        <v>0</v>
      </c>
      <c r="S49" s="346"/>
      <c r="T49" s="331"/>
      <c r="U49" s="327"/>
      <c r="V49" s="214">
        <v>5</v>
      </c>
      <c r="W49" s="187"/>
      <c r="X49" s="189" t="str">
        <f t="shared" si="57"/>
        <v/>
      </c>
      <c r="Y49" s="190"/>
      <c r="Z49" s="190"/>
      <c r="AA49" s="191" t="str">
        <f t="shared" si="52"/>
        <v/>
      </c>
      <c r="AB49" s="190"/>
      <c r="AC49" s="190"/>
      <c r="AD49" s="190"/>
      <c r="AE49" s="192" t="str">
        <f t="shared" si="58"/>
        <v/>
      </c>
      <c r="AF49" s="193" t="str">
        <f t="shared" si="2"/>
        <v/>
      </c>
      <c r="AG49" s="191" t="str">
        <f t="shared" si="53"/>
        <v/>
      </c>
      <c r="AH49" s="193" t="str">
        <f t="shared" si="4"/>
        <v/>
      </c>
      <c r="AI49" s="191" t="str">
        <f t="shared" si="11"/>
        <v/>
      </c>
      <c r="AJ49" s="194" t="str">
        <f t="shared" ref="AJ49:AJ50" si="59">IFERROR(IF(OR(AND(AF49="Muy Baja",AH49="Leve"),AND(AF49="Muy Baja",AH49="Menor"),AND(AF49="Baja",AH49="Leve")),"Bajo",IF(OR(AND(AF49="Muy baja",AH49="Moderado"),AND(AF49="Baja",AH49="Menor"),AND(AF49="Baja",AH49="Moderado"),AND(AF49="Media",AH49="Leve"),AND(AF49="Media",AH49="Menor"),AND(AF49="Media",AH49="Moderado"),AND(AF49="Alta",AH49="Leve"),AND(AF49="Alta",AH49="Menor")),"Moderado",IF(OR(AND(AF49="Muy Baja",AH49="Mayor"),AND(AF49="Baja",AH49="Mayor"),AND(AF49="Media",AH49="Mayor"),AND(AF49="Alta",AH49="Moderado"),AND(AF49="Alta",AH49="Mayor"),AND(AF49="Muy Alta",AH49="Leve"),AND(AF49="Muy Alta",AH49="Menor"),AND(AF49="Muy Alta",AH49="Moderado"),AND(AF49="Muy Alta",AH49="Mayor")),"Alto",IF(OR(AND(AF49="Muy Baja",AH49="Catastrófico"),AND(AF49="Baja",AH49="Catastrófico"),AND(AF49="Media",AH49="Catastrófico"),AND(AF49="Alta",AH49="Catastrófico"),AND(AF49="Muy Alta",AH49="Catastrófico")),"Extremo","")))),"")</f>
        <v/>
      </c>
      <c r="AK49" s="195"/>
      <c r="AL49" s="186"/>
      <c r="AM49" s="196"/>
      <c r="AN49" s="196"/>
      <c r="AO49" s="197"/>
      <c r="AP49" s="341"/>
      <c r="AQ49" s="341"/>
      <c r="AR49" s="341"/>
    </row>
    <row r="50" spans="1:44" ht="37.5" customHeight="1" x14ac:dyDescent="0.2">
      <c r="A50" s="352"/>
      <c r="B50" s="353"/>
      <c r="C50" s="353"/>
      <c r="D50" s="356"/>
      <c r="E50" s="353"/>
      <c r="F50" s="353"/>
      <c r="G50" s="337"/>
      <c r="H50" s="337"/>
      <c r="I50" s="337"/>
      <c r="J50" s="337"/>
      <c r="K50" s="337"/>
      <c r="L50" s="337"/>
      <c r="M50" s="337"/>
      <c r="N50" s="341"/>
      <c r="O50" s="346"/>
      <c r="P50" s="331"/>
      <c r="Q50" s="343"/>
      <c r="R50" s="331">
        <f>IF(NOT(ISERROR(MATCH(Q50,_xlfn.ANCHORARRAY(E61),0))),P63&amp;"Por favor no seleccionar los criterios de impacto",Q50)</f>
        <v>0</v>
      </c>
      <c r="S50" s="346"/>
      <c r="T50" s="331"/>
      <c r="U50" s="327"/>
      <c r="V50" s="214">
        <v>6</v>
      </c>
      <c r="W50" s="187"/>
      <c r="X50" s="189" t="str">
        <f t="shared" si="57"/>
        <v/>
      </c>
      <c r="Y50" s="190"/>
      <c r="Z50" s="190"/>
      <c r="AA50" s="191" t="str">
        <f t="shared" si="52"/>
        <v/>
      </c>
      <c r="AB50" s="190"/>
      <c r="AC50" s="190"/>
      <c r="AD50" s="190"/>
      <c r="AE50" s="192" t="str">
        <f t="shared" si="58"/>
        <v/>
      </c>
      <c r="AF50" s="193" t="str">
        <f t="shared" si="2"/>
        <v/>
      </c>
      <c r="AG50" s="191" t="str">
        <f t="shared" si="53"/>
        <v/>
      </c>
      <c r="AH50" s="193" t="str">
        <f t="shared" si="4"/>
        <v/>
      </c>
      <c r="AI50" s="191" t="str">
        <f t="shared" si="11"/>
        <v/>
      </c>
      <c r="AJ50" s="194" t="str">
        <f t="shared" si="59"/>
        <v/>
      </c>
      <c r="AK50" s="195"/>
      <c r="AL50" s="186"/>
      <c r="AM50" s="196"/>
      <c r="AN50" s="196"/>
      <c r="AO50" s="197"/>
      <c r="AP50" s="341"/>
      <c r="AQ50" s="341"/>
      <c r="AR50" s="341"/>
    </row>
    <row r="51" spans="1:44" ht="37.5" customHeight="1" x14ac:dyDescent="0.2">
      <c r="A51" s="352">
        <v>8</v>
      </c>
      <c r="B51" s="353"/>
      <c r="C51" s="353"/>
      <c r="D51" s="353"/>
      <c r="E51" s="353"/>
      <c r="F51" s="353"/>
      <c r="G51" s="335"/>
      <c r="H51" s="335"/>
      <c r="I51" s="335"/>
      <c r="J51" s="335"/>
      <c r="K51" s="335"/>
      <c r="L51" s="335"/>
      <c r="M51" s="335"/>
      <c r="N51" s="341"/>
      <c r="O51" s="346" t="str">
        <f>IF(N51&lt;=0,"",IF(N51&lt;=2,"Muy Baja",IF(N51&lt;=24,"Baja",IF(N51&lt;=500,"Media",IF(N51&lt;=5000,"Alta","Muy Alta")))))</f>
        <v/>
      </c>
      <c r="P51" s="331" t="str">
        <f>IF(O51="","",IF(O51="Muy Baja",0.2,IF(O51="Baja",0.4,IF(O51="Media",0.6,IF(O51="Alta",0.8,IF(O51="Muy Alta",1,))))))</f>
        <v/>
      </c>
      <c r="Q51" s="343"/>
      <c r="R51" s="331">
        <f>IF(NOT(ISERROR(MATCH(Q51,'Tabla Impacto'!$B$222:$B$224,0))),'Tabla Impacto'!$F$224&amp;"Por favor no seleccionar los criterios de impacto(Afectación Económica o presupuestal y Pérdida Reputacional)",Q51)</f>
        <v>0</v>
      </c>
      <c r="S51" s="346" t="str">
        <f>IF(OR(R51='Tabla Impacto'!$C$12,R51='Tabla Impacto'!$D$12),"Leve",IF(OR(R51='Tabla Impacto'!$C$13,R51='Tabla Impacto'!$D$13),"Menor",IF(OR(R51='Tabla Impacto'!$C$14,R51='Tabla Impacto'!$D$14),"Moderado",IF(OR(R51='Tabla Impacto'!$C$15,R51='Tabla Impacto'!$D$15),"Mayor",IF(OR(R51='Tabla Impacto'!$C$16,R51='Tabla Impacto'!$D$16),"Catastrófico","")))))</f>
        <v/>
      </c>
      <c r="T51" s="331" t="str">
        <f>IF(S51="","",IF(S51="Leve",0.2,IF(S51="Menor",0.4,IF(S51="Moderado",0.6,IF(S51="Mayor",0.8,IF(S51="Catastrófico",1,))))))</f>
        <v/>
      </c>
      <c r="U51" s="327" t="str">
        <f>IF(OR(AND(O51="Muy Baja",S51="Leve"),AND(O51="Muy Baja",S51="Menor"),AND(O51="Baja",S51="Leve")),"Bajo",IF(OR(AND(O51="Muy baja",S51="Moderado"),AND(O51="Baja",S51="Menor"),AND(O51="Baja",S51="Moderado"),AND(O51="Media",S51="Leve"),AND(O51="Media",S51="Menor"),AND(O51="Media",S51="Moderado"),AND(O51="Alta",S51="Leve"),AND(O51="Alta",S51="Menor")),"Moderado",IF(OR(AND(O51="Muy Baja",S51="Mayor"),AND(O51="Baja",S51="Mayor"),AND(O51="Media",S51="Mayor"),AND(O51="Alta",S51="Moderado"),AND(O51="Alta",S51="Mayor"),AND(O51="Muy Alta",S51="Leve"),AND(O51="Muy Alta",S51="Menor"),AND(O51="Muy Alta",S51="Moderado"),AND(O51="Muy Alta",S51="Mayor")),"Alto",IF(OR(AND(O51="Muy Baja",S51="Catastrófico"),AND(O51="Baja",S51="Catastrófico"),AND(O51="Media",S51="Catastrófico"),AND(O51="Alta",S51="Catastrófico"),AND(O51="Muy Alta",S51="Catastrófico")),"Extremo",""))))</f>
        <v/>
      </c>
      <c r="V51" s="214">
        <v>1</v>
      </c>
      <c r="W51" s="187"/>
      <c r="X51" s="189" t="str">
        <f>IF(OR(Y51="Preventivo",Y51="Detectivo"),"Probabilidad",IF(Y51="Correctivo","Impacto",""))</f>
        <v/>
      </c>
      <c r="Y51" s="190"/>
      <c r="Z51" s="190"/>
      <c r="AA51" s="191" t="str">
        <f>IF(AND(Y51="Preventivo",Z51="Automático"),"50%",IF(AND(Y51="Preventivo",Z51="Manual"),"40%",IF(AND(Y51="Detectivo",Z51="Automático"),"40%",IF(AND(Y51="Detectivo",Z51="Manual"),"30%",IF(AND(Y51="Correctivo",Z51="Automático"),"35%",IF(AND(Y51="Correctivo",Z51="Manual"),"25%",""))))))</f>
        <v/>
      </c>
      <c r="AB51" s="190"/>
      <c r="AC51" s="190"/>
      <c r="AD51" s="190"/>
      <c r="AE51" s="192" t="str">
        <f>IFERROR(IF(X51="Probabilidad",(P51-(+P51*AA51)),IF(X51="Impacto",P51,"")),"")</f>
        <v/>
      </c>
      <c r="AF51" s="193" t="str">
        <f>IFERROR(IF(AE51="","",IF(AE51&lt;=0.2,"Muy Baja",IF(AE51&lt;=0.4,"Baja",IF(AE51&lt;=0.6,"Media",IF(AE51&lt;=0.8,"Alta","Muy Alta"))))),"")</f>
        <v/>
      </c>
      <c r="AG51" s="191" t="str">
        <f>+AE51</f>
        <v/>
      </c>
      <c r="AH51" s="193" t="str">
        <f>IFERROR(IF(AI51="","",IF(AI51&lt;=0.2,"Leve",IF(AI51&lt;=0.4,"Menor",IF(AI51&lt;=0.6,"Moderado",IF(AI51&lt;=0.8,"Mayor","Catastrófico"))))),"")</f>
        <v/>
      </c>
      <c r="AI51" s="191" t="str">
        <f t="shared" ref="AI51" si="60">IFERROR(IF(X51="Impacto",(T51-(+T51*AA51)),IF(X51="Probabilidad",T51,"")),"")</f>
        <v/>
      </c>
      <c r="AJ51" s="194" t="str">
        <f>IFERROR(IF(OR(AND(AF51="Muy Baja",AH51="Leve"),AND(AF51="Muy Baja",AH51="Menor"),AND(AF51="Baja",AH51="Leve")),"Bajo",IF(OR(AND(AF51="Muy baja",AH51="Moderado"),AND(AF51="Baja",AH51="Menor"),AND(AF51="Baja",AH51="Moderado"),AND(AF51="Media",AH51="Leve"),AND(AF51="Media",AH51="Menor"),AND(AF51="Media",AH51="Moderado"),AND(AF51="Alta",AH51="Leve"),AND(AF51="Alta",AH51="Menor")),"Moderado",IF(OR(AND(AF51="Muy Baja",AH51="Mayor"),AND(AF51="Baja",AH51="Mayor"),AND(AF51="Media",AH51="Mayor"),AND(AF51="Alta",AH51="Moderado"),AND(AF51="Alta",AH51="Mayor"),AND(AF51="Muy Alta",AH51="Leve"),AND(AF51="Muy Alta",AH51="Menor"),AND(AF51="Muy Alta",AH51="Moderado"),AND(AF51="Muy Alta",AH51="Mayor")),"Alto",IF(OR(AND(AF51="Muy Baja",AH51="Catastrófico"),AND(AF51="Baja",AH51="Catastrófico"),AND(AF51="Media",AH51="Catastrófico"),AND(AF51="Alta",AH51="Catastrófico"),AND(AF51="Muy Alta",AH51="Catastrófico")),"Extremo","")))),"")</f>
        <v/>
      </c>
      <c r="AK51" s="195"/>
      <c r="AL51" s="186"/>
      <c r="AM51" s="196"/>
      <c r="AN51" s="196"/>
      <c r="AO51" s="197"/>
      <c r="AP51" s="341"/>
      <c r="AQ51" s="341"/>
      <c r="AR51" s="341"/>
    </row>
    <row r="52" spans="1:44" ht="37.5" customHeight="1" x14ac:dyDescent="0.2">
      <c r="A52" s="352"/>
      <c r="B52" s="353"/>
      <c r="C52" s="353"/>
      <c r="D52" s="353"/>
      <c r="E52" s="353"/>
      <c r="F52" s="353"/>
      <c r="G52" s="336"/>
      <c r="H52" s="336"/>
      <c r="I52" s="336"/>
      <c r="J52" s="336"/>
      <c r="K52" s="336"/>
      <c r="L52" s="336"/>
      <c r="M52" s="336"/>
      <c r="N52" s="341"/>
      <c r="O52" s="346"/>
      <c r="P52" s="331"/>
      <c r="Q52" s="343"/>
      <c r="R52" s="331">
        <f>IF(NOT(ISERROR(MATCH(Q52,_xlfn.ANCHORARRAY(E63),0))),P65&amp;"Por favor no seleccionar los criterios de impacto",Q52)</f>
        <v>0</v>
      </c>
      <c r="S52" s="346"/>
      <c r="T52" s="331"/>
      <c r="U52" s="327"/>
      <c r="V52" s="214">
        <v>2</v>
      </c>
      <c r="W52" s="187"/>
      <c r="X52" s="189" t="str">
        <f>IF(OR(Y52="Preventivo",Y52="Detectivo"),"Probabilidad",IF(Y52="Correctivo","Impacto",""))</f>
        <v/>
      </c>
      <c r="Y52" s="190"/>
      <c r="Z52" s="190"/>
      <c r="AA52" s="191" t="str">
        <f t="shared" ref="AA52:AA56" si="61">IF(AND(Y52="Preventivo",Z52="Automático"),"50%",IF(AND(Y52="Preventivo",Z52="Manual"),"40%",IF(AND(Y52="Detectivo",Z52="Automático"),"40%",IF(AND(Y52="Detectivo",Z52="Manual"),"30%",IF(AND(Y52="Correctivo",Z52="Automático"),"35%",IF(AND(Y52="Correctivo",Z52="Manual"),"25%",""))))))</f>
        <v/>
      </c>
      <c r="AB52" s="190"/>
      <c r="AC52" s="190"/>
      <c r="AD52" s="190"/>
      <c r="AE52" s="192" t="str">
        <f>IFERROR(IF(AND(X51="Probabilidad",X52="Probabilidad"),(AG51-(+AG51*AA52)),IF(X52="Probabilidad",(P51-(+P51*AA52)),IF(X52="Impacto",AG51,""))),"")</f>
        <v/>
      </c>
      <c r="AF52" s="193" t="str">
        <f t="shared" si="2"/>
        <v/>
      </c>
      <c r="AG52" s="191" t="str">
        <f t="shared" ref="AG52:AG56" si="62">+AE52</f>
        <v/>
      </c>
      <c r="AH52" s="193" t="str">
        <f t="shared" si="4"/>
        <v/>
      </c>
      <c r="AI52" s="191" t="str">
        <f t="shared" ref="AI52" si="63">IFERROR(IF(AND(X51="Impacto",X52="Impacto"),(AI51-(+AI51*AA52)),IF(X52="Impacto",($T$13-(+$T$13*AA52)),IF(X52="Probabilidad",AI51,""))),"")</f>
        <v/>
      </c>
      <c r="AJ52" s="194" t="str">
        <f t="shared" ref="AJ52:AJ53" si="64">IFERROR(IF(OR(AND(AF52="Muy Baja",AH52="Leve"),AND(AF52="Muy Baja",AH52="Menor"),AND(AF52="Baja",AH52="Leve")),"Bajo",IF(OR(AND(AF52="Muy baja",AH52="Moderado"),AND(AF52="Baja",AH52="Menor"),AND(AF52="Baja",AH52="Moderado"),AND(AF52="Media",AH52="Leve"),AND(AF52="Media",AH52="Menor"),AND(AF52="Media",AH52="Moderado"),AND(AF52="Alta",AH52="Leve"),AND(AF52="Alta",AH52="Menor")),"Moderado",IF(OR(AND(AF52="Muy Baja",AH52="Mayor"),AND(AF52="Baja",AH52="Mayor"),AND(AF52="Media",AH52="Mayor"),AND(AF52="Alta",AH52="Moderado"),AND(AF52="Alta",AH52="Mayor"),AND(AF52="Muy Alta",AH52="Leve"),AND(AF52="Muy Alta",AH52="Menor"),AND(AF52="Muy Alta",AH52="Moderado"),AND(AF52="Muy Alta",AH52="Mayor")),"Alto",IF(OR(AND(AF52="Muy Baja",AH52="Catastrófico"),AND(AF52="Baja",AH52="Catastrófico"),AND(AF52="Media",AH52="Catastrófico"),AND(AF52="Alta",AH52="Catastrófico"),AND(AF52="Muy Alta",AH52="Catastrófico")),"Extremo","")))),"")</f>
        <v/>
      </c>
      <c r="AK52" s="195"/>
      <c r="AL52" s="186"/>
      <c r="AM52" s="196"/>
      <c r="AN52" s="196"/>
      <c r="AO52" s="197"/>
      <c r="AP52" s="341"/>
      <c r="AQ52" s="341"/>
      <c r="AR52" s="341"/>
    </row>
    <row r="53" spans="1:44" ht="37.5" customHeight="1" x14ac:dyDescent="0.2">
      <c r="A53" s="352"/>
      <c r="B53" s="353"/>
      <c r="C53" s="353"/>
      <c r="D53" s="353"/>
      <c r="E53" s="353"/>
      <c r="F53" s="353"/>
      <c r="G53" s="336"/>
      <c r="H53" s="336"/>
      <c r="I53" s="336"/>
      <c r="J53" s="336"/>
      <c r="K53" s="336"/>
      <c r="L53" s="336"/>
      <c r="M53" s="336"/>
      <c r="N53" s="341"/>
      <c r="O53" s="346"/>
      <c r="P53" s="331"/>
      <c r="Q53" s="343"/>
      <c r="R53" s="331">
        <f>IF(NOT(ISERROR(MATCH(Q53,_xlfn.ANCHORARRAY(E64),0))),P66&amp;"Por favor no seleccionar los criterios de impacto",Q53)</f>
        <v>0</v>
      </c>
      <c r="S53" s="346"/>
      <c r="T53" s="331"/>
      <c r="U53" s="327"/>
      <c r="V53" s="214">
        <v>3</v>
      </c>
      <c r="W53" s="188"/>
      <c r="X53" s="189" t="str">
        <f>IF(OR(Y53="Preventivo",Y53="Detectivo"),"Probabilidad",IF(Y53="Correctivo","Impacto",""))</f>
        <v/>
      </c>
      <c r="Y53" s="190"/>
      <c r="Z53" s="190"/>
      <c r="AA53" s="191" t="str">
        <f t="shared" si="61"/>
        <v/>
      </c>
      <c r="AB53" s="190"/>
      <c r="AC53" s="190"/>
      <c r="AD53" s="190"/>
      <c r="AE53" s="192" t="str">
        <f>IFERROR(IF(AND(X52="Probabilidad",X53="Probabilidad"),(AG52-(+AG52*AA53)),IF(AND(X52="Impacto",X53="Probabilidad"),(AG51-(+AG51*AA53)),IF(X53="Impacto",AG52,""))),"")</f>
        <v/>
      </c>
      <c r="AF53" s="193" t="str">
        <f t="shared" si="2"/>
        <v/>
      </c>
      <c r="AG53" s="191" t="str">
        <f t="shared" si="62"/>
        <v/>
      </c>
      <c r="AH53" s="193" t="str">
        <f t="shared" si="4"/>
        <v/>
      </c>
      <c r="AI53" s="191" t="str">
        <f t="shared" ref="AI53" si="65">IFERROR(IF(AND(X52="Impacto",X53="Impacto"),(AI52-(+AI52*AA53)),IF(AND(X52="Probabilidad",X53="Impacto"),(AI51-(+AI51*AA53)),IF(X53="Probabilidad",AI52,""))),"")</f>
        <v/>
      </c>
      <c r="AJ53" s="194" t="str">
        <f t="shared" si="64"/>
        <v/>
      </c>
      <c r="AK53" s="195"/>
      <c r="AL53" s="186"/>
      <c r="AM53" s="196"/>
      <c r="AN53" s="196"/>
      <c r="AO53" s="197"/>
      <c r="AP53" s="341"/>
      <c r="AQ53" s="341"/>
      <c r="AR53" s="341"/>
    </row>
    <row r="54" spans="1:44" ht="37.5" customHeight="1" x14ac:dyDescent="0.2">
      <c r="A54" s="352"/>
      <c r="B54" s="353"/>
      <c r="C54" s="353"/>
      <c r="D54" s="353"/>
      <c r="E54" s="353"/>
      <c r="F54" s="353"/>
      <c r="G54" s="336"/>
      <c r="H54" s="336"/>
      <c r="I54" s="336"/>
      <c r="J54" s="336"/>
      <c r="K54" s="336"/>
      <c r="L54" s="336"/>
      <c r="M54" s="336"/>
      <c r="N54" s="341"/>
      <c r="O54" s="346"/>
      <c r="P54" s="331"/>
      <c r="Q54" s="343"/>
      <c r="R54" s="331">
        <f>IF(NOT(ISERROR(MATCH(Q54,_xlfn.ANCHORARRAY(E65),0))),P67&amp;"Por favor no seleccionar los criterios de impacto",Q54)</f>
        <v>0</v>
      </c>
      <c r="S54" s="346"/>
      <c r="T54" s="331"/>
      <c r="U54" s="327"/>
      <c r="V54" s="214">
        <v>4</v>
      </c>
      <c r="W54" s="187"/>
      <c r="X54" s="189" t="str">
        <f t="shared" ref="X54:X56" si="66">IF(OR(Y54="Preventivo",Y54="Detectivo"),"Probabilidad",IF(Y54="Correctivo","Impacto",""))</f>
        <v/>
      </c>
      <c r="Y54" s="190"/>
      <c r="Z54" s="190"/>
      <c r="AA54" s="191" t="str">
        <f t="shared" si="61"/>
        <v/>
      </c>
      <c r="AB54" s="190"/>
      <c r="AC54" s="190"/>
      <c r="AD54" s="190"/>
      <c r="AE54" s="192" t="str">
        <f t="shared" ref="AE54:AE56" si="67">IFERROR(IF(AND(X53="Probabilidad",X54="Probabilidad"),(AG53-(+AG53*AA54)),IF(AND(X53="Impacto",X54="Probabilidad"),(AG52-(+AG52*AA54)),IF(X54="Impacto",AG53,""))),"")</f>
        <v/>
      </c>
      <c r="AF54" s="193" t="str">
        <f t="shared" si="2"/>
        <v/>
      </c>
      <c r="AG54" s="191" t="str">
        <f t="shared" si="62"/>
        <v/>
      </c>
      <c r="AH54" s="193" t="str">
        <f t="shared" si="4"/>
        <v/>
      </c>
      <c r="AI54" s="191" t="str">
        <f t="shared" si="11"/>
        <v/>
      </c>
      <c r="AJ54" s="194" t="str">
        <f>IFERROR(IF(OR(AND(AF54="Muy Baja",AH54="Leve"),AND(AF54="Muy Baja",AH54="Menor"),AND(AF54="Baja",AH54="Leve")),"Bajo",IF(OR(AND(AF54="Muy baja",AH54="Moderado"),AND(AF54="Baja",AH54="Menor"),AND(AF54="Baja",AH54="Moderado"),AND(AF54="Media",AH54="Leve"),AND(AF54="Media",AH54="Menor"),AND(AF54="Media",AH54="Moderado"),AND(AF54="Alta",AH54="Leve"),AND(AF54="Alta",AH54="Menor")),"Moderado",IF(OR(AND(AF54="Muy Baja",AH54="Mayor"),AND(AF54="Baja",AH54="Mayor"),AND(AF54="Media",AH54="Mayor"),AND(AF54="Alta",AH54="Moderado"),AND(AF54="Alta",AH54="Mayor"),AND(AF54="Muy Alta",AH54="Leve"),AND(AF54="Muy Alta",AH54="Menor"),AND(AF54="Muy Alta",AH54="Moderado"),AND(AF54="Muy Alta",AH54="Mayor")),"Alto",IF(OR(AND(AF54="Muy Baja",AH54="Catastrófico"),AND(AF54="Baja",AH54="Catastrófico"),AND(AF54="Media",AH54="Catastrófico"),AND(AF54="Alta",AH54="Catastrófico"),AND(AF54="Muy Alta",AH54="Catastrófico")),"Extremo","")))),"")</f>
        <v/>
      </c>
      <c r="AK54" s="195"/>
      <c r="AL54" s="186"/>
      <c r="AM54" s="196"/>
      <c r="AN54" s="196"/>
      <c r="AO54" s="197"/>
      <c r="AP54" s="341"/>
      <c r="AQ54" s="341"/>
      <c r="AR54" s="341"/>
    </row>
    <row r="55" spans="1:44" ht="37.5" customHeight="1" x14ac:dyDescent="0.2">
      <c r="A55" s="352"/>
      <c r="B55" s="353"/>
      <c r="C55" s="353"/>
      <c r="D55" s="353"/>
      <c r="E55" s="353"/>
      <c r="F55" s="353"/>
      <c r="G55" s="336"/>
      <c r="H55" s="336"/>
      <c r="I55" s="336"/>
      <c r="J55" s="336"/>
      <c r="K55" s="336"/>
      <c r="L55" s="336"/>
      <c r="M55" s="336"/>
      <c r="N55" s="341"/>
      <c r="O55" s="346"/>
      <c r="P55" s="331"/>
      <c r="Q55" s="343"/>
      <c r="R55" s="331">
        <f>IF(NOT(ISERROR(MATCH(Q55,_xlfn.ANCHORARRAY(E66),0))),P68&amp;"Por favor no seleccionar los criterios de impacto",Q55)</f>
        <v>0</v>
      </c>
      <c r="S55" s="346"/>
      <c r="T55" s="331"/>
      <c r="U55" s="327"/>
      <c r="V55" s="214">
        <v>5</v>
      </c>
      <c r="W55" s="187"/>
      <c r="X55" s="189" t="str">
        <f t="shared" si="66"/>
        <v/>
      </c>
      <c r="Y55" s="190"/>
      <c r="Z55" s="190"/>
      <c r="AA55" s="191" t="str">
        <f t="shared" si="61"/>
        <v/>
      </c>
      <c r="AB55" s="190"/>
      <c r="AC55" s="190"/>
      <c r="AD55" s="190"/>
      <c r="AE55" s="192" t="str">
        <f t="shared" si="67"/>
        <v/>
      </c>
      <c r="AF55" s="193" t="str">
        <f t="shared" si="2"/>
        <v/>
      </c>
      <c r="AG55" s="191" t="str">
        <f t="shared" si="62"/>
        <v/>
      </c>
      <c r="AH55" s="193" t="str">
        <f t="shared" si="4"/>
        <v/>
      </c>
      <c r="AI55" s="191" t="str">
        <f t="shared" si="11"/>
        <v/>
      </c>
      <c r="AJ55" s="194" t="str">
        <f t="shared" ref="AJ55:AJ56" si="68">IFERROR(IF(OR(AND(AF55="Muy Baja",AH55="Leve"),AND(AF55="Muy Baja",AH55="Menor"),AND(AF55="Baja",AH55="Leve")),"Bajo",IF(OR(AND(AF55="Muy baja",AH55="Moderado"),AND(AF55="Baja",AH55="Menor"),AND(AF55="Baja",AH55="Moderado"),AND(AF55="Media",AH55="Leve"),AND(AF55="Media",AH55="Menor"),AND(AF55="Media",AH55="Moderado"),AND(AF55="Alta",AH55="Leve"),AND(AF55="Alta",AH55="Menor")),"Moderado",IF(OR(AND(AF55="Muy Baja",AH55="Mayor"),AND(AF55="Baja",AH55="Mayor"),AND(AF55="Media",AH55="Mayor"),AND(AF55="Alta",AH55="Moderado"),AND(AF55="Alta",AH55="Mayor"),AND(AF55="Muy Alta",AH55="Leve"),AND(AF55="Muy Alta",AH55="Menor"),AND(AF55="Muy Alta",AH55="Moderado"),AND(AF55="Muy Alta",AH55="Mayor")),"Alto",IF(OR(AND(AF55="Muy Baja",AH55="Catastrófico"),AND(AF55="Baja",AH55="Catastrófico"),AND(AF55="Media",AH55="Catastrófico"),AND(AF55="Alta",AH55="Catastrófico"),AND(AF55="Muy Alta",AH55="Catastrófico")),"Extremo","")))),"")</f>
        <v/>
      </c>
      <c r="AK55" s="195"/>
      <c r="AL55" s="186"/>
      <c r="AM55" s="196"/>
      <c r="AN55" s="196"/>
      <c r="AO55" s="197"/>
      <c r="AP55" s="341"/>
      <c r="AQ55" s="341"/>
      <c r="AR55" s="341"/>
    </row>
    <row r="56" spans="1:44" ht="37.5" customHeight="1" x14ac:dyDescent="0.2">
      <c r="A56" s="352"/>
      <c r="B56" s="353"/>
      <c r="C56" s="353"/>
      <c r="D56" s="353"/>
      <c r="E56" s="353"/>
      <c r="F56" s="353"/>
      <c r="G56" s="337"/>
      <c r="H56" s="337"/>
      <c r="I56" s="337"/>
      <c r="J56" s="337"/>
      <c r="K56" s="337"/>
      <c r="L56" s="337"/>
      <c r="M56" s="337"/>
      <c r="N56" s="341"/>
      <c r="O56" s="346"/>
      <c r="P56" s="331"/>
      <c r="Q56" s="343"/>
      <c r="R56" s="331">
        <f>IF(NOT(ISERROR(MATCH(Q56,_xlfn.ANCHORARRAY(E67),0))),Q69&amp;"Por favor no seleccionar los criterios de impacto",Q56)</f>
        <v>0</v>
      </c>
      <c r="S56" s="346"/>
      <c r="T56" s="331"/>
      <c r="U56" s="327"/>
      <c r="V56" s="214">
        <v>6</v>
      </c>
      <c r="W56" s="187"/>
      <c r="X56" s="189" t="str">
        <f t="shared" si="66"/>
        <v/>
      </c>
      <c r="Y56" s="190"/>
      <c r="Z56" s="190"/>
      <c r="AA56" s="191" t="str">
        <f t="shared" si="61"/>
        <v/>
      </c>
      <c r="AB56" s="190"/>
      <c r="AC56" s="190"/>
      <c r="AD56" s="190"/>
      <c r="AE56" s="192" t="str">
        <f t="shared" si="67"/>
        <v/>
      </c>
      <c r="AF56" s="193" t="str">
        <f t="shared" si="2"/>
        <v/>
      </c>
      <c r="AG56" s="191" t="str">
        <f t="shared" si="62"/>
        <v/>
      </c>
      <c r="AH56" s="193" t="str">
        <f t="shared" si="4"/>
        <v/>
      </c>
      <c r="AI56" s="191" t="str">
        <f t="shared" si="11"/>
        <v/>
      </c>
      <c r="AJ56" s="194" t="str">
        <f t="shared" si="68"/>
        <v/>
      </c>
      <c r="AK56" s="195"/>
      <c r="AL56" s="186"/>
      <c r="AM56" s="196"/>
      <c r="AN56" s="196"/>
      <c r="AO56" s="197"/>
      <c r="AP56" s="341"/>
      <c r="AQ56" s="341"/>
      <c r="AR56" s="341"/>
    </row>
    <row r="57" spans="1:44" ht="37.5" customHeight="1" x14ac:dyDescent="0.2">
      <c r="A57" s="352">
        <v>9</v>
      </c>
      <c r="B57" s="353"/>
      <c r="C57" s="353"/>
      <c r="D57" s="353"/>
      <c r="E57" s="353"/>
      <c r="F57" s="353"/>
      <c r="G57" s="335"/>
      <c r="H57" s="335"/>
      <c r="I57" s="221"/>
      <c r="J57" s="221"/>
      <c r="K57" s="221"/>
      <c r="L57" s="335"/>
      <c r="M57" s="335"/>
      <c r="N57" s="341"/>
      <c r="O57" s="346" t="str">
        <f>IF(N57&lt;=0,"",IF(N57&lt;=2,"Muy Baja",IF(N57&lt;=24,"Baja",IF(N57&lt;=500,"Media",IF(N57&lt;=5000,"Alta","Muy Alta")))))</f>
        <v/>
      </c>
      <c r="P57" s="331" t="str">
        <f>IF(O57="","",IF(O57="Muy Baja",0.2,IF(O57="Baja",0.4,IF(O57="Media",0.6,IF(O57="Alta",0.8,IF(O57="Muy Alta",1,))))))</f>
        <v/>
      </c>
      <c r="Q57" s="343"/>
      <c r="R57" s="331">
        <f>IF(NOT(ISERROR(MATCH(Q57,'Tabla Impacto'!$B$222:$B$224,0))),'Tabla Impacto'!$F$224&amp;"Por favor no seleccionar los criterios de impacto(Afectación Económica o presupuestal y Pérdida Reputacional)",Q57)</f>
        <v>0</v>
      </c>
      <c r="S57" s="346" t="str">
        <f>IF(OR(R57='Tabla Impacto'!$C$12,R57='Tabla Impacto'!$D$12),"Leve",IF(OR(R57='Tabla Impacto'!$C$13,R57='Tabla Impacto'!$D$13),"Menor",IF(OR(R57='Tabla Impacto'!$C$14,R57='Tabla Impacto'!$D$14),"Moderado",IF(OR(R57='Tabla Impacto'!$C$15,R57='Tabla Impacto'!$D$15),"Mayor",IF(OR(R57='Tabla Impacto'!$C$16,R57='Tabla Impacto'!$D$16),"Catastrófico","")))))</f>
        <v/>
      </c>
      <c r="T57" s="331" t="str">
        <f>IF(S57="","",IF(S57="Leve",0.2,IF(S57="Menor",0.4,IF(S57="Moderado",0.6,IF(S57="Mayor",0.8,IF(S57="Catastrófico",1,))))))</f>
        <v/>
      </c>
      <c r="U57" s="327" t="str">
        <f>IF(OR(AND(O57="Muy Baja",S57="Leve"),AND(O57="Muy Baja",S57="Menor"),AND(O57="Baja",S57="Leve")),"Bajo",IF(OR(AND(O57="Muy baja",S57="Moderado"),AND(O57="Baja",S57="Menor"),AND(O57="Baja",S57="Moderado"),AND(O57="Media",S57="Leve"),AND(O57="Media",S57="Menor"),AND(O57="Media",S57="Moderado"),AND(O57="Alta",S57="Leve"),AND(O57="Alta",S57="Menor")),"Moderado",IF(OR(AND(O57="Muy Baja",S57="Mayor"),AND(O57="Baja",S57="Mayor"),AND(O57="Media",S57="Mayor"),AND(O57="Alta",S57="Moderado"),AND(O57="Alta",S57="Mayor"),AND(O57="Muy Alta",S57="Leve"),AND(O57="Muy Alta",S57="Menor"),AND(O57="Muy Alta",S57="Moderado"),AND(O57="Muy Alta",S57="Mayor")),"Alto",IF(OR(AND(O57="Muy Baja",S57="Catastrófico"),AND(O57="Baja",S57="Catastrófico"),AND(O57="Media",S57="Catastrófico"),AND(O57="Alta",S57="Catastrófico"),AND(O57="Muy Alta",S57="Catastrófico")),"Extremo",""))))</f>
        <v/>
      </c>
      <c r="V57" s="214">
        <v>1</v>
      </c>
      <c r="W57" s="187"/>
      <c r="X57" s="189" t="str">
        <f>IF(OR(Y57="Preventivo",Y57="Detectivo"),"Probabilidad",IF(Y57="Correctivo","Impacto",""))</f>
        <v/>
      </c>
      <c r="Y57" s="190"/>
      <c r="Z57" s="190"/>
      <c r="AA57" s="191" t="str">
        <f>IF(AND(Y57="Preventivo",Z57="Automático"),"50%",IF(AND(Y57="Preventivo",Z57="Manual"),"40%",IF(AND(Y57="Detectivo",Z57="Automático"),"40%",IF(AND(Y57="Detectivo",Z57="Manual"),"30%",IF(AND(Y57="Correctivo",Z57="Automático"),"35%",IF(AND(Y57="Correctivo",Z57="Manual"),"25%",""))))))</f>
        <v/>
      </c>
      <c r="AB57" s="190"/>
      <c r="AC57" s="190"/>
      <c r="AD57" s="190"/>
      <c r="AE57" s="192" t="str">
        <f>IFERROR(IF(X57="Probabilidad",(P57-(+P57*AA57)),IF(X57="Impacto",P57,"")),"")</f>
        <v/>
      </c>
      <c r="AF57" s="193" t="str">
        <f>IFERROR(IF(AE57="","",IF(AE57&lt;=0.2,"Muy Baja",IF(AE57&lt;=0.4,"Baja",IF(AE57&lt;=0.6,"Media",IF(AE57&lt;=0.8,"Alta","Muy Alta"))))),"")</f>
        <v/>
      </c>
      <c r="AG57" s="191" t="str">
        <f>+AE57</f>
        <v/>
      </c>
      <c r="AH57" s="193" t="str">
        <f>IFERROR(IF(AI57="","",IF(AI57&lt;=0.2,"Leve",IF(AI57&lt;=0.4,"Menor",IF(AI57&lt;=0.6,"Moderado",IF(AI57&lt;=0.8,"Mayor","Catastrófico"))))),"")</f>
        <v/>
      </c>
      <c r="AI57" s="191" t="str">
        <f t="shared" ref="AI57" si="69">IFERROR(IF(X57="Impacto",(T57-(+T57*AA57)),IF(X57="Probabilidad",T57,"")),"")</f>
        <v/>
      </c>
      <c r="AJ57" s="194" t="str">
        <f>IFERROR(IF(OR(AND(AF57="Muy Baja",AH57="Leve"),AND(AF57="Muy Baja",AH57="Menor"),AND(AF57="Baja",AH57="Leve")),"Bajo",IF(OR(AND(AF57="Muy baja",AH57="Moderado"),AND(AF57="Baja",AH57="Menor"),AND(AF57="Baja",AH57="Moderado"),AND(AF57="Media",AH57="Leve"),AND(AF57="Media",AH57="Menor"),AND(AF57="Media",AH57="Moderado"),AND(AF57="Alta",AH57="Leve"),AND(AF57="Alta",AH57="Menor")),"Moderado",IF(OR(AND(AF57="Muy Baja",AH57="Mayor"),AND(AF57="Baja",AH57="Mayor"),AND(AF57="Media",AH57="Mayor"),AND(AF57="Alta",AH57="Moderado"),AND(AF57="Alta",AH57="Mayor"),AND(AF57="Muy Alta",AH57="Leve"),AND(AF57="Muy Alta",AH57="Menor"),AND(AF57="Muy Alta",AH57="Moderado"),AND(AF57="Muy Alta",AH57="Mayor")),"Alto",IF(OR(AND(AF57="Muy Baja",AH57="Catastrófico"),AND(AF57="Baja",AH57="Catastrófico"),AND(AF57="Media",AH57="Catastrófico"),AND(AF57="Alta",AH57="Catastrófico"),AND(AF57="Muy Alta",AH57="Catastrófico")),"Extremo","")))),"")</f>
        <v/>
      </c>
      <c r="AK57" s="195"/>
      <c r="AL57" s="186"/>
      <c r="AM57" s="196"/>
      <c r="AN57" s="196"/>
      <c r="AO57" s="197"/>
      <c r="AP57" s="341"/>
      <c r="AQ57" s="341"/>
      <c r="AR57" s="341"/>
    </row>
    <row r="58" spans="1:44" ht="37.5" customHeight="1" x14ac:dyDescent="0.2">
      <c r="A58" s="352"/>
      <c r="B58" s="353"/>
      <c r="C58" s="353"/>
      <c r="D58" s="353"/>
      <c r="E58" s="353"/>
      <c r="F58" s="353"/>
      <c r="G58" s="336"/>
      <c r="H58" s="336"/>
      <c r="I58" s="222"/>
      <c r="J58" s="222"/>
      <c r="K58" s="222"/>
      <c r="L58" s="336"/>
      <c r="M58" s="336"/>
      <c r="N58" s="341"/>
      <c r="O58" s="346"/>
      <c r="P58" s="331"/>
      <c r="Q58" s="343"/>
      <c r="R58" s="331">
        <f>IF(NOT(ISERROR(MATCH(Q58,_xlfn.ANCHORARRAY(F69),0))),Q71&amp;"Por favor no seleccionar los criterios de impacto",Q58)</f>
        <v>0</v>
      </c>
      <c r="S58" s="346"/>
      <c r="T58" s="331"/>
      <c r="U58" s="327"/>
      <c r="V58" s="214">
        <v>2</v>
      </c>
      <c r="W58" s="187"/>
      <c r="X58" s="189" t="str">
        <f>IF(OR(Y58="Preventivo",Y58="Detectivo"),"Probabilidad",IF(Y58="Correctivo","Impacto",""))</f>
        <v/>
      </c>
      <c r="Y58" s="190"/>
      <c r="Z58" s="190"/>
      <c r="AA58" s="191" t="str">
        <f t="shared" ref="AA58:AA62" si="70">IF(AND(Y58="Preventivo",Z58="Automático"),"50%",IF(AND(Y58="Preventivo",Z58="Manual"),"40%",IF(AND(Y58="Detectivo",Z58="Automático"),"40%",IF(AND(Y58="Detectivo",Z58="Manual"),"30%",IF(AND(Y58="Correctivo",Z58="Automático"),"35%",IF(AND(Y58="Correctivo",Z58="Manual"),"25%",""))))))</f>
        <v/>
      </c>
      <c r="AB58" s="190"/>
      <c r="AC58" s="190"/>
      <c r="AD58" s="190"/>
      <c r="AE58" s="192" t="str">
        <f>IFERROR(IF(AND(X57="Probabilidad",X58="Probabilidad"),(AG57-(+AG57*AA58)),IF(X58="Probabilidad",(P57-(+P57*AA58)),IF(X58="Impacto",AG57,""))),"")</f>
        <v/>
      </c>
      <c r="AF58" s="193" t="str">
        <f t="shared" si="2"/>
        <v/>
      </c>
      <c r="AG58" s="191" t="str">
        <f t="shared" ref="AG58:AG62" si="71">+AE58</f>
        <v/>
      </c>
      <c r="AH58" s="193" t="str">
        <f t="shared" si="4"/>
        <v/>
      </c>
      <c r="AI58" s="191" t="str">
        <f t="shared" ref="AI58" si="72">IFERROR(IF(AND(X57="Impacto",X58="Impacto"),(AI57-(+AI57*AA58)),IF(X58="Impacto",($T$13-(+$T$13*AA58)),IF(X58="Probabilidad",AI57,""))),"")</f>
        <v/>
      </c>
      <c r="AJ58" s="194" t="str">
        <f t="shared" ref="AJ58:AJ59" si="73">IFERROR(IF(OR(AND(AF58="Muy Baja",AH58="Leve"),AND(AF58="Muy Baja",AH58="Menor"),AND(AF58="Baja",AH58="Leve")),"Bajo",IF(OR(AND(AF58="Muy baja",AH58="Moderado"),AND(AF58="Baja",AH58="Menor"),AND(AF58="Baja",AH58="Moderado"),AND(AF58="Media",AH58="Leve"),AND(AF58="Media",AH58="Menor"),AND(AF58="Media",AH58="Moderado"),AND(AF58="Alta",AH58="Leve"),AND(AF58="Alta",AH58="Menor")),"Moderado",IF(OR(AND(AF58="Muy Baja",AH58="Mayor"),AND(AF58="Baja",AH58="Mayor"),AND(AF58="Media",AH58="Mayor"),AND(AF58="Alta",AH58="Moderado"),AND(AF58="Alta",AH58="Mayor"),AND(AF58="Muy Alta",AH58="Leve"),AND(AF58="Muy Alta",AH58="Menor"),AND(AF58="Muy Alta",AH58="Moderado"),AND(AF58="Muy Alta",AH58="Mayor")),"Alto",IF(OR(AND(AF58="Muy Baja",AH58="Catastrófico"),AND(AF58="Baja",AH58="Catastrófico"),AND(AF58="Media",AH58="Catastrófico"),AND(AF58="Alta",AH58="Catastrófico"),AND(AF58="Muy Alta",AH58="Catastrófico")),"Extremo","")))),"")</f>
        <v/>
      </c>
      <c r="AK58" s="195"/>
      <c r="AL58" s="186"/>
      <c r="AM58" s="196"/>
      <c r="AN58" s="196"/>
      <c r="AO58" s="197"/>
      <c r="AP58" s="341"/>
      <c r="AQ58" s="341"/>
      <c r="AR58" s="341"/>
    </row>
    <row r="59" spans="1:44" ht="37.5" customHeight="1" x14ac:dyDescent="0.2">
      <c r="A59" s="352"/>
      <c r="B59" s="353"/>
      <c r="C59" s="353"/>
      <c r="D59" s="353"/>
      <c r="E59" s="353"/>
      <c r="F59" s="353"/>
      <c r="G59" s="336"/>
      <c r="H59" s="336"/>
      <c r="I59" s="222"/>
      <c r="J59" s="222"/>
      <c r="K59" s="222"/>
      <c r="L59" s="336"/>
      <c r="M59" s="336"/>
      <c r="N59" s="341"/>
      <c r="O59" s="346"/>
      <c r="P59" s="331"/>
      <c r="Q59" s="343"/>
      <c r="R59" s="331">
        <f>IF(NOT(ISERROR(MATCH(Q59,_xlfn.ANCHORARRAY(F70),0))),Q72&amp;"Por favor no seleccionar los criterios de impacto",Q59)</f>
        <v>0</v>
      </c>
      <c r="S59" s="346"/>
      <c r="T59" s="331"/>
      <c r="U59" s="327"/>
      <c r="V59" s="214">
        <v>3</v>
      </c>
      <c r="W59" s="187"/>
      <c r="X59" s="189" t="str">
        <f>IF(OR(Y59="Preventivo",Y59="Detectivo"),"Probabilidad",IF(Y59="Correctivo","Impacto",""))</f>
        <v/>
      </c>
      <c r="Y59" s="190"/>
      <c r="Z59" s="190"/>
      <c r="AA59" s="191" t="str">
        <f t="shared" si="70"/>
        <v/>
      </c>
      <c r="AB59" s="190"/>
      <c r="AC59" s="190"/>
      <c r="AD59" s="190"/>
      <c r="AE59" s="192" t="str">
        <f>IFERROR(IF(AND(X58="Probabilidad",X59="Probabilidad"),(AG58-(+AG58*AA59)),IF(AND(X58="Impacto",X59="Probabilidad"),(AG57-(+AG57*AA59)),IF(X59="Impacto",AG58,""))),"")</f>
        <v/>
      </c>
      <c r="AF59" s="193" t="str">
        <f t="shared" si="2"/>
        <v/>
      </c>
      <c r="AG59" s="191" t="str">
        <f t="shared" si="71"/>
        <v/>
      </c>
      <c r="AH59" s="193" t="str">
        <f t="shared" si="4"/>
        <v/>
      </c>
      <c r="AI59" s="191" t="str">
        <f t="shared" ref="AI59" si="74">IFERROR(IF(AND(X58="Impacto",X59="Impacto"),(AI58-(+AI58*AA59)),IF(AND(X58="Probabilidad",X59="Impacto"),(AI57-(+AI57*AA59)),IF(X59="Probabilidad",AI58,""))),"")</f>
        <v/>
      </c>
      <c r="AJ59" s="194" t="str">
        <f t="shared" si="73"/>
        <v/>
      </c>
      <c r="AK59" s="195"/>
      <c r="AL59" s="186"/>
      <c r="AM59" s="196"/>
      <c r="AN59" s="196"/>
      <c r="AO59" s="197"/>
      <c r="AP59" s="341"/>
      <c r="AQ59" s="341"/>
      <c r="AR59" s="341"/>
    </row>
    <row r="60" spans="1:44" ht="37.5" customHeight="1" x14ac:dyDescent="0.2">
      <c r="A60" s="352"/>
      <c r="B60" s="353"/>
      <c r="C60" s="353"/>
      <c r="D60" s="353"/>
      <c r="E60" s="353"/>
      <c r="F60" s="353"/>
      <c r="G60" s="336"/>
      <c r="H60" s="336"/>
      <c r="I60" s="222"/>
      <c r="J60" s="222"/>
      <c r="K60" s="222"/>
      <c r="L60" s="336"/>
      <c r="M60" s="336"/>
      <c r="N60" s="341"/>
      <c r="O60" s="346"/>
      <c r="P60" s="331"/>
      <c r="Q60" s="343"/>
      <c r="R60" s="331">
        <f>IF(NOT(ISERROR(MATCH(Q60,_xlfn.ANCHORARRAY(F71),0))),Q73&amp;"Por favor no seleccionar los criterios de impacto",Q60)</f>
        <v>0</v>
      </c>
      <c r="S60" s="346"/>
      <c r="T60" s="331"/>
      <c r="U60" s="327"/>
      <c r="V60" s="214">
        <v>4</v>
      </c>
      <c r="W60" s="187"/>
      <c r="X60" s="189" t="str">
        <f t="shared" ref="X60:X62" si="75">IF(OR(Y60="Preventivo",Y60="Detectivo"),"Probabilidad",IF(Y60="Correctivo","Impacto",""))</f>
        <v/>
      </c>
      <c r="Y60" s="190"/>
      <c r="Z60" s="190"/>
      <c r="AA60" s="191" t="str">
        <f t="shared" si="70"/>
        <v/>
      </c>
      <c r="AB60" s="190"/>
      <c r="AC60" s="190"/>
      <c r="AD60" s="190"/>
      <c r="AE60" s="192" t="str">
        <f t="shared" ref="AE60:AE62" si="76">IFERROR(IF(AND(X59="Probabilidad",X60="Probabilidad"),(AG59-(+AG59*AA60)),IF(AND(X59="Impacto",X60="Probabilidad"),(AG58-(+AG58*AA60)),IF(X60="Impacto",AG59,""))),"")</f>
        <v/>
      </c>
      <c r="AF60" s="193" t="str">
        <f t="shared" si="2"/>
        <v/>
      </c>
      <c r="AG60" s="191" t="str">
        <f t="shared" si="71"/>
        <v/>
      </c>
      <c r="AH60" s="193" t="str">
        <f t="shared" si="4"/>
        <v/>
      </c>
      <c r="AI60" s="191" t="str">
        <f t="shared" si="11"/>
        <v/>
      </c>
      <c r="AJ60" s="194" t="str">
        <f>IFERROR(IF(OR(AND(AF60="Muy Baja",AH60="Leve"),AND(AF60="Muy Baja",AH60="Menor"),AND(AF60="Baja",AH60="Leve")),"Bajo",IF(OR(AND(AF60="Muy baja",AH60="Moderado"),AND(AF60="Baja",AH60="Menor"),AND(AF60="Baja",AH60="Moderado"),AND(AF60="Media",AH60="Leve"),AND(AF60="Media",AH60="Menor"),AND(AF60="Media",AH60="Moderado"),AND(AF60="Alta",AH60="Leve"),AND(AF60="Alta",AH60="Menor")),"Moderado",IF(OR(AND(AF60="Muy Baja",AH60="Mayor"),AND(AF60="Baja",AH60="Mayor"),AND(AF60="Media",AH60="Mayor"),AND(AF60="Alta",AH60="Moderado"),AND(AF60="Alta",AH60="Mayor"),AND(AF60="Muy Alta",AH60="Leve"),AND(AF60="Muy Alta",AH60="Menor"),AND(AF60="Muy Alta",AH60="Moderado"),AND(AF60="Muy Alta",AH60="Mayor")),"Alto",IF(OR(AND(AF60="Muy Baja",AH60="Catastrófico"),AND(AF60="Baja",AH60="Catastrófico"),AND(AF60="Media",AH60="Catastrófico"),AND(AF60="Alta",AH60="Catastrófico"),AND(AF60="Muy Alta",AH60="Catastrófico")),"Extremo","")))),"")</f>
        <v/>
      </c>
      <c r="AK60" s="195"/>
      <c r="AL60" s="186"/>
      <c r="AM60" s="196"/>
      <c r="AN60" s="196"/>
      <c r="AO60" s="197"/>
      <c r="AP60" s="341"/>
      <c r="AQ60" s="341"/>
      <c r="AR60" s="341"/>
    </row>
    <row r="61" spans="1:44" ht="37.5" customHeight="1" x14ac:dyDescent="0.2">
      <c r="A61" s="352"/>
      <c r="B61" s="353"/>
      <c r="C61" s="353"/>
      <c r="D61" s="353"/>
      <c r="E61" s="353"/>
      <c r="F61" s="353"/>
      <c r="G61" s="336"/>
      <c r="H61" s="336"/>
      <c r="I61" s="222"/>
      <c r="J61" s="222"/>
      <c r="K61" s="222"/>
      <c r="L61" s="336"/>
      <c r="M61" s="336"/>
      <c r="N61" s="341"/>
      <c r="O61" s="346"/>
      <c r="P61" s="331"/>
      <c r="Q61" s="343"/>
      <c r="R61" s="331">
        <f>IF(NOT(ISERROR(MATCH(Q61,_xlfn.ANCHORARRAY(F72),0))),Q74&amp;"Por favor no seleccionar los criterios de impacto",Q61)</f>
        <v>0</v>
      </c>
      <c r="S61" s="346"/>
      <c r="T61" s="331"/>
      <c r="U61" s="327"/>
      <c r="V61" s="214">
        <v>5</v>
      </c>
      <c r="W61" s="187"/>
      <c r="X61" s="189" t="str">
        <f t="shared" si="75"/>
        <v/>
      </c>
      <c r="Y61" s="190"/>
      <c r="Z61" s="190"/>
      <c r="AA61" s="191" t="str">
        <f t="shared" si="70"/>
        <v/>
      </c>
      <c r="AB61" s="190"/>
      <c r="AC61" s="190"/>
      <c r="AD61" s="190"/>
      <c r="AE61" s="192" t="str">
        <f t="shared" si="76"/>
        <v/>
      </c>
      <c r="AF61" s="193" t="str">
        <f t="shared" si="2"/>
        <v/>
      </c>
      <c r="AG61" s="191" t="str">
        <f t="shared" si="71"/>
        <v/>
      </c>
      <c r="AH61" s="193" t="str">
        <f t="shared" si="4"/>
        <v/>
      </c>
      <c r="AI61" s="191" t="str">
        <f t="shared" si="11"/>
        <v/>
      </c>
      <c r="AJ61" s="194" t="str">
        <f t="shared" ref="AJ61:AJ62" si="77">IFERROR(IF(OR(AND(AF61="Muy Baja",AH61="Leve"),AND(AF61="Muy Baja",AH61="Menor"),AND(AF61="Baja",AH61="Leve")),"Bajo",IF(OR(AND(AF61="Muy baja",AH61="Moderado"),AND(AF61="Baja",AH61="Menor"),AND(AF61="Baja",AH61="Moderado"),AND(AF61="Media",AH61="Leve"),AND(AF61="Media",AH61="Menor"),AND(AF61="Media",AH61="Moderado"),AND(AF61="Alta",AH61="Leve"),AND(AF61="Alta",AH61="Menor")),"Moderado",IF(OR(AND(AF61="Muy Baja",AH61="Mayor"),AND(AF61="Baja",AH61="Mayor"),AND(AF61="Media",AH61="Mayor"),AND(AF61="Alta",AH61="Moderado"),AND(AF61="Alta",AH61="Mayor"),AND(AF61="Muy Alta",AH61="Leve"),AND(AF61="Muy Alta",AH61="Menor"),AND(AF61="Muy Alta",AH61="Moderado"),AND(AF61="Muy Alta",AH61="Mayor")),"Alto",IF(OR(AND(AF61="Muy Baja",AH61="Catastrófico"),AND(AF61="Baja",AH61="Catastrófico"),AND(AF61="Media",AH61="Catastrófico"),AND(AF61="Alta",AH61="Catastrófico"),AND(AF61="Muy Alta",AH61="Catastrófico")),"Extremo","")))),"")</f>
        <v/>
      </c>
      <c r="AK61" s="195"/>
      <c r="AL61" s="186"/>
      <c r="AM61" s="196"/>
      <c r="AN61" s="196"/>
      <c r="AO61" s="197"/>
      <c r="AP61" s="341"/>
      <c r="AQ61" s="341"/>
      <c r="AR61" s="341"/>
    </row>
    <row r="62" spans="1:44" ht="37.5" customHeight="1" x14ac:dyDescent="0.2">
      <c r="A62" s="352"/>
      <c r="B62" s="353"/>
      <c r="C62" s="353"/>
      <c r="D62" s="353"/>
      <c r="E62" s="353"/>
      <c r="F62" s="353"/>
      <c r="G62" s="337"/>
      <c r="H62" s="337"/>
      <c r="I62" s="223"/>
      <c r="J62" s="223"/>
      <c r="K62" s="223"/>
      <c r="L62" s="337"/>
      <c r="M62" s="337"/>
      <c r="N62" s="341"/>
      <c r="O62" s="346"/>
      <c r="P62" s="331"/>
      <c r="Q62" s="343"/>
      <c r="R62" s="331">
        <f>IF(NOT(ISERROR(MATCH(Q62,_xlfn.ANCHORARRAY(F73),0))),Q75&amp;"Por favor no seleccionar los criterios de impacto",Q62)</f>
        <v>0</v>
      </c>
      <c r="S62" s="346"/>
      <c r="T62" s="331"/>
      <c r="U62" s="327"/>
      <c r="V62" s="214">
        <v>6</v>
      </c>
      <c r="W62" s="187"/>
      <c r="X62" s="189" t="str">
        <f t="shared" si="75"/>
        <v/>
      </c>
      <c r="Y62" s="190"/>
      <c r="Z62" s="190"/>
      <c r="AA62" s="191" t="str">
        <f t="shared" si="70"/>
        <v/>
      </c>
      <c r="AB62" s="190"/>
      <c r="AC62" s="190"/>
      <c r="AD62" s="190"/>
      <c r="AE62" s="192" t="str">
        <f t="shared" si="76"/>
        <v/>
      </c>
      <c r="AF62" s="193" t="str">
        <f t="shared" si="2"/>
        <v/>
      </c>
      <c r="AG62" s="191" t="str">
        <f t="shared" si="71"/>
        <v/>
      </c>
      <c r="AH62" s="193" t="str">
        <f t="shared" si="4"/>
        <v/>
      </c>
      <c r="AI62" s="191" t="str">
        <f t="shared" si="11"/>
        <v/>
      </c>
      <c r="AJ62" s="194" t="str">
        <f t="shared" si="77"/>
        <v/>
      </c>
      <c r="AK62" s="195"/>
      <c r="AL62" s="186"/>
      <c r="AM62" s="196"/>
      <c r="AN62" s="196"/>
      <c r="AO62" s="197"/>
      <c r="AP62" s="341"/>
      <c r="AQ62" s="341"/>
      <c r="AR62" s="341"/>
    </row>
    <row r="63" spans="1:44" ht="37.5" customHeight="1" x14ac:dyDescent="0.2">
      <c r="A63" s="352">
        <v>10</v>
      </c>
      <c r="B63" s="353"/>
      <c r="C63" s="353"/>
      <c r="D63" s="353"/>
      <c r="E63" s="353"/>
      <c r="F63" s="353"/>
      <c r="G63" s="335"/>
      <c r="H63" s="335"/>
      <c r="I63" s="221"/>
      <c r="J63" s="221"/>
      <c r="K63" s="221"/>
      <c r="L63" s="335"/>
      <c r="M63" s="335"/>
      <c r="N63" s="341"/>
      <c r="O63" s="346" t="str">
        <f>IF(N63&lt;=0,"",IF(N63&lt;=2,"Muy Baja",IF(N63&lt;=24,"Baja",IF(N63&lt;=500,"Media",IF(N63&lt;=5000,"Alta","Muy Alta")))))</f>
        <v/>
      </c>
      <c r="P63" s="331" t="str">
        <f>IF(O63="","",IF(O63="Muy Baja",0.2,IF(O63="Baja",0.4,IF(O63="Media",0.6,IF(O63="Alta",0.8,IF(O63="Muy Alta",1,))))))</f>
        <v/>
      </c>
      <c r="Q63" s="343"/>
      <c r="R63" s="331">
        <f>IF(NOT(ISERROR(MATCH(Q63,'Tabla Impacto'!$B$222:$B$224,0))),'Tabla Impacto'!$F$224&amp;"Por favor no seleccionar los criterios de impacto(Afectación Económica o presupuestal y Pérdida Reputacional)",Q63)</f>
        <v>0</v>
      </c>
      <c r="S63" s="346" t="str">
        <f>IF(OR(R63='Tabla Impacto'!$C$12,R63='Tabla Impacto'!$D$12),"Leve",IF(OR(R63='Tabla Impacto'!$C$13,R63='Tabla Impacto'!$D$13),"Menor",IF(OR(R63='Tabla Impacto'!$C$14,R63='Tabla Impacto'!$D$14),"Moderado",IF(OR(R63='Tabla Impacto'!$C$15,R63='Tabla Impacto'!$D$15),"Mayor",IF(OR(R63='Tabla Impacto'!$C$16,R63='Tabla Impacto'!$D$16),"Catastrófico","")))))</f>
        <v/>
      </c>
      <c r="T63" s="331" t="str">
        <f>IF(S63="","",IF(S63="Leve",0.2,IF(S63="Menor",0.4,IF(S63="Moderado",0.6,IF(S63="Mayor",0.8,IF(S63="Catastrófico",1,))))))</f>
        <v/>
      </c>
      <c r="U63" s="327" t="str">
        <f>IF(OR(AND(O63="Muy Baja",S63="Leve"),AND(O63="Muy Baja",S63="Menor"),AND(O63="Baja",S63="Leve")),"Bajo",IF(OR(AND(O63="Muy baja",S63="Moderado"),AND(O63="Baja",S63="Menor"),AND(O63="Baja",S63="Moderado"),AND(O63="Media",S63="Leve"),AND(O63="Media",S63="Menor"),AND(O63="Media",S63="Moderado"),AND(O63="Alta",S63="Leve"),AND(O63="Alta",S63="Menor")),"Moderado",IF(OR(AND(O63="Muy Baja",S63="Mayor"),AND(O63="Baja",S63="Mayor"),AND(O63="Media",S63="Mayor"),AND(O63="Alta",S63="Moderado"),AND(O63="Alta",S63="Mayor"),AND(O63="Muy Alta",S63="Leve"),AND(O63="Muy Alta",S63="Menor"),AND(O63="Muy Alta",S63="Moderado"),AND(O63="Muy Alta",S63="Mayor")),"Alto",IF(OR(AND(O63="Muy Baja",S63="Catastrófico"),AND(O63="Baja",S63="Catastrófico"),AND(O63="Media",S63="Catastrófico"),AND(O63="Alta",S63="Catastrófico"),AND(O63="Muy Alta",S63="Catastrófico")),"Extremo",""))))</f>
        <v/>
      </c>
      <c r="V63" s="214">
        <v>1</v>
      </c>
      <c r="W63" s="187"/>
      <c r="X63" s="189" t="str">
        <f>IF(OR(Y63="Preventivo",Y63="Detectivo"),"Probabilidad",IF(Y63="Correctivo","Impacto",""))</f>
        <v/>
      </c>
      <c r="Y63" s="190"/>
      <c r="Z63" s="190"/>
      <c r="AA63" s="191" t="str">
        <f>IF(AND(Y63="Preventivo",Z63="Automático"),"50%",IF(AND(Y63="Preventivo",Z63="Manual"),"40%",IF(AND(Y63="Detectivo",Z63="Automático"),"40%",IF(AND(Y63="Detectivo",Z63="Manual"),"30%",IF(AND(Y63="Correctivo",Z63="Automático"),"35%",IF(AND(Y63="Correctivo",Z63="Manual"),"25%",""))))))</f>
        <v/>
      </c>
      <c r="AB63" s="190"/>
      <c r="AC63" s="190"/>
      <c r="AD63" s="190"/>
      <c r="AE63" s="192" t="str">
        <f>IFERROR(IF(X63="Probabilidad",(P63-(+P63*AA63)),IF(X63="Impacto",P63,"")),"")</f>
        <v/>
      </c>
      <c r="AF63" s="193" t="str">
        <f>IFERROR(IF(AE63="","",IF(AE63&lt;=0.2,"Muy Baja",IF(AE63&lt;=0.4,"Baja",IF(AE63&lt;=0.6,"Media",IF(AE63&lt;=0.8,"Alta","Muy Alta"))))),"")</f>
        <v/>
      </c>
      <c r="AG63" s="191" t="str">
        <f>+AE63</f>
        <v/>
      </c>
      <c r="AH63" s="193" t="str">
        <f>IFERROR(IF(AI63="","",IF(AI63&lt;=0.2,"Leve",IF(AI63&lt;=0.4,"Menor",IF(AI63&lt;=0.6,"Moderado",IF(AI63&lt;=0.8,"Mayor","Catastrófico"))))),"")</f>
        <v/>
      </c>
      <c r="AI63" s="191" t="str">
        <f t="shared" ref="AI63" si="78">IFERROR(IF(X63="Impacto",(T63-(+T63*AA63)),IF(X63="Probabilidad",T63,"")),"")</f>
        <v/>
      </c>
      <c r="AJ63" s="194" t="str">
        <f>IFERROR(IF(OR(AND(AF63="Muy Baja",AH63="Leve"),AND(AF63="Muy Baja",AH63="Menor"),AND(AF63="Baja",AH63="Leve")),"Bajo",IF(OR(AND(AF63="Muy baja",AH63="Moderado"),AND(AF63="Baja",AH63="Menor"),AND(AF63="Baja",AH63="Moderado"),AND(AF63="Media",AH63="Leve"),AND(AF63="Media",AH63="Menor"),AND(AF63="Media",AH63="Moderado"),AND(AF63="Alta",AH63="Leve"),AND(AF63="Alta",AH63="Menor")),"Moderado",IF(OR(AND(AF63="Muy Baja",AH63="Mayor"),AND(AF63="Baja",AH63="Mayor"),AND(AF63="Media",AH63="Mayor"),AND(AF63="Alta",AH63="Moderado"),AND(AF63="Alta",AH63="Mayor"),AND(AF63="Muy Alta",AH63="Leve"),AND(AF63="Muy Alta",AH63="Menor"),AND(AF63="Muy Alta",AH63="Moderado"),AND(AF63="Muy Alta",AH63="Mayor")),"Alto",IF(OR(AND(AF63="Muy Baja",AH63="Catastrófico"),AND(AF63="Baja",AH63="Catastrófico"),AND(AF63="Media",AH63="Catastrófico"),AND(AF63="Alta",AH63="Catastrófico"),AND(AF63="Muy Alta",AH63="Catastrófico")),"Extremo","")))),"")</f>
        <v/>
      </c>
      <c r="AK63" s="195"/>
      <c r="AL63" s="186"/>
      <c r="AM63" s="196"/>
      <c r="AN63" s="196"/>
      <c r="AO63" s="197"/>
      <c r="AP63" s="341"/>
      <c r="AQ63" s="341"/>
      <c r="AR63" s="341"/>
    </row>
    <row r="64" spans="1:44" ht="37.5" customHeight="1" x14ac:dyDescent="0.2">
      <c r="A64" s="352"/>
      <c r="B64" s="353"/>
      <c r="C64" s="353"/>
      <c r="D64" s="353"/>
      <c r="E64" s="353"/>
      <c r="F64" s="353"/>
      <c r="G64" s="336"/>
      <c r="H64" s="336"/>
      <c r="I64" s="222"/>
      <c r="J64" s="222"/>
      <c r="K64" s="222"/>
      <c r="L64" s="336"/>
      <c r="M64" s="336"/>
      <c r="N64" s="341"/>
      <c r="O64" s="346"/>
      <c r="P64" s="331"/>
      <c r="Q64" s="343"/>
      <c r="R64" s="331">
        <f>IF(NOT(ISERROR(MATCH(Q64,_xlfn.ANCHORARRAY(F75),0))),Q77&amp;"Por favor no seleccionar los criterios de impacto",Q64)</f>
        <v>0</v>
      </c>
      <c r="S64" s="346"/>
      <c r="T64" s="331"/>
      <c r="U64" s="327"/>
      <c r="V64" s="214">
        <v>2</v>
      </c>
      <c r="W64" s="187"/>
      <c r="X64" s="189" t="str">
        <f>IF(OR(Y64="Preventivo",Y64="Detectivo"),"Probabilidad",IF(Y64="Correctivo","Impacto",""))</f>
        <v/>
      </c>
      <c r="Y64" s="190"/>
      <c r="Z64" s="190"/>
      <c r="AA64" s="191" t="str">
        <f t="shared" ref="AA64:AA68" si="79">IF(AND(Y64="Preventivo",Z64="Automático"),"50%",IF(AND(Y64="Preventivo",Z64="Manual"),"40%",IF(AND(Y64="Detectivo",Z64="Automático"),"40%",IF(AND(Y64="Detectivo",Z64="Manual"),"30%",IF(AND(Y64="Correctivo",Z64="Automático"),"35%",IF(AND(Y64="Correctivo",Z64="Manual"),"25%",""))))))</f>
        <v/>
      </c>
      <c r="AB64" s="190"/>
      <c r="AC64" s="190"/>
      <c r="AD64" s="190"/>
      <c r="AE64" s="192" t="str">
        <f>IFERROR(IF(AND(X63="Probabilidad",X64="Probabilidad"),(AG63-(+AG63*AA64)),IF(X64="Probabilidad",(P63-(+P63*AA64)),IF(X64="Impacto",AG63,""))),"")</f>
        <v/>
      </c>
      <c r="AF64" s="193" t="str">
        <f t="shared" si="2"/>
        <v/>
      </c>
      <c r="AG64" s="191" t="str">
        <f t="shared" ref="AG64:AG68" si="80">+AE64</f>
        <v/>
      </c>
      <c r="AH64" s="193" t="str">
        <f t="shared" si="4"/>
        <v/>
      </c>
      <c r="AI64" s="191" t="str">
        <f t="shared" ref="AI64" si="81">IFERROR(IF(AND(X63="Impacto",X64="Impacto"),(AI63-(+AI63*AA64)),IF(X64="Impacto",($T$13-(+$T$13*AA64)),IF(X64="Probabilidad",AI63,""))),"")</f>
        <v/>
      </c>
      <c r="AJ64" s="194" t="str">
        <f t="shared" ref="AJ64:AJ65" si="82">IFERROR(IF(OR(AND(AF64="Muy Baja",AH64="Leve"),AND(AF64="Muy Baja",AH64="Menor"),AND(AF64="Baja",AH64="Leve")),"Bajo",IF(OR(AND(AF64="Muy baja",AH64="Moderado"),AND(AF64="Baja",AH64="Menor"),AND(AF64="Baja",AH64="Moderado"),AND(AF64="Media",AH64="Leve"),AND(AF64="Media",AH64="Menor"),AND(AF64="Media",AH64="Moderado"),AND(AF64="Alta",AH64="Leve"),AND(AF64="Alta",AH64="Menor")),"Moderado",IF(OR(AND(AF64="Muy Baja",AH64="Mayor"),AND(AF64="Baja",AH64="Mayor"),AND(AF64="Media",AH64="Mayor"),AND(AF64="Alta",AH64="Moderado"),AND(AF64="Alta",AH64="Mayor"),AND(AF64="Muy Alta",AH64="Leve"),AND(AF64="Muy Alta",AH64="Menor"),AND(AF64="Muy Alta",AH64="Moderado"),AND(AF64="Muy Alta",AH64="Mayor")),"Alto",IF(OR(AND(AF64="Muy Baja",AH64="Catastrófico"),AND(AF64="Baja",AH64="Catastrófico"),AND(AF64="Media",AH64="Catastrófico"),AND(AF64="Alta",AH64="Catastrófico"),AND(AF64="Muy Alta",AH64="Catastrófico")),"Extremo","")))),"")</f>
        <v/>
      </c>
      <c r="AK64" s="195"/>
      <c r="AL64" s="186"/>
      <c r="AM64" s="196"/>
      <c r="AN64" s="196"/>
      <c r="AO64" s="197"/>
      <c r="AP64" s="341"/>
      <c r="AQ64" s="341"/>
      <c r="AR64" s="341"/>
    </row>
    <row r="65" spans="1:44" ht="37.5" customHeight="1" x14ac:dyDescent="0.2">
      <c r="A65" s="352"/>
      <c r="B65" s="353"/>
      <c r="C65" s="353"/>
      <c r="D65" s="353"/>
      <c r="E65" s="353"/>
      <c r="F65" s="353"/>
      <c r="G65" s="336"/>
      <c r="H65" s="336"/>
      <c r="I65" s="222"/>
      <c r="J65" s="222"/>
      <c r="K65" s="222"/>
      <c r="L65" s="336"/>
      <c r="M65" s="336"/>
      <c r="N65" s="341"/>
      <c r="O65" s="346"/>
      <c r="P65" s="331"/>
      <c r="Q65" s="343"/>
      <c r="R65" s="331">
        <f>IF(NOT(ISERROR(MATCH(Q65,_xlfn.ANCHORARRAY(F76),0))),Q78&amp;"Por favor no seleccionar los criterios de impacto",Q65)</f>
        <v>0</v>
      </c>
      <c r="S65" s="346"/>
      <c r="T65" s="331"/>
      <c r="U65" s="327"/>
      <c r="V65" s="214">
        <v>3</v>
      </c>
      <c r="W65" s="187"/>
      <c r="X65" s="189" t="str">
        <f>IF(OR(Y65="Preventivo",Y65="Detectivo"),"Probabilidad",IF(Y65="Correctivo","Impacto",""))</f>
        <v/>
      </c>
      <c r="Y65" s="190"/>
      <c r="Z65" s="190"/>
      <c r="AA65" s="191" t="str">
        <f t="shared" si="79"/>
        <v/>
      </c>
      <c r="AB65" s="190"/>
      <c r="AC65" s="190"/>
      <c r="AD65" s="190"/>
      <c r="AE65" s="192" t="str">
        <f>IFERROR(IF(AND(X64="Probabilidad",X65="Probabilidad"),(AG64-(+AG64*AA65)),IF(AND(X64="Impacto",X65="Probabilidad"),(AG63-(+AG63*AA65)),IF(X65="Impacto",AG64,""))),"")</f>
        <v/>
      </c>
      <c r="AF65" s="193" t="str">
        <f t="shared" si="2"/>
        <v/>
      </c>
      <c r="AG65" s="191" t="str">
        <f t="shared" si="80"/>
        <v/>
      </c>
      <c r="AH65" s="193" t="str">
        <f t="shared" si="4"/>
        <v/>
      </c>
      <c r="AI65" s="191" t="str">
        <f t="shared" ref="AI65" si="83">IFERROR(IF(AND(X64="Impacto",X65="Impacto"),(AI64-(+AI64*AA65)),IF(AND(X64="Probabilidad",X65="Impacto"),(AI63-(+AI63*AA65)),IF(X65="Probabilidad",AI64,""))),"")</f>
        <v/>
      </c>
      <c r="AJ65" s="194" t="str">
        <f t="shared" si="82"/>
        <v/>
      </c>
      <c r="AK65" s="195"/>
      <c r="AL65" s="186"/>
      <c r="AM65" s="196"/>
      <c r="AN65" s="196"/>
      <c r="AO65" s="197"/>
      <c r="AP65" s="341"/>
      <c r="AQ65" s="341"/>
      <c r="AR65" s="341"/>
    </row>
    <row r="66" spans="1:44" ht="37.5" customHeight="1" x14ac:dyDescent="0.2">
      <c r="A66" s="352"/>
      <c r="B66" s="353"/>
      <c r="C66" s="353"/>
      <c r="D66" s="353"/>
      <c r="E66" s="353"/>
      <c r="F66" s="353"/>
      <c r="G66" s="336"/>
      <c r="H66" s="336"/>
      <c r="I66" s="222"/>
      <c r="J66" s="222"/>
      <c r="K66" s="222"/>
      <c r="L66" s="336"/>
      <c r="M66" s="336"/>
      <c r="N66" s="341"/>
      <c r="O66" s="346"/>
      <c r="P66" s="331"/>
      <c r="Q66" s="343"/>
      <c r="R66" s="331">
        <f>IF(NOT(ISERROR(MATCH(Q66,_xlfn.ANCHORARRAY(F77),0))),Q79&amp;"Por favor no seleccionar los criterios de impacto",Q66)</f>
        <v>0</v>
      </c>
      <c r="S66" s="346"/>
      <c r="T66" s="331"/>
      <c r="U66" s="327"/>
      <c r="V66" s="214">
        <v>4</v>
      </c>
      <c r="W66" s="187"/>
      <c r="X66" s="189" t="str">
        <f t="shared" ref="X66:X68" si="84">IF(OR(Y66="Preventivo",Y66="Detectivo"),"Probabilidad",IF(Y66="Correctivo","Impacto",""))</f>
        <v/>
      </c>
      <c r="Y66" s="190"/>
      <c r="Z66" s="190"/>
      <c r="AA66" s="191" t="str">
        <f t="shared" si="79"/>
        <v/>
      </c>
      <c r="AB66" s="190"/>
      <c r="AC66" s="190"/>
      <c r="AD66" s="190"/>
      <c r="AE66" s="192" t="str">
        <f t="shared" ref="AE66:AE68" si="85">IFERROR(IF(AND(X65="Probabilidad",X66="Probabilidad"),(AG65-(+AG65*AA66)),IF(AND(X65="Impacto",X66="Probabilidad"),(AG64-(+AG64*AA66)),IF(X66="Impacto",AG65,""))),"")</f>
        <v/>
      </c>
      <c r="AF66" s="193" t="str">
        <f t="shared" si="2"/>
        <v/>
      </c>
      <c r="AG66" s="191" t="str">
        <f t="shared" si="80"/>
        <v/>
      </c>
      <c r="AH66" s="193" t="str">
        <f t="shared" si="4"/>
        <v/>
      </c>
      <c r="AI66" s="191" t="str">
        <f t="shared" si="11"/>
        <v/>
      </c>
      <c r="AJ66" s="194" t="str">
        <f>IFERROR(IF(OR(AND(AF66="Muy Baja",AH66="Leve"),AND(AF66="Muy Baja",AH66="Menor"),AND(AF66="Baja",AH66="Leve")),"Bajo",IF(OR(AND(AF66="Muy baja",AH66="Moderado"),AND(AF66="Baja",AH66="Menor"),AND(AF66="Baja",AH66="Moderado"),AND(AF66="Media",AH66="Leve"),AND(AF66="Media",AH66="Menor"),AND(AF66="Media",AH66="Moderado"),AND(AF66="Alta",AH66="Leve"),AND(AF66="Alta",AH66="Menor")),"Moderado",IF(OR(AND(AF66="Muy Baja",AH66="Mayor"),AND(AF66="Baja",AH66="Mayor"),AND(AF66="Media",AH66="Mayor"),AND(AF66="Alta",AH66="Moderado"),AND(AF66="Alta",AH66="Mayor"),AND(AF66="Muy Alta",AH66="Leve"),AND(AF66="Muy Alta",AH66="Menor"),AND(AF66="Muy Alta",AH66="Moderado"),AND(AF66="Muy Alta",AH66="Mayor")),"Alto",IF(OR(AND(AF66="Muy Baja",AH66="Catastrófico"),AND(AF66="Baja",AH66="Catastrófico"),AND(AF66="Media",AH66="Catastrófico"),AND(AF66="Alta",AH66="Catastrófico"),AND(AF66="Muy Alta",AH66="Catastrófico")),"Extremo","")))),"")</f>
        <v/>
      </c>
      <c r="AK66" s="195"/>
      <c r="AL66" s="186"/>
      <c r="AM66" s="196"/>
      <c r="AN66" s="196"/>
      <c r="AO66" s="197"/>
      <c r="AP66" s="341"/>
      <c r="AQ66" s="341"/>
      <c r="AR66" s="341"/>
    </row>
    <row r="67" spans="1:44" ht="37.5" customHeight="1" x14ac:dyDescent="0.2">
      <c r="A67" s="352"/>
      <c r="B67" s="353"/>
      <c r="C67" s="353"/>
      <c r="D67" s="353"/>
      <c r="E67" s="353"/>
      <c r="F67" s="353"/>
      <c r="G67" s="336"/>
      <c r="H67" s="336"/>
      <c r="I67" s="222"/>
      <c r="J67" s="222"/>
      <c r="K67" s="222"/>
      <c r="L67" s="336"/>
      <c r="M67" s="336"/>
      <c r="N67" s="341"/>
      <c r="O67" s="346"/>
      <c r="P67" s="331"/>
      <c r="Q67" s="343"/>
      <c r="R67" s="331">
        <f>IF(NOT(ISERROR(MATCH(Q67,_xlfn.ANCHORARRAY(F78),0))),Q80&amp;"Por favor no seleccionar los criterios de impacto",Q67)</f>
        <v>0</v>
      </c>
      <c r="S67" s="346"/>
      <c r="T67" s="331"/>
      <c r="U67" s="327"/>
      <c r="V67" s="214">
        <v>5</v>
      </c>
      <c r="W67" s="187"/>
      <c r="X67" s="189" t="str">
        <f t="shared" si="84"/>
        <v/>
      </c>
      <c r="Y67" s="190"/>
      <c r="Z67" s="190"/>
      <c r="AA67" s="191" t="str">
        <f t="shared" si="79"/>
        <v/>
      </c>
      <c r="AB67" s="190"/>
      <c r="AC67" s="190"/>
      <c r="AD67" s="190"/>
      <c r="AE67" s="192" t="str">
        <f t="shared" si="85"/>
        <v/>
      </c>
      <c r="AF67" s="193" t="str">
        <f t="shared" si="2"/>
        <v/>
      </c>
      <c r="AG67" s="191" t="str">
        <f t="shared" si="80"/>
        <v/>
      </c>
      <c r="AH67" s="193" t="str">
        <f t="shared" si="4"/>
        <v/>
      </c>
      <c r="AI67" s="191" t="str">
        <f t="shared" si="11"/>
        <v/>
      </c>
      <c r="AJ67" s="194" t="str">
        <f t="shared" ref="AJ67:AJ68" si="86">IFERROR(IF(OR(AND(AF67="Muy Baja",AH67="Leve"),AND(AF67="Muy Baja",AH67="Menor"),AND(AF67="Baja",AH67="Leve")),"Bajo",IF(OR(AND(AF67="Muy baja",AH67="Moderado"),AND(AF67="Baja",AH67="Menor"),AND(AF67="Baja",AH67="Moderado"),AND(AF67="Media",AH67="Leve"),AND(AF67="Media",AH67="Menor"),AND(AF67="Media",AH67="Moderado"),AND(AF67="Alta",AH67="Leve"),AND(AF67="Alta",AH67="Menor")),"Moderado",IF(OR(AND(AF67="Muy Baja",AH67="Mayor"),AND(AF67="Baja",AH67="Mayor"),AND(AF67="Media",AH67="Mayor"),AND(AF67="Alta",AH67="Moderado"),AND(AF67="Alta",AH67="Mayor"),AND(AF67="Muy Alta",AH67="Leve"),AND(AF67="Muy Alta",AH67="Menor"),AND(AF67="Muy Alta",AH67="Moderado"),AND(AF67="Muy Alta",AH67="Mayor")),"Alto",IF(OR(AND(AF67="Muy Baja",AH67="Catastrófico"),AND(AF67="Baja",AH67="Catastrófico"),AND(AF67="Media",AH67="Catastrófico"),AND(AF67="Alta",AH67="Catastrófico"),AND(AF67="Muy Alta",AH67="Catastrófico")),"Extremo","")))),"")</f>
        <v/>
      </c>
      <c r="AK67" s="195"/>
      <c r="AL67" s="186"/>
      <c r="AM67" s="196"/>
      <c r="AN67" s="196"/>
      <c r="AO67" s="197"/>
      <c r="AP67" s="341"/>
      <c r="AQ67" s="341"/>
      <c r="AR67" s="341"/>
    </row>
    <row r="68" spans="1:44" ht="37.5" customHeight="1" x14ac:dyDescent="0.2">
      <c r="A68" s="352"/>
      <c r="B68" s="353"/>
      <c r="C68" s="353"/>
      <c r="D68" s="353"/>
      <c r="E68" s="353"/>
      <c r="F68" s="353"/>
      <c r="G68" s="337"/>
      <c r="H68" s="337"/>
      <c r="I68" s="223"/>
      <c r="J68" s="223"/>
      <c r="K68" s="223"/>
      <c r="L68" s="337"/>
      <c r="M68" s="337"/>
      <c r="N68" s="341"/>
      <c r="O68" s="346"/>
      <c r="P68" s="331"/>
      <c r="Q68" s="343"/>
      <c r="R68" s="331">
        <f>IF(NOT(ISERROR(MATCH(Q68,_xlfn.ANCHORARRAY(F79),0))),Q81&amp;"Por favor no seleccionar los criterios de impacto",Q68)</f>
        <v>0</v>
      </c>
      <c r="S68" s="346"/>
      <c r="T68" s="331"/>
      <c r="U68" s="327"/>
      <c r="V68" s="214">
        <v>6</v>
      </c>
      <c r="W68" s="187"/>
      <c r="X68" s="189" t="str">
        <f t="shared" si="84"/>
        <v/>
      </c>
      <c r="Y68" s="190"/>
      <c r="Z68" s="190"/>
      <c r="AA68" s="191" t="str">
        <f t="shared" si="79"/>
        <v/>
      </c>
      <c r="AB68" s="190"/>
      <c r="AC68" s="190"/>
      <c r="AD68" s="190"/>
      <c r="AE68" s="192" t="str">
        <f t="shared" si="85"/>
        <v/>
      </c>
      <c r="AF68" s="193" t="str">
        <f t="shared" si="2"/>
        <v/>
      </c>
      <c r="AG68" s="191" t="str">
        <f t="shared" si="80"/>
        <v/>
      </c>
      <c r="AH68" s="193" t="str">
        <f t="shared" si="4"/>
        <v/>
      </c>
      <c r="AI68" s="191" t="str">
        <f t="shared" si="11"/>
        <v/>
      </c>
      <c r="AJ68" s="194" t="str">
        <f t="shared" si="86"/>
        <v/>
      </c>
      <c r="AK68" s="195"/>
      <c r="AL68" s="186"/>
      <c r="AM68" s="196"/>
      <c r="AN68" s="196"/>
      <c r="AO68" s="197"/>
      <c r="AP68" s="341"/>
      <c r="AQ68" s="341"/>
      <c r="AR68" s="341"/>
    </row>
    <row r="69" spans="1:44" ht="49.5" customHeight="1" x14ac:dyDescent="0.2">
      <c r="A69" s="216"/>
      <c r="B69" s="357" t="s">
        <v>261</v>
      </c>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N69" s="358"/>
      <c r="AO69" s="358"/>
      <c r="AP69" s="358"/>
    </row>
    <row r="71" spans="1:44" ht="15.75" x14ac:dyDescent="0.2">
      <c r="A71" s="198"/>
      <c r="B71" s="206" t="s">
        <v>262</v>
      </c>
      <c r="C71" s="198"/>
      <c r="D71" s="198"/>
      <c r="E71" s="198"/>
      <c r="N71" s="198"/>
    </row>
  </sheetData>
  <dataConsolidate/>
  <mergeCells count="299">
    <mergeCell ref="A6:B6"/>
    <mergeCell ref="W6:Y6"/>
    <mergeCell ref="Z6:AR6"/>
    <mergeCell ref="A7:B7"/>
    <mergeCell ref="Z7:AR7"/>
    <mergeCell ref="A1:C4"/>
    <mergeCell ref="X1:AR2"/>
    <mergeCell ref="X3:AL3"/>
    <mergeCell ref="AM3:AR3"/>
    <mergeCell ref="X4:AR4"/>
    <mergeCell ref="D3:I3"/>
    <mergeCell ref="D1:T2"/>
    <mergeCell ref="J3:T3"/>
    <mergeCell ref="D4:T4"/>
    <mergeCell ref="C6:T6"/>
    <mergeCell ref="C7:T7"/>
    <mergeCell ref="A8:B8"/>
    <mergeCell ref="Z8:AR8"/>
    <mergeCell ref="A10:F10"/>
    <mergeCell ref="G10:K10"/>
    <mergeCell ref="P10:V10"/>
    <mergeCell ref="W10:AE10"/>
    <mergeCell ref="AF10:AJ10"/>
    <mergeCell ref="AK10:AO10"/>
    <mergeCell ref="AP10:AR10"/>
    <mergeCell ref="C8:T8"/>
    <mergeCell ref="A11:A12"/>
    <mergeCell ref="B11:B12"/>
    <mergeCell ref="C11:C12"/>
    <mergeCell ref="D11:D12"/>
    <mergeCell ref="E11:E12"/>
    <mergeCell ref="F11:F12"/>
    <mergeCell ref="G11:G12"/>
    <mergeCell ref="H11:H12"/>
    <mergeCell ref="I11:I12"/>
    <mergeCell ref="U13:U14"/>
    <mergeCell ref="AP13:AP14"/>
    <mergeCell ref="AQ13:AQ14"/>
    <mergeCell ref="AR11:AR12"/>
    <mergeCell ref="A13:A14"/>
    <mergeCell ref="B13:B14"/>
    <mergeCell ref="C13:C14"/>
    <mergeCell ref="D13:D14"/>
    <mergeCell ref="E13:E14"/>
    <mergeCell ref="F13:F14"/>
    <mergeCell ref="AI11:AI12"/>
    <mergeCell ref="AJ11:AJ12"/>
    <mergeCell ref="AK11:AK12"/>
    <mergeCell ref="AL11:AL12"/>
    <mergeCell ref="AM11:AM12"/>
    <mergeCell ref="AN11:AN12"/>
    <mergeCell ref="X11:X12"/>
    <mergeCell ref="Y11:AD11"/>
    <mergeCell ref="AE11:AE12"/>
    <mergeCell ref="AF11:AF12"/>
    <mergeCell ref="AG11:AG12"/>
    <mergeCell ref="AH11:AH12"/>
    <mergeCell ref="R11:R12"/>
    <mergeCell ref="S11:S12"/>
    <mergeCell ref="AO11:AO12"/>
    <mergeCell ref="AP11:AP12"/>
    <mergeCell ref="AQ11:AQ12"/>
    <mergeCell ref="W11:W12"/>
    <mergeCell ref="J11:J12"/>
    <mergeCell ref="K11:K12"/>
    <mergeCell ref="N11:N12"/>
    <mergeCell ref="O11:O12"/>
    <mergeCell ref="P11:P12"/>
    <mergeCell ref="Q11:Q12"/>
    <mergeCell ref="T11:T12"/>
    <mergeCell ref="U11:U12"/>
    <mergeCell ref="V11:V12"/>
    <mergeCell ref="AR13:AR14"/>
    <mergeCell ref="M13:M14"/>
    <mergeCell ref="N13:N14"/>
    <mergeCell ref="O13:O14"/>
    <mergeCell ref="P13:P14"/>
    <mergeCell ref="Q13:Q14"/>
    <mergeCell ref="R13:R14"/>
    <mergeCell ref="G15:G20"/>
    <mergeCell ref="H15:H20"/>
    <mergeCell ref="I15:I20"/>
    <mergeCell ref="J15:J20"/>
    <mergeCell ref="K15:K20"/>
    <mergeCell ref="L15:L20"/>
    <mergeCell ref="AP15:AP20"/>
    <mergeCell ref="AQ15:AQ20"/>
    <mergeCell ref="AR15:AR20"/>
    <mergeCell ref="G13:G14"/>
    <mergeCell ref="H13:H14"/>
    <mergeCell ref="I13:I14"/>
    <mergeCell ref="J13:J14"/>
    <mergeCell ref="K13:K14"/>
    <mergeCell ref="L13:L14"/>
    <mergeCell ref="S13:S14"/>
    <mergeCell ref="T13:T14"/>
    <mergeCell ref="A15:A20"/>
    <mergeCell ref="B15:B20"/>
    <mergeCell ref="C15:C20"/>
    <mergeCell ref="D15:D20"/>
    <mergeCell ref="E15:E20"/>
    <mergeCell ref="F15:F20"/>
    <mergeCell ref="S15:S20"/>
    <mergeCell ref="T15:T20"/>
    <mergeCell ref="U15:U20"/>
    <mergeCell ref="M15:M20"/>
    <mergeCell ref="N15:N20"/>
    <mergeCell ref="O15:O20"/>
    <mergeCell ref="P15:P20"/>
    <mergeCell ref="Q15:Q20"/>
    <mergeCell ref="R15:R20"/>
    <mergeCell ref="G21:G26"/>
    <mergeCell ref="H21:H26"/>
    <mergeCell ref="I21:I26"/>
    <mergeCell ref="J21:J26"/>
    <mergeCell ref="K21:K26"/>
    <mergeCell ref="L21:L26"/>
    <mergeCell ref="A21:A26"/>
    <mergeCell ref="B21:B26"/>
    <mergeCell ref="C21:C26"/>
    <mergeCell ref="D21:D26"/>
    <mergeCell ref="E21:E26"/>
    <mergeCell ref="F21:F26"/>
    <mergeCell ref="S21:S26"/>
    <mergeCell ref="T21:T26"/>
    <mergeCell ref="U21:U26"/>
    <mergeCell ref="AP21:AP26"/>
    <mergeCell ref="AQ21:AQ26"/>
    <mergeCell ref="AR21:AR26"/>
    <mergeCell ref="M21:M26"/>
    <mergeCell ref="N21:N26"/>
    <mergeCell ref="O21:O26"/>
    <mergeCell ref="P21:P26"/>
    <mergeCell ref="Q21:Q26"/>
    <mergeCell ref="R21:R26"/>
    <mergeCell ref="G27:G32"/>
    <mergeCell ref="H27:H32"/>
    <mergeCell ref="I27:I32"/>
    <mergeCell ref="J27:J32"/>
    <mergeCell ref="K27:K32"/>
    <mergeCell ref="L27:L32"/>
    <mergeCell ref="A27:A32"/>
    <mergeCell ref="B27:B32"/>
    <mergeCell ref="C27:C32"/>
    <mergeCell ref="D27:D32"/>
    <mergeCell ref="E27:E32"/>
    <mergeCell ref="F27:F32"/>
    <mergeCell ref="S27:S32"/>
    <mergeCell ref="T27:T32"/>
    <mergeCell ref="U27:U32"/>
    <mergeCell ref="AP27:AP32"/>
    <mergeCell ref="AQ27:AQ32"/>
    <mergeCell ref="AR27:AR32"/>
    <mergeCell ref="M27:M32"/>
    <mergeCell ref="N27:N32"/>
    <mergeCell ref="O27:O32"/>
    <mergeCell ref="P27:P32"/>
    <mergeCell ref="Q27:Q32"/>
    <mergeCell ref="R27:R32"/>
    <mergeCell ref="G33:G38"/>
    <mergeCell ref="H33:H38"/>
    <mergeCell ref="I33:I38"/>
    <mergeCell ref="J33:J38"/>
    <mergeCell ref="K33:K38"/>
    <mergeCell ref="L33:L38"/>
    <mergeCell ref="A33:A38"/>
    <mergeCell ref="B33:B38"/>
    <mergeCell ref="C33:C38"/>
    <mergeCell ref="D33:D38"/>
    <mergeCell ref="E33:E38"/>
    <mergeCell ref="F33:F38"/>
    <mergeCell ref="S33:S38"/>
    <mergeCell ref="T33:T38"/>
    <mergeCell ref="U33:U38"/>
    <mergeCell ref="AP33:AP38"/>
    <mergeCell ref="AQ33:AQ38"/>
    <mergeCell ref="AR33:AR38"/>
    <mergeCell ref="M33:M38"/>
    <mergeCell ref="N33:N38"/>
    <mergeCell ref="O33:O38"/>
    <mergeCell ref="P33:P38"/>
    <mergeCell ref="Q33:Q38"/>
    <mergeCell ref="R33:R38"/>
    <mergeCell ref="G39:G44"/>
    <mergeCell ref="H39:H44"/>
    <mergeCell ref="I39:I44"/>
    <mergeCell ref="J39:J44"/>
    <mergeCell ref="K39:K44"/>
    <mergeCell ref="L39:L44"/>
    <mergeCell ref="A39:A44"/>
    <mergeCell ref="B39:B44"/>
    <mergeCell ref="C39:C44"/>
    <mergeCell ref="D39:D44"/>
    <mergeCell ref="E39:E44"/>
    <mergeCell ref="F39:F44"/>
    <mergeCell ref="S39:S44"/>
    <mergeCell ref="T39:T44"/>
    <mergeCell ref="U39:U44"/>
    <mergeCell ref="AP39:AP44"/>
    <mergeCell ref="AQ39:AQ44"/>
    <mergeCell ref="AR39:AR44"/>
    <mergeCell ref="M39:M44"/>
    <mergeCell ref="N39:N44"/>
    <mergeCell ref="O39:O44"/>
    <mergeCell ref="P39:P44"/>
    <mergeCell ref="Q39:Q44"/>
    <mergeCell ref="R39:R44"/>
    <mergeCell ref="G45:G50"/>
    <mergeCell ref="H45:H50"/>
    <mergeCell ref="I45:I50"/>
    <mergeCell ref="J45:J50"/>
    <mergeCell ref="K45:K50"/>
    <mergeCell ref="L45:L50"/>
    <mergeCell ref="A45:A50"/>
    <mergeCell ref="B45:B50"/>
    <mergeCell ref="C45:C50"/>
    <mergeCell ref="D45:D50"/>
    <mergeCell ref="E45:E50"/>
    <mergeCell ref="F45:F50"/>
    <mergeCell ref="S45:S50"/>
    <mergeCell ref="T45:T50"/>
    <mergeCell ref="U45:U50"/>
    <mergeCell ref="AP45:AP50"/>
    <mergeCell ref="AQ45:AQ50"/>
    <mergeCell ref="AR45:AR50"/>
    <mergeCell ref="M45:M50"/>
    <mergeCell ref="N45:N50"/>
    <mergeCell ref="O45:O50"/>
    <mergeCell ref="P45:P50"/>
    <mergeCell ref="Q45:Q50"/>
    <mergeCell ref="R45:R50"/>
    <mergeCell ref="G51:G56"/>
    <mergeCell ref="H51:H56"/>
    <mergeCell ref="I51:I56"/>
    <mergeCell ref="J51:J56"/>
    <mergeCell ref="K51:K56"/>
    <mergeCell ref="L51:L56"/>
    <mergeCell ref="A51:A56"/>
    <mergeCell ref="B51:B56"/>
    <mergeCell ref="C51:C56"/>
    <mergeCell ref="D51:D56"/>
    <mergeCell ref="E51:E56"/>
    <mergeCell ref="F51:F56"/>
    <mergeCell ref="T51:T56"/>
    <mergeCell ref="U51:U56"/>
    <mergeCell ref="AP51:AP56"/>
    <mergeCell ref="AQ51:AQ56"/>
    <mergeCell ref="AR51:AR56"/>
    <mergeCell ref="M51:M56"/>
    <mergeCell ref="N51:N56"/>
    <mergeCell ref="O51:O56"/>
    <mergeCell ref="P51:P56"/>
    <mergeCell ref="Q51:Q56"/>
    <mergeCell ref="R51:R56"/>
    <mergeCell ref="A63:A68"/>
    <mergeCell ref="B63:B68"/>
    <mergeCell ref="C63:C68"/>
    <mergeCell ref="D63:D68"/>
    <mergeCell ref="E63:E68"/>
    <mergeCell ref="F63:F68"/>
    <mergeCell ref="G63:G68"/>
    <mergeCell ref="P57:P62"/>
    <mergeCell ref="Q57:Q62"/>
    <mergeCell ref="G57:G62"/>
    <mergeCell ref="H57:H62"/>
    <mergeCell ref="L57:L62"/>
    <mergeCell ref="M57:M62"/>
    <mergeCell ref="N57:N62"/>
    <mergeCell ref="O57:O62"/>
    <mergeCell ref="A57:A62"/>
    <mergeCell ref="B57:B62"/>
    <mergeCell ref="C57:C62"/>
    <mergeCell ref="D57:D62"/>
    <mergeCell ref="E57:E62"/>
    <mergeCell ref="F57:F62"/>
    <mergeCell ref="AQ63:AQ68"/>
    <mergeCell ref="AR63:AR68"/>
    <mergeCell ref="B69:AP69"/>
    <mergeCell ref="L10:M11"/>
    <mergeCell ref="Q63:Q68"/>
    <mergeCell ref="R63:R68"/>
    <mergeCell ref="S63:S68"/>
    <mergeCell ref="T63:T68"/>
    <mergeCell ref="U63:U68"/>
    <mergeCell ref="AP63:AP68"/>
    <mergeCell ref="H63:H68"/>
    <mergeCell ref="L63:L68"/>
    <mergeCell ref="M63:M68"/>
    <mergeCell ref="N63:N68"/>
    <mergeCell ref="O63:O68"/>
    <mergeCell ref="P63:P68"/>
    <mergeCell ref="AP57:AP62"/>
    <mergeCell ref="AQ57:AQ62"/>
    <mergeCell ref="AR57:AR62"/>
    <mergeCell ref="R57:R62"/>
    <mergeCell ref="S57:S62"/>
    <mergeCell ref="T57:T62"/>
    <mergeCell ref="U57:U62"/>
    <mergeCell ref="S51:S56"/>
  </mergeCells>
  <conditionalFormatting sqref="O13 O15">
    <cfRule type="cellIs" dxfId="469" priority="227" operator="equal">
      <formula>"Muy Alta"</formula>
    </cfRule>
    <cfRule type="cellIs" dxfId="468" priority="228" operator="equal">
      <formula>"Alta"</formula>
    </cfRule>
    <cfRule type="cellIs" dxfId="467" priority="229" operator="equal">
      <formula>"Media"</formula>
    </cfRule>
    <cfRule type="cellIs" dxfId="466" priority="230" operator="equal">
      <formula>"Baja"</formula>
    </cfRule>
    <cfRule type="cellIs" dxfId="465" priority="231" operator="equal">
      <formula>"Muy Baja"</formula>
    </cfRule>
  </conditionalFormatting>
  <conditionalFormatting sqref="S13 S15 S21 S27 S33 S39 S45 S51 S57 S63">
    <cfRule type="cellIs" dxfId="464" priority="222" operator="equal">
      <formula>"Catastrófico"</formula>
    </cfRule>
    <cfRule type="cellIs" dxfId="463" priority="223" operator="equal">
      <formula>"Mayor"</formula>
    </cfRule>
    <cfRule type="cellIs" dxfId="462" priority="224" operator="equal">
      <formula>"Moderado"</formula>
    </cfRule>
    <cfRule type="cellIs" dxfId="461" priority="225" operator="equal">
      <formula>"Menor"</formula>
    </cfRule>
    <cfRule type="cellIs" dxfId="460" priority="226" operator="equal">
      <formula>"Leve"</formula>
    </cfRule>
  </conditionalFormatting>
  <conditionalFormatting sqref="U13">
    <cfRule type="cellIs" dxfId="459" priority="218" operator="equal">
      <formula>"Extremo"</formula>
    </cfRule>
    <cfRule type="cellIs" dxfId="458" priority="219" operator="equal">
      <formula>"Alto"</formula>
    </cfRule>
    <cfRule type="cellIs" dxfId="457" priority="220" operator="equal">
      <formula>"Moderado"</formula>
    </cfRule>
    <cfRule type="cellIs" dxfId="456" priority="221" operator="equal">
      <formula>"Bajo"</formula>
    </cfRule>
  </conditionalFormatting>
  <conditionalFormatting sqref="AF13:AF14">
    <cfRule type="cellIs" dxfId="455" priority="213" operator="equal">
      <formula>"Muy Alta"</formula>
    </cfRule>
    <cfRule type="cellIs" dxfId="454" priority="214" operator="equal">
      <formula>"Alta"</formula>
    </cfRule>
    <cfRule type="cellIs" dxfId="453" priority="215" operator="equal">
      <formula>"Media"</formula>
    </cfRule>
    <cfRule type="cellIs" dxfId="452" priority="216" operator="equal">
      <formula>"Baja"</formula>
    </cfRule>
    <cfRule type="cellIs" dxfId="451" priority="217" operator="equal">
      <formula>"Muy Baja"</formula>
    </cfRule>
  </conditionalFormatting>
  <conditionalFormatting sqref="AH13:AH14">
    <cfRule type="cellIs" dxfId="450" priority="208" operator="equal">
      <formula>"Catastrófico"</formula>
    </cfRule>
    <cfRule type="cellIs" dxfId="449" priority="209" operator="equal">
      <formula>"Mayor"</formula>
    </cfRule>
    <cfRule type="cellIs" dxfId="448" priority="210" operator="equal">
      <formula>"Moderado"</formula>
    </cfRule>
    <cfRule type="cellIs" dxfId="447" priority="211" operator="equal">
      <formula>"Menor"</formula>
    </cfRule>
    <cfRule type="cellIs" dxfId="446" priority="212" operator="equal">
      <formula>"Leve"</formula>
    </cfRule>
  </conditionalFormatting>
  <conditionalFormatting sqref="AJ13:AJ14">
    <cfRule type="cellIs" dxfId="445" priority="204" operator="equal">
      <formula>"Extremo"</formula>
    </cfRule>
    <cfRule type="cellIs" dxfId="444" priority="205" operator="equal">
      <formula>"Alto"</formula>
    </cfRule>
    <cfRule type="cellIs" dxfId="443" priority="206" operator="equal">
      <formula>"Moderado"</formula>
    </cfRule>
    <cfRule type="cellIs" dxfId="442" priority="207" operator="equal">
      <formula>"Bajo"</formula>
    </cfRule>
  </conditionalFormatting>
  <conditionalFormatting sqref="O57">
    <cfRule type="cellIs" dxfId="441" priority="48" operator="equal">
      <formula>"Muy Alta"</formula>
    </cfRule>
    <cfRule type="cellIs" dxfId="440" priority="49" operator="equal">
      <formula>"Alta"</formula>
    </cfRule>
    <cfRule type="cellIs" dxfId="439" priority="50" operator="equal">
      <formula>"Media"</formula>
    </cfRule>
    <cfRule type="cellIs" dxfId="438" priority="51" operator="equal">
      <formula>"Baja"</formula>
    </cfRule>
    <cfRule type="cellIs" dxfId="437" priority="52" operator="equal">
      <formula>"Muy Baja"</formula>
    </cfRule>
  </conditionalFormatting>
  <conditionalFormatting sqref="U15">
    <cfRule type="cellIs" dxfId="436" priority="200" operator="equal">
      <formula>"Extremo"</formula>
    </cfRule>
    <cfRule type="cellIs" dxfId="435" priority="201" operator="equal">
      <formula>"Alto"</formula>
    </cfRule>
    <cfRule type="cellIs" dxfId="434" priority="202" operator="equal">
      <formula>"Moderado"</formula>
    </cfRule>
    <cfRule type="cellIs" dxfId="433" priority="203" operator="equal">
      <formula>"Bajo"</formula>
    </cfRule>
  </conditionalFormatting>
  <conditionalFormatting sqref="AF15:AF20">
    <cfRule type="cellIs" dxfId="432" priority="195" operator="equal">
      <formula>"Muy Alta"</formula>
    </cfRule>
    <cfRule type="cellIs" dxfId="431" priority="196" operator="equal">
      <formula>"Alta"</formula>
    </cfRule>
    <cfRule type="cellIs" dxfId="430" priority="197" operator="equal">
      <formula>"Media"</formula>
    </cfRule>
    <cfRule type="cellIs" dxfId="429" priority="198" operator="equal">
      <formula>"Baja"</formula>
    </cfRule>
    <cfRule type="cellIs" dxfId="428" priority="199" operator="equal">
      <formula>"Muy Baja"</formula>
    </cfRule>
  </conditionalFormatting>
  <conditionalFormatting sqref="AH15:AH20">
    <cfRule type="cellIs" dxfId="427" priority="190" operator="equal">
      <formula>"Catastrófico"</formula>
    </cfRule>
    <cfRule type="cellIs" dxfId="426" priority="191" operator="equal">
      <formula>"Mayor"</formula>
    </cfRule>
    <cfRule type="cellIs" dxfId="425" priority="192" operator="equal">
      <formula>"Moderado"</formula>
    </cfRule>
    <cfRule type="cellIs" dxfId="424" priority="193" operator="equal">
      <formula>"Menor"</formula>
    </cfRule>
    <cfRule type="cellIs" dxfId="423" priority="194" operator="equal">
      <formula>"Leve"</formula>
    </cfRule>
  </conditionalFormatting>
  <conditionalFormatting sqref="AJ15:AJ20">
    <cfRule type="cellIs" dxfId="422" priority="186" operator="equal">
      <formula>"Extremo"</formula>
    </cfRule>
    <cfRule type="cellIs" dxfId="421" priority="187" operator="equal">
      <formula>"Alto"</formula>
    </cfRule>
    <cfRule type="cellIs" dxfId="420" priority="188" operator="equal">
      <formula>"Moderado"</formula>
    </cfRule>
    <cfRule type="cellIs" dxfId="419" priority="189" operator="equal">
      <formula>"Bajo"</formula>
    </cfRule>
  </conditionalFormatting>
  <conditionalFormatting sqref="O21">
    <cfRule type="cellIs" dxfId="418" priority="181" operator="equal">
      <formula>"Muy Alta"</formula>
    </cfRule>
    <cfRule type="cellIs" dxfId="417" priority="182" operator="equal">
      <formula>"Alta"</formula>
    </cfRule>
    <cfRule type="cellIs" dxfId="416" priority="183" operator="equal">
      <formula>"Media"</formula>
    </cfRule>
    <cfRule type="cellIs" dxfId="415" priority="184" operator="equal">
      <formula>"Baja"</formula>
    </cfRule>
    <cfRule type="cellIs" dxfId="414" priority="185" operator="equal">
      <formula>"Muy Baja"</formula>
    </cfRule>
  </conditionalFormatting>
  <conditionalFormatting sqref="U21">
    <cfRule type="cellIs" dxfId="413" priority="177" operator="equal">
      <formula>"Extremo"</formula>
    </cfRule>
    <cfRule type="cellIs" dxfId="412" priority="178" operator="equal">
      <formula>"Alto"</formula>
    </cfRule>
    <cfRule type="cellIs" dxfId="411" priority="179" operator="equal">
      <formula>"Moderado"</formula>
    </cfRule>
    <cfRule type="cellIs" dxfId="410" priority="180" operator="equal">
      <formula>"Bajo"</formula>
    </cfRule>
  </conditionalFormatting>
  <conditionalFormatting sqref="AF21:AF26">
    <cfRule type="cellIs" dxfId="409" priority="172" operator="equal">
      <formula>"Muy Alta"</formula>
    </cfRule>
    <cfRule type="cellIs" dxfId="408" priority="173" operator="equal">
      <formula>"Alta"</formula>
    </cfRule>
    <cfRule type="cellIs" dxfId="407" priority="174" operator="equal">
      <formula>"Media"</formula>
    </cfRule>
    <cfRule type="cellIs" dxfId="406" priority="175" operator="equal">
      <formula>"Baja"</formula>
    </cfRule>
    <cfRule type="cellIs" dxfId="405" priority="176" operator="equal">
      <formula>"Muy Baja"</formula>
    </cfRule>
  </conditionalFormatting>
  <conditionalFormatting sqref="AH21:AH26">
    <cfRule type="cellIs" dxfId="404" priority="167" operator="equal">
      <formula>"Catastrófico"</formula>
    </cfRule>
    <cfRule type="cellIs" dxfId="403" priority="168" operator="equal">
      <formula>"Mayor"</formula>
    </cfRule>
    <cfRule type="cellIs" dxfId="402" priority="169" operator="equal">
      <formula>"Moderado"</formula>
    </cfRule>
    <cfRule type="cellIs" dxfId="401" priority="170" operator="equal">
      <formula>"Menor"</formula>
    </cfRule>
    <cfRule type="cellIs" dxfId="400" priority="171" operator="equal">
      <formula>"Leve"</formula>
    </cfRule>
  </conditionalFormatting>
  <conditionalFormatting sqref="AJ21:AJ26">
    <cfRule type="cellIs" dxfId="399" priority="163" operator="equal">
      <formula>"Extremo"</formula>
    </cfRule>
    <cfRule type="cellIs" dxfId="398" priority="164" operator="equal">
      <formula>"Alto"</formula>
    </cfRule>
    <cfRule type="cellIs" dxfId="397" priority="165" operator="equal">
      <formula>"Moderado"</formula>
    </cfRule>
    <cfRule type="cellIs" dxfId="396" priority="166" operator="equal">
      <formula>"Bajo"</formula>
    </cfRule>
  </conditionalFormatting>
  <conditionalFormatting sqref="O27">
    <cfRule type="cellIs" dxfId="395" priority="158" operator="equal">
      <formula>"Muy Alta"</formula>
    </cfRule>
    <cfRule type="cellIs" dxfId="394" priority="159" operator="equal">
      <formula>"Alta"</formula>
    </cfRule>
    <cfRule type="cellIs" dxfId="393" priority="160" operator="equal">
      <formula>"Media"</formula>
    </cfRule>
    <cfRule type="cellIs" dxfId="392" priority="161" operator="equal">
      <formula>"Baja"</formula>
    </cfRule>
    <cfRule type="cellIs" dxfId="391" priority="162" operator="equal">
      <formula>"Muy Baja"</formula>
    </cfRule>
  </conditionalFormatting>
  <conditionalFormatting sqref="U27">
    <cfRule type="cellIs" dxfId="390" priority="154" operator="equal">
      <formula>"Extremo"</formula>
    </cfRule>
    <cfRule type="cellIs" dxfId="389" priority="155" operator="equal">
      <formula>"Alto"</formula>
    </cfRule>
    <cfRule type="cellIs" dxfId="388" priority="156" operator="equal">
      <formula>"Moderado"</formula>
    </cfRule>
    <cfRule type="cellIs" dxfId="387" priority="157" operator="equal">
      <formula>"Bajo"</formula>
    </cfRule>
  </conditionalFormatting>
  <conditionalFormatting sqref="AF27:AF32">
    <cfRule type="cellIs" dxfId="386" priority="149" operator="equal">
      <formula>"Muy Alta"</formula>
    </cfRule>
    <cfRule type="cellIs" dxfId="385" priority="150" operator="equal">
      <formula>"Alta"</formula>
    </cfRule>
    <cfRule type="cellIs" dxfId="384" priority="151" operator="equal">
      <formula>"Media"</formula>
    </cfRule>
    <cfRule type="cellIs" dxfId="383" priority="152" operator="equal">
      <formula>"Baja"</formula>
    </cfRule>
    <cfRule type="cellIs" dxfId="382" priority="153" operator="equal">
      <formula>"Muy Baja"</formula>
    </cfRule>
  </conditionalFormatting>
  <conditionalFormatting sqref="AH27:AH32">
    <cfRule type="cellIs" dxfId="381" priority="144" operator="equal">
      <formula>"Catastrófico"</formula>
    </cfRule>
    <cfRule type="cellIs" dxfId="380" priority="145" operator="equal">
      <formula>"Mayor"</formula>
    </cfRule>
    <cfRule type="cellIs" dxfId="379" priority="146" operator="equal">
      <formula>"Moderado"</formula>
    </cfRule>
    <cfRule type="cellIs" dxfId="378" priority="147" operator="equal">
      <formula>"Menor"</formula>
    </cfRule>
    <cfRule type="cellIs" dxfId="377" priority="148" operator="equal">
      <formula>"Leve"</formula>
    </cfRule>
  </conditionalFormatting>
  <conditionalFormatting sqref="AJ27:AJ32">
    <cfRule type="cellIs" dxfId="376" priority="140" operator="equal">
      <formula>"Extremo"</formula>
    </cfRule>
    <cfRule type="cellIs" dxfId="375" priority="141" operator="equal">
      <formula>"Alto"</formula>
    </cfRule>
    <cfRule type="cellIs" dxfId="374" priority="142" operator="equal">
      <formula>"Moderado"</formula>
    </cfRule>
    <cfRule type="cellIs" dxfId="373" priority="143" operator="equal">
      <formula>"Bajo"</formula>
    </cfRule>
  </conditionalFormatting>
  <conditionalFormatting sqref="O33">
    <cfRule type="cellIs" dxfId="372" priority="135" operator="equal">
      <formula>"Muy Alta"</formula>
    </cfRule>
    <cfRule type="cellIs" dxfId="371" priority="136" operator="equal">
      <formula>"Alta"</formula>
    </cfRule>
    <cfRule type="cellIs" dxfId="370" priority="137" operator="equal">
      <formula>"Media"</formula>
    </cfRule>
    <cfRule type="cellIs" dxfId="369" priority="138" operator="equal">
      <formula>"Baja"</formula>
    </cfRule>
    <cfRule type="cellIs" dxfId="368" priority="139" operator="equal">
      <formula>"Muy Baja"</formula>
    </cfRule>
  </conditionalFormatting>
  <conditionalFormatting sqref="U33">
    <cfRule type="cellIs" dxfId="367" priority="131" operator="equal">
      <formula>"Extremo"</formula>
    </cfRule>
    <cfRule type="cellIs" dxfId="366" priority="132" operator="equal">
      <formula>"Alto"</formula>
    </cfRule>
    <cfRule type="cellIs" dxfId="365" priority="133" operator="equal">
      <formula>"Moderado"</formula>
    </cfRule>
    <cfRule type="cellIs" dxfId="364" priority="134" operator="equal">
      <formula>"Bajo"</formula>
    </cfRule>
  </conditionalFormatting>
  <conditionalFormatting sqref="AF33:AF38">
    <cfRule type="cellIs" dxfId="363" priority="126" operator="equal">
      <formula>"Muy Alta"</formula>
    </cfRule>
    <cfRule type="cellIs" dxfId="362" priority="127" operator="equal">
      <formula>"Alta"</formula>
    </cfRule>
    <cfRule type="cellIs" dxfId="361" priority="128" operator="equal">
      <formula>"Media"</formula>
    </cfRule>
    <cfRule type="cellIs" dxfId="360" priority="129" operator="equal">
      <formula>"Baja"</formula>
    </cfRule>
    <cfRule type="cellIs" dxfId="359" priority="130" operator="equal">
      <formula>"Muy Baja"</formula>
    </cfRule>
  </conditionalFormatting>
  <conditionalFormatting sqref="AH33:AH38">
    <cfRule type="cellIs" dxfId="358" priority="121" operator="equal">
      <formula>"Catastrófico"</formula>
    </cfRule>
    <cfRule type="cellIs" dxfId="357" priority="122" operator="equal">
      <formula>"Mayor"</formula>
    </cfRule>
    <cfRule type="cellIs" dxfId="356" priority="123" operator="equal">
      <formula>"Moderado"</formula>
    </cfRule>
    <cfRule type="cellIs" dxfId="355" priority="124" operator="equal">
      <formula>"Menor"</formula>
    </cfRule>
    <cfRule type="cellIs" dxfId="354" priority="125" operator="equal">
      <formula>"Leve"</formula>
    </cfRule>
  </conditionalFormatting>
  <conditionalFormatting sqref="AJ33:AJ38">
    <cfRule type="cellIs" dxfId="353" priority="117" operator="equal">
      <formula>"Extremo"</formula>
    </cfRule>
    <cfRule type="cellIs" dxfId="352" priority="118" operator="equal">
      <formula>"Alto"</formula>
    </cfRule>
    <cfRule type="cellIs" dxfId="351" priority="119" operator="equal">
      <formula>"Moderado"</formula>
    </cfRule>
    <cfRule type="cellIs" dxfId="350" priority="120" operator="equal">
      <formula>"Bajo"</formula>
    </cfRule>
  </conditionalFormatting>
  <conditionalFormatting sqref="O39">
    <cfRule type="cellIs" dxfId="349" priority="112" operator="equal">
      <formula>"Muy Alta"</formula>
    </cfRule>
    <cfRule type="cellIs" dxfId="348" priority="113" operator="equal">
      <formula>"Alta"</formula>
    </cfRule>
    <cfRule type="cellIs" dxfId="347" priority="114" operator="equal">
      <formula>"Media"</formula>
    </cfRule>
    <cfRule type="cellIs" dxfId="346" priority="115" operator="equal">
      <formula>"Baja"</formula>
    </cfRule>
    <cfRule type="cellIs" dxfId="345" priority="116" operator="equal">
      <formula>"Muy Baja"</formula>
    </cfRule>
  </conditionalFormatting>
  <conditionalFormatting sqref="U39">
    <cfRule type="cellIs" dxfId="344" priority="108" operator="equal">
      <formula>"Extremo"</formula>
    </cfRule>
    <cfRule type="cellIs" dxfId="343" priority="109" operator="equal">
      <formula>"Alto"</formula>
    </cfRule>
    <cfRule type="cellIs" dxfId="342" priority="110" operator="equal">
      <formula>"Moderado"</formula>
    </cfRule>
    <cfRule type="cellIs" dxfId="341" priority="111" operator="equal">
      <formula>"Bajo"</formula>
    </cfRule>
  </conditionalFormatting>
  <conditionalFormatting sqref="AF39:AF44">
    <cfRule type="cellIs" dxfId="340" priority="103" operator="equal">
      <formula>"Muy Alta"</formula>
    </cfRule>
    <cfRule type="cellIs" dxfId="339" priority="104" operator="equal">
      <formula>"Alta"</formula>
    </cfRule>
    <cfRule type="cellIs" dxfId="338" priority="105" operator="equal">
      <formula>"Media"</formula>
    </cfRule>
    <cfRule type="cellIs" dxfId="337" priority="106" operator="equal">
      <formula>"Baja"</formula>
    </cfRule>
    <cfRule type="cellIs" dxfId="336" priority="107" operator="equal">
      <formula>"Muy Baja"</formula>
    </cfRule>
  </conditionalFormatting>
  <conditionalFormatting sqref="AH39:AH44">
    <cfRule type="cellIs" dxfId="335" priority="98" operator="equal">
      <formula>"Catastrófico"</formula>
    </cfRule>
    <cfRule type="cellIs" dxfId="334" priority="99" operator="equal">
      <formula>"Mayor"</formula>
    </cfRule>
    <cfRule type="cellIs" dxfId="333" priority="100" operator="equal">
      <formula>"Moderado"</formula>
    </cfRule>
    <cfRule type="cellIs" dxfId="332" priority="101" operator="equal">
      <formula>"Menor"</formula>
    </cfRule>
    <cfRule type="cellIs" dxfId="331" priority="102" operator="equal">
      <formula>"Leve"</formula>
    </cfRule>
  </conditionalFormatting>
  <conditionalFormatting sqref="AJ39:AJ44">
    <cfRule type="cellIs" dxfId="330" priority="94" operator="equal">
      <formula>"Extremo"</formula>
    </cfRule>
    <cfRule type="cellIs" dxfId="329" priority="95" operator="equal">
      <formula>"Alto"</formula>
    </cfRule>
    <cfRule type="cellIs" dxfId="328" priority="96" operator="equal">
      <formula>"Moderado"</formula>
    </cfRule>
    <cfRule type="cellIs" dxfId="327" priority="97" operator="equal">
      <formula>"Bajo"</formula>
    </cfRule>
  </conditionalFormatting>
  <conditionalFormatting sqref="O45">
    <cfRule type="cellIs" dxfId="326" priority="89" operator="equal">
      <formula>"Muy Alta"</formula>
    </cfRule>
    <cfRule type="cellIs" dxfId="325" priority="90" operator="equal">
      <formula>"Alta"</formula>
    </cfRule>
    <cfRule type="cellIs" dxfId="324" priority="91" operator="equal">
      <formula>"Media"</formula>
    </cfRule>
    <cfRule type="cellIs" dxfId="323" priority="92" operator="equal">
      <formula>"Baja"</formula>
    </cfRule>
    <cfRule type="cellIs" dxfId="322" priority="93" operator="equal">
      <formula>"Muy Baja"</formula>
    </cfRule>
  </conditionalFormatting>
  <conditionalFormatting sqref="U45">
    <cfRule type="cellIs" dxfId="321" priority="85" operator="equal">
      <formula>"Extremo"</formula>
    </cfRule>
    <cfRule type="cellIs" dxfId="320" priority="86" operator="equal">
      <formula>"Alto"</formula>
    </cfRule>
    <cfRule type="cellIs" dxfId="319" priority="87" operator="equal">
      <formula>"Moderado"</formula>
    </cfRule>
    <cfRule type="cellIs" dxfId="318" priority="88" operator="equal">
      <formula>"Bajo"</formula>
    </cfRule>
  </conditionalFormatting>
  <conditionalFormatting sqref="AF45:AF50">
    <cfRule type="cellIs" dxfId="317" priority="80" operator="equal">
      <formula>"Muy Alta"</formula>
    </cfRule>
    <cfRule type="cellIs" dxfId="316" priority="81" operator="equal">
      <formula>"Alta"</formula>
    </cfRule>
    <cfRule type="cellIs" dxfId="315" priority="82" operator="equal">
      <formula>"Media"</formula>
    </cfRule>
    <cfRule type="cellIs" dxfId="314" priority="83" operator="equal">
      <formula>"Baja"</formula>
    </cfRule>
    <cfRule type="cellIs" dxfId="313" priority="84" operator="equal">
      <formula>"Muy Baja"</formula>
    </cfRule>
  </conditionalFormatting>
  <conditionalFormatting sqref="AH45:AH50">
    <cfRule type="cellIs" dxfId="312" priority="75" operator="equal">
      <formula>"Catastrófico"</formula>
    </cfRule>
    <cfRule type="cellIs" dxfId="311" priority="76" operator="equal">
      <formula>"Mayor"</formula>
    </cfRule>
    <cfRule type="cellIs" dxfId="310" priority="77" operator="equal">
      <formula>"Moderado"</formula>
    </cfRule>
    <cfRule type="cellIs" dxfId="309" priority="78" operator="equal">
      <formula>"Menor"</formula>
    </cfRule>
    <cfRule type="cellIs" dxfId="308" priority="79" operator="equal">
      <formula>"Leve"</formula>
    </cfRule>
  </conditionalFormatting>
  <conditionalFormatting sqref="AJ45:AJ50">
    <cfRule type="cellIs" dxfId="307" priority="71" operator="equal">
      <formula>"Extremo"</formula>
    </cfRule>
    <cfRule type="cellIs" dxfId="306" priority="72" operator="equal">
      <formula>"Alto"</formula>
    </cfRule>
    <cfRule type="cellIs" dxfId="305" priority="73" operator="equal">
      <formula>"Moderado"</formula>
    </cfRule>
    <cfRule type="cellIs" dxfId="304" priority="74" operator="equal">
      <formula>"Bajo"</formula>
    </cfRule>
  </conditionalFormatting>
  <conditionalFormatting sqref="U51">
    <cfRule type="cellIs" dxfId="303" priority="67" operator="equal">
      <formula>"Extremo"</formula>
    </cfRule>
    <cfRule type="cellIs" dxfId="302" priority="68" operator="equal">
      <formula>"Alto"</formula>
    </cfRule>
    <cfRule type="cellIs" dxfId="301" priority="69" operator="equal">
      <formula>"Moderado"</formula>
    </cfRule>
    <cfRule type="cellIs" dxfId="300" priority="70" operator="equal">
      <formula>"Bajo"</formula>
    </cfRule>
  </conditionalFormatting>
  <conditionalFormatting sqref="AF51:AF56">
    <cfRule type="cellIs" dxfId="299" priority="62" operator="equal">
      <formula>"Muy Alta"</formula>
    </cfRule>
    <cfRule type="cellIs" dxfId="298" priority="63" operator="equal">
      <formula>"Alta"</formula>
    </cfRule>
    <cfRule type="cellIs" dxfId="297" priority="64" operator="equal">
      <formula>"Media"</formula>
    </cfRule>
    <cfRule type="cellIs" dxfId="296" priority="65" operator="equal">
      <formula>"Baja"</formula>
    </cfRule>
    <cfRule type="cellIs" dxfId="295" priority="66" operator="equal">
      <formula>"Muy Baja"</formula>
    </cfRule>
  </conditionalFormatting>
  <conditionalFormatting sqref="AH51:AH56">
    <cfRule type="cellIs" dxfId="294" priority="57" operator="equal">
      <formula>"Catastrófico"</formula>
    </cfRule>
    <cfRule type="cellIs" dxfId="293" priority="58" operator="equal">
      <formula>"Mayor"</formula>
    </cfRule>
    <cfRule type="cellIs" dxfId="292" priority="59" operator="equal">
      <formula>"Moderado"</formula>
    </cfRule>
    <cfRule type="cellIs" dxfId="291" priority="60" operator="equal">
      <formula>"Menor"</formula>
    </cfRule>
    <cfRule type="cellIs" dxfId="290" priority="61" operator="equal">
      <formula>"Leve"</formula>
    </cfRule>
  </conditionalFormatting>
  <conditionalFormatting sqref="AJ51:AJ56">
    <cfRule type="cellIs" dxfId="289" priority="53" operator="equal">
      <formula>"Extremo"</formula>
    </cfRule>
    <cfRule type="cellIs" dxfId="288" priority="54" operator="equal">
      <formula>"Alto"</formula>
    </cfRule>
    <cfRule type="cellIs" dxfId="287" priority="55" operator="equal">
      <formula>"Moderado"</formula>
    </cfRule>
    <cfRule type="cellIs" dxfId="286" priority="56" operator="equal">
      <formula>"Bajo"</formula>
    </cfRule>
  </conditionalFormatting>
  <conditionalFormatting sqref="U57">
    <cfRule type="cellIs" dxfId="285" priority="44" operator="equal">
      <formula>"Extremo"</formula>
    </cfRule>
    <cfRule type="cellIs" dxfId="284" priority="45" operator="equal">
      <formula>"Alto"</formula>
    </cfRule>
    <cfRule type="cellIs" dxfId="283" priority="46" operator="equal">
      <formula>"Moderado"</formula>
    </cfRule>
    <cfRule type="cellIs" dxfId="282" priority="47" operator="equal">
      <formula>"Bajo"</formula>
    </cfRule>
  </conditionalFormatting>
  <conditionalFormatting sqref="AF57:AF62">
    <cfRule type="cellIs" dxfId="281" priority="39" operator="equal">
      <formula>"Muy Alta"</formula>
    </cfRule>
    <cfRule type="cellIs" dxfId="280" priority="40" operator="equal">
      <formula>"Alta"</formula>
    </cfRule>
    <cfRule type="cellIs" dxfId="279" priority="41" operator="equal">
      <formula>"Media"</formula>
    </cfRule>
    <cfRule type="cellIs" dxfId="278" priority="42" operator="equal">
      <formula>"Baja"</formula>
    </cfRule>
    <cfRule type="cellIs" dxfId="277" priority="43" operator="equal">
      <formula>"Muy Baja"</formula>
    </cfRule>
  </conditionalFormatting>
  <conditionalFormatting sqref="AH57:AH62">
    <cfRule type="cellIs" dxfId="276" priority="34" operator="equal">
      <formula>"Catastrófico"</formula>
    </cfRule>
    <cfRule type="cellIs" dxfId="275" priority="35" operator="equal">
      <formula>"Mayor"</formula>
    </cfRule>
    <cfRule type="cellIs" dxfId="274" priority="36" operator="equal">
      <formula>"Moderado"</formula>
    </cfRule>
    <cfRule type="cellIs" dxfId="273" priority="37" operator="equal">
      <formula>"Menor"</formula>
    </cfRule>
    <cfRule type="cellIs" dxfId="272" priority="38" operator="equal">
      <formula>"Leve"</formula>
    </cfRule>
  </conditionalFormatting>
  <conditionalFormatting sqref="AJ57:AJ62">
    <cfRule type="cellIs" dxfId="271" priority="30" operator="equal">
      <formula>"Extremo"</formula>
    </cfRule>
    <cfRule type="cellIs" dxfId="270" priority="31" operator="equal">
      <formula>"Alto"</formula>
    </cfRule>
    <cfRule type="cellIs" dxfId="269" priority="32" operator="equal">
      <formula>"Moderado"</formula>
    </cfRule>
    <cfRule type="cellIs" dxfId="268" priority="33" operator="equal">
      <formula>"Bajo"</formula>
    </cfRule>
  </conditionalFormatting>
  <conditionalFormatting sqref="O63">
    <cfRule type="cellIs" dxfId="267" priority="25" operator="equal">
      <formula>"Muy Alta"</formula>
    </cfRule>
    <cfRule type="cellIs" dxfId="266" priority="26" operator="equal">
      <formula>"Alta"</formula>
    </cfRule>
    <cfRule type="cellIs" dxfId="265" priority="27" operator="equal">
      <formula>"Media"</formula>
    </cfRule>
    <cfRule type="cellIs" dxfId="264" priority="28" operator="equal">
      <formula>"Baja"</formula>
    </cfRule>
    <cfRule type="cellIs" dxfId="263" priority="29" operator="equal">
      <formula>"Muy Baja"</formula>
    </cfRule>
  </conditionalFormatting>
  <conditionalFormatting sqref="U63">
    <cfRule type="cellIs" dxfId="262" priority="21" operator="equal">
      <formula>"Extremo"</formula>
    </cfRule>
    <cfRule type="cellIs" dxfId="261" priority="22" operator="equal">
      <formula>"Alto"</formula>
    </cfRule>
    <cfRule type="cellIs" dxfId="260" priority="23" operator="equal">
      <formula>"Moderado"</formula>
    </cfRule>
    <cfRule type="cellIs" dxfId="259" priority="24" operator="equal">
      <formula>"Bajo"</formula>
    </cfRule>
  </conditionalFormatting>
  <conditionalFormatting sqref="AF63:AF68">
    <cfRule type="cellIs" dxfId="258" priority="16" operator="equal">
      <formula>"Muy Alta"</formula>
    </cfRule>
    <cfRule type="cellIs" dxfId="257" priority="17" operator="equal">
      <formula>"Alta"</formula>
    </cfRule>
    <cfRule type="cellIs" dxfId="256" priority="18" operator="equal">
      <formula>"Media"</formula>
    </cfRule>
    <cfRule type="cellIs" dxfId="255" priority="19" operator="equal">
      <formula>"Baja"</formula>
    </cfRule>
    <cfRule type="cellIs" dxfId="254" priority="20" operator="equal">
      <formula>"Muy Baja"</formula>
    </cfRule>
  </conditionalFormatting>
  <conditionalFormatting sqref="AH63:AH68">
    <cfRule type="cellIs" dxfId="253" priority="11" operator="equal">
      <formula>"Catastrófico"</formula>
    </cfRule>
    <cfRule type="cellIs" dxfId="252" priority="12" operator="equal">
      <formula>"Mayor"</formula>
    </cfRule>
    <cfRule type="cellIs" dxfId="251" priority="13" operator="equal">
      <formula>"Moderado"</formula>
    </cfRule>
    <cfRule type="cellIs" dxfId="250" priority="14" operator="equal">
      <formula>"Menor"</formula>
    </cfRule>
    <cfRule type="cellIs" dxfId="249" priority="15" operator="equal">
      <formula>"Leve"</formula>
    </cfRule>
  </conditionalFormatting>
  <conditionalFormatting sqref="AJ63:AJ68">
    <cfRule type="cellIs" dxfId="248" priority="7" operator="equal">
      <formula>"Extremo"</formula>
    </cfRule>
    <cfRule type="cellIs" dxfId="247" priority="8" operator="equal">
      <formula>"Alto"</formula>
    </cfRule>
    <cfRule type="cellIs" dxfId="246" priority="9" operator="equal">
      <formula>"Moderado"</formula>
    </cfRule>
    <cfRule type="cellIs" dxfId="245" priority="10" operator="equal">
      <formula>"Bajo"</formula>
    </cfRule>
  </conditionalFormatting>
  <conditionalFormatting sqref="R13:R68">
    <cfRule type="containsText" dxfId="244" priority="6" operator="containsText" text="❌">
      <formula>NOT(ISERROR(SEARCH("❌",R13)))</formula>
    </cfRule>
  </conditionalFormatting>
  <conditionalFormatting sqref="O51">
    <cfRule type="cellIs" dxfId="243" priority="1" operator="equal">
      <formula>"Muy Alta"</formula>
    </cfRule>
    <cfRule type="cellIs" dxfId="242" priority="2" operator="equal">
      <formula>"Alta"</formula>
    </cfRule>
    <cfRule type="cellIs" dxfId="241" priority="3" operator="equal">
      <formula>"Media"</formula>
    </cfRule>
    <cfRule type="cellIs" dxfId="240" priority="4" operator="equal">
      <formula>"Baja"</formula>
    </cfRule>
    <cfRule type="cellIs" dxfId="239"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1" manualBreakCount="1">
    <brk id="26" max="43" man="1"/>
  </rowBreaks>
  <colBreaks count="1" manualBreakCount="1">
    <brk id="20" min="3" max="6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600-000000000000}">
          <x14:formula1>
            <xm:f>Intructivo!$C$300:$C$316</xm:f>
          </x14:formula1>
          <xm:sqref>C6 T6:V6</xm:sqref>
        </x14:dataValidation>
        <x14:dataValidation type="custom" allowBlank="1" showInputMessage="1" showErrorMessage="1" error="Recuerde que las acciones se generan bajo la medida de mitigar el riesgo" xr:uid="{00000000-0002-0000-0600-000001000000}">
          <x14:formula1>
            <xm:f>IF(OR(#REF!=Listas!$B$2,#REF!=Listas!$B$3,#REF!=Listas!$B$4),ISBLANK(#REF!),ISTEXT(#REF!))</xm:f>
          </x14:formula1>
          <xm:sqref>AP15:AR15 AP63:AR63 AP57:AR57 AP51:AR51 AP45:AR45 AP39:AR39 AP33:AR33 AP27:AR27 AP21:AR21</xm:sqref>
        </x14:dataValidation>
        <x14:dataValidation type="list" allowBlank="1" showInputMessage="1" showErrorMessage="1" xr:uid="{00000000-0002-0000-0600-000002000000}">
          <x14:formula1>
            <xm:f>Listas!$H$14:$H$18</xm:f>
          </x14:formula1>
          <xm:sqref>M13:M68</xm:sqref>
        </x14:dataValidation>
        <x14:dataValidation type="list" allowBlank="1" showInputMessage="1" showErrorMessage="1" xr:uid="{00000000-0002-0000-0600-000003000000}">
          <x14:formula1>
            <xm:f>Listas!$H$8:$H$12</xm:f>
          </x14:formula1>
          <xm:sqref>L13:L68</xm:sqref>
        </x14:dataValidation>
        <x14:dataValidation type="list" allowBlank="1" showInputMessage="1" showErrorMessage="1" xr:uid="{00000000-0002-0000-0600-000004000000}">
          <x14:formula1>
            <xm:f>Listas!$F$8:$F$9</xm:f>
          </x14:formula1>
          <xm:sqref>G13:G68</xm:sqref>
        </x14:dataValidation>
        <x14:dataValidation type="list" allowBlank="1" showInputMessage="1" showErrorMessage="1" xr:uid="{00000000-0002-0000-0600-000005000000}">
          <x14:formula1>
            <xm:f>Listas!$B$17:$B$19</xm:f>
          </x14:formula1>
          <xm:sqref>F13:F68</xm:sqref>
        </x14:dataValidation>
        <x14:dataValidation type="list" allowBlank="1" showInputMessage="1" showErrorMessage="1" xr:uid="{00000000-0002-0000-0600-000006000000}">
          <x14:formula1>
            <xm:f>Listas!$B$2:$B$5</xm:f>
          </x14:formula1>
          <xm:sqref>AK13:AK68</xm:sqref>
        </x14:dataValidation>
        <x14:dataValidation type="list" allowBlank="1" showInputMessage="1" showErrorMessage="1" xr:uid="{00000000-0002-0000-0600-000007000000}">
          <x14:formula1>
            <xm:f>Listas!$E$2:$E$4</xm:f>
          </x14:formula1>
          <xm:sqref>B13:B68</xm:sqref>
        </x14:dataValidation>
        <x14:dataValidation type="list" allowBlank="1" showInputMessage="1" showErrorMessage="1" xr:uid="{00000000-0002-0000-0600-000008000000}">
          <x14:formula1>
            <xm:f>'Tabla Valoración controles'!$D$13:$D$14</xm:f>
          </x14:formula1>
          <xm:sqref>AD13:AD68</xm:sqref>
        </x14:dataValidation>
        <x14:dataValidation type="list" allowBlank="1" showInputMessage="1" showErrorMessage="1" xr:uid="{00000000-0002-0000-0600-000009000000}">
          <x14:formula1>
            <xm:f>'Tabla Valoración controles'!$D$11:$D$12</xm:f>
          </x14:formula1>
          <xm:sqref>AC13:AC68</xm:sqref>
        </x14:dataValidation>
        <x14:dataValidation type="list" allowBlank="1" showInputMessage="1" showErrorMessage="1" xr:uid="{00000000-0002-0000-0600-00000A000000}">
          <x14:formula1>
            <xm:f>'Tabla Valoración controles'!$D$9:$D$10</xm:f>
          </x14:formula1>
          <xm:sqref>AB13:AB68</xm:sqref>
        </x14:dataValidation>
        <x14:dataValidation type="list" allowBlank="1" showInputMessage="1" showErrorMessage="1" xr:uid="{00000000-0002-0000-0600-00000B000000}">
          <x14:formula1>
            <xm:f>'Tabla Valoración controles'!$D$7:$D$8</xm:f>
          </x14:formula1>
          <xm:sqref>Z13:Z68</xm:sqref>
        </x14:dataValidation>
        <x14:dataValidation type="list" allowBlank="1" showInputMessage="1" showErrorMessage="1" xr:uid="{00000000-0002-0000-0600-00000C000000}">
          <x14:formula1>
            <xm:f>'Tabla Valoración controles'!$D$4:$D$6</xm:f>
          </x14:formula1>
          <xm:sqref>Y13:Y68</xm:sqref>
        </x14:dataValidation>
        <x14:dataValidation type="list" allowBlank="1" showInputMessage="1" showErrorMessage="1" xr:uid="{00000000-0002-0000-0600-00000D000000}">
          <x14:formula1>
            <xm:f>'Tabla Impacto'!$F$220:$F$222</xm:f>
          </x14:formula1>
          <xm:sqref>Q13:Q68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F29"/>
  <sheetViews>
    <sheetView topLeftCell="A16" zoomScaleNormal="100" zoomScaleSheetLayoutView="90" workbookViewId="0">
      <selection activeCell="B25" sqref="B25:F25"/>
    </sheetView>
  </sheetViews>
  <sheetFormatPr baseColWidth="10" defaultColWidth="11.42578125" defaultRowHeight="14.25" x14ac:dyDescent="0.25"/>
  <cols>
    <col min="1" max="1" width="2.140625" style="148" customWidth="1"/>
    <col min="2" max="2" width="11.42578125" style="148"/>
    <col min="3" max="3" width="34.28515625" style="148" customWidth="1"/>
    <col min="4" max="4" width="36.42578125" style="148" customWidth="1"/>
    <col min="5" max="6" width="13.85546875" style="148" customWidth="1"/>
    <col min="7" max="7" width="1.28515625" style="148" customWidth="1"/>
    <col min="8" max="16384" width="11.42578125" style="148"/>
  </cols>
  <sheetData>
    <row r="1" spans="2:6" ht="11.25" customHeight="1" thickBot="1" x14ac:dyDescent="0.3"/>
    <row r="2" spans="2:6" ht="18.75" customHeight="1" thickBot="1" x14ac:dyDescent="0.3">
      <c r="B2" s="533" t="s">
        <v>282</v>
      </c>
      <c r="C2" s="534"/>
      <c r="D2" s="534"/>
      <c r="E2" s="534"/>
      <c r="F2" s="535"/>
    </row>
    <row r="3" spans="2:6" ht="31.9" customHeight="1" x14ac:dyDescent="0.25">
      <c r="B3" s="536" t="s">
        <v>283</v>
      </c>
      <c r="C3" s="538" t="s">
        <v>284</v>
      </c>
      <c r="D3" s="538"/>
      <c r="E3" s="538" t="s">
        <v>285</v>
      </c>
      <c r="F3" s="540"/>
    </row>
    <row r="4" spans="2:6" ht="28.15" customHeight="1" thickBot="1" x14ac:dyDescent="0.3">
      <c r="B4" s="537"/>
      <c r="C4" s="539"/>
      <c r="D4" s="539"/>
      <c r="E4" s="158" t="s">
        <v>286</v>
      </c>
      <c r="F4" s="159" t="s">
        <v>287</v>
      </c>
    </row>
    <row r="5" spans="2:6" ht="23.25" customHeight="1" x14ac:dyDescent="0.25">
      <c r="B5" s="149">
        <v>1</v>
      </c>
      <c r="C5" s="541" t="s">
        <v>288</v>
      </c>
      <c r="D5" s="541"/>
      <c r="E5" s="178" t="s">
        <v>479</v>
      </c>
      <c r="F5" s="179"/>
    </row>
    <row r="6" spans="2:6" ht="33" customHeight="1" x14ac:dyDescent="0.25">
      <c r="B6" s="150">
        <v>2</v>
      </c>
      <c r="C6" s="532" t="s">
        <v>289</v>
      </c>
      <c r="D6" s="532"/>
      <c r="E6" s="180" t="s">
        <v>479</v>
      </c>
      <c r="F6" s="181"/>
    </row>
    <row r="7" spans="2:6" ht="39" customHeight="1" x14ac:dyDescent="0.25">
      <c r="B7" s="150">
        <v>3</v>
      </c>
      <c r="C7" s="532" t="s">
        <v>290</v>
      </c>
      <c r="D7" s="532"/>
      <c r="E7" s="180" t="s">
        <v>479</v>
      </c>
      <c r="F7" s="181"/>
    </row>
    <row r="8" spans="2:6" ht="24.75" customHeight="1" x14ac:dyDescent="0.25">
      <c r="B8" s="150">
        <v>4</v>
      </c>
      <c r="C8" s="532" t="s">
        <v>291</v>
      </c>
      <c r="D8" s="532"/>
      <c r="E8" s="180"/>
      <c r="F8" s="181" t="s">
        <v>479</v>
      </c>
    </row>
    <row r="9" spans="2:6" ht="23.25" customHeight="1" x14ac:dyDescent="0.25">
      <c r="B9" s="150">
        <v>5</v>
      </c>
      <c r="C9" s="532" t="s">
        <v>292</v>
      </c>
      <c r="D9" s="532"/>
      <c r="E9" s="180" t="s">
        <v>479</v>
      </c>
      <c r="F9" s="181"/>
    </row>
    <row r="10" spans="2:6" ht="23.25" customHeight="1" x14ac:dyDescent="0.25">
      <c r="B10" s="150">
        <v>6</v>
      </c>
      <c r="C10" s="532" t="s">
        <v>293</v>
      </c>
      <c r="D10" s="532"/>
      <c r="E10" s="180" t="s">
        <v>479</v>
      </c>
      <c r="F10" s="181"/>
    </row>
    <row r="11" spans="2:6" ht="23.25" customHeight="1" x14ac:dyDescent="0.25">
      <c r="B11" s="150">
        <v>7</v>
      </c>
      <c r="C11" s="532" t="s">
        <v>294</v>
      </c>
      <c r="D11" s="532"/>
      <c r="E11" s="180"/>
      <c r="F11" s="181" t="s">
        <v>479</v>
      </c>
    </row>
    <row r="12" spans="2:6" ht="25.5" customHeight="1" x14ac:dyDescent="0.25">
      <c r="B12" s="150">
        <v>8</v>
      </c>
      <c r="C12" s="532" t="s">
        <v>295</v>
      </c>
      <c r="D12" s="532"/>
      <c r="E12" s="151" t="s">
        <v>479</v>
      </c>
      <c r="F12" s="152"/>
    </row>
    <row r="13" spans="2:6" ht="23.25" customHeight="1" x14ac:dyDescent="0.25">
      <c r="B13" s="150">
        <v>9</v>
      </c>
      <c r="C13" s="532" t="s">
        <v>296</v>
      </c>
      <c r="D13" s="532"/>
      <c r="E13" s="151"/>
      <c r="F13" s="152" t="s">
        <v>479</v>
      </c>
    </row>
    <row r="14" spans="2:6" ht="23.25" customHeight="1" x14ac:dyDescent="0.25">
      <c r="B14" s="150">
        <v>10</v>
      </c>
      <c r="C14" s="532" t="s">
        <v>297</v>
      </c>
      <c r="D14" s="532"/>
      <c r="E14" s="151" t="s">
        <v>479</v>
      </c>
      <c r="F14" s="152"/>
    </row>
    <row r="15" spans="2:6" ht="23.25" customHeight="1" x14ac:dyDescent="0.25">
      <c r="B15" s="150">
        <v>11</v>
      </c>
      <c r="C15" s="532" t="s">
        <v>298</v>
      </c>
      <c r="D15" s="532"/>
      <c r="E15" s="151" t="s">
        <v>479</v>
      </c>
      <c r="F15" s="152"/>
    </row>
    <row r="16" spans="2:6" ht="23.25" customHeight="1" x14ac:dyDescent="0.25">
      <c r="B16" s="150">
        <v>12</v>
      </c>
      <c r="C16" s="532" t="s">
        <v>299</v>
      </c>
      <c r="D16" s="532"/>
      <c r="E16" s="151" t="s">
        <v>479</v>
      </c>
      <c r="F16" s="152"/>
    </row>
    <row r="17" spans="2:6" ht="23.25" customHeight="1" x14ac:dyDescent="0.25">
      <c r="B17" s="150">
        <v>13</v>
      </c>
      <c r="C17" s="532" t="s">
        <v>300</v>
      </c>
      <c r="D17" s="532"/>
      <c r="E17" s="151" t="s">
        <v>479</v>
      </c>
      <c r="F17" s="152"/>
    </row>
    <row r="18" spans="2:6" ht="23.25" customHeight="1" x14ac:dyDescent="0.25">
      <c r="B18" s="150">
        <v>14</v>
      </c>
      <c r="C18" s="532" t="s">
        <v>301</v>
      </c>
      <c r="D18" s="532"/>
      <c r="E18" s="151" t="s">
        <v>479</v>
      </c>
      <c r="F18" s="152"/>
    </row>
    <row r="19" spans="2:6" ht="23.25" customHeight="1" x14ac:dyDescent="0.25">
      <c r="B19" s="150">
        <v>15</v>
      </c>
      <c r="C19" s="532" t="s">
        <v>302</v>
      </c>
      <c r="D19" s="532"/>
      <c r="E19" s="151"/>
      <c r="F19" s="152" t="s">
        <v>479</v>
      </c>
    </row>
    <row r="20" spans="2:6" ht="23.25" customHeight="1" x14ac:dyDescent="0.25">
      <c r="B20" s="150">
        <v>16</v>
      </c>
      <c r="C20" s="532" t="s">
        <v>303</v>
      </c>
      <c r="D20" s="532"/>
      <c r="E20" s="151"/>
      <c r="F20" s="152" t="s">
        <v>479</v>
      </c>
    </row>
    <row r="21" spans="2:6" ht="23.25" customHeight="1" x14ac:dyDescent="0.25">
      <c r="B21" s="150">
        <v>17</v>
      </c>
      <c r="C21" s="532" t="s">
        <v>304</v>
      </c>
      <c r="D21" s="532"/>
      <c r="E21" s="151"/>
      <c r="F21" s="152" t="s">
        <v>479</v>
      </c>
    </row>
    <row r="22" spans="2:6" ht="23.25" customHeight="1" x14ac:dyDescent="0.25">
      <c r="B22" s="150">
        <v>18</v>
      </c>
      <c r="C22" s="546" t="s">
        <v>305</v>
      </c>
      <c r="D22" s="546"/>
      <c r="E22" s="151"/>
      <c r="F22" s="152"/>
    </row>
    <row r="23" spans="2:6" ht="23.25" customHeight="1" thickBot="1" x14ac:dyDescent="0.3">
      <c r="B23" s="150">
        <v>19</v>
      </c>
      <c r="C23" s="532" t="s">
        <v>306</v>
      </c>
      <c r="D23" s="532"/>
      <c r="E23" s="151"/>
      <c r="F23" s="152" t="s">
        <v>479</v>
      </c>
    </row>
    <row r="24" spans="2:6" ht="15.75" customHeight="1" thickBot="1" x14ac:dyDescent="0.3">
      <c r="B24" s="547" t="s">
        <v>307</v>
      </c>
      <c r="C24" s="542"/>
      <c r="D24" s="542"/>
      <c r="E24" s="542">
        <f>COUNTIF(E5:E23,"X")</f>
        <v>11</v>
      </c>
      <c r="F24" s="543"/>
    </row>
    <row r="25" spans="2:6" ht="45.75" customHeight="1" x14ac:dyDescent="0.25">
      <c r="B25" s="544" t="s">
        <v>308</v>
      </c>
      <c r="C25" s="544"/>
      <c r="D25" s="544"/>
      <c r="E25" s="544"/>
      <c r="F25" s="544"/>
    </row>
    <row r="26" spans="2:6" ht="9.75" customHeight="1" x14ac:dyDescent="0.25">
      <c r="B26" s="545"/>
      <c r="C26" s="545"/>
      <c r="D26" s="545"/>
      <c r="E26" s="545"/>
      <c r="F26" s="545"/>
    </row>
    <row r="27" spans="2:6" x14ac:dyDescent="0.25">
      <c r="B27" s="247"/>
    </row>
    <row r="28" spans="2:6" x14ac:dyDescent="0.25">
      <c r="B28" s="247"/>
    </row>
    <row r="29" spans="2:6" x14ac:dyDescent="0.25">
      <c r="B29" s="247"/>
    </row>
  </sheetData>
  <mergeCells count="27">
    <mergeCell ref="E24:F24"/>
    <mergeCell ref="B25:F25"/>
    <mergeCell ref="B26:F26"/>
    <mergeCell ref="C19:D19"/>
    <mergeCell ref="C20:D20"/>
    <mergeCell ref="C21:D21"/>
    <mergeCell ref="C22:D22"/>
    <mergeCell ref="C23:D23"/>
    <mergeCell ref="B24:D24"/>
    <mergeCell ref="C18:D18"/>
    <mergeCell ref="C7:D7"/>
    <mergeCell ref="C8:D8"/>
    <mergeCell ref="C9:D9"/>
    <mergeCell ref="C10:D10"/>
    <mergeCell ref="C11:D11"/>
    <mergeCell ref="C12:D12"/>
    <mergeCell ref="C13:D13"/>
    <mergeCell ref="C14:D14"/>
    <mergeCell ref="C15:D15"/>
    <mergeCell ref="C16:D16"/>
    <mergeCell ref="C17:D17"/>
    <mergeCell ref="C6:D6"/>
    <mergeCell ref="B2:F2"/>
    <mergeCell ref="B3:B4"/>
    <mergeCell ref="C3:D4"/>
    <mergeCell ref="E3:F3"/>
    <mergeCell ref="C5:D5"/>
  </mergeCells>
  <dataValidations count="1">
    <dataValidation type="list" allowBlank="1" showInputMessage="1" showErrorMessage="1" sqref="E5:F23" xr:uid="{00000000-0002-0000-0700-000000000000}">
      <formula1>"X"</formula1>
    </dataValidation>
  </dataValidations>
  <printOptions horizontalCentered="1"/>
  <pageMargins left="0.25" right="0.25" top="0.75" bottom="0.75" header="0.3" footer="0.3"/>
  <pageSetup scale="8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JP75"/>
  <sheetViews>
    <sheetView zoomScale="70" zoomScaleNormal="70" zoomScaleSheetLayoutView="50" zoomScalePageLayoutView="60" workbookViewId="0">
      <selection activeCell="AP13" sqref="AP13:AS72"/>
    </sheetView>
  </sheetViews>
  <sheetFormatPr baseColWidth="10" defaultColWidth="11.42578125" defaultRowHeight="15" x14ac:dyDescent="0.2"/>
  <cols>
    <col min="1" max="1" width="6.5703125" style="218" customWidth="1"/>
    <col min="2" max="2" width="16" style="218" customWidth="1"/>
    <col min="3" max="3" width="19.140625" style="218" customWidth="1"/>
    <col min="4" max="4" width="25.28515625" style="218" customWidth="1"/>
    <col min="5" max="5" width="40.140625" style="218" customWidth="1"/>
    <col min="6" max="10" width="17.7109375" style="198" customWidth="1"/>
    <col min="11" max="11" width="16" style="198" customWidth="1"/>
    <col min="12" max="12" width="24.28515625" style="198" customWidth="1"/>
    <col min="13" max="14" width="29.42578125" style="198" customWidth="1"/>
    <col min="15" max="15" width="24.28515625" style="198" customWidth="1"/>
    <col min="16" max="16" width="19.42578125" style="198" customWidth="1"/>
    <col min="17" max="17" width="20.5703125" style="198" customWidth="1"/>
    <col min="18" max="18" width="16.7109375" style="219" customWidth="1"/>
    <col min="19" max="19" width="16.7109375" style="198" customWidth="1"/>
    <col min="20" max="20" width="20.42578125" style="198" customWidth="1"/>
    <col min="21" max="21" width="12.85546875" style="198" customWidth="1"/>
    <col min="22" max="22" width="35.85546875" style="198" hidden="1" customWidth="1"/>
    <col min="23" max="23" width="30.5703125" style="198" hidden="1" customWidth="1"/>
    <col min="24" max="24" width="17.5703125" style="198" customWidth="1"/>
    <col min="25" max="25" width="15" style="198" customWidth="1"/>
    <col min="26" max="26" width="16" style="198" customWidth="1"/>
    <col min="27" max="27" width="32.7109375" style="198" customWidth="1"/>
    <col min="28" max="28" width="26.85546875" style="198" hidden="1" customWidth="1"/>
    <col min="29" max="29" width="5.85546875" style="198" customWidth="1"/>
    <col min="30" max="30" width="6.85546875" style="198" customWidth="1"/>
    <col min="31" max="31" width="5" style="198" hidden="1" customWidth="1"/>
    <col min="32" max="32" width="5.5703125" style="198" customWidth="1"/>
    <col min="33" max="33" width="7.140625" style="198" customWidth="1"/>
    <col min="34" max="34" width="6.7109375" style="198" customWidth="1"/>
    <col min="35" max="35" width="7.5703125" style="198" hidden="1" customWidth="1"/>
    <col min="36" max="36" width="8.5703125" style="198" customWidth="1"/>
    <col min="37" max="41" width="10.85546875" style="198" customWidth="1"/>
    <col min="42" max="42" width="10.85546875" style="217" customWidth="1"/>
    <col min="43" max="43" width="23" style="198" customWidth="1"/>
    <col min="44" max="44" width="18.85546875" style="198" customWidth="1"/>
    <col min="45" max="45" width="21.5703125" style="198" customWidth="1"/>
    <col min="46" max="46" width="22.42578125" style="198" customWidth="1"/>
    <col min="47" max="47" width="16.42578125" style="198" customWidth="1"/>
    <col min="48" max="48" width="20.5703125" style="198" customWidth="1"/>
    <col min="49" max="16384" width="11.42578125" style="198"/>
  </cols>
  <sheetData>
    <row r="1" spans="1:276" s="201" customFormat="1" ht="20.25" x14ac:dyDescent="0.3">
      <c r="A1" s="374"/>
      <c r="B1" s="375"/>
      <c r="C1" s="376"/>
      <c r="D1" s="365" t="s">
        <v>208</v>
      </c>
      <c r="E1" s="366"/>
      <c r="F1" s="366"/>
      <c r="G1" s="366"/>
      <c r="H1" s="366"/>
      <c r="I1" s="366"/>
      <c r="J1" s="366"/>
      <c r="K1" s="366"/>
      <c r="L1" s="366"/>
      <c r="M1" s="366"/>
      <c r="N1" s="366"/>
      <c r="O1" s="366"/>
      <c r="P1" s="366"/>
      <c r="Q1" s="366"/>
      <c r="R1" s="366"/>
      <c r="S1" s="366"/>
      <c r="T1" s="367"/>
      <c r="U1" s="252"/>
      <c r="V1" s="252"/>
      <c r="W1" s="252"/>
      <c r="X1" s="384"/>
      <c r="Y1" s="384"/>
      <c r="Z1" s="384"/>
      <c r="AA1" s="384"/>
      <c r="AB1" s="384"/>
      <c r="AC1" s="384"/>
      <c r="AD1" s="384"/>
      <c r="AE1" s="384"/>
      <c r="AF1" s="384"/>
      <c r="AG1" s="384"/>
      <c r="AH1" s="384"/>
      <c r="AI1" s="384"/>
      <c r="AJ1" s="384"/>
      <c r="AK1" s="384"/>
      <c r="AL1" s="384"/>
      <c r="AM1" s="384"/>
      <c r="AN1" s="384"/>
      <c r="AO1" s="384"/>
      <c r="AP1" s="384"/>
      <c r="AQ1" s="384"/>
      <c r="AR1" s="384"/>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row>
    <row r="2" spans="1:276" s="201" customFormat="1" ht="21" thickBot="1" x14ac:dyDescent="0.35">
      <c r="A2" s="377"/>
      <c r="B2" s="378"/>
      <c r="C2" s="379"/>
      <c r="D2" s="368"/>
      <c r="E2" s="369"/>
      <c r="F2" s="369"/>
      <c r="G2" s="369"/>
      <c r="H2" s="369"/>
      <c r="I2" s="369"/>
      <c r="J2" s="369"/>
      <c r="K2" s="369"/>
      <c r="L2" s="369"/>
      <c r="M2" s="369"/>
      <c r="N2" s="369"/>
      <c r="O2" s="369"/>
      <c r="P2" s="369"/>
      <c r="Q2" s="369"/>
      <c r="R2" s="369"/>
      <c r="S2" s="369"/>
      <c r="T2" s="370"/>
      <c r="U2" s="252"/>
      <c r="V2" s="252"/>
      <c r="W2" s="252"/>
      <c r="X2" s="384"/>
      <c r="Y2" s="384"/>
      <c r="Z2" s="384"/>
      <c r="AA2" s="384"/>
      <c r="AB2" s="384"/>
      <c r="AC2" s="384"/>
      <c r="AD2" s="384"/>
      <c r="AE2" s="384"/>
      <c r="AF2" s="384"/>
      <c r="AG2" s="384"/>
      <c r="AH2" s="384"/>
      <c r="AI2" s="384"/>
      <c r="AJ2" s="384"/>
      <c r="AK2" s="384"/>
      <c r="AL2" s="384"/>
      <c r="AM2" s="384"/>
      <c r="AN2" s="384"/>
      <c r="AO2" s="384"/>
      <c r="AP2" s="384"/>
      <c r="AQ2" s="384"/>
      <c r="AR2" s="384"/>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row>
    <row r="3" spans="1:276" s="201" customFormat="1" ht="27.75" customHeight="1" thickBot="1" x14ac:dyDescent="0.35">
      <c r="A3" s="377"/>
      <c r="B3" s="378"/>
      <c r="C3" s="379"/>
      <c r="D3" s="371" t="s">
        <v>209</v>
      </c>
      <c r="E3" s="372"/>
      <c r="F3" s="372"/>
      <c r="G3" s="372"/>
      <c r="H3" s="372"/>
      <c r="I3" s="373"/>
      <c r="J3" s="371"/>
      <c r="K3" s="372"/>
      <c r="L3" s="372"/>
      <c r="M3" s="372"/>
      <c r="N3" s="372"/>
      <c r="O3" s="372"/>
      <c r="P3" s="372"/>
      <c r="Q3" s="372"/>
      <c r="R3" s="372"/>
      <c r="S3" s="372" t="s">
        <v>210</v>
      </c>
      <c r="T3" s="373"/>
      <c r="U3" s="253"/>
      <c r="V3" s="253"/>
      <c r="W3" s="252"/>
      <c r="X3" s="385"/>
      <c r="Y3" s="385"/>
      <c r="Z3" s="385"/>
      <c r="AA3" s="385"/>
      <c r="AB3" s="385"/>
      <c r="AC3" s="385"/>
      <c r="AD3" s="385"/>
      <c r="AE3" s="385"/>
      <c r="AF3" s="385"/>
      <c r="AG3" s="385"/>
      <c r="AH3" s="385"/>
      <c r="AI3" s="385"/>
      <c r="AJ3" s="385"/>
      <c r="AK3" s="385"/>
      <c r="AL3" s="385"/>
      <c r="AM3" s="385"/>
      <c r="AN3" s="385"/>
      <c r="AO3" s="385"/>
      <c r="AP3" s="385"/>
      <c r="AQ3" s="385"/>
      <c r="AR3" s="385"/>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row>
    <row r="4" spans="1:276" s="201" customFormat="1" ht="27.75" customHeight="1" thickBot="1" x14ac:dyDescent="0.35">
      <c r="A4" s="380"/>
      <c r="B4" s="381"/>
      <c r="C4" s="382"/>
      <c r="D4" s="371" t="s">
        <v>422</v>
      </c>
      <c r="E4" s="372"/>
      <c r="F4" s="372"/>
      <c r="G4" s="372"/>
      <c r="H4" s="372"/>
      <c r="I4" s="372"/>
      <c r="J4" s="372"/>
      <c r="K4" s="372"/>
      <c r="L4" s="372"/>
      <c r="M4" s="372"/>
      <c r="N4" s="372"/>
      <c r="O4" s="372"/>
      <c r="P4" s="372"/>
      <c r="Q4" s="372"/>
      <c r="R4" s="372"/>
      <c r="S4" s="372"/>
      <c r="T4" s="373"/>
      <c r="U4" s="252"/>
      <c r="V4" s="252"/>
      <c r="W4" s="252"/>
      <c r="X4" s="385"/>
      <c r="Y4" s="385"/>
      <c r="Z4" s="385"/>
      <c r="AA4" s="385"/>
      <c r="AB4" s="385"/>
      <c r="AC4" s="385"/>
      <c r="AD4" s="385"/>
      <c r="AE4" s="385"/>
      <c r="AF4" s="385"/>
      <c r="AG4" s="385"/>
      <c r="AH4" s="385"/>
      <c r="AI4" s="385"/>
      <c r="AJ4" s="385"/>
      <c r="AK4" s="385"/>
      <c r="AL4" s="385"/>
      <c r="AM4" s="385"/>
      <c r="AN4" s="385"/>
      <c r="AO4" s="385"/>
      <c r="AP4" s="385"/>
      <c r="AQ4" s="385"/>
      <c r="AR4" s="385"/>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row>
    <row r="5" spans="1:276" ht="15.75" thickBot="1" x14ac:dyDescent="0.25">
      <c r="A5" s="202"/>
      <c r="B5" s="203"/>
      <c r="C5" s="202"/>
      <c r="D5" s="202"/>
      <c r="E5" s="202"/>
      <c r="F5" s="204"/>
      <c r="G5" s="204"/>
      <c r="H5" s="204"/>
      <c r="I5" s="204"/>
      <c r="J5" s="204"/>
      <c r="K5" s="204"/>
      <c r="L5" s="204"/>
      <c r="M5" s="204"/>
      <c r="N5" s="205"/>
      <c r="O5" s="204"/>
      <c r="P5" s="204"/>
      <c r="Q5" s="204"/>
      <c r="R5" s="204"/>
      <c r="S5" s="204"/>
      <c r="T5" s="204"/>
      <c r="U5" s="204"/>
      <c r="V5" s="204"/>
      <c r="W5" s="204"/>
      <c r="X5" s="204"/>
      <c r="Y5" s="204"/>
      <c r="Z5" s="204"/>
      <c r="AA5" s="204"/>
      <c r="AB5" s="204"/>
      <c r="AC5" s="204"/>
      <c r="AD5" s="204"/>
      <c r="AE5" s="204"/>
      <c r="AF5" s="204"/>
      <c r="AG5" s="204"/>
      <c r="AH5" s="204"/>
      <c r="AI5" s="204"/>
      <c r="AJ5" s="204"/>
      <c r="AK5" s="204"/>
      <c r="AL5" s="254"/>
      <c r="AM5" s="204"/>
      <c r="AN5" s="204"/>
      <c r="AO5" s="204"/>
      <c r="AP5" s="204"/>
      <c r="AQ5" s="204"/>
      <c r="AR5" s="204"/>
      <c r="AS5" s="204"/>
      <c r="AT5" s="204"/>
      <c r="AU5" s="204"/>
      <c r="AV5" s="204"/>
      <c r="AW5" s="204"/>
      <c r="AX5" s="204"/>
      <c r="AY5" s="204"/>
      <c r="AZ5" s="204"/>
      <c r="BA5" s="204"/>
      <c r="BB5" s="204"/>
      <c r="BC5" s="204"/>
      <c r="BD5" s="204"/>
      <c r="BE5" s="204"/>
      <c r="BF5" s="204"/>
      <c r="BG5" s="204"/>
      <c r="BH5" s="204"/>
      <c r="BI5" s="204"/>
      <c r="BJ5" s="204"/>
      <c r="BK5" s="204"/>
      <c r="BL5" s="204"/>
      <c r="BM5" s="204"/>
      <c r="BN5" s="204"/>
      <c r="BO5" s="204"/>
      <c r="BP5" s="204"/>
    </row>
    <row r="6" spans="1:276" ht="27" customHeight="1" thickBot="1" x14ac:dyDescent="0.25">
      <c r="A6" s="386" t="s">
        <v>211</v>
      </c>
      <c r="B6" s="387"/>
      <c r="C6" s="393"/>
      <c r="D6" s="394"/>
      <c r="E6" s="394"/>
      <c r="F6" s="394"/>
      <c r="G6" s="394"/>
      <c r="H6" s="394"/>
      <c r="I6" s="394"/>
      <c r="J6" s="394"/>
      <c r="K6" s="394"/>
      <c r="L6" s="394"/>
      <c r="M6" s="394"/>
      <c r="N6" s="394"/>
      <c r="O6" s="394"/>
      <c r="P6" s="394"/>
      <c r="Q6" s="394"/>
      <c r="R6" s="394"/>
      <c r="S6" s="394"/>
      <c r="T6" s="395"/>
      <c r="U6" s="255"/>
      <c r="V6" s="255"/>
      <c r="W6" s="392"/>
      <c r="X6" s="392"/>
      <c r="Y6" s="392"/>
      <c r="Z6" s="383"/>
      <c r="AA6" s="383"/>
      <c r="AB6" s="383"/>
      <c r="AC6" s="383"/>
      <c r="AD6" s="383"/>
      <c r="AE6" s="383"/>
      <c r="AF6" s="383"/>
      <c r="AG6" s="383"/>
      <c r="AH6" s="383"/>
      <c r="AI6" s="383"/>
      <c r="AJ6" s="383"/>
      <c r="AK6" s="383"/>
      <c r="AL6" s="383"/>
      <c r="AM6" s="383"/>
      <c r="AN6" s="383"/>
      <c r="AO6" s="383"/>
      <c r="AP6" s="383"/>
      <c r="AQ6" s="383"/>
      <c r="AR6" s="383"/>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row>
    <row r="7" spans="1:276" ht="27" customHeight="1" thickBot="1" x14ac:dyDescent="0.3">
      <c r="A7" s="388" t="s">
        <v>212</v>
      </c>
      <c r="B7" s="389"/>
      <c r="C7" s="362"/>
      <c r="D7" s="363"/>
      <c r="E7" s="363"/>
      <c r="F7" s="363"/>
      <c r="G7" s="363"/>
      <c r="H7" s="363"/>
      <c r="I7" s="363"/>
      <c r="J7" s="363"/>
      <c r="K7" s="363"/>
      <c r="L7" s="363"/>
      <c r="M7" s="363"/>
      <c r="N7" s="363"/>
      <c r="O7" s="363"/>
      <c r="P7" s="363"/>
      <c r="Q7" s="363"/>
      <c r="R7" s="363"/>
      <c r="S7" s="363"/>
      <c r="T7" s="364"/>
      <c r="U7" s="256"/>
      <c r="V7" s="256"/>
      <c r="W7" s="257"/>
      <c r="X7" s="257"/>
      <c r="Y7" s="257"/>
      <c r="Z7" s="383"/>
      <c r="AA7" s="383"/>
      <c r="AB7" s="383"/>
      <c r="AC7" s="383"/>
      <c r="AD7" s="383"/>
      <c r="AE7" s="383"/>
      <c r="AF7" s="383"/>
      <c r="AG7" s="383"/>
      <c r="AH7" s="383"/>
      <c r="AI7" s="383"/>
      <c r="AJ7" s="383"/>
      <c r="AK7" s="383"/>
      <c r="AL7" s="383"/>
      <c r="AM7" s="383"/>
      <c r="AN7" s="383"/>
      <c r="AO7" s="383"/>
      <c r="AP7" s="383"/>
      <c r="AQ7" s="383"/>
      <c r="AR7" s="383"/>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row>
    <row r="8" spans="1:276" ht="27" customHeight="1" thickBot="1" x14ac:dyDescent="0.3">
      <c r="A8" s="390" t="s">
        <v>213</v>
      </c>
      <c r="B8" s="391"/>
      <c r="C8" s="362"/>
      <c r="D8" s="363"/>
      <c r="E8" s="363"/>
      <c r="F8" s="363"/>
      <c r="G8" s="363"/>
      <c r="H8" s="363"/>
      <c r="I8" s="363"/>
      <c r="J8" s="363"/>
      <c r="K8" s="363"/>
      <c r="L8" s="363"/>
      <c r="M8" s="363"/>
      <c r="N8" s="363"/>
      <c r="O8" s="363"/>
      <c r="P8" s="363"/>
      <c r="Q8" s="363"/>
      <c r="R8" s="363"/>
      <c r="S8" s="363"/>
      <c r="T8" s="364"/>
      <c r="U8" s="256"/>
      <c r="V8" s="256"/>
      <c r="W8" s="257"/>
      <c r="X8" s="257"/>
      <c r="Y8" s="257"/>
      <c r="Z8" s="383"/>
      <c r="AA8" s="383"/>
      <c r="AB8" s="383"/>
      <c r="AC8" s="383"/>
      <c r="AD8" s="383"/>
      <c r="AE8" s="383"/>
      <c r="AF8" s="383"/>
      <c r="AG8" s="383"/>
      <c r="AH8" s="383"/>
      <c r="AI8" s="383"/>
      <c r="AJ8" s="383"/>
      <c r="AK8" s="383"/>
      <c r="AL8" s="383"/>
      <c r="AM8" s="383"/>
      <c r="AN8" s="383"/>
      <c r="AO8" s="383"/>
      <c r="AP8" s="383"/>
      <c r="AQ8" s="383"/>
      <c r="AR8" s="383"/>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row>
    <row r="9" spans="1:276" ht="15.75" x14ac:dyDescent="0.25">
      <c r="A9" s="206"/>
      <c r="B9" s="206"/>
      <c r="C9" s="207"/>
      <c r="D9" s="207"/>
      <c r="E9" s="207"/>
      <c r="F9" s="207"/>
      <c r="G9" s="207"/>
      <c r="H9" s="207"/>
      <c r="I9" s="207"/>
      <c r="J9" s="207"/>
      <c r="K9" s="207"/>
      <c r="L9" s="207"/>
      <c r="M9" s="207"/>
      <c r="N9" s="207"/>
      <c r="O9" s="207"/>
      <c r="P9" s="207"/>
      <c r="Q9" s="207"/>
      <c r="R9" s="207"/>
      <c r="S9" s="207"/>
      <c r="T9" s="207"/>
      <c r="U9" s="207"/>
      <c r="V9" s="207"/>
      <c r="W9" s="208"/>
      <c r="X9" s="208"/>
      <c r="Y9" s="208"/>
      <c r="Z9" s="209"/>
      <c r="AA9" s="209"/>
      <c r="AB9" s="209"/>
      <c r="AC9" s="209"/>
      <c r="AD9" s="209"/>
      <c r="AE9" s="209"/>
      <c r="AF9" s="209"/>
      <c r="AG9" s="209"/>
      <c r="AH9" s="209"/>
      <c r="AI9" s="209"/>
      <c r="AJ9" s="209"/>
      <c r="AK9" s="209"/>
      <c r="AL9" s="209"/>
      <c r="AM9" s="209"/>
      <c r="AN9" s="209"/>
      <c r="AO9" s="209"/>
      <c r="AP9" s="209"/>
      <c r="AQ9" s="209"/>
      <c r="AR9" s="209"/>
    </row>
    <row r="10" spans="1:276" ht="39" customHeight="1" x14ac:dyDescent="0.2">
      <c r="A10" s="359" t="s">
        <v>214</v>
      </c>
      <c r="B10" s="360"/>
      <c r="C10" s="360"/>
      <c r="D10" s="360"/>
      <c r="E10" s="360"/>
      <c r="F10" s="360"/>
      <c r="G10" s="360"/>
      <c r="H10" s="360"/>
      <c r="I10" s="360"/>
      <c r="J10" s="361"/>
      <c r="K10" s="332" t="s">
        <v>215</v>
      </c>
      <c r="L10" s="333"/>
      <c r="M10" s="333"/>
      <c r="N10" s="333"/>
      <c r="O10" s="334"/>
      <c r="P10" s="551" t="s">
        <v>216</v>
      </c>
      <c r="Q10" s="552"/>
      <c r="R10" s="224"/>
      <c r="S10" s="224"/>
      <c r="T10" s="330" t="s">
        <v>217</v>
      </c>
      <c r="U10" s="330"/>
      <c r="V10" s="330"/>
      <c r="W10" s="330"/>
      <c r="X10" s="330"/>
      <c r="Y10" s="330"/>
      <c r="Z10" s="330"/>
      <c r="AA10" s="330" t="s">
        <v>218</v>
      </c>
      <c r="AB10" s="330"/>
      <c r="AC10" s="330"/>
      <c r="AD10" s="330"/>
      <c r="AE10" s="330"/>
      <c r="AF10" s="330"/>
      <c r="AG10" s="330"/>
      <c r="AH10" s="330"/>
      <c r="AI10" s="330"/>
      <c r="AJ10" s="324" t="s">
        <v>219</v>
      </c>
      <c r="AK10" s="325"/>
      <c r="AL10" s="325"/>
      <c r="AM10" s="325"/>
      <c r="AN10" s="326"/>
      <c r="AO10" s="324" t="s">
        <v>220</v>
      </c>
      <c r="AP10" s="325"/>
      <c r="AQ10" s="325"/>
      <c r="AR10" s="325"/>
      <c r="AS10" s="326"/>
      <c r="AT10" s="324" t="s">
        <v>221</v>
      </c>
      <c r="AU10" s="325"/>
      <c r="AV10" s="326"/>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row>
    <row r="11" spans="1:276" ht="26.25" customHeight="1" x14ac:dyDescent="0.2">
      <c r="A11" s="347" t="s">
        <v>222</v>
      </c>
      <c r="B11" s="348" t="s">
        <v>15</v>
      </c>
      <c r="C11" s="349" t="s">
        <v>17</v>
      </c>
      <c r="D11" s="349" t="s">
        <v>19</v>
      </c>
      <c r="E11" s="348" t="s">
        <v>21</v>
      </c>
      <c r="F11" s="349" t="s">
        <v>23</v>
      </c>
      <c r="G11" s="548" t="s">
        <v>309</v>
      </c>
      <c r="H11" s="550" t="s">
        <v>310</v>
      </c>
      <c r="I11" s="550" t="s">
        <v>311</v>
      </c>
      <c r="J11" s="550" t="s">
        <v>312</v>
      </c>
      <c r="K11" s="350" t="s">
        <v>124</v>
      </c>
      <c r="L11" s="350" t="s">
        <v>280</v>
      </c>
      <c r="M11" s="350" t="s">
        <v>224</v>
      </c>
      <c r="N11" s="350" t="s">
        <v>225</v>
      </c>
      <c r="O11" s="350" t="s">
        <v>226</v>
      </c>
      <c r="P11" s="251"/>
      <c r="Q11" s="251"/>
      <c r="R11" s="329" t="s">
        <v>227</v>
      </c>
      <c r="S11" s="329" t="s">
        <v>228</v>
      </c>
      <c r="T11" s="342" t="s">
        <v>229</v>
      </c>
      <c r="U11" s="329" t="s">
        <v>230</v>
      </c>
      <c r="V11" s="329" t="s">
        <v>231</v>
      </c>
      <c r="W11" s="329" t="s">
        <v>232</v>
      </c>
      <c r="X11" s="342" t="s">
        <v>229</v>
      </c>
      <c r="Y11" s="329" t="s">
        <v>29</v>
      </c>
      <c r="Z11" s="328" t="s">
        <v>233</v>
      </c>
      <c r="AA11" s="329" t="s">
        <v>31</v>
      </c>
      <c r="AB11" s="329" t="s">
        <v>33</v>
      </c>
      <c r="AC11" s="329" t="s">
        <v>234</v>
      </c>
      <c r="AD11" s="329"/>
      <c r="AE11" s="329"/>
      <c r="AF11" s="329"/>
      <c r="AG11" s="329"/>
      <c r="AH11" s="329"/>
      <c r="AI11" s="328" t="s">
        <v>235</v>
      </c>
      <c r="AJ11" s="328" t="s">
        <v>236</v>
      </c>
      <c r="AK11" s="328" t="s">
        <v>229</v>
      </c>
      <c r="AL11" s="328" t="s">
        <v>237</v>
      </c>
      <c r="AM11" s="328" t="s">
        <v>229</v>
      </c>
      <c r="AN11" s="328" t="s">
        <v>238</v>
      </c>
      <c r="AO11" s="328" t="s">
        <v>49</v>
      </c>
      <c r="AP11" s="329" t="s">
        <v>239</v>
      </c>
      <c r="AQ11" s="329" t="s">
        <v>240</v>
      </c>
      <c r="AR11" s="329" t="s">
        <v>241</v>
      </c>
      <c r="AS11" s="329" t="s">
        <v>242</v>
      </c>
      <c r="AT11" s="329" t="s">
        <v>243</v>
      </c>
      <c r="AU11" s="329" t="s">
        <v>244</v>
      </c>
      <c r="AV11" s="329" t="s">
        <v>245</v>
      </c>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row>
    <row r="12" spans="1:276" s="213" customFormat="1" ht="73.5" customHeight="1" x14ac:dyDescent="0.25">
      <c r="A12" s="347"/>
      <c r="B12" s="348"/>
      <c r="C12" s="349"/>
      <c r="D12" s="349"/>
      <c r="E12" s="348"/>
      <c r="F12" s="349"/>
      <c r="G12" s="549"/>
      <c r="H12" s="550"/>
      <c r="I12" s="550"/>
      <c r="J12" s="550"/>
      <c r="K12" s="351"/>
      <c r="L12" s="351"/>
      <c r="M12" s="351"/>
      <c r="N12" s="351"/>
      <c r="O12" s="351"/>
      <c r="P12" s="250" t="s">
        <v>425</v>
      </c>
      <c r="Q12" s="250" t="s">
        <v>246</v>
      </c>
      <c r="R12" s="329"/>
      <c r="S12" s="329"/>
      <c r="T12" s="342"/>
      <c r="U12" s="329"/>
      <c r="V12" s="329"/>
      <c r="W12" s="342"/>
      <c r="X12" s="342"/>
      <c r="Y12" s="329"/>
      <c r="Z12" s="328"/>
      <c r="AA12" s="329"/>
      <c r="AB12" s="329"/>
      <c r="AC12" s="210" t="s">
        <v>247</v>
      </c>
      <c r="AD12" s="210" t="s">
        <v>248</v>
      </c>
      <c r="AE12" s="210" t="s">
        <v>249</v>
      </c>
      <c r="AF12" s="210" t="s">
        <v>250</v>
      </c>
      <c r="AG12" s="210" t="s">
        <v>251</v>
      </c>
      <c r="AH12" s="210" t="s">
        <v>252</v>
      </c>
      <c r="AI12" s="328"/>
      <c r="AJ12" s="328"/>
      <c r="AK12" s="328"/>
      <c r="AL12" s="328"/>
      <c r="AM12" s="328"/>
      <c r="AN12" s="328"/>
      <c r="AO12" s="328"/>
      <c r="AP12" s="329"/>
      <c r="AQ12" s="329"/>
      <c r="AR12" s="329"/>
      <c r="AS12" s="329"/>
      <c r="AT12" s="329"/>
      <c r="AU12" s="329"/>
      <c r="AV12" s="329"/>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c r="JM12" s="212"/>
      <c r="JN12" s="212"/>
      <c r="JO12" s="212"/>
      <c r="JP12" s="212"/>
    </row>
    <row r="13" spans="1:276" s="215" customFormat="1" ht="103.5" customHeight="1" x14ac:dyDescent="0.25">
      <c r="A13" s="352">
        <v>1</v>
      </c>
      <c r="B13" s="353"/>
      <c r="C13" s="353"/>
      <c r="D13" s="353"/>
      <c r="E13" s="531"/>
      <c r="F13" s="353"/>
      <c r="G13" s="335"/>
      <c r="H13" s="335"/>
      <c r="I13" s="335"/>
      <c r="J13" s="335"/>
      <c r="K13" s="335"/>
      <c r="L13" s="335"/>
      <c r="M13" s="335"/>
      <c r="N13" s="335"/>
      <c r="O13" s="335"/>
      <c r="P13" s="335"/>
      <c r="Q13" s="335"/>
      <c r="R13" s="341"/>
      <c r="S13" s="346" t="str">
        <f>IF(R13&lt;=0,"",IF(R13&lt;=2,"Muy Baja",IF(R13&lt;=24,"Baja",IF(R13&lt;=500,"Media",IF(R13&lt;=5000,"Alta","Muy Alta")))))</f>
        <v/>
      </c>
      <c r="T13" s="331" t="str">
        <f>IF(S13="","",IF(S13="Muy Baja",0.2,IF(S13="Baja",0.4,IF(S13="Media",0.6,IF(S13="Alta",0.8,IF(S13="Muy Alta",1,))))))</f>
        <v/>
      </c>
      <c r="U13" s="343"/>
      <c r="V13" s="331">
        <f>IF(NOT(ISERROR(MATCH(U13,'Tabla Impacto'!$B$222:$B$224,0))),'Tabla Impacto'!$F$224&amp;"Por favor no seleccionar los criterios de impacto(Afectación Económica o presupuestal y Pérdida Reputacional)",U13)</f>
        <v>0</v>
      </c>
      <c r="W13" s="346" t="str">
        <f>IF(OR(V13='Tabla Impacto'!$C$12,V13='Tabla Impacto'!$D$12),"Leve",IF(OR(V13='Tabla Impacto'!$C$13,V13='Tabla Impacto'!$D$13),"Menor",IF(OR(V13='Tabla Impacto'!$C$14,V13='Tabla Impacto'!$D$14),"Moderado",IF(OR(V13='Tabla Impacto'!$C$15,V13='Tabla Impacto'!$D$15),"Mayor",IF(OR(V13='Tabla Impacto'!$C$16,V13='Tabla Impacto'!$D$16),"Catastrófico","")))))</f>
        <v/>
      </c>
      <c r="X13" s="331" t="str">
        <f>IF(W13="","",IF(W13="Leve",0.2,IF(W13="Menor",0.4,IF(W13="Moderado",0.6,IF(W13="Mayor",0.8,IF(W13="Catastrófico",1,))))))</f>
        <v/>
      </c>
      <c r="Y13" s="327" t="str">
        <f>IF(OR(AND(S13="Muy Baja",W13="Leve"),AND(S13="Muy Baja",W13="Menor"),AND(S13="Baja",W13="Leve")),"Bajo",IF(OR(AND(S13="Muy baja",W13="Moderado"),AND(S13="Baja",W13="Menor"),AND(S13="Baja",W13="Moderado"),AND(S13="Media",W13="Leve"),AND(S13="Media",W13="Menor"),AND(S13="Media",W13="Moderado"),AND(S13="Alta",W13="Leve"),AND(S13="Alta",W13="Menor")),"Moderado",IF(OR(AND(S13="Muy Baja",W13="Mayor"),AND(S13="Baja",W13="Mayor"),AND(S13="Media",W13="Mayor"),AND(S13="Alta",W13="Moderado"),AND(S13="Alta",W13="Mayor"),AND(S13="Muy Alta",W13="Leve"),AND(S13="Muy Alta",W13="Menor"),AND(S13="Muy Alta",W13="Moderado"),AND(S13="Muy Alta",W13="Mayor")),"Alto",IF(OR(AND(S13="Muy Baja",W13="Catastrófico"),AND(S13="Baja",W13="Catastrófico"),AND(S13="Media",W13="Catastrófico"),AND(S13="Alta",W13="Catastrófico"),AND(S13="Muy Alta",W13="Catastrófico")),"Extremo",""))))</f>
        <v/>
      </c>
      <c r="Z13" s="214">
        <v>1</v>
      </c>
      <c r="AA13" s="240"/>
      <c r="AB13" s="189" t="str">
        <f t="shared" ref="AB13:AB18" si="0">IF(OR(AC13="Preventivo",AC13="Detectivo"),"Probabilidad",IF(AC13="Correctivo","Impacto",""))</f>
        <v/>
      </c>
      <c r="AC13" s="190"/>
      <c r="AD13" s="190"/>
      <c r="AE13" s="191" t="str">
        <f>IF(AND(AC13="Preventivo",AD13="Automático"),"50%",IF(AND(AC13="Preventivo",AD13="Manual"),"40%",IF(AND(AC13="Detectivo",AD13="Automático"),"40%",IF(AND(AC13="Detectivo",AD13="Manual"),"30%",IF(AND(AC13="Correctivo",AD13="Automático"),"35%",IF(AND(AC13="Correctivo",AD13="Manual"),"25%",""))))))</f>
        <v/>
      </c>
      <c r="AF13" s="190"/>
      <c r="AG13" s="190"/>
      <c r="AH13" s="190"/>
      <c r="AI13" s="192" t="str">
        <f>IFERROR(IF(AB13="Probabilidad",(T13-(+T13*AE13)),IF(AB13="Impacto",T13,"")),"")</f>
        <v/>
      </c>
      <c r="AJ13" s="193" t="str">
        <f>IFERROR(IF(AI13="","",IF(AI13&lt;=0.2,"Muy Baja",IF(AI13&lt;=0.4,"Baja",IF(AI13&lt;=0.6,"Media",IF(AI13&lt;=0.8,"Alta","Muy Alta"))))),"")</f>
        <v/>
      </c>
      <c r="AK13" s="191" t="str">
        <f>+AI13</f>
        <v/>
      </c>
      <c r="AL13" s="193" t="str">
        <f>IFERROR(IF(AM13="","",IF(AM13&lt;=0.2,"Leve",IF(AM13&lt;=0.4,"Menor",IF(AM13&lt;=0.6,"Moderado",IF(AM13&lt;=0.8,"Mayor","Catastrófico"))))),"")</f>
        <v/>
      </c>
      <c r="AM13" s="191" t="str">
        <f>IFERROR(IF(AB13="Impacto",(X13-(+X13*AE13)),IF(AB13="Probabilidad",X13,"")),"")</f>
        <v/>
      </c>
      <c r="AN13" s="194" t="str">
        <f>IFERROR(IF(OR(AND(AJ13="Muy Baja",AL13="Leve"),AND(AJ13="Muy Baja",AL13="Menor"),AND(AJ13="Baja",AL13="Leve")),"Bajo",IF(OR(AND(AJ13="Muy baja",AL13="Moderado"),AND(AJ13="Baja",AL13="Menor"),AND(AJ13="Baja",AL13="Moderado"),AND(AJ13="Media",AL13="Leve"),AND(AJ13="Media",AL13="Menor"),AND(AJ13="Media",AL13="Moderado"),AND(AJ13="Alta",AL13="Leve"),AND(AJ13="Alta",AL13="Menor")),"Moderado",IF(OR(AND(AJ13="Muy Baja",AL13="Mayor"),AND(AJ13="Baja",AL13="Mayor"),AND(AJ13="Media",AL13="Mayor"),AND(AJ13="Alta",AL13="Moderado"),AND(AJ13="Alta",AL13="Mayor"),AND(AJ13="Muy Alta",AL13="Leve"),AND(AJ13="Muy Alta",AL13="Menor"),AND(AJ13="Muy Alta",AL13="Moderado"),AND(AJ13="Muy Alta",AL13="Mayor")),"Alto",IF(OR(AND(AJ13="Muy Baja",AL13="Catastrófico"),AND(AJ13="Baja",AL13="Catastrófico"),AND(AJ13="Media",AL13="Catastrófico"),AND(AJ13="Alta",AL13="Catastrófico"),AND(AJ13="Muy Alta",AL13="Catastrófico")),"Extremo","")))),"")</f>
        <v/>
      </c>
      <c r="AO13" s="195"/>
      <c r="AP13" s="186"/>
      <c r="AQ13" s="196"/>
      <c r="AR13" s="196"/>
      <c r="AS13" s="197"/>
      <c r="AT13" s="353"/>
      <c r="AU13" s="353"/>
      <c r="AV13" s="353"/>
    </row>
    <row r="14" spans="1:276" ht="94.5" customHeight="1" x14ac:dyDescent="0.2">
      <c r="A14" s="352"/>
      <c r="B14" s="353"/>
      <c r="C14" s="353"/>
      <c r="D14" s="353"/>
      <c r="E14" s="531"/>
      <c r="F14" s="353"/>
      <c r="G14" s="336"/>
      <c r="H14" s="336"/>
      <c r="I14" s="336"/>
      <c r="J14" s="336"/>
      <c r="K14" s="336"/>
      <c r="L14" s="336"/>
      <c r="M14" s="336"/>
      <c r="N14" s="336"/>
      <c r="O14" s="336"/>
      <c r="P14" s="336"/>
      <c r="Q14" s="336"/>
      <c r="R14" s="341"/>
      <c r="S14" s="346"/>
      <c r="T14" s="331"/>
      <c r="U14" s="343"/>
      <c r="V14" s="331">
        <f>IF(NOT(ISERROR(MATCH(U14,_xlfn.ANCHORARRAY(E25),0))),T27&amp;"Por favor no seleccionar los criterios de impacto",U14)</f>
        <v>0</v>
      </c>
      <c r="W14" s="346"/>
      <c r="X14" s="331"/>
      <c r="Y14" s="327"/>
      <c r="Z14" s="214">
        <v>2</v>
      </c>
      <c r="AA14" s="240"/>
      <c r="AB14" s="189" t="str">
        <f t="shared" si="0"/>
        <v/>
      </c>
      <c r="AC14" s="190"/>
      <c r="AD14" s="190"/>
      <c r="AE14" s="191" t="str">
        <f t="shared" ref="AE14:AE18" si="1">IF(AND(AC14="Preventivo",AD14="Automático"),"50%",IF(AND(AC14="Preventivo",AD14="Manual"),"40%",IF(AND(AC14="Detectivo",AD14="Automático"),"40%",IF(AND(AC14="Detectivo",AD14="Manual"),"30%",IF(AND(AC14="Correctivo",AD14="Automático"),"35%",IF(AND(AC14="Correctivo",AD14="Manual"),"25%",""))))))</f>
        <v/>
      </c>
      <c r="AF14" s="190"/>
      <c r="AG14" s="190"/>
      <c r="AH14" s="190"/>
      <c r="AI14" s="192" t="str">
        <f>IFERROR(IF(AND(AB13="Probabilidad",AB14="Probabilidad"),(AK13-(+AK13*AE14)),IF(AB14="Probabilidad",(T13-(+T13*AE14)),IF(AB14="Impacto",AK13,""))),"")</f>
        <v/>
      </c>
      <c r="AJ14" s="193" t="str">
        <f t="shared" ref="AJ14:AJ72" si="2">IFERROR(IF(AI14="","",IF(AI14&lt;=0.2,"Muy Baja",IF(AI14&lt;=0.4,"Baja",IF(AI14&lt;=0.6,"Media",IF(AI14&lt;=0.8,"Alta","Muy Alta"))))),"")</f>
        <v/>
      </c>
      <c r="AK14" s="191" t="str">
        <f t="shared" ref="AK14:AK18" si="3">+AI14</f>
        <v/>
      </c>
      <c r="AL14" s="193" t="str">
        <f t="shared" ref="AL14:AL72" si="4">IFERROR(IF(AM14="","",IF(AM14&lt;=0.2,"Leve",IF(AM14&lt;=0.4,"Menor",IF(AM14&lt;=0.6,"Moderado",IF(AM14&lt;=0.8,"Mayor","Catastrófico"))))),"")</f>
        <v/>
      </c>
      <c r="AM14" s="191" t="str">
        <f>IFERROR(IF(AND(AB13="Impacto",AB14="Impacto"),(AM13-(+AM13*AE14)),IF(AB14="Impacto",($X$13-(+$X$13*AE14)),IF(AB14="Probabilidad",AM13,""))),"")</f>
        <v/>
      </c>
      <c r="AN14" s="194" t="str">
        <f t="shared" ref="AN14:AN18" si="5">IFERROR(IF(OR(AND(AJ14="Muy Baja",AL14="Leve"),AND(AJ14="Muy Baja",AL14="Menor"),AND(AJ14="Baja",AL14="Leve")),"Bajo",IF(OR(AND(AJ14="Muy baja",AL14="Moderado"),AND(AJ14="Baja",AL14="Menor"),AND(AJ14="Baja",AL14="Moderado"),AND(AJ14="Media",AL14="Leve"),AND(AJ14="Media",AL14="Menor"),AND(AJ14="Media",AL14="Moderado"),AND(AJ14="Alta",AL14="Leve"),AND(AJ14="Alta",AL14="Menor")),"Moderado",IF(OR(AND(AJ14="Muy Baja",AL14="Mayor"),AND(AJ14="Baja",AL14="Mayor"),AND(AJ14="Media",AL14="Mayor"),AND(AJ14="Alta",AL14="Moderado"),AND(AJ14="Alta",AL14="Mayor"),AND(AJ14="Muy Alta",AL14="Leve"),AND(AJ14="Muy Alta",AL14="Menor"),AND(AJ14="Muy Alta",AL14="Moderado"),AND(AJ14="Muy Alta",AL14="Mayor")),"Alto",IF(OR(AND(AJ14="Muy Baja",AL14="Catastrófico"),AND(AJ14="Baja",AL14="Catastrófico"),AND(AJ14="Media",AL14="Catastrófico"),AND(AJ14="Alta",AL14="Catastrófico"),AND(AJ14="Muy Alta",AL14="Catastrófico")),"Extremo","")))),"")</f>
        <v/>
      </c>
      <c r="AO14" s="195"/>
      <c r="AP14" s="186"/>
      <c r="AQ14" s="196"/>
      <c r="AR14" s="186"/>
      <c r="AS14" s="197"/>
      <c r="AT14" s="353"/>
      <c r="AU14" s="353"/>
      <c r="AV14" s="353"/>
    </row>
    <row r="15" spans="1:276" ht="37.5" customHeight="1" x14ac:dyDescent="0.2">
      <c r="A15" s="352"/>
      <c r="B15" s="353"/>
      <c r="C15" s="353"/>
      <c r="D15" s="353"/>
      <c r="E15" s="531"/>
      <c r="F15" s="353"/>
      <c r="G15" s="336"/>
      <c r="H15" s="336"/>
      <c r="I15" s="336"/>
      <c r="J15" s="336"/>
      <c r="K15" s="336"/>
      <c r="L15" s="336"/>
      <c r="M15" s="336"/>
      <c r="N15" s="336"/>
      <c r="O15" s="336"/>
      <c r="P15" s="336"/>
      <c r="Q15" s="336"/>
      <c r="R15" s="341"/>
      <c r="S15" s="346"/>
      <c r="T15" s="331"/>
      <c r="U15" s="343"/>
      <c r="V15" s="331">
        <f>IF(NOT(ISERROR(MATCH(U15,_xlfn.ANCHORARRAY(E26),0))),T28&amp;"Por favor no seleccionar los criterios de impacto",U15)</f>
        <v>0</v>
      </c>
      <c r="W15" s="346"/>
      <c r="X15" s="331"/>
      <c r="Y15" s="327"/>
      <c r="Z15" s="214">
        <v>3</v>
      </c>
      <c r="AA15" s="188"/>
      <c r="AB15" s="189" t="str">
        <f t="shared" si="0"/>
        <v/>
      </c>
      <c r="AC15" s="190"/>
      <c r="AD15" s="190"/>
      <c r="AE15" s="191" t="str">
        <f t="shared" si="1"/>
        <v/>
      </c>
      <c r="AF15" s="190"/>
      <c r="AG15" s="190"/>
      <c r="AH15" s="190"/>
      <c r="AI15" s="192" t="str">
        <f>IFERROR(IF(AND(AB14="Probabilidad",AB15="Probabilidad"),(AK14-(+AK14*AE15)),IF(AND(AB14="Impacto",AB15="Probabilidad"),(AK13-(+AK13*AE15)),IF(AB15="Impacto",AK14,""))),"")</f>
        <v/>
      </c>
      <c r="AJ15" s="193" t="str">
        <f t="shared" si="2"/>
        <v/>
      </c>
      <c r="AK15" s="191" t="str">
        <f t="shared" si="3"/>
        <v/>
      </c>
      <c r="AL15" s="193" t="str">
        <f t="shared" si="4"/>
        <v/>
      </c>
      <c r="AM15" s="191" t="str">
        <f>IFERROR(IF(AND(AB14="Impacto",AB15="Impacto"),(AM14-(+AM14*AE15)),IF(AND(AB14="Probabilidad",AB15="Impacto"),(AM13-(+AM13*AE15)),IF(AB15="Probabilidad",AM14,""))),"")</f>
        <v/>
      </c>
      <c r="AN15" s="194" t="str">
        <f t="shared" si="5"/>
        <v/>
      </c>
      <c r="AO15" s="195"/>
      <c r="AP15" s="186"/>
      <c r="AQ15" s="196"/>
      <c r="AR15" s="196"/>
      <c r="AS15" s="197"/>
      <c r="AT15" s="353"/>
      <c r="AU15" s="353"/>
      <c r="AV15" s="353"/>
    </row>
    <row r="16" spans="1:276" ht="37.5" customHeight="1" x14ac:dyDescent="0.2">
      <c r="A16" s="352"/>
      <c r="B16" s="353"/>
      <c r="C16" s="353"/>
      <c r="D16" s="353"/>
      <c r="E16" s="531"/>
      <c r="F16" s="353"/>
      <c r="G16" s="336"/>
      <c r="H16" s="336"/>
      <c r="I16" s="336"/>
      <c r="J16" s="336"/>
      <c r="K16" s="336"/>
      <c r="L16" s="336"/>
      <c r="M16" s="336"/>
      <c r="N16" s="336"/>
      <c r="O16" s="336"/>
      <c r="P16" s="336"/>
      <c r="Q16" s="336"/>
      <c r="R16" s="341"/>
      <c r="S16" s="346"/>
      <c r="T16" s="331"/>
      <c r="U16" s="343"/>
      <c r="V16" s="331">
        <f>IF(NOT(ISERROR(MATCH(U16,_xlfn.ANCHORARRAY(E27),0))),T29&amp;"Por favor no seleccionar los criterios de impacto",U16)</f>
        <v>0</v>
      </c>
      <c r="W16" s="346"/>
      <c r="X16" s="331"/>
      <c r="Y16" s="327"/>
      <c r="Z16" s="214">
        <v>4</v>
      </c>
      <c r="AA16" s="187"/>
      <c r="AB16" s="189" t="str">
        <f t="shared" si="0"/>
        <v/>
      </c>
      <c r="AC16" s="190"/>
      <c r="AD16" s="190"/>
      <c r="AE16" s="191" t="str">
        <f t="shared" si="1"/>
        <v/>
      </c>
      <c r="AF16" s="190"/>
      <c r="AG16" s="190"/>
      <c r="AH16" s="190"/>
      <c r="AI16" s="192" t="str">
        <f t="shared" ref="AI16:AI18" si="6">IFERROR(IF(AND(AB15="Probabilidad",AB16="Probabilidad"),(AK15-(+AK15*AE16)),IF(AND(AB15="Impacto",AB16="Probabilidad"),(AK14-(+AK14*AE16)),IF(AB16="Impacto",AK15,""))),"")</f>
        <v/>
      </c>
      <c r="AJ16" s="193" t="str">
        <f t="shared" si="2"/>
        <v/>
      </c>
      <c r="AK16" s="191" t="str">
        <f t="shared" si="3"/>
        <v/>
      </c>
      <c r="AL16" s="193" t="str">
        <f t="shared" si="4"/>
        <v/>
      </c>
      <c r="AM16" s="191" t="str">
        <f t="shared" ref="AM16:AM18" si="7">IFERROR(IF(AND(AB15="Impacto",AB16="Impacto"),(AM15-(+AM15*AE16)),IF(AND(AB15="Probabilidad",AB16="Impacto"),(AM14-(+AM14*AE16)),IF(AB16="Probabilidad",AM15,""))),"")</f>
        <v/>
      </c>
      <c r="AN16" s="194" t="str">
        <f>IFERROR(IF(OR(AND(AJ16="Muy Baja",AL16="Leve"),AND(AJ16="Muy Baja",AL16="Menor"),AND(AJ16="Baja",AL16="Leve")),"Bajo",IF(OR(AND(AJ16="Muy baja",AL16="Moderado"),AND(AJ16="Baja",AL16="Menor"),AND(AJ16="Baja",AL16="Moderado"),AND(AJ16="Media",AL16="Leve"),AND(AJ16="Media",AL16="Menor"),AND(AJ16="Media",AL16="Moderado"),AND(AJ16="Alta",AL16="Leve"),AND(AJ16="Alta",AL16="Menor")),"Moderado",IF(OR(AND(AJ16="Muy Baja",AL16="Mayor"),AND(AJ16="Baja",AL16="Mayor"),AND(AJ16="Media",AL16="Mayor"),AND(AJ16="Alta",AL16="Moderado"),AND(AJ16="Alta",AL16="Mayor"),AND(AJ16="Muy Alta",AL16="Leve"),AND(AJ16="Muy Alta",AL16="Menor"),AND(AJ16="Muy Alta",AL16="Moderado"),AND(AJ16="Muy Alta",AL16="Mayor")),"Alto",IF(OR(AND(AJ16="Muy Baja",AL16="Catastrófico"),AND(AJ16="Baja",AL16="Catastrófico"),AND(AJ16="Media",AL16="Catastrófico"),AND(AJ16="Alta",AL16="Catastrófico"),AND(AJ16="Muy Alta",AL16="Catastrófico")),"Extremo","")))),"")</f>
        <v/>
      </c>
      <c r="AO16" s="195"/>
      <c r="AP16" s="186"/>
      <c r="AQ16" s="196"/>
      <c r="AR16" s="196"/>
      <c r="AS16" s="197"/>
      <c r="AT16" s="353"/>
      <c r="AU16" s="353"/>
      <c r="AV16" s="353"/>
    </row>
    <row r="17" spans="1:48" ht="37.5" customHeight="1" x14ac:dyDescent="0.2">
      <c r="A17" s="352"/>
      <c r="B17" s="353"/>
      <c r="C17" s="353"/>
      <c r="D17" s="353"/>
      <c r="E17" s="531"/>
      <c r="F17" s="353"/>
      <c r="G17" s="336"/>
      <c r="H17" s="336"/>
      <c r="I17" s="336"/>
      <c r="J17" s="336"/>
      <c r="K17" s="336"/>
      <c r="L17" s="336"/>
      <c r="M17" s="336"/>
      <c r="N17" s="336"/>
      <c r="O17" s="336"/>
      <c r="P17" s="336"/>
      <c r="Q17" s="336"/>
      <c r="R17" s="341"/>
      <c r="S17" s="346"/>
      <c r="T17" s="331"/>
      <c r="U17" s="343"/>
      <c r="V17" s="331">
        <f>IF(NOT(ISERROR(MATCH(U17,_xlfn.ANCHORARRAY(E28),0))),T30&amp;"Por favor no seleccionar los criterios de impacto",U17)</f>
        <v>0</v>
      </c>
      <c r="W17" s="346"/>
      <c r="X17" s="331"/>
      <c r="Y17" s="327"/>
      <c r="Z17" s="214">
        <v>5</v>
      </c>
      <c r="AA17" s="187"/>
      <c r="AB17" s="189" t="str">
        <f t="shared" si="0"/>
        <v/>
      </c>
      <c r="AC17" s="190"/>
      <c r="AD17" s="190"/>
      <c r="AE17" s="191" t="str">
        <f t="shared" si="1"/>
        <v/>
      </c>
      <c r="AF17" s="190"/>
      <c r="AG17" s="190"/>
      <c r="AH17" s="190"/>
      <c r="AI17" s="192" t="str">
        <f t="shared" si="6"/>
        <v/>
      </c>
      <c r="AJ17" s="193" t="str">
        <f t="shared" si="2"/>
        <v/>
      </c>
      <c r="AK17" s="191" t="str">
        <f t="shared" si="3"/>
        <v/>
      </c>
      <c r="AL17" s="193" t="str">
        <f t="shared" si="4"/>
        <v/>
      </c>
      <c r="AM17" s="191" t="str">
        <f t="shared" si="7"/>
        <v/>
      </c>
      <c r="AN17" s="194" t="str">
        <f t="shared" si="5"/>
        <v/>
      </c>
      <c r="AO17" s="195"/>
      <c r="AP17" s="186"/>
      <c r="AQ17" s="196"/>
      <c r="AR17" s="196"/>
      <c r="AS17" s="197"/>
      <c r="AT17" s="353"/>
      <c r="AU17" s="353"/>
      <c r="AV17" s="353"/>
    </row>
    <row r="18" spans="1:48" ht="37.5" customHeight="1" x14ac:dyDescent="0.2">
      <c r="A18" s="352"/>
      <c r="B18" s="353"/>
      <c r="C18" s="353"/>
      <c r="D18" s="353"/>
      <c r="E18" s="531"/>
      <c r="F18" s="353"/>
      <c r="G18" s="337"/>
      <c r="H18" s="337"/>
      <c r="I18" s="337"/>
      <c r="J18" s="337"/>
      <c r="K18" s="337"/>
      <c r="L18" s="337"/>
      <c r="M18" s="337"/>
      <c r="N18" s="337"/>
      <c r="O18" s="337"/>
      <c r="P18" s="337"/>
      <c r="Q18" s="337"/>
      <c r="R18" s="341"/>
      <c r="S18" s="346"/>
      <c r="T18" s="331"/>
      <c r="U18" s="343"/>
      <c r="V18" s="331">
        <f>IF(NOT(ISERROR(MATCH(U18,_xlfn.ANCHORARRAY(E29),0))),T31&amp;"Por favor no seleccionar los criterios de impacto",U18)</f>
        <v>0</v>
      </c>
      <c r="W18" s="346"/>
      <c r="X18" s="331"/>
      <c r="Y18" s="327"/>
      <c r="Z18" s="214">
        <v>6</v>
      </c>
      <c r="AA18" s="187"/>
      <c r="AB18" s="189" t="str">
        <f t="shared" si="0"/>
        <v/>
      </c>
      <c r="AC18" s="190"/>
      <c r="AD18" s="190"/>
      <c r="AE18" s="191" t="str">
        <f t="shared" si="1"/>
        <v/>
      </c>
      <c r="AF18" s="190"/>
      <c r="AG18" s="190"/>
      <c r="AH18" s="190"/>
      <c r="AI18" s="192" t="str">
        <f t="shared" si="6"/>
        <v/>
      </c>
      <c r="AJ18" s="193" t="str">
        <f t="shared" si="2"/>
        <v/>
      </c>
      <c r="AK18" s="191" t="str">
        <f t="shared" si="3"/>
        <v/>
      </c>
      <c r="AL18" s="193" t="str">
        <f t="shared" si="4"/>
        <v/>
      </c>
      <c r="AM18" s="191" t="str">
        <f t="shared" si="7"/>
        <v/>
      </c>
      <c r="AN18" s="194" t="str">
        <f t="shared" si="5"/>
        <v/>
      </c>
      <c r="AO18" s="195"/>
      <c r="AP18" s="186"/>
      <c r="AQ18" s="196"/>
      <c r="AR18" s="196"/>
      <c r="AS18" s="197"/>
      <c r="AT18" s="353"/>
      <c r="AU18" s="353"/>
      <c r="AV18" s="353"/>
    </row>
    <row r="19" spans="1:48" ht="37.5" customHeight="1" x14ac:dyDescent="0.2">
      <c r="A19" s="352">
        <v>2</v>
      </c>
      <c r="B19" s="353"/>
      <c r="C19" s="353"/>
      <c r="D19" s="353"/>
      <c r="E19" s="531"/>
      <c r="F19" s="353"/>
      <c r="G19" s="335"/>
      <c r="H19" s="335"/>
      <c r="I19" s="335"/>
      <c r="J19" s="335"/>
      <c r="K19" s="335"/>
      <c r="L19" s="335"/>
      <c r="M19" s="335"/>
      <c r="N19" s="335"/>
      <c r="O19" s="335"/>
      <c r="P19" s="335"/>
      <c r="Q19" s="335"/>
      <c r="R19" s="341"/>
      <c r="S19" s="346" t="str">
        <f>IF(R19&lt;=0,"",IF(R19&lt;=2,"Muy Baja",IF(R19&lt;=24,"Baja",IF(R19&lt;=500,"Media",IF(R19&lt;=5000,"Alta","Muy Alta")))))</f>
        <v/>
      </c>
      <c r="T19" s="331" t="str">
        <f>IF(S19="","",IF(S19="Muy Baja",0.2,IF(S19="Baja",0.4,IF(S19="Media",0.6,IF(S19="Alta",0.8,IF(S19="Muy Alta",1,))))))</f>
        <v/>
      </c>
      <c r="U19" s="343"/>
      <c r="V19" s="331">
        <f>IF(NOT(ISERROR(MATCH(U19,'Tabla Impacto'!$B$222:$B$224,0))),'Tabla Impacto'!$F$224&amp;"Por favor no seleccionar los criterios de impacto(Afectación Económica o presupuestal y Pérdida Reputacional)",U19)</f>
        <v>0</v>
      </c>
      <c r="W19" s="346" t="str">
        <f>IF(OR(V19='Tabla Impacto'!$C$12,V19='Tabla Impacto'!$D$12),"Leve",IF(OR(V19='Tabla Impacto'!$C$13,V19='Tabla Impacto'!$D$13),"Menor",IF(OR(V19='Tabla Impacto'!$C$14,V19='Tabla Impacto'!$D$14),"Moderado",IF(OR(V19='Tabla Impacto'!$C$15,V19='Tabla Impacto'!$D$15),"Mayor",IF(OR(V19='Tabla Impacto'!$C$16,V19='Tabla Impacto'!$D$16),"Catastrófico","")))))</f>
        <v/>
      </c>
      <c r="X19" s="331" t="str">
        <f>IF(W19="","",IF(W19="Leve",0.2,IF(W19="Menor",0.4,IF(W19="Moderado",0.6,IF(W19="Mayor",0.8,IF(W19="Catastrófico",1,))))))</f>
        <v/>
      </c>
      <c r="Y19" s="327" t="str">
        <f>IF(OR(AND(S19="Muy Baja",W19="Leve"),AND(S19="Muy Baja",W19="Menor"),AND(S19="Baja",W19="Leve")),"Bajo",IF(OR(AND(S19="Muy baja",W19="Moderado"),AND(S19="Baja",W19="Menor"),AND(S19="Baja",W19="Moderado"),AND(S19="Media",W19="Leve"),AND(S19="Media",W19="Menor"),AND(S19="Media",W19="Moderado"),AND(S19="Alta",W19="Leve"),AND(S19="Alta",W19="Menor")),"Moderado",IF(OR(AND(S19="Muy Baja",W19="Mayor"),AND(S19="Baja",W19="Mayor"),AND(S19="Media",W19="Mayor"),AND(S19="Alta",W19="Moderado"),AND(S19="Alta",W19="Mayor"),AND(S19="Muy Alta",W19="Leve"),AND(S19="Muy Alta",W19="Menor"),AND(S19="Muy Alta",W19="Moderado"),AND(S19="Muy Alta",W19="Mayor")),"Alto",IF(OR(AND(S19="Muy Baja",W19="Catastrófico"),AND(S19="Baja",W19="Catastrófico"),AND(S19="Media",W19="Catastrófico"),AND(S19="Alta",W19="Catastrófico"),AND(S19="Muy Alta",W19="Catastrófico")),"Extremo",""))))</f>
        <v/>
      </c>
      <c r="Z19" s="214">
        <v>1</v>
      </c>
      <c r="AA19" s="187"/>
      <c r="AB19" s="189" t="str">
        <f>IF(OR(AC19="Preventivo",AC19="Detectivo"),"Probabilidad",IF(AC19="Correctivo","Impacto",""))</f>
        <v/>
      </c>
      <c r="AC19" s="190"/>
      <c r="AD19" s="190"/>
      <c r="AE19" s="191" t="str">
        <f>IF(AND(AC19="Preventivo",AD19="Automático"),"50%",IF(AND(AC19="Preventivo",AD19="Manual"),"40%",IF(AND(AC19="Detectivo",AD19="Automático"),"40%",IF(AND(AC19="Detectivo",AD19="Manual"),"30%",IF(AND(AC19="Correctivo",AD19="Automático"),"35%",IF(AND(AC19="Correctivo",AD19="Manual"),"25%",""))))))</f>
        <v/>
      </c>
      <c r="AF19" s="190"/>
      <c r="AG19" s="190"/>
      <c r="AH19" s="190"/>
      <c r="AI19" s="192" t="str">
        <f>IFERROR(IF(AB19="Probabilidad",(T19-(+T19*AE19)),IF(AB19="Impacto",T19,"")),"")</f>
        <v/>
      </c>
      <c r="AJ19" s="193" t="str">
        <f>IFERROR(IF(AI19="","",IF(AI19&lt;=0.2,"Muy Baja",IF(AI19&lt;=0.4,"Baja",IF(AI19&lt;=0.6,"Media",IF(AI19&lt;=0.8,"Alta","Muy Alta"))))),"")</f>
        <v/>
      </c>
      <c r="AK19" s="191" t="str">
        <f>+AI19</f>
        <v/>
      </c>
      <c r="AL19" s="193" t="str">
        <f>IFERROR(IF(AM19="","",IF(AM19&lt;=0.2,"Leve",IF(AM19&lt;=0.4,"Menor",IF(AM19&lt;=0.6,"Moderado",IF(AM19&lt;=0.8,"Mayor","Catastrófico"))))),"")</f>
        <v/>
      </c>
      <c r="AM19" s="191" t="str">
        <f t="shared" ref="AM19" si="8">IFERROR(IF(AB19="Impacto",(X19-(+X19*AE19)),IF(AB19="Probabilidad",X19,"")),"")</f>
        <v/>
      </c>
      <c r="AN19" s="194" t="str">
        <f>IFERROR(IF(OR(AND(AJ19="Muy Baja",AL19="Leve"),AND(AJ19="Muy Baja",AL19="Menor"),AND(AJ19="Baja",AL19="Leve")),"Bajo",IF(OR(AND(AJ19="Muy baja",AL19="Moderado"),AND(AJ19="Baja",AL19="Menor"),AND(AJ19="Baja",AL19="Moderado"),AND(AJ19="Media",AL19="Leve"),AND(AJ19="Media",AL19="Menor"),AND(AJ19="Media",AL19="Moderado"),AND(AJ19="Alta",AL19="Leve"),AND(AJ19="Alta",AL19="Menor")),"Moderado",IF(OR(AND(AJ19="Muy Baja",AL19="Mayor"),AND(AJ19="Baja",AL19="Mayor"),AND(AJ19="Media",AL19="Mayor"),AND(AJ19="Alta",AL19="Moderado"),AND(AJ19="Alta",AL19="Mayor"),AND(AJ19="Muy Alta",AL19="Leve"),AND(AJ19="Muy Alta",AL19="Menor"),AND(AJ19="Muy Alta",AL19="Moderado"),AND(AJ19="Muy Alta",AL19="Mayor")),"Alto",IF(OR(AND(AJ19="Muy Baja",AL19="Catastrófico"),AND(AJ19="Baja",AL19="Catastrófico"),AND(AJ19="Media",AL19="Catastrófico"),AND(AJ19="Alta",AL19="Catastrófico"),AND(AJ19="Muy Alta",AL19="Catastrófico")),"Extremo","")))),"")</f>
        <v/>
      </c>
      <c r="AO19" s="195"/>
      <c r="AP19" s="186"/>
      <c r="AQ19" s="196"/>
      <c r="AR19" s="196"/>
      <c r="AS19" s="197"/>
      <c r="AT19" s="341"/>
      <c r="AU19" s="341"/>
      <c r="AV19" s="341"/>
    </row>
    <row r="20" spans="1:48" ht="37.5" customHeight="1" x14ac:dyDescent="0.2">
      <c r="A20" s="352"/>
      <c r="B20" s="353"/>
      <c r="C20" s="353"/>
      <c r="D20" s="353"/>
      <c r="E20" s="531"/>
      <c r="F20" s="353"/>
      <c r="G20" s="336"/>
      <c r="H20" s="336"/>
      <c r="I20" s="336"/>
      <c r="J20" s="336"/>
      <c r="K20" s="336"/>
      <c r="L20" s="336"/>
      <c r="M20" s="336"/>
      <c r="N20" s="336"/>
      <c r="O20" s="336"/>
      <c r="P20" s="336"/>
      <c r="Q20" s="336"/>
      <c r="R20" s="341"/>
      <c r="S20" s="346"/>
      <c r="T20" s="331"/>
      <c r="U20" s="343"/>
      <c r="V20" s="331">
        <f>IF(NOT(ISERROR(MATCH(U20,_xlfn.ANCHORARRAY(E31),0))),T33&amp;"Por favor no seleccionar los criterios de impacto",U20)</f>
        <v>0</v>
      </c>
      <c r="W20" s="346"/>
      <c r="X20" s="331"/>
      <c r="Y20" s="327"/>
      <c r="Z20" s="214">
        <v>2</v>
      </c>
      <c r="AA20" s="187"/>
      <c r="AB20" s="189" t="str">
        <f>IF(OR(AC20="Preventivo",AC20="Detectivo"),"Probabilidad",IF(AC20="Correctivo","Impacto",""))</f>
        <v/>
      </c>
      <c r="AC20" s="190"/>
      <c r="AD20" s="190"/>
      <c r="AE20" s="191" t="str">
        <f t="shared" ref="AE20:AE24" si="9">IF(AND(AC20="Preventivo",AD20="Automático"),"50%",IF(AND(AC20="Preventivo",AD20="Manual"),"40%",IF(AND(AC20="Detectivo",AD20="Automático"),"40%",IF(AND(AC20="Detectivo",AD20="Manual"),"30%",IF(AND(AC20="Correctivo",AD20="Automático"),"35%",IF(AND(AC20="Correctivo",AD20="Manual"),"25%",""))))))</f>
        <v/>
      </c>
      <c r="AF20" s="190"/>
      <c r="AG20" s="190"/>
      <c r="AH20" s="190"/>
      <c r="AI20" s="192" t="str">
        <f>IFERROR(IF(AND(AB19="Probabilidad",AB20="Probabilidad"),(AK19-(+AK19*AE20)),IF(AB20="Probabilidad",(T19-(+T19*AE20)),IF(AB20="Impacto",AK19,""))),"")</f>
        <v/>
      </c>
      <c r="AJ20" s="193" t="str">
        <f t="shared" si="2"/>
        <v/>
      </c>
      <c r="AK20" s="191" t="str">
        <f t="shared" ref="AK20:AK24" si="10">+AI20</f>
        <v/>
      </c>
      <c r="AL20" s="193" t="str">
        <f t="shared" si="4"/>
        <v/>
      </c>
      <c r="AM20" s="191" t="str">
        <f t="shared" ref="AM20" si="11">IFERROR(IF(AND(AB19="Impacto",AB20="Impacto"),(AM19-(+AM19*AE20)),IF(AB20="Impacto",($X$13-(+$X$13*AE20)),IF(AB20="Probabilidad",AM19,""))),"")</f>
        <v/>
      </c>
      <c r="AN20" s="194" t="str">
        <f t="shared" ref="AN20:AN21" si="12">IFERROR(IF(OR(AND(AJ20="Muy Baja",AL20="Leve"),AND(AJ20="Muy Baja",AL20="Menor"),AND(AJ20="Baja",AL20="Leve")),"Bajo",IF(OR(AND(AJ20="Muy baja",AL20="Moderado"),AND(AJ20="Baja",AL20="Menor"),AND(AJ20="Baja",AL20="Moderado"),AND(AJ20="Media",AL20="Leve"),AND(AJ20="Media",AL20="Menor"),AND(AJ20="Media",AL20="Moderado"),AND(AJ20="Alta",AL20="Leve"),AND(AJ20="Alta",AL20="Menor")),"Moderado",IF(OR(AND(AJ20="Muy Baja",AL20="Mayor"),AND(AJ20="Baja",AL20="Mayor"),AND(AJ20="Media",AL20="Mayor"),AND(AJ20="Alta",AL20="Moderado"),AND(AJ20="Alta",AL20="Mayor"),AND(AJ20="Muy Alta",AL20="Leve"),AND(AJ20="Muy Alta",AL20="Menor"),AND(AJ20="Muy Alta",AL20="Moderado"),AND(AJ20="Muy Alta",AL20="Mayor")),"Alto",IF(OR(AND(AJ20="Muy Baja",AL20="Catastrófico"),AND(AJ20="Baja",AL20="Catastrófico"),AND(AJ20="Media",AL20="Catastrófico"),AND(AJ20="Alta",AL20="Catastrófico"),AND(AJ20="Muy Alta",AL20="Catastrófico")),"Extremo","")))),"")</f>
        <v/>
      </c>
      <c r="AO20" s="195"/>
      <c r="AP20" s="186"/>
      <c r="AQ20" s="196"/>
      <c r="AR20" s="186"/>
      <c r="AS20" s="197"/>
      <c r="AT20" s="341"/>
      <c r="AU20" s="341"/>
      <c r="AV20" s="341"/>
    </row>
    <row r="21" spans="1:48" ht="37.5" customHeight="1" x14ac:dyDescent="0.2">
      <c r="A21" s="352"/>
      <c r="B21" s="353"/>
      <c r="C21" s="353"/>
      <c r="D21" s="353"/>
      <c r="E21" s="531"/>
      <c r="F21" s="353"/>
      <c r="G21" s="336"/>
      <c r="H21" s="336"/>
      <c r="I21" s="336"/>
      <c r="J21" s="336"/>
      <c r="K21" s="336"/>
      <c r="L21" s="336"/>
      <c r="M21" s="336"/>
      <c r="N21" s="336"/>
      <c r="O21" s="336"/>
      <c r="P21" s="336"/>
      <c r="Q21" s="336"/>
      <c r="R21" s="341"/>
      <c r="S21" s="346"/>
      <c r="T21" s="331"/>
      <c r="U21" s="343"/>
      <c r="V21" s="331">
        <f>IF(NOT(ISERROR(MATCH(U21,_xlfn.ANCHORARRAY(E32),0))),T34&amp;"Por favor no seleccionar los criterios de impacto",U21)</f>
        <v>0</v>
      </c>
      <c r="W21" s="346"/>
      <c r="X21" s="331"/>
      <c r="Y21" s="327"/>
      <c r="Z21" s="214">
        <v>3</v>
      </c>
      <c r="AA21" s="188"/>
      <c r="AB21" s="189" t="str">
        <f>IF(OR(AC21="Preventivo",AC21="Detectivo"),"Probabilidad",IF(AC21="Correctivo","Impacto",""))</f>
        <v/>
      </c>
      <c r="AC21" s="190"/>
      <c r="AD21" s="190"/>
      <c r="AE21" s="191" t="str">
        <f t="shared" si="9"/>
        <v/>
      </c>
      <c r="AF21" s="190"/>
      <c r="AG21" s="190"/>
      <c r="AH21" s="190"/>
      <c r="AI21" s="192" t="str">
        <f>IFERROR(IF(AND(AB20="Probabilidad",AB21="Probabilidad"),(AK20-(+AK20*AE21)),IF(AND(AB20="Impacto",AB21="Probabilidad"),(AK19-(+AK19*AE21)),IF(AB21="Impacto",AK20,""))),"")</f>
        <v/>
      </c>
      <c r="AJ21" s="193" t="str">
        <f t="shared" si="2"/>
        <v/>
      </c>
      <c r="AK21" s="191" t="str">
        <f t="shared" si="10"/>
        <v/>
      </c>
      <c r="AL21" s="193" t="str">
        <f t="shared" si="4"/>
        <v/>
      </c>
      <c r="AM21" s="191" t="str">
        <f t="shared" ref="AM21:AM72" si="13">IFERROR(IF(AND(AB20="Impacto",AB21="Impacto"),(AM20-(+AM20*AE21)),IF(AND(AB20="Probabilidad",AB21="Impacto"),(AM19-(+AM19*AE21)),IF(AB21="Probabilidad",AM20,""))),"")</f>
        <v/>
      </c>
      <c r="AN21" s="194" t="str">
        <f t="shared" si="12"/>
        <v/>
      </c>
      <c r="AO21" s="195"/>
      <c r="AP21" s="186"/>
      <c r="AQ21" s="196"/>
      <c r="AR21" s="196"/>
      <c r="AS21" s="197"/>
      <c r="AT21" s="341"/>
      <c r="AU21" s="341"/>
      <c r="AV21" s="341"/>
    </row>
    <row r="22" spans="1:48" ht="37.5" customHeight="1" x14ac:dyDescent="0.2">
      <c r="A22" s="352"/>
      <c r="B22" s="353"/>
      <c r="C22" s="353"/>
      <c r="D22" s="353"/>
      <c r="E22" s="531"/>
      <c r="F22" s="353"/>
      <c r="G22" s="336"/>
      <c r="H22" s="336"/>
      <c r="I22" s="336"/>
      <c r="J22" s="336"/>
      <c r="K22" s="336"/>
      <c r="L22" s="336"/>
      <c r="M22" s="336"/>
      <c r="N22" s="336"/>
      <c r="O22" s="336"/>
      <c r="P22" s="336"/>
      <c r="Q22" s="336"/>
      <c r="R22" s="341"/>
      <c r="S22" s="346"/>
      <c r="T22" s="331"/>
      <c r="U22" s="343"/>
      <c r="V22" s="331">
        <f>IF(NOT(ISERROR(MATCH(U22,_xlfn.ANCHORARRAY(E33),0))),T35&amp;"Por favor no seleccionar los criterios de impacto",U22)</f>
        <v>0</v>
      </c>
      <c r="W22" s="346"/>
      <c r="X22" s="331"/>
      <c r="Y22" s="327"/>
      <c r="Z22" s="214">
        <v>4</v>
      </c>
      <c r="AA22" s="187"/>
      <c r="AB22" s="189" t="str">
        <f t="shared" ref="AB22:AB24" si="14">IF(OR(AC22="Preventivo",AC22="Detectivo"),"Probabilidad",IF(AC22="Correctivo","Impacto",""))</f>
        <v/>
      </c>
      <c r="AC22" s="190"/>
      <c r="AD22" s="190"/>
      <c r="AE22" s="191" t="str">
        <f t="shared" si="9"/>
        <v/>
      </c>
      <c r="AF22" s="190"/>
      <c r="AG22" s="190"/>
      <c r="AH22" s="190"/>
      <c r="AI22" s="192" t="str">
        <f t="shared" ref="AI22:AI24" si="15">IFERROR(IF(AND(AB21="Probabilidad",AB22="Probabilidad"),(AK21-(+AK21*AE22)),IF(AND(AB21="Impacto",AB22="Probabilidad"),(AK20-(+AK20*AE22)),IF(AB22="Impacto",AK21,""))),"")</f>
        <v/>
      </c>
      <c r="AJ22" s="193" t="str">
        <f t="shared" si="2"/>
        <v/>
      </c>
      <c r="AK22" s="191" t="str">
        <f t="shared" si="10"/>
        <v/>
      </c>
      <c r="AL22" s="193" t="str">
        <f t="shared" si="4"/>
        <v/>
      </c>
      <c r="AM22" s="191" t="str">
        <f t="shared" si="13"/>
        <v/>
      </c>
      <c r="AN22" s="194" t="str">
        <f>IFERROR(IF(OR(AND(AJ22="Muy Baja",AL22="Leve"),AND(AJ22="Muy Baja",AL22="Menor"),AND(AJ22="Baja",AL22="Leve")),"Bajo",IF(OR(AND(AJ22="Muy baja",AL22="Moderado"),AND(AJ22="Baja",AL22="Menor"),AND(AJ22="Baja",AL22="Moderado"),AND(AJ22="Media",AL22="Leve"),AND(AJ22="Media",AL22="Menor"),AND(AJ22="Media",AL22="Moderado"),AND(AJ22="Alta",AL22="Leve"),AND(AJ22="Alta",AL22="Menor")),"Moderado",IF(OR(AND(AJ22="Muy Baja",AL22="Mayor"),AND(AJ22="Baja",AL22="Mayor"),AND(AJ22="Media",AL22="Mayor"),AND(AJ22="Alta",AL22="Moderado"),AND(AJ22="Alta",AL22="Mayor"),AND(AJ22="Muy Alta",AL22="Leve"),AND(AJ22="Muy Alta",AL22="Menor"),AND(AJ22="Muy Alta",AL22="Moderado"),AND(AJ22="Muy Alta",AL22="Mayor")),"Alto",IF(OR(AND(AJ22="Muy Baja",AL22="Catastrófico"),AND(AJ22="Baja",AL22="Catastrófico"),AND(AJ22="Media",AL22="Catastrófico"),AND(AJ22="Alta",AL22="Catastrófico"),AND(AJ22="Muy Alta",AL22="Catastrófico")),"Extremo","")))),"")</f>
        <v/>
      </c>
      <c r="AO22" s="195"/>
      <c r="AP22" s="186"/>
      <c r="AQ22" s="196"/>
      <c r="AR22" s="196"/>
      <c r="AS22" s="197"/>
      <c r="AT22" s="341"/>
      <c r="AU22" s="341"/>
      <c r="AV22" s="341"/>
    </row>
    <row r="23" spans="1:48" ht="37.5" customHeight="1" x14ac:dyDescent="0.2">
      <c r="A23" s="352"/>
      <c r="B23" s="353"/>
      <c r="C23" s="353"/>
      <c r="D23" s="353"/>
      <c r="E23" s="531"/>
      <c r="F23" s="353"/>
      <c r="G23" s="336"/>
      <c r="H23" s="336"/>
      <c r="I23" s="336"/>
      <c r="J23" s="336"/>
      <c r="K23" s="336"/>
      <c r="L23" s="336"/>
      <c r="M23" s="336"/>
      <c r="N23" s="336"/>
      <c r="O23" s="336"/>
      <c r="P23" s="336"/>
      <c r="Q23" s="336"/>
      <c r="R23" s="341"/>
      <c r="S23" s="346"/>
      <c r="T23" s="331"/>
      <c r="U23" s="343"/>
      <c r="V23" s="331">
        <f>IF(NOT(ISERROR(MATCH(U23,_xlfn.ANCHORARRAY(E34),0))),T36&amp;"Por favor no seleccionar los criterios de impacto",U23)</f>
        <v>0</v>
      </c>
      <c r="W23" s="346"/>
      <c r="X23" s="331"/>
      <c r="Y23" s="327"/>
      <c r="Z23" s="214">
        <v>5</v>
      </c>
      <c r="AA23" s="187"/>
      <c r="AB23" s="189" t="str">
        <f t="shared" si="14"/>
        <v/>
      </c>
      <c r="AC23" s="190"/>
      <c r="AD23" s="190"/>
      <c r="AE23" s="191" t="str">
        <f t="shared" si="9"/>
        <v/>
      </c>
      <c r="AF23" s="190"/>
      <c r="AG23" s="190"/>
      <c r="AH23" s="190"/>
      <c r="AI23" s="192" t="str">
        <f t="shared" si="15"/>
        <v/>
      </c>
      <c r="AJ23" s="193" t="str">
        <f t="shared" si="2"/>
        <v/>
      </c>
      <c r="AK23" s="191" t="str">
        <f t="shared" si="10"/>
        <v/>
      </c>
      <c r="AL23" s="193" t="str">
        <f t="shared" si="4"/>
        <v/>
      </c>
      <c r="AM23" s="191" t="str">
        <f t="shared" si="13"/>
        <v/>
      </c>
      <c r="AN23" s="194" t="str">
        <f t="shared" ref="AN23:AN24" si="16">IFERROR(IF(OR(AND(AJ23="Muy Baja",AL23="Leve"),AND(AJ23="Muy Baja",AL23="Menor"),AND(AJ23="Baja",AL23="Leve")),"Bajo",IF(OR(AND(AJ23="Muy baja",AL23="Moderado"),AND(AJ23="Baja",AL23="Menor"),AND(AJ23="Baja",AL23="Moderado"),AND(AJ23="Media",AL23="Leve"),AND(AJ23="Media",AL23="Menor"),AND(AJ23="Media",AL23="Moderado"),AND(AJ23="Alta",AL23="Leve"),AND(AJ23="Alta",AL23="Menor")),"Moderado",IF(OR(AND(AJ23="Muy Baja",AL23="Mayor"),AND(AJ23="Baja",AL23="Mayor"),AND(AJ23="Media",AL23="Mayor"),AND(AJ23="Alta",AL23="Moderado"),AND(AJ23="Alta",AL23="Mayor"),AND(AJ23="Muy Alta",AL23="Leve"),AND(AJ23="Muy Alta",AL23="Menor"),AND(AJ23="Muy Alta",AL23="Moderado"),AND(AJ23="Muy Alta",AL23="Mayor")),"Alto",IF(OR(AND(AJ23="Muy Baja",AL23="Catastrófico"),AND(AJ23="Baja",AL23="Catastrófico"),AND(AJ23="Media",AL23="Catastrófico"),AND(AJ23="Alta",AL23="Catastrófico"),AND(AJ23="Muy Alta",AL23="Catastrófico")),"Extremo","")))),"")</f>
        <v/>
      </c>
      <c r="AO23" s="195"/>
      <c r="AP23" s="186"/>
      <c r="AQ23" s="196"/>
      <c r="AR23" s="196"/>
      <c r="AS23" s="197"/>
      <c r="AT23" s="341"/>
      <c r="AU23" s="341"/>
      <c r="AV23" s="341"/>
    </row>
    <row r="24" spans="1:48" ht="37.5" customHeight="1" x14ac:dyDescent="0.2">
      <c r="A24" s="352"/>
      <c r="B24" s="353"/>
      <c r="C24" s="353"/>
      <c r="D24" s="353"/>
      <c r="E24" s="531"/>
      <c r="F24" s="353"/>
      <c r="G24" s="337"/>
      <c r="H24" s="337"/>
      <c r="I24" s="337"/>
      <c r="J24" s="337"/>
      <c r="K24" s="337"/>
      <c r="L24" s="337"/>
      <c r="M24" s="337"/>
      <c r="N24" s="337"/>
      <c r="O24" s="337"/>
      <c r="P24" s="337"/>
      <c r="Q24" s="337"/>
      <c r="R24" s="341"/>
      <c r="S24" s="346"/>
      <c r="T24" s="331"/>
      <c r="U24" s="343"/>
      <c r="V24" s="331">
        <f>IF(NOT(ISERROR(MATCH(U24,_xlfn.ANCHORARRAY(E35),0))),T37&amp;"Por favor no seleccionar los criterios de impacto",U24)</f>
        <v>0</v>
      </c>
      <c r="W24" s="346"/>
      <c r="X24" s="331"/>
      <c r="Y24" s="327"/>
      <c r="Z24" s="214">
        <v>6</v>
      </c>
      <c r="AA24" s="187"/>
      <c r="AB24" s="189" t="str">
        <f t="shared" si="14"/>
        <v/>
      </c>
      <c r="AC24" s="190"/>
      <c r="AD24" s="190"/>
      <c r="AE24" s="191" t="str">
        <f t="shared" si="9"/>
        <v/>
      </c>
      <c r="AF24" s="190"/>
      <c r="AG24" s="190"/>
      <c r="AH24" s="190"/>
      <c r="AI24" s="192" t="str">
        <f t="shared" si="15"/>
        <v/>
      </c>
      <c r="AJ24" s="193" t="str">
        <f t="shared" si="2"/>
        <v/>
      </c>
      <c r="AK24" s="191" t="str">
        <f t="shared" si="10"/>
        <v/>
      </c>
      <c r="AL24" s="193" t="str">
        <f t="shared" si="4"/>
        <v/>
      </c>
      <c r="AM24" s="191" t="str">
        <f t="shared" si="13"/>
        <v/>
      </c>
      <c r="AN24" s="194" t="str">
        <f t="shared" si="16"/>
        <v/>
      </c>
      <c r="AO24" s="195"/>
      <c r="AP24" s="186"/>
      <c r="AQ24" s="196"/>
      <c r="AR24" s="196"/>
      <c r="AS24" s="197"/>
      <c r="AT24" s="341"/>
      <c r="AU24" s="341"/>
      <c r="AV24" s="341"/>
    </row>
    <row r="25" spans="1:48" ht="37.5" customHeight="1" x14ac:dyDescent="0.2">
      <c r="A25" s="352">
        <v>3</v>
      </c>
      <c r="B25" s="353"/>
      <c r="C25" s="353"/>
      <c r="D25" s="353"/>
      <c r="E25" s="531"/>
      <c r="F25" s="353"/>
      <c r="G25" s="335"/>
      <c r="H25" s="335"/>
      <c r="I25" s="335"/>
      <c r="J25" s="335"/>
      <c r="K25" s="335"/>
      <c r="L25" s="335"/>
      <c r="M25" s="335"/>
      <c r="N25" s="335"/>
      <c r="O25" s="335"/>
      <c r="P25" s="335"/>
      <c r="Q25" s="335"/>
      <c r="R25" s="341"/>
      <c r="S25" s="346" t="str">
        <f>IF(R25&lt;=0,"",IF(R25&lt;=2,"Muy Baja",IF(R25&lt;=24,"Baja",IF(R25&lt;=500,"Media",IF(R25&lt;=5000,"Alta","Muy Alta")))))</f>
        <v/>
      </c>
      <c r="T25" s="331" t="str">
        <f>IF(S25="","",IF(S25="Muy Baja",0.2,IF(S25="Baja",0.4,IF(S25="Media",0.6,IF(S25="Alta",0.8,IF(S25="Muy Alta",1,))))))</f>
        <v/>
      </c>
      <c r="U25" s="343"/>
      <c r="V25" s="331">
        <f>IF(NOT(ISERROR(MATCH(U25,'Tabla Impacto'!$B$222:$B$224,0))),'Tabla Impacto'!$F$224&amp;"Por favor no seleccionar los criterios de impacto(Afectación Económica o presupuestal y Pérdida Reputacional)",U25)</f>
        <v>0</v>
      </c>
      <c r="W25" s="346" t="str">
        <f>IF(OR(V25='Tabla Impacto'!$C$12,V25='Tabla Impacto'!$D$12),"Leve",IF(OR(V25='Tabla Impacto'!$C$13,V25='Tabla Impacto'!$D$13),"Menor",IF(OR(V25='Tabla Impacto'!$C$14,V25='Tabla Impacto'!$D$14),"Moderado",IF(OR(V25='Tabla Impacto'!$C$15,V25='Tabla Impacto'!$D$15),"Mayor",IF(OR(V25='Tabla Impacto'!$C$16,V25='Tabla Impacto'!$D$16),"Catastrófico","")))))</f>
        <v/>
      </c>
      <c r="X25" s="331" t="str">
        <f>IF(W25="","",IF(W25="Leve",0.2,IF(W25="Menor",0.4,IF(W25="Moderado",0.6,IF(W25="Mayor",0.8,IF(W25="Catastrófico",1,))))))</f>
        <v/>
      </c>
      <c r="Y25" s="327" t="str">
        <f>IF(OR(AND(S25="Muy Baja",W25="Leve"),AND(S25="Muy Baja",W25="Menor"),AND(S25="Baja",W25="Leve")),"Bajo",IF(OR(AND(S25="Muy baja",W25="Moderado"),AND(S25="Baja",W25="Menor"),AND(S25="Baja",W25="Moderado"),AND(S25="Media",W25="Leve"),AND(S25="Media",W25="Menor"),AND(S25="Media",W25="Moderado"),AND(S25="Alta",W25="Leve"),AND(S25="Alta",W25="Menor")),"Moderado",IF(OR(AND(S25="Muy Baja",W25="Mayor"),AND(S25="Baja",W25="Mayor"),AND(S25="Media",W25="Mayor"),AND(S25="Alta",W25="Moderado"),AND(S25="Alta",W25="Mayor"),AND(S25="Muy Alta",W25="Leve"),AND(S25="Muy Alta",W25="Menor"),AND(S25="Muy Alta",W25="Moderado"),AND(S25="Muy Alta",W25="Mayor")),"Alto",IF(OR(AND(S25="Muy Baja",W25="Catastrófico"),AND(S25="Baja",W25="Catastrófico"),AND(S25="Media",W25="Catastrófico"),AND(S25="Alta",W25="Catastrófico"),AND(S25="Muy Alta",W25="Catastrófico")),"Extremo",""))))</f>
        <v/>
      </c>
      <c r="Z25" s="214">
        <v>1</v>
      </c>
      <c r="AA25" s="187"/>
      <c r="AB25" s="189" t="str">
        <f>IF(OR(AC25="Preventivo",AC25="Detectivo"),"Probabilidad",IF(AC25="Correctivo","Impacto",""))</f>
        <v/>
      </c>
      <c r="AC25" s="190"/>
      <c r="AD25" s="190"/>
      <c r="AE25" s="191" t="str">
        <f>IF(AND(AC25="Preventivo",AD25="Automático"),"50%",IF(AND(AC25="Preventivo",AD25="Manual"),"40%",IF(AND(AC25="Detectivo",AD25="Automático"),"40%",IF(AND(AC25="Detectivo",AD25="Manual"),"30%",IF(AND(AC25="Correctivo",AD25="Automático"),"35%",IF(AND(AC25="Correctivo",AD25="Manual"),"25%",""))))))</f>
        <v/>
      </c>
      <c r="AF25" s="190"/>
      <c r="AG25" s="190"/>
      <c r="AH25" s="190"/>
      <c r="AI25" s="192" t="str">
        <f>IFERROR(IF(AB25="Probabilidad",(T25-(+T25*AE25)),IF(AB25="Impacto",T25,"")),"")</f>
        <v/>
      </c>
      <c r="AJ25" s="193" t="str">
        <f>IFERROR(IF(AI25="","",IF(AI25&lt;=0.2,"Muy Baja",IF(AI25&lt;=0.4,"Baja",IF(AI25&lt;=0.6,"Media",IF(AI25&lt;=0.8,"Alta","Muy Alta"))))),"")</f>
        <v/>
      </c>
      <c r="AK25" s="191" t="str">
        <f>+AI25</f>
        <v/>
      </c>
      <c r="AL25" s="193" t="str">
        <f>IFERROR(IF(AM25="","",IF(AM25&lt;=0.2,"Leve",IF(AM25&lt;=0.4,"Menor",IF(AM25&lt;=0.6,"Moderado",IF(AM25&lt;=0.8,"Mayor","Catastrófico"))))),"")</f>
        <v/>
      </c>
      <c r="AM25" s="191" t="str">
        <f t="shared" ref="AM25" si="17">IFERROR(IF(AB25="Impacto",(X25-(+X25*AE25)),IF(AB25="Probabilidad",X25,"")),"")</f>
        <v/>
      </c>
      <c r="AN25" s="194" t="str">
        <f>IFERROR(IF(OR(AND(AJ25="Muy Baja",AL25="Leve"),AND(AJ25="Muy Baja",AL25="Menor"),AND(AJ25="Baja",AL25="Leve")),"Bajo",IF(OR(AND(AJ25="Muy baja",AL25="Moderado"),AND(AJ25="Baja",AL25="Menor"),AND(AJ25="Baja",AL25="Moderado"),AND(AJ25="Media",AL25="Leve"),AND(AJ25="Media",AL25="Menor"),AND(AJ25="Media",AL25="Moderado"),AND(AJ25="Alta",AL25="Leve"),AND(AJ25="Alta",AL25="Menor")),"Moderado",IF(OR(AND(AJ25="Muy Baja",AL25="Mayor"),AND(AJ25="Baja",AL25="Mayor"),AND(AJ25="Media",AL25="Mayor"),AND(AJ25="Alta",AL25="Moderado"),AND(AJ25="Alta",AL25="Mayor"),AND(AJ25="Muy Alta",AL25="Leve"),AND(AJ25="Muy Alta",AL25="Menor"),AND(AJ25="Muy Alta",AL25="Moderado"),AND(AJ25="Muy Alta",AL25="Mayor")),"Alto",IF(OR(AND(AJ25="Muy Baja",AL25="Catastrófico"),AND(AJ25="Baja",AL25="Catastrófico"),AND(AJ25="Media",AL25="Catastrófico"),AND(AJ25="Alta",AL25="Catastrófico"),AND(AJ25="Muy Alta",AL25="Catastrófico")),"Extremo","")))),"")</f>
        <v/>
      </c>
      <c r="AO25" s="195"/>
      <c r="AP25" s="186"/>
      <c r="AQ25" s="196"/>
      <c r="AR25" s="196"/>
      <c r="AS25" s="197"/>
      <c r="AT25" s="341"/>
      <c r="AU25" s="341"/>
      <c r="AV25" s="341"/>
    </row>
    <row r="26" spans="1:48" ht="37.5" customHeight="1" x14ac:dyDescent="0.2">
      <c r="A26" s="352"/>
      <c r="B26" s="353"/>
      <c r="C26" s="353"/>
      <c r="D26" s="353"/>
      <c r="E26" s="531"/>
      <c r="F26" s="353"/>
      <c r="G26" s="336"/>
      <c r="H26" s="336"/>
      <c r="I26" s="336"/>
      <c r="J26" s="336"/>
      <c r="K26" s="336"/>
      <c r="L26" s="336"/>
      <c r="M26" s="336"/>
      <c r="N26" s="336"/>
      <c r="O26" s="336"/>
      <c r="P26" s="336"/>
      <c r="Q26" s="336"/>
      <c r="R26" s="341"/>
      <c r="S26" s="346"/>
      <c r="T26" s="331"/>
      <c r="U26" s="343"/>
      <c r="V26" s="331">
        <f>IF(NOT(ISERROR(MATCH(U26,_xlfn.ANCHORARRAY(E37),0))),T39&amp;"Por favor no seleccionar los criterios de impacto",U26)</f>
        <v>0</v>
      </c>
      <c r="W26" s="346"/>
      <c r="X26" s="331"/>
      <c r="Y26" s="327"/>
      <c r="Z26" s="214">
        <v>2</v>
      </c>
      <c r="AA26" s="187"/>
      <c r="AB26" s="189" t="str">
        <f>IF(OR(AC26="Preventivo",AC26="Detectivo"),"Probabilidad",IF(AC26="Correctivo","Impacto",""))</f>
        <v/>
      </c>
      <c r="AC26" s="190"/>
      <c r="AD26" s="190"/>
      <c r="AE26" s="191" t="str">
        <f t="shared" ref="AE26:AE30" si="18">IF(AND(AC26="Preventivo",AD26="Automático"),"50%",IF(AND(AC26="Preventivo",AD26="Manual"),"40%",IF(AND(AC26="Detectivo",AD26="Automático"),"40%",IF(AND(AC26="Detectivo",AD26="Manual"),"30%",IF(AND(AC26="Correctivo",AD26="Automático"),"35%",IF(AND(AC26="Correctivo",AD26="Manual"),"25%",""))))))</f>
        <v/>
      </c>
      <c r="AF26" s="190"/>
      <c r="AG26" s="190"/>
      <c r="AH26" s="190"/>
      <c r="AI26" s="192" t="str">
        <f>IFERROR(IF(AND(AB25="Probabilidad",AB26="Probabilidad"),(AK25-(+AK25*AE26)),IF(AB26="Probabilidad",(T25-(+T25*AE26)),IF(AB26="Impacto",AK25,""))),"")</f>
        <v/>
      </c>
      <c r="AJ26" s="193" t="str">
        <f t="shared" si="2"/>
        <v/>
      </c>
      <c r="AK26" s="191" t="str">
        <f t="shared" ref="AK26:AK30" si="19">+AI26</f>
        <v/>
      </c>
      <c r="AL26" s="193" t="str">
        <f t="shared" si="4"/>
        <v/>
      </c>
      <c r="AM26" s="191" t="str">
        <f t="shared" ref="AM26" si="20">IFERROR(IF(AND(AB25="Impacto",AB26="Impacto"),(AM25-(+AM25*AE26)),IF(AB26="Impacto",($X$13-(+$X$13*AE26)),IF(AB26="Probabilidad",AM25,""))),"")</f>
        <v/>
      </c>
      <c r="AN26" s="194" t="str">
        <f t="shared" ref="AN26:AN27" si="21">IFERROR(IF(OR(AND(AJ26="Muy Baja",AL26="Leve"),AND(AJ26="Muy Baja",AL26="Menor"),AND(AJ26="Baja",AL26="Leve")),"Bajo",IF(OR(AND(AJ26="Muy baja",AL26="Moderado"),AND(AJ26="Baja",AL26="Menor"),AND(AJ26="Baja",AL26="Moderado"),AND(AJ26="Media",AL26="Leve"),AND(AJ26="Media",AL26="Menor"),AND(AJ26="Media",AL26="Moderado"),AND(AJ26="Alta",AL26="Leve"),AND(AJ26="Alta",AL26="Menor")),"Moderado",IF(OR(AND(AJ26="Muy Baja",AL26="Mayor"),AND(AJ26="Baja",AL26="Mayor"),AND(AJ26="Media",AL26="Mayor"),AND(AJ26="Alta",AL26="Moderado"),AND(AJ26="Alta",AL26="Mayor"),AND(AJ26="Muy Alta",AL26="Leve"),AND(AJ26="Muy Alta",AL26="Menor"),AND(AJ26="Muy Alta",AL26="Moderado"),AND(AJ26="Muy Alta",AL26="Mayor")),"Alto",IF(OR(AND(AJ26="Muy Baja",AL26="Catastrófico"),AND(AJ26="Baja",AL26="Catastrófico"),AND(AJ26="Media",AL26="Catastrófico"),AND(AJ26="Alta",AL26="Catastrófico"),AND(AJ26="Muy Alta",AL26="Catastrófico")),"Extremo","")))),"")</f>
        <v/>
      </c>
      <c r="AO26" s="195"/>
      <c r="AP26" s="186"/>
      <c r="AQ26" s="196"/>
      <c r="AR26" s="196"/>
      <c r="AS26" s="197"/>
      <c r="AT26" s="341"/>
      <c r="AU26" s="341"/>
      <c r="AV26" s="341"/>
    </row>
    <row r="27" spans="1:48" ht="37.5" customHeight="1" x14ac:dyDescent="0.2">
      <c r="A27" s="352"/>
      <c r="B27" s="353"/>
      <c r="C27" s="353"/>
      <c r="D27" s="353"/>
      <c r="E27" s="531"/>
      <c r="F27" s="353"/>
      <c r="G27" s="336"/>
      <c r="H27" s="336"/>
      <c r="I27" s="336"/>
      <c r="J27" s="336"/>
      <c r="K27" s="336"/>
      <c r="L27" s="336"/>
      <c r="M27" s="336"/>
      <c r="N27" s="336"/>
      <c r="O27" s="336"/>
      <c r="P27" s="336"/>
      <c r="Q27" s="336"/>
      <c r="R27" s="341"/>
      <c r="S27" s="346"/>
      <c r="T27" s="331"/>
      <c r="U27" s="343"/>
      <c r="V27" s="331">
        <f>IF(NOT(ISERROR(MATCH(U27,_xlfn.ANCHORARRAY(E38),0))),T40&amp;"Por favor no seleccionar los criterios de impacto",U27)</f>
        <v>0</v>
      </c>
      <c r="W27" s="346"/>
      <c r="X27" s="331"/>
      <c r="Y27" s="327"/>
      <c r="Z27" s="214">
        <v>3</v>
      </c>
      <c r="AA27" s="187"/>
      <c r="AB27" s="189" t="str">
        <f>IF(OR(AC27="Preventivo",AC27="Detectivo"),"Probabilidad",IF(AC27="Correctivo","Impacto",""))</f>
        <v/>
      </c>
      <c r="AC27" s="190"/>
      <c r="AD27" s="190"/>
      <c r="AE27" s="191" t="str">
        <f t="shared" si="18"/>
        <v/>
      </c>
      <c r="AF27" s="190"/>
      <c r="AG27" s="190"/>
      <c r="AH27" s="190"/>
      <c r="AI27" s="192" t="str">
        <f>IFERROR(IF(AND(AB26="Probabilidad",AB27="Probabilidad"),(AK26-(+AK26*AE27)),IF(AND(AB26="Impacto",AB27="Probabilidad"),(AK25-(+AK25*AE27)),IF(AB27="Impacto",AK26,""))),"")</f>
        <v/>
      </c>
      <c r="AJ27" s="193" t="str">
        <f t="shared" si="2"/>
        <v/>
      </c>
      <c r="AK27" s="191" t="str">
        <f t="shared" si="19"/>
        <v/>
      </c>
      <c r="AL27" s="193" t="str">
        <f t="shared" si="4"/>
        <v/>
      </c>
      <c r="AM27" s="191" t="str">
        <f t="shared" ref="AM27" si="22">IFERROR(IF(AND(AB26="Impacto",AB27="Impacto"),(AM26-(+AM26*AE27)),IF(AND(AB26="Probabilidad",AB27="Impacto"),(AM25-(+AM25*AE27)),IF(AB27="Probabilidad",AM26,""))),"")</f>
        <v/>
      </c>
      <c r="AN27" s="194" t="str">
        <f t="shared" si="21"/>
        <v/>
      </c>
      <c r="AO27" s="195"/>
      <c r="AP27" s="186"/>
      <c r="AQ27" s="196"/>
      <c r="AR27" s="196"/>
      <c r="AS27" s="197"/>
      <c r="AT27" s="341"/>
      <c r="AU27" s="341"/>
      <c r="AV27" s="341"/>
    </row>
    <row r="28" spans="1:48" ht="37.5" customHeight="1" x14ac:dyDescent="0.2">
      <c r="A28" s="352"/>
      <c r="B28" s="353"/>
      <c r="C28" s="353"/>
      <c r="D28" s="353"/>
      <c r="E28" s="531"/>
      <c r="F28" s="353"/>
      <c r="G28" s="336"/>
      <c r="H28" s="336"/>
      <c r="I28" s="336"/>
      <c r="J28" s="336"/>
      <c r="K28" s="336"/>
      <c r="L28" s="336"/>
      <c r="M28" s="336"/>
      <c r="N28" s="336"/>
      <c r="O28" s="336"/>
      <c r="P28" s="336"/>
      <c r="Q28" s="336"/>
      <c r="R28" s="341"/>
      <c r="S28" s="346"/>
      <c r="T28" s="331"/>
      <c r="U28" s="343"/>
      <c r="V28" s="331">
        <f>IF(NOT(ISERROR(MATCH(U28,_xlfn.ANCHORARRAY(E39),0))),T41&amp;"Por favor no seleccionar los criterios de impacto",U28)</f>
        <v>0</v>
      </c>
      <c r="W28" s="346"/>
      <c r="X28" s="331"/>
      <c r="Y28" s="327"/>
      <c r="Z28" s="214">
        <v>4</v>
      </c>
      <c r="AA28" s="187"/>
      <c r="AB28" s="189" t="str">
        <f t="shared" ref="AB28:AB30" si="23">IF(OR(AC28="Preventivo",AC28="Detectivo"),"Probabilidad",IF(AC28="Correctivo","Impacto",""))</f>
        <v/>
      </c>
      <c r="AC28" s="190"/>
      <c r="AD28" s="190"/>
      <c r="AE28" s="191" t="str">
        <f t="shared" si="18"/>
        <v/>
      </c>
      <c r="AF28" s="190"/>
      <c r="AG28" s="190"/>
      <c r="AH28" s="190"/>
      <c r="AI28" s="192" t="str">
        <f t="shared" ref="AI28:AI30" si="24">IFERROR(IF(AND(AB27="Probabilidad",AB28="Probabilidad"),(AK27-(+AK27*AE28)),IF(AND(AB27="Impacto",AB28="Probabilidad"),(AK26-(+AK26*AE28)),IF(AB28="Impacto",AK27,""))),"")</f>
        <v/>
      </c>
      <c r="AJ28" s="193" t="str">
        <f t="shared" si="2"/>
        <v/>
      </c>
      <c r="AK28" s="191" t="str">
        <f t="shared" si="19"/>
        <v/>
      </c>
      <c r="AL28" s="193" t="str">
        <f t="shared" si="4"/>
        <v/>
      </c>
      <c r="AM28" s="191" t="str">
        <f t="shared" si="13"/>
        <v/>
      </c>
      <c r="AN28" s="194" t="str">
        <f>IFERROR(IF(OR(AND(AJ28="Muy Baja",AL28="Leve"),AND(AJ28="Muy Baja",AL28="Menor"),AND(AJ28="Baja",AL28="Leve")),"Bajo",IF(OR(AND(AJ28="Muy baja",AL28="Moderado"),AND(AJ28="Baja",AL28="Menor"),AND(AJ28="Baja",AL28="Moderado"),AND(AJ28="Media",AL28="Leve"),AND(AJ28="Media",AL28="Menor"),AND(AJ28="Media",AL28="Moderado"),AND(AJ28="Alta",AL28="Leve"),AND(AJ28="Alta",AL28="Menor")),"Moderado",IF(OR(AND(AJ28="Muy Baja",AL28="Mayor"),AND(AJ28="Baja",AL28="Mayor"),AND(AJ28="Media",AL28="Mayor"),AND(AJ28="Alta",AL28="Moderado"),AND(AJ28="Alta",AL28="Mayor"),AND(AJ28="Muy Alta",AL28="Leve"),AND(AJ28="Muy Alta",AL28="Menor"),AND(AJ28="Muy Alta",AL28="Moderado"),AND(AJ28="Muy Alta",AL28="Mayor")),"Alto",IF(OR(AND(AJ28="Muy Baja",AL28="Catastrófico"),AND(AJ28="Baja",AL28="Catastrófico"),AND(AJ28="Media",AL28="Catastrófico"),AND(AJ28="Alta",AL28="Catastrófico"),AND(AJ28="Muy Alta",AL28="Catastrófico")),"Extremo","")))),"")</f>
        <v/>
      </c>
      <c r="AO28" s="195"/>
      <c r="AP28" s="186"/>
      <c r="AQ28" s="196"/>
      <c r="AR28" s="196"/>
      <c r="AS28" s="197"/>
      <c r="AT28" s="341"/>
      <c r="AU28" s="341"/>
      <c r="AV28" s="341"/>
    </row>
    <row r="29" spans="1:48" ht="37.5" customHeight="1" x14ac:dyDescent="0.2">
      <c r="A29" s="352"/>
      <c r="B29" s="353"/>
      <c r="C29" s="353"/>
      <c r="D29" s="353"/>
      <c r="E29" s="531"/>
      <c r="F29" s="353"/>
      <c r="G29" s="336"/>
      <c r="H29" s="336"/>
      <c r="I29" s="336"/>
      <c r="J29" s="336"/>
      <c r="K29" s="336"/>
      <c r="L29" s="336"/>
      <c r="M29" s="336"/>
      <c r="N29" s="336"/>
      <c r="O29" s="336"/>
      <c r="P29" s="336"/>
      <c r="Q29" s="336"/>
      <c r="R29" s="341"/>
      <c r="S29" s="346"/>
      <c r="T29" s="331"/>
      <c r="U29" s="343"/>
      <c r="V29" s="331">
        <f>IF(NOT(ISERROR(MATCH(U29,_xlfn.ANCHORARRAY(E40),0))),T42&amp;"Por favor no seleccionar los criterios de impacto",U29)</f>
        <v>0</v>
      </c>
      <c r="W29" s="346"/>
      <c r="X29" s="331"/>
      <c r="Y29" s="327"/>
      <c r="Z29" s="214">
        <v>5</v>
      </c>
      <c r="AA29" s="187"/>
      <c r="AB29" s="189" t="str">
        <f t="shared" si="23"/>
        <v/>
      </c>
      <c r="AC29" s="190"/>
      <c r="AD29" s="190"/>
      <c r="AE29" s="191" t="str">
        <f t="shared" si="18"/>
        <v/>
      </c>
      <c r="AF29" s="190"/>
      <c r="AG29" s="190"/>
      <c r="AH29" s="190"/>
      <c r="AI29" s="192" t="str">
        <f t="shared" si="24"/>
        <v/>
      </c>
      <c r="AJ29" s="193" t="str">
        <f t="shared" si="2"/>
        <v/>
      </c>
      <c r="AK29" s="191" t="str">
        <f t="shared" si="19"/>
        <v/>
      </c>
      <c r="AL29" s="193" t="str">
        <f t="shared" si="4"/>
        <v/>
      </c>
      <c r="AM29" s="191" t="str">
        <f t="shared" si="13"/>
        <v/>
      </c>
      <c r="AN29" s="194" t="str">
        <f t="shared" ref="AN29:AN30" si="25">IFERROR(IF(OR(AND(AJ29="Muy Baja",AL29="Leve"),AND(AJ29="Muy Baja",AL29="Menor"),AND(AJ29="Baja",AL29="Leve")),"Bajo",IF(OR(AND(AJ29="Muy baja",AL29="Moderado"),AND(AJ29="Baja",AL29="Menor"),AND(AJ29="Baja",AL29="Moderado"),AND(AJ29="Media",AL29="Leve"),AND(AJ29="Media",AL29="Menor"),AND(AJ29="Media",AL29="Moderado"),AND(AJ29="Alta",AL29="Leve"),AND(AJ29="Alta",AL29="Menor")),"Moderado",IF(OR(AND(AJ29="Muy Baja",AL29="Mayor"),AND(AJ29="Baja",AL29="Mayor"),AND(AJ29="Media",AL29="Mayor"),AND(AJ29="Alta",AL29="Moderado"),AND(AJ29="Alta",AL29="Mayor"),AND(AJ29="Muy Alta",AL29="Leve"),AND(AJ29="Muy Alta",AL29="Menor"),AND(AJ29="Muy Alta",AL29="Moderado"),AND(AJ29="Muy Alta",AL29="Mayor")),"Alto",IF(OR(AND(AJ29="Muy Baja",AL29="Catastrófico"),AND(AJ29="Baja",AL29="Catastrófico"),AND(AJ29="Media",AL29="Catastrófico"),AND(AJ29="Alta",AL29="Catastrófico"),AND(AJ29="Muy Alta",AL29="Catastrófico")),"Extremo","")))),"")</f>
        <v/>
      </c>
      <c r="AO29" s="195"/>
      <c r="AP29" s="186"/>
      <c r="AQ29" s="196"/>
      <c r="AR29" s="196"/>
      <c r="AS29" s="197"/>
      <c r="AT29" s="341"/>
      <c r="AU29" s="341"/>
      <c r="AV29" s="341"/>
    </row>
    <row r="30" spans="1:48" ht="37.5" customHeight="1" x14ac:dyDescent="0.2">
      <c r="A30" s="352"/>
      <c r="B30" s="353"/>
      <c r="C30" s="353"/>
      <c r="D30" s="353"/>
      <c r="E30" s="531"/>
      <c r="F30" s="353"/>
      <c r="G30" s="337"/>
      <c r="H30" s="337"/>
      <c r="I30" s="337"/>
      <c r="J30" s="337"/>
      <c r="K30" s="337"/>
      <c r="L30" s="337"/>
      <c r="M30" s="337"/>
      <c r="N30" s="337"/>
      <c r="O30" s="337"/>
      <c r="P30" s="337"/>
      <c r="Q30" s="337"/>
      <c r="R30" s="341"/>
      <c r="S30" s="346"/>
      <c r="T30" s="331"/>
      <c r="U30" s="343"/>
      <c r="V30" s="331">
        <f>IF(NOT(ISERROR(MATCH(U30,_xlfn.ANCHORARRAY(E41),0))),T43&amp;"Por favor no seleccionar los criterios de impacto",U30)</f>
        <v>0</v>
      </c>
      <c r="W30" s="346"/>
      <c r="X30" s="331"/>
      <c r="Y30" s="327"/>
      <c r="Z30" s="214">
        <v>6</v>
      </c>
      <c r="AA30" s="187"/>
      <c r="AB30" s="189" t="str">
        <f t="shared" si="23"/>
        <v/>
      </c>
      <c r="AC30" s="190"/>
      <c r="AD30" s="190"/>
      <c r="AE30" s="191" t="str">
        <f t="shared" si="18"/>
        <v/>
      </c>
      <c r="AF30" s="190"/>
      <c r="AG30" s="190"/>
      <c r="AH30" s="190"/>
      <c r="AI30" s="192" t="str">
        <f t="shared" si="24"/>
        <v/>
      </c>
      <c r="AJ30" s="193" t="str">
        <f t="shared" si="2"/>
        <v/>
      </c>
      <c r="AK30" s="191" t="str">
        <f t="shared" si="19"/>
        <v/>
      </c>
      <c r="AL30" s="193" t="str">
        <f t="shared" si="4"/>
        <v/>
      </c>
      <c r="AM30" s="191" t="str">
        <f t="shared" si="13"/>
        <v/>
      </c>
      <c r="AN30" s="194" t="str">
        <f t="shared" si="25"/>
        <v/>
      </c>
      <c r="AO30" s="195"/>
      <c r="AP30" s="186"/>
      <c r="AQ30" s="196"/>
      <c r="AR30" s="196"/>
      <c r="AS30" s="197"/>
      <c r="AT30" s="341"/>
      <c r="AU30" s="341"/>
      <c r="AV30" s="341"/>
    </row>
    <row r="31" spans="1:48" ht="37.5" customHeight="1" x14ac:dyDescent="0.2">
      <c r="A31" s="352">
        <v>4</v>
      </c>
      <c r="B31" s="353"/>
      <c r="C31" s="353"/>
      <c r="D31" s="353"/>
      <c r="E31" s="353"/>
      <c r="F31" s="353"/>
      <c r="G31" s="335"/>
      <c r="H31" s="335"/>
      <c r="I31" s="335"/>
      <c r="J31" s="335"/>
      <c r="K31" s="335"/>
      <c r="L31" s="335"/>
      <c r="M31" s="335"/>
      <c r="N31" s="335"/>
      <c r="O31" s="335"/>
      <c r="P31" s="335"/>
      <c r="Q31" s="335"/>
      <c r="R31" s="341"/>
      <c r="S31" s="346" t="str">
        <f>IF(R31&lt;=0,"",IF(R31&lt;=2,"Muy Baja",IF(R31&lt;=24,"Baja",IF(R31&lt;=500,"Media",IF(R31&lt;=5000,"Alta","Muy Alta")))))</f>
        <v/>
      </c>
      <c r="T31" s="331" t="str">
        <f>IF(S31="","",IF(S31="Muy Baja",0.2,IF(S31="Baja",0.4,IF(S31="Media",0.6,IF(S31="Alta",0.8,IF(S31="Muy Alta",1,))))))</f>
        <v/>
      </c>
      <c r="U31" s="343"/>
      <c r="V31" s="331">
        <f>IF(NOT(ISERROR(MATCH(U31,'Tabla Impacto'!$B$222:$B$224,0))),'Tabla Impacto'!$F$224&amp;"Por favor no seleccionar los criterios de impacto(Afectación Económica o presupuestal y Pérdida Reputacional)",U31)</f>
        <v>0</v>
      </c>
      <c r="W31" s="346" t="str">
        <f>IF(OR(V31='Tabla Impacto'!$C$12,V31='Tabla Impacto'!$D$12),"Leve",IF(OR(V31='Tabla Impacto'!$C$13,V31='Tabla Impacto'!$D$13),"Menor",IF(OR(V31='Tabla Impacto'!$C$14,V31='Tabla Impacto'!$D$14),"Moderado",IF(OR(V31='Tabla Impacto'!$C$15,V31='Tabla Impacto'!$D$15),"Mayor",IF(OR(V31='Tabla Impacto'!$C$16,V31='Tabla Impacto'!$D$16),"Catastrófico","")))))</f>
        <v/>
      </c>
      <c r="X31" s="331" t="str">
        <f>IF(W31="","",IF(W31="Leve",0.2,IF(W31="Menor",0.4,IF(W31="Moderado",0.6,IF(W31="Mayor",0.8,IF(W31="Catastrófico",1,))))))</f>
        <v/>
      </c>
      <c r="Y31" s="327" t="str">
        <f>IF(OR(AND(S31="Muy Baja",W31="Leve"),AND(S31="Muy Baja",W31="Menor"),AND(S31="Baja",W31="Leve")),"Bajo",IF(OR(AND(S31="Muy baja",W31="Moderado"),AND(S31="Baja",W31="Menor"),AND(S31="Baja",W31="Moderado"),AND(S31="Media",W31="Leve"),AND(S31="Media",W31="Menor"),AND(S31="Media",W31="Moderado"),AND(S31="Alta",W31="Leve"),AND(S31="Alta",W31="Menor")),"Moderado",IF(OR(AND(S31="Muy Baja",W31="Mayor"),AND(S31="Baja",W31="Mayor"),AND(S31="Media",W31="Mayor"),AND(S31="Alta",W31="Moderado"),AND(S31="Alta",W31="Mayor"),AND(S31="Muy Alta",W31="Leve"),AND(S31="Muy Alta",W31="Menor"),AND(S31="Muy Alta",W31="Moderado"),AND(S31="Muy Alta",W31="Mayor")),"Alto",IF(OR(AND(S31="Muy Baja",W31="Catastrófico"),AND(S31="Baja",W31="Catastrófico"),AND(S31="Media",W31="Catastrófico"),AND(S31="Alta",W31="Catastrófico"),AND(S31="Muy Alta",W31="Catastrófico")),"Extremo",""))))</f>
        <v/>
      </c>
      <c r="Z31" s="214">
        <v>1</v>
      </c>
      <c r="AA31" s="187"/>
      <c r="AB31" s="189" t="str">
        <f>IF(OR(AC31="Preventivo",AC31="Detectivo"),"Probabilidad",IF(AC31="Correctivo","Impacto",""))</f>
        <v/>
      </c>
      <c r="AC31" s="190"/>
      <c r="AD31" s="190"/>
      <c r="AE31" s="191" t="str">
        <f>IF(AND(AC31="Preventivo",AD31="Automático"),"50%",IF(AND(AC31="Preventivo",AD31="Manual"),"40%",IF(AND(AC31="Detectivo",AD31="Automático"),"40%",IF(AND(AC31="Detectivo",AD31="Manual"),"30%",IF(AND(AC31="Correctivo",AD31="Automático"),"35%",IF(AND(AC31="Correctivo",AD31="Manual"),"25%",""))))))</f>
        <v/>
      </c>
      <c r="AF31" s="190"/>
      <c r="AG31" s="190"/>
      <c r="AH31" s="190"/>
      <c r="AI31" s="192" t="str">
        <f>IFERROR(IF(AB31="Probabilidad",(T31-(+T31*AE31)),IF(AB31="Impacto",T31,"")),"")</f>
        <v/>
      </c>
      <c r="AJ31" s="193" t="str">
        <f>IFERROR(IF(AI31="","",IF(AI31&lt;=0.2,"Muy Baja",IF(AI31&lt;=0.4,"Baja",IF(AI31&lt;=0.6,"Media",IF(AI31&lt;=0.8,"Alta","Muy Alta"))))),"")</f>
        <v/>
      </c>
      <c r="AK31" s="191" t="str">
        <f>+AI31</f>
        <v/>
      </c>
      <c r="AL31" s="193" t="str">
        <f>IFERROR(IF(AM31="","",IF(AM31&lt;=0.2,"Leve",IF(AM31&lt;=0.4,"Menor",IF(AM31&lt;=0.6,"Moderado",IF(AM31&lt;=0.8,"Mayor","Catastrófico"))))),"")</f>
        <v/>
      </c>
      <c r="AM31" s="191" t="str">
        <f t="shared" ref="AM31" si="26">IFERROR(IF(AB31="Impacto",(X31-(+X31*AE31)),IF(AB31="Probabilidad",X31,"")),"")</f>
        <v/>
      </c>
      <c r="AN31" s="194" t="str">
        <f>IFERROR(IF(OR(AND(AJ31="Muy Baja",AL31="Leve"),AND(AJ31="Muy Baja",AL31="Menor"),AND(AJ31="Baja",AL31="Leve")),"Bajo",IF(OR(AND(AJ31="Muy baja",AL31="Moderado"),AND(AJ31="Baja",AL31="Menor"),AND(AJ31="Baja",AL31="Moderado"),AND(AJ31="Media",AL31="Leve"),AND(AJ31="Media",AL31="Menor"),AND(AJ31="Media",AL31="Moderado"),AND(AJ31="Alta",AL31="Leve"),AND(AJ31="Alta",AL31="Menor")),"Moderado",IF(OR(AND(AJ31="Muy Baja",AL31="Mayor"),AND(AJ31="Baja",AL31="Mayor"),AND(AJ31="Media",AL31="Mayor"),AND(AJ31="Alta",AL31="Moderado"),AND(AJ31="Alta",AL31="Mayor"),AND(AJ31="Muy Alta",AL31="Leve"),AND(AJ31="Muy Alta",AL31="Menor"),AND(AJ31="Muy Alta",AL31="Moderado"),AND(AJ31="Muy Alta",AL31="Mayor")),"Alto",IF(OR(AND(AJ31="Muy Baja",AL31="Catastrófico"),AND(AJ31="Baja",AL31="Catastrófico"),AND(AJ31="Media",AL31="Catastrófico"),AND(AJ31="Alta",AL31="Catastrófico"),AND(AJ31="Muy Alta",AL31="Catastrófico")),"Extremo","")))),"")</f>
        <v/>
      </c>
      <c r="AO31" s="195"/>
      <c r="AP31" s="186"/>
      <c r="AQ31" s="196"/>
      <c r="AR31" s="196"/>
      <c r="AS31" s="197"/>
      <c r="AT31" s="341"/>
      <c r="AU31" s="341"/>
      <c r="AV31" s="341"/>
    </row>
    <row r="32" spans="1:48" ht="37.5" customHeight="1" x14ac:dyDescent="0.2">
      <c r="A32" s="352"/>
      <c r="B32" s="353"/>
      <c r="C32" s="353"/>
      <c r="D32" s="353"/>
      <c r="E32" s="353"/>
      <c r="F32" s="353"/>
      <c r="G32" s="336"/>
      <c r="H32" s="336"/>
      <c r="I32" s="336"/>
      <c r="J32" s="336"/>
      <c r="K32" s="336"/>
      <c r="L32" s="336"/>
      <c r="M32" s="336"/>
      <c r="N32" s="336"/>
      <c r="O32" s="336"/>
      <c r="P32" s="336"/>
      <c r="Q32" s="336"/>
      <c r="R32" s="341"/>
      <c r="S32" s="346"/>
      <c r="T32" s="331"/>
      <c r="U32" s="343"/>
      <c r="V32" s="331">
        <f>IF(NOT(ISERROR(MATCH(U32,_xlfn.ANCHORARRAY(E43),0))),T45&amp;"Por favor no seleccionar los criterios de impacto",U32)</f>
        <v>0</v>
      </c>
      <c r="W32" s="346"/>
      <c r="X32" s="331"/>
      <c r="Y32" s="327"/>
      <c r="Z32" s="214">
        <v>2</v>
      </c>
      <c r="AA32" s="187"/>
      <c r="AB32" s="189" t="str">
        <f>IF(OR(AC32="Preventivo",AC32="Detectivo"),"Probabilidad",IF(AC32="Correctivo","Impacto",""))</f>
        <v/>
      </c>
      <c r="AC32" s="190"/>
      <c r="AD32" s="190"/>
      <c r="AE32" s="191" t="str">
        <f t="shared" ref="AE32:AE36" si="27">IF(AND(AC32="Preventivo",AD32="Automático"),"50%",IF(AND(AC32="Preventivo",AD32="Manual"),"40%",IF(AND(AC32="Detectivo",AD32="Automático"),"40%",IF(AND(AC32="Detectivo",AD32="Manual"),"30%",IF(AND(AC32="Correctivo",AD32="Automático"),"35%",IF(AND(AC32="Correctivo",AD32="Manual"),"25%",""))))))</f>
        <v/>
      </c>
      <c r="AF32" s="190"/>
      <c r="AG32" s="190"/>
      <c r="AH32" s="190"/>
      <c r="AI32" s="192" t="str">
        <f>IFERROR(IF(AND(AB31="Probabilidad",AB32="Probabilidad"),(AK31-(+AK31*AE32)),IF(AB32="Probabilidad",(T31-(+T31*AE32)),IF(AB32="Impacto",AK31,""))),"")</f>
        <v/>
      </c>
      <c r="AJ32" s="193" t="str">
        <f t="shared" si="2"/>
        <v/>
      </c>
      <c r="AK32" s="191" t="str">
        <f t="shared" ref="AK32:AK36" si="28">+AI32</f>
        <v/>
      </c>
      <c r="AL32" s="193" t="str">
        <f t="shared" si="4"/>
        <v/>
      </c>
      <c r="AM32" s="191" t="str">
        <f t="shared" ref="AM32" si="29">IFERROR(IF(AND(AB31="Impacto",AB32="Impacto"),(AM31-(+AM31*AE32)),IF(AB32="Impacto",($X$13-(+$X$13*AE32)),IF(AB32="Probabilidad",AM31,""))),"")</f>
        <v/>
      </c>
      <c r="AN32" s="194" t="str">
        <f t="shared" ref="AN32:AN33" si="30">IFERROR(IF(OR(AND(AJ32="Muy Baja",AL32="Leve"),AND(AJ32="Muy Baja",AL32="Menor"),AND(AJ32="Baja",AL32="Leve")),"Bajo",IF(OR(AND(AJ32="Muy baja",AL32="Moderado"),AND(AJ32="Baja",AL32="Menor"),AND(AJ32="Baja",AL32="Moderado"),AND(AJ32="Media",AL32="Leve"),AND(AJ32="Media",AL32="Menor"),AND(AJ32="Media",AL32="Moderado"),AND(AJ32="Alta",AL32="Leve"),AND(AJ32="Alta",AL32="Menor")),"Moderado",IF(OR(AND(AJ32="Muy Baja",AL32="Mayor"),AND(AJ32="Baja",AL32="Mayor"),AND(AJ32="Media",AL32="Mayor"),AND(AJ32="Alta",AL32="Moderado"),AND(AJ32="Alta",AL32="Mayor"),AND(AJ32="Muy Alta",AL32="Leve"),AND(AJ32="Muy Alta",AL32="Menor"),AND(AJ32="Muy Alta",AL32="Moderado"),AND(AJ32="Muy Alta",AL32="Mayor")),"Alto",IF(OR(AND(AJ32="Muy Baja",AL32="Catastrófico"),AND(AJ32="Baja",AL32="Catastrófico"),AND(AJ32="Media",AL32="Catastrófico"),AND(AJ32="Alta",AL32="Catastrófico"),AND(AJ32="Muy Alta",AL32="Catastrófico")),"Extremo","")))),"")</f>
        <v/>
      </c>
      <c r="AO32" s="195"/>
      <c r="AP32" s="186"/>
      <c r="AQ32" s="196"/>
      <c r="AR32" s="196"/>
      <c r="AS32" s="197"/>
      <c r="AT32" s="341"/>
      <c r="AU32" s="341"/>
      <c r="AV32" s="341"/>
    </row>
    <row r="33" spans="1:48" ht="37.5" customHeight="1" x14ac:dyDescent="0.2">
      <c r="A33" s="352"/>
      <c r="B33" s="353"/>
      <c r="C33" s="353"/>
      <c r="D33" s="353"/>
      <c r="E33" s="353"/>
      <c r="F33" s="353"/>
      <c r="G33" s="336"/>
      <c r="H33" s="336"/>
      <c r="I33" s="336"/>
      <c r="J33" s="336"/>
      <c r="K33" s="336"/>
      <c r="L33" s="336"/>
      <c r="M33" s="336"/>
      <c r="N33" s="336"/>
      <c r="O33" s="336"/>
      <c r="P33" s="336"/>
      <c r="Q33" s="336"/>
      <c r="R33" s="341"/>
      <c r="S33" s="346"/>
      <c r="T33" s="331"/>
      <c r="U33" s="343"/>
      <c r="V33" s="331">
        <f>IF(NOT(ISERROR(MATCH(U33,_xlfn.ANCHORARRAY(E44),0))),T46&amp;"Por favor no seleccionar los criterios de impacto",U33)</f>
        <v>0</v>
      </c>
      <c r="W33" s="346"/>
      <c r="X33" s="331"/>
      <c r="Y33" s="327"/>
      <c r="Z33" s="214">
        <v>3</v>
      </c>
      <c r="AA33" s="188"/>
      <c r="AB33" s="189" t="str">
        <f>IF(OR(AC33="Preventivo",AC33="Detectivo"),"Probabilidad",IF(AC33="Correctivo","Impacto",""))</f>
        <v/>
      </c>
      <c r="AC33" s="190"/>
      <c r="AD33" s="190"/>
      <c r="AE33" s="191" t="str">
        <f t="shared" si="27"/>
        <v/>
      </c>
      <c r="AF33" s="190"/>
      <c r="AG33" s="190"/>
      <c r="AH33" s="190"/>
      <c r="AI33" s="192" t="str">
        <f>IFERROR(IF(AND(AB32="Probabilidad",AB33="Probabilidad"),(AK32-(+AK32*AE33)),IF(AND(AB32="Impacto",AB33="Probabilidad"),(AK31-(+AK31*AE33)),IF(AB33="Impacto",AK32,""))),"")</f>
        <v/>
      </c>
      <c r="AJ33" s="193" t="str">
        <f t="shared" si="2"/>
        <v/>
      </c>
      <c r="AK33" s="191" t="str">
        <f t="shared" si="28"/>
        <v/>
      </c>
      <c r="AL33" s="193" t="str">
        <f t="shared" si="4"/>
        <v/>
      </c>
      <c r="AM33" s="191" t="str">
        <f t="shared" ref="AM33" si="31">IFERROR(IF(AND(AB32="Impacto",AB33="Impacto"),(AM32-(+AM32*AE33)),IF(AND(AB32="Probabilidad",AB33="Impacto"),(AM31-(+AM31*AE33)),IF(AB33="Probabilidad",AM32,""))),"")</f>
        <v/>
      </c>
      <c r="AN33" s="194" t="str">
        <f t="shared" si="30"/>
        <v/>
      </c>
      <c r="AO33" s="195"/>
      <c r="AP33" s="186"/>
      <c r="AQ33" s="196"/>
      <c r="AR33" s="196"/>
      <c r="AS33" s="197"/>
      <c r="AT33" s="341"/>
      <c r="AU33" s="341"/>
      <c r="AV33" s="341"/>
    </row>
    <row r="34" spans="1:48" ht="37.5" customHeight="1" x14ac:dyDescent="0.2">
      <c r="A34" s="352"/>
      <c r="B34" s="353"/>
      <c r="C34" s="353"/>
      <c r="D34" s="353"/>
      <c r="E34" s="353"/>
      <c r="F34" s="353"/>
      <c r="G34" s="336"/>
      <c r="H34" s="336"/>
      <c r="I34" s="336"/>
      <c r="J34" s="336"/>
      <c r="K34" s="336"/>
      <c r="L34" s="336"/>
      <c r="M34" s="336"/>
      <c r="N34" s="336"/>
      <c r="O34" s="336"/>
      <c r="P34" s="336"/>
      <c r="Q34" s="336"/>
      <c r="R34" s="341"/>
      <c r="S34" s="346"/>
      <c r="T34" s="331"/>
      <c r="U34" s="343"/>
      <c r="V34" s="331">
        <f>IF(NOT(ISERROR(MATCH(U34,_xlfn.ANCHORARRAY(E45),0))),T47&amp;"Por favor no seleccionar los criterios de impacto",U34)</f>
        <v>0</v>
      </c>
      <c r="W34" s="346"/>
      <c r="X34" s="331"/>
      <c r="Y34" s="327"/>
      <c r="Z34" s="214">
        <v>4</v>
      </c>
      <c r="AA34" s="187"/>
      <c r="AB34" s="189" t="str">
        <f t="shared" ref="AB34:AB36" si="32">IF(OR(AC34="Preventivo",AC34="Detectivo"),"Probabilidad",IF(AC34="Correctivo","Impacto",""))</f>
        <v/>
      </c>
      <c r="AC34" s="190"/>
      <c r="AD34" s="190"/>
      <c r="AE34" s="191" t="str">
        <f t="shared" si="27"/>
        <v/>
      </c>
      <c r="AF34" s="190"/>
      <c r="AG34" s="190"/>
      <c r="AH34" s="190"/>
      <c r="AI34" s="192" t="str">
        <f t="shared" ref="AI34:AI36" si="33">IFERROR(IF(AND(AB33="Probabilidad",AB34="Probabilidad"),(AK33-(+AK33*AE34)),IF(AND(AB33="Impacto",AB34="Probabilidad"),(AK32-(+AK32*AE34)),IF(AB34="Impacto",AK33,""))),"")</f>
        <v/>
      </c>
      <c r="AJ34" s="193" t="str">
        <f t="shared" si="2"/>
        <v/>
      </c>
      <c r="AK34" s="191" t="str">
        <f t="shared" si="28"/>
        <v/>
      </c>
      <c r="AL34" s="193" t="str">
        <f t="shared" si="4"/>
        <v/>
      </c>
      <c r="AM34" s="191" t="str">
        <f t="shared" si="13"/>
        <v/>
      </c>
      <c r="AN34" s="194" t="str">
        <f>IFERROR(IF(OR(AND(AJ34="Muy Baja",AL34="Leve"),AND(AJ34="Muy Baja",AL34="Menor"),AND(AJ34="Baja",AL34="Leve")),"Bajo",IF(OR(AND(AJ34="Muy baja",AL34="Moderado"),AND(AJ34="Baja",AL34="Menor"),AND(AJ34="Baja",AL34="Moderado"),AND(AJ34="Media",AL34="Leve"),AND(AJ34="Media",AL34="Menor"),AND(AJ34="Media",AL34="Moderado"),AND(AJ34="Alta",AL34="Leve"),AND(AJ34="Alta",AL34="Menor")),"Moderado",IF(OR(AND(AJ34="Muy Baja",AL34="Mayor"),AND(AJ34="Baja",AL34="Mayor"),AND(AJ34="Media",AL34="Mayor"),AND(AJ34="Alta",AL34="Moderado"),AND(AJ34="Alta",AL34="Mayor"),AND(AJ34="Muy Alta",AL34="Leve"),AND(AJ34="Muy Alta",AL34="Menor"),AND(AJ34="Muy Alta",AL34="Moderado"),AND(AJ34="Muy Alta",AL34="Mayor")),"Alto",IF(OR(AND(AJ34="Muy Baja",AL34="Catastrófico"),AND(AJ34="Baja",AL34="Catastrófico"),AND(AJ34="Media",AL34="Catastrófico"),AND(AJ34="Alta",AL34="Catastrófico"),AND(AJ34="Muy Alta",AL34="Catastrófico")),"Extremo","")))),"")</f>
        <v/>
      </c>
      <c r="AO34" s="195"/>
      <c r="AP34" s="186"/>
      <c r="AQ34" s="196"/>
      <c r="AR34" s="196"/>
      <c r="AS34" s="197"/>
      <c r="AT34" s="341"/>
      <c r="AU34" s="341"/>
      <c r="AV34" s="341"/>
    </row>
    <row r="35" spans="1:48" ht="37.5" customHeight="1" x14ac:dyDescent="0.2">
      <c r="A35" s="352"/>
      <c r="B35" s="353"/>
      <c r="C35" s="353"/>
      <c r="D35" s="353"/>
      <c r="E35" s="353"/>
      <c r="F35" s="353"/>
      <c r="G35" s="336"/>
      <c r="H35" s="336"/>
      <c r="I35" s="336"/>
      <c r="J35" s="336"/>
      <c r="K35" s="336"/>
      <c r="L35" s="336"/>
      <c r="M35" s="336"/>
      <c r="N35" s="336"/>
      <c r="O35" s="336"/>
      <c r="P35" s="336"/>
      <c r="Q35" s="336"/>
      <c r="R35" s="341"/>
      <c r="S35" s="346"/>
      <c r="T35" s="331"/>
      <c r="U35" s="343"/>
      <c r="V35" s="331">
        <f>IF(NOT(ISERROR(MATCH(U35,_xlfn.ANCHORARRAY(E46),0))),T48&amp;"Por favor no seleccionar los criterios de impacto",U35)</f>
        <v>0</v>
      </c>
      <c r="W35" s="346"/>
      <c r="X35" s="331"/>
      <c r="Y35" s="327"/>
      <c r="Z35" s="214">
        <v>5</v>
      </c>
      <c r="AA35" s="187"/>
      <c r="AB35" s="189" t="str">
        <f t="shared" si="32"/>
        <v/>
      </c>
      <c r="AC35" s="190"/>
      <c r="AD35" s="190"/>
      <c r="AE35" s="191" t="str">
        <f t="shared" si="27"/>
        <v/>
      </c>
      <c r="AF35" s="190"/>
      <c r="AG35" s="190"/>
      <c r="AH35" s="190"/>
      <c r="AI35" s="192" t="str">
        <f t="shared" si="33"/>
        <v/>
      </c>
      <c r="AJ35" s="193" t="str">
        <f>IFERROR(IF(AI35="","",IF(AI35&lt;=0.2,"Muy Baja",IF(AI35&lt;=0.4,"Baja",IF(AI35&lt;=0.6,"Media",IF(AI35&lt;=0.8,"Alta","Muy Alta"))))),"")</f>
        <v/>
      </c>
      <c r="AK35" s="191" t="str">
        <f t="shared" si="28"/>
        <v/>
      </c>
      <c r="AL35" s="193" t="str">
        <f t="shared" si="4"/>
        <v/>
      </c>
      <c r="AM35" s="191" t="str">
        <f t="shared" si="13"/>
        <v/>
      </c>
      <c r="AN35" s="194" t="str">
        <f t="shared" ref="AN35:AN36" si="34">IFERROR(IF(OR(AND(AJ35="Muy Baja",AL35="Leve"),AND(AJ35="Muy Baja",AL35="Menor"),AND(AJ35="Baja",AL35="Leve")),"Bajo",IF(OR(AND(AJ35="Muy baja",AL35="Moderado"),AND(AJ35="Baja",AL35="Menor"),AND(AJ35="Baja",AL35="Moderado"),AND(AJ35="Media",AL35="Leve"),AND(AJ35="Media",AL35="Menor"),AND(AJ35="Media",AL35="Moderado"),AND(AJ35="Alta",AL35="Leve"),AND(AJ35="Alta",AL35="Menor")),"Moderado",IF(OR(AND(AJ35="Muy Baja",AL35="Mayor"),AND(AJ35="Baja",AL35="Mayor"),AND(AJ35="Media",AL35="Mayor"),AND(AJ35="Alta",AL35="Moderado"),AND(AJ35="Alta",AL35="Mayor"),AND(AJ35="Muy Alta",AL35="Leve"),AND(AJ35="Muy Alta",AL35="Menor"),AND(AJ35="Muy Alta",AL35="Moderado"),AND(AJ35="Muy Alta",AL35="Mayor")),"Alto",IF(OR(AND(AJ35="Muy Baja",AL35="Catastrófico"),AND(AJ35="Baja",AL35="Catastrófico"),AND(AJ35="Media",AL35="Catastrófico"),AND(AJ35="Alta",AL35="Catastrófico"),AND(AJ35="Muy Alta",AL35="Catastrófico")),"Extremo","")))),"")</f>
        <v/>
      </c>
      <c r="AO35" s="195"/>
      <c r="AP35" s="186"/>
      <c r="AQ35" s="196"/>
      <c r="AR35" s="196"/>
      <c r="AS35" s="197"/>
      <c r="AT35" s="341"/>
      <c r="AU35" s="341"/>
      <c r="AV35" s="341"/>
    </row>
    <row r="36" spans="1:48" ht="37.5" customHeight="1" x14ac:dyDescent="0.2">
      <c r="A36" s="352"/>
      <c r="B36" s="353"/>
      <c r="C36" s="353"/>
      <c r="D36" s="353"/>
      <c r="E36" s="353"/>
      <c r="F36" s="353"/>
      <c r="G36" s="337"/>
      <c r="H36" s="337"/>
      <c r="I36" s="337"/>
      <c r="J36" s="337"/>
      <c r="K36" s="337"/>
      <c r="L36" s="337"/>
      <c r="M36" s="337"/>
      <c r="N36" s="337"/>
      <c r="O36" s="337"/>
      <c r="P36" s="337"/>
      <c r="Q36" s="337"/>
      <c r="R36" s="341"/>
      <c r="S36" s="346"/>
      <c r="T36" s="331"/>
      <c r="U36" s="343"/>
      <c r="V36" s="331">
        <f>IF(NOT(ISERROR(MATCH(U36,_xlfn.ANCHORARRAY(E47),0))),T49&amp;"Por favor no seleccionar los criterios de impacto",U36)</f>
        <v>0</v>
      </c>
      <c r="W36" s="346"/>
      <c r="X36" s="331"/>
      <c r="Y36" s="327"/>
      <c r="Z36" s="214">
        <v>6</v>
      </c>
      <c r="AA36" s="187"/>
      <c r="AB36" s="189" t="str">
        <f t="shared" si="32"/>
        <v/>
      </c>
      <c r="AC36" s="190"/>
      <c r="AD36" s="190"/>
      <c r="AE36" s="191" t="str">
        <f t="shared" si="27"/>
        <v/>
      </c>
      <c r="AF36" s="190"/>
      <c r="AG36" s="190"/>
      <c r="AH36" s="190"/>
      <c r="AI36" s="192" t="str">
        <f t="shared" si="33"/>
        <v/>
      </c>
      <c r="AJ36" s="193" t="str">
        <f t="shared" si="2"/>
        <v/>
      </c>
      <c r="AK36" s="191" t="str">
        <f t="shared" si="28"/>
        <v/>
      </c>
      <c r="AL36" s="193" t="str">
        <f t="shared" si="4"/>
        <v/>
      </c>
      <c r="AM36" s="191" t="str">
        <f t="shared" si="13"/>
        <v/>
      </c>
      <c r="AN36" s="194" t="str">
        <f t="shared" si="34"/>
        <v/>
      </c>
      <c r="AO36" s="195"/>
      <c r="AP36" s="186"/>
      <c r="AQ36" s="196"/>
      <c r="AR36" s="196"/>
      <c r="AS36" s="197"/>
      <c r="AT36" s="341"/>
      <c r="AU36" s="341"/>
      <c r="AV36" s="341"/>
    </row>
    <row r="37" spans="1:48" ht="37.5" customHeight="1" x14ac:dyDescent="0.2">
      <c r="A37" s="352">
        <v>5</v>
      </c>
      <c r="B37" s="353"/>
      <c r="C37" s="353"/>
      <c r="D37" s="353"/>
      <c r="E37" s="353"/>
      <c r="F37" s="353"/>
      <c r="G37" s="335"/>
      <c r="H37" s="335"/>
      <c r="I37" s="335"/>
      <c r="J37" s="335"/>
      <c r="K37" s="335"/>
      <c r="L37" s="335"/>
      <c r="M37" s="335"/>
      <c r="N37" s="335"/>
      <c r="O37" s="335"/>
      <c r="P37" s="335"/>
      <c r="Q37" s="335"/>
      <c r="R37" s="341"/>
      <c r="S37" s="346" t="str">
        <f>IF(R37&lt;=0,"",IF(R37&lt;=2,"Muy Baja",IF(R37&lt;=24,"Baja",IF(R37&lt;=500,"Media",IF(R37&lt;=5000,"Alta","Muy Alta")))))</f>
        <v/>
      </c>
      <c r="T37" s="331" t="str">
        <f>IF(S37="","",IF(S37="Muy Baja",0.2,IF(S37="Baja",0.4,IF(S37="Media",0.6,IF(S37="Alta",0.8,IF(S37="Muy Alta",1,))))))</f>
        <v/>
      </c>
      <c r="U37" s="343"/>
      <c r="V37" s="331">
        <f>IF(NOT(ISERROR(MATCH(U37,'Tabla Impacto'!$B$222:$B$224,0))),'Tabla Impacto'!$F$224&amp;"Por favor no seleccionar los criterios de impacto(Afectación Económica o presupuestal y Pérdida Reputacional)",U37)</f>
        <v>0</v>
      </c>
      <c r="W37" s="346" t="str">
        <f>IF(OR(V37='Tabla Impacto'!$C$12,V37='Tabla Impacto'!$D$12),"Leve",IF(OR(V37='Tabla Impacto'!$C$13,V37='Tabla Impacto'!$D$13),"Menor",IF(OR(V37='Tabla Impacto'!$C$14,V37='Tabla Impacto'!$D$14),"Moderado",IF(OR(V37='Tabla Impacto'!$C$15,V37='Tabla Impacto'!$D$15),"Mayor",IF(OR(V37='Tabla Impacto'!$C$16,V37='Tabla Impacto'!$D$16),"Catastrófico","")))))</f>
        <v/>
      </c>
      <c r="X37" s="331" t="str">
        <f>IF(W37="","",IF(W37="Leve",0.2,IF(W37="Menor",0.4,IF(W37="Moderado",0.6,IF(W37="Mayor",0.8,IF(W37="Catastrófico",1,))))))</f>
        <v/>
      </c>
      <c r="Y37" s="327" t="str">
        <f>IF(OR(AND(S37="Muy Baja",W37="Leve"),AND(S37="Muy Baja",W37="Menor"),AND(S37="Baja",W37="Leve")),"Bajo",IF(OR(AND(S37="Muy baja",W37="Moderado"),AND(S37="Baja",W37="Menor"),AND(S37="Baja",W37="Moderado"),AND(S37="Media",W37="Leve"),AND(S37="Media",W37="Menor"),AND(S37="Media",W37="Moderado"),AND(S37="Alta",W37="Leve"),AND(S37="Alta",W37="Menor")),"Moderado",IF(OR(AND(S37="Muy Baja",W37="Mayor"),AND(S37="Baja",W37="Mayor"),AND(S37="Media",W37="Mayor"),AND(S37="Alta",W37="Moderado"),AND(S37="Alta",W37="Mayor"),AND(S37="Muy Alta",W37="Leve"),AND(S37="Muy Alta",W37="Menor"),AND(S37="Muy Alta",W37="Moderado"),AND(S37="Muy Alta",W37="Mayor")),"Alto",IF(OR(AND(S37="Muy Baja",W37="Catastrófico"),AND(S37="Baja",W37="Catastrófico"),AND(S37="Media",W37="Catastrófico"),AND(S37="Alta",W37="Catastrófico"),AND(S37="Muy Alta",W37="Catastrófico")),"Extremo",""))))</f>
        <v/>
      </c>
      <c r="Z37" s="214">
        <v>1</v>
      </c>
      <c r="AA37" s="187"/>
      <c r="AB37" s="189" t="str">
        <f>IF(OR(AC37="Preventivo",AC37="Detectivo"),"Probabilidad",IF(AC37="Correctivo","Impacto",""))</f>
        <v/>
      </c>
      <c r="AC37" s="190"/>
      <c r="AD37" s="190"/>
      <c r="AE37" s="191" t="str">
        <f>IF(AND(AC37="Preventivo",AD37="Automático"),"50%",IF(AND(AC37="Preventivo",AD37="Manual"),"40%",IF(AND(AC37="Detectivo",AD37="Automático"),"40%",IF(AND(AC37="Detectivo",AD37="Manual"),"30%",IF(AND(AC37="Correctivo",AD37="Automático"),"35%",IF(AND(AC37="Correctivo",AD37="Manual"),"25%",""))))))</f>
        <v/>
      </c>
      <c r="AF37" s="190"/>
      <c r="AG37" s="190"/>
      <c r="AH37" s="190"/>
      <c r="AI37" s="192" t="str">
        <f>IFERROR(IF(AB37="Probabilidad",(T37-(+T37*AE37)),IF(AB37="Impacto",T37,"")),"")</f>
        <v/>
      </c>
      <c r="AJ37" s="193" t="str">
        <f>IFERROR(IF(AI37="","",IF(AI37&lt;=0.2,"Muy Baja",IF(AI37&lt;=0.4,"Baja",IF(AI37&lt;=0.6,"Media",IF(AI37&lt;=0.8,"Alta","Muy Alta"))))),"")</f>
        <v/>
      </c>
      <c r="AK37" s="191" t="str">
        <f>+AI37</f>
        <v/>
      </c>
      <c r="AL37" s="193" t="str">
        <f>IFERROR(IF(AM37="","",IF(AM37&lt;=0.2,"Leve",IF(AM37&lt;=0.4,"Menor",IF(AM37&lt;=0.6,"Moderado",IF(AM37&lt;=0.8,"Mayor","Catastrófico"))))),"")</f>
        <v/>
      </c>
      <c r="AM37" s="191" t="str">
        <f t="shared" ref="AM37" si="35">IFERROR(IF(AB37="Impacto",(X37-(+X37*AE37)),IF(AB37="Probabilidad",X37,"")),"")</f>
        <v/>
      </c>
      <c r="AN37" s="194" t="str">
        <f>IFERROR(IF(OR(AND(AJ37="Muy Baja",AL37="Leve"),AND(AJ37="Muy Baja",AL37="Menor"),AND(AJ37="Baja",AL37="Leve")),"Bajo",IF(OR(AND(AJ37="Muy baja",AL37="Moderado"),AND(AJ37="Baja",AL37="Menor"),AND(AJ37="Baja",AL37="Moderado"),AND(AJ37="Media",AL37="Leve"),AND(AJ37="Media",AL37="Menor"),AND(AJ37="Media",AL37="Moderado"),AND(AJ37="Alta",AL37="Leve"),AND(AJ37="Alta",AL37="Menor")),"Moderado",IF(OR(AND(AJ37="Muy Baja",AL37="Mayor"),AND(AJ37="Baja",AL37="Mayor"),AND(AJ37="Media",AL37="Mayor"),AND(AJ37="Alta",AL37="Moderado"),AND(AJ37="Alta",AL37="Mayor"),AND(AJ37="Muy Alta",AL37="Leve"),AND(AJ37="Muy Alta",AL37="Menor"),AND(AJ37="Muy Alta",AL37="Moderado"),AND(AJ37="Muy Alta",AL37="Mayor")),"Alto",IF(OR(AND(AJ37="Muy Baja",AL37="Catastrófico"),AND(AJ37="Baja",AL37="Catastrófico"),AND(AJ37="Media",AL37="Catastrófico"),AND(AJ37="Alta",AL37="Catastrófico"),AND(AJ37="Muy Alta",AL37="Catastrófico")),"Extremo","")))),"")</f>
        <v/>
      </c>
      <c r="AO37" s="195"/>
      <c r="AP37" s="186"/>
      <c r="AQ37" s="196"/>
      <c r="AR37" s="196"/>
      <c r="AS37" s="197"/>
      <c r="AT37" s="341"/>
      <c r="AU37" s="341"/>
      <c r="AV37" s="341"/>
    </row>
    <row r="38" spans="1:48" ht="37.5" customHeight="1" x14ac:dyDescent="0.2">
      <c r="A38" s="352"/>
      <c r="B38" s="353"/>
      <c r="C38" s="353"/>
      <c r="D38" s="353"/>
      <c r="E38" s="353"/>
      <c r="F38" s="353"/>
      <c r="G38" s="336"/>
      <c r="H38" s="336"/>
      <c r="I38" s="336"/>
      <c r="J38" s="336"/>
      <c r="K38" s="336"/>
      <c r="L38" s="336"/>
      <c r="M38" s="336"/>
      <c r="N38" s="336"/>
      <c r="O38" s="336"/>
      <c r="P38" s="336"/>
      <c r="Q38" s="336"/>
      <c r="R38" s="341"/>
      <c r="S38" s="346"/>
      <c r="T38" s="331"/>
      <c r="U38" s="343"/>
      <c r="V38" s="331">
        <f>IF(NOT(ISERROR(MATCH(U38,_xlfn.ANCHORARRAY(E49),0))),T51&amp;"Por favor no seleccionar los criterios de impacto",U38)</f>
        <v>0</v>
      </c>
      <c r="W38" s="346"/>
      <c r="X38" s="331"/>
      <c r="Y38" s="327"/>
      <c r="Z38" s="214">
        <v>2</v>
      </c>
      <c r="AA38" s="187"/>
      <c r="AB38" s="189" t="str">
        <f>IF(OR(AC38="Preventivo",AC38="Detectivo"),"Probabilidad",IF(AC38="Correctivo","Impacto",""))</f>
        <v/>
      </c>
      <c r="AC38" s="190"/>
      <c r="AD38" s="190"/>
      <c r="AE38" s="191" t="str">
        <f t="shared" ref="AE38:AE42" si="36">IF(AND(AC38="Preventivo",AD38="Automático"),"50%",IF(AND(AC38="Preventivo",AD38="Manual"),"40%",IF(AND(AC38="Detectivo",AD38="Automático"),"40%",IF(AND(AC38="Detectivo",AD38="Manual"),"30%",IF(AND(AC38="Correctivo",AD38="Automático"),"35%",IF(AND(AC38="Correctivo",AD38="Manual"),"25%",""))))))</f>
        <v/>
      </c>
      <c r="AF38" s="190"/>
      <c r="AG38" s="190"/>
      <c r="AH38" s="190"/>
      <c r="AI38" s="192" t="str">
        <f>IFERROR(IF(AND(AB37="Probabilidad",AB38="Probabilidad"),(AK37-(+AK37*AE38)),IF(AB38="Probabilidad",(T37-(+T37*AE38)),IF(AB38="Impacto",AK37,""))),"")</f>
        <v/>
      </c>
      <c r="AJ38" s="193" t="str">
        <f t="shared" si="2"/>
        <v/>
      </c>
      <c r="AK38" s="191" t="str">
        <f t="shared" ref="AK38:AK42" si="37">+AI38</f>
        <v/>
      </c>
      <c r="AL38" s="193" t="str">
        <f t="shared" si="4"/>
        <v/>
      </c>
      <c r="AM38" s="191" t="str">
        <f t="shared" ref="AM38" si="38">IFERROR(IF(AND(AB37="Impacto",AB38="Impacto"),(AM37-(+AM37*AE38)),IF(AB38="Impacto",($X$13-(+$X$13*AE38)),IF(AB38="Probabilidad",AM37,""))),"")</f>
        <v/>
      </c>
      <c r="AN38" s="194" t="str">
        <f t="shared" ref="AN38:AN39" si="39">IFERROR(IF(OR(AND(AJ38="Muy Baja",AL38="Leve"),AND(AJ38="Muy Baja",AL38="Menor"),AND(AJ38="Baja",AL38="Leve")),"Bajo",IF(OR(AND(AJ38="Muy baja",AL38="Moderado"),AND(AJ38="Baja",AL38="Menor"),AND(AJ38="Baja",AL38="Moderado"),AND(AJ38="Media",AL38="Leve"),AND(AJ38="Media",AL38="Menor"),AND(AJ38="Media",AL38="Moderado"),AND(AJ38="Alta",AL38="Leve"),AND(AJ38="Alta",AL38="Menor")),"Moderado",IF(OR(AND(AJ38="Muy Baja",AL38="Mayor"),AND(AJ38="Baja",AL38="Mayor"),AND(AJ38="Media",AL38="Mayor"),AND(AJ38="Alta",AL38="Moderado"),AND(AJ38="Alta",AL38="Mayor"),AND(AJ38="Muy Alta",AL38="Leve"),AND(AJ38="Muy Alta",AL38="Menor"),AND(AJ38="Muy Alta",AL38="Moderado"),AND(AJ38="Muy Alta",AL38="Mayor")),"Alto",IF(OR(AND(AJ38="Muy Baja",AL38="Catastrófico"),AND(AJ38="Baja",AL38="Catastrófico"),AND(AJ38="Media",AL38="Catastrófico"),AND(AJ38="Alta",AL38="Catastrófico"),AND(AJ38="Muy Alta",AL38="Catastrófico")),"Extremo","")))),"")</f>
        <v/>
      </c>
      <c r="AO38" s="195"/>
      <c r="AP38" s="186"/>
      <c r="AQ38" s="196"/>
      <c r="AR38" s="196"/>
      <c r="AS38" s="197"/>
      <c r="AT38" s="341"/>
      <c r="AU38" s="341"/>
      <c r="AV38" s="341"/>
    </row>
    <row r="39" spans="1:48" ht="37.5" customHeight="1" x14ac:dyDescent="0.2">
      <c r="A39" s="352"/>
      <c r="B39" s="353"/>
      <c r="C39" s="353"/>
      <c r="D39" s="353"/>
      <c r="E39" s="353"/>
      <c r="F39" s="353"/>
      <c r="G39" s="336"/>
      <c r="H39" s="336"/>
      <c r="I39" s="336"/>
      <c r="J39" s="336"/>
      <c r="K39" s="336"/>
      <c r="L39" s="336"/>
      <c r="M39" s="336"/>
      <c r="N39" s="336"/>
      <c r="O39" s="336"/>
      <c r="P39" s="336"/>
      <c r="Q39" s="336"/>
      <c r="R39" s="341"/>
      <c r="S39" s="346"/>
      <c r="T39" s="331"/>
      <c r="U39" s="343"/>
      <c r="V39" s="331">
        <f>IF(NOT(ISERROR(MATCH(U39,_xlfn.ANCHORARRAY(E50),0))),T52&amp;"Por favor no seleccionar los criterios de impacto",U39)</f>
        <v>0</v>
      </c>
      <c r="W39" s="346"/>
      <c r="X39" s="331"/>
      <c r="Y39" s="327"/>
      <c r="Z39" s="214">
        <v>3</v>
      </c>
      <c r="AA39" s="188"/>
      <c r="AB39" s="189" t="str">
        <f>IF(OR(AC39="Preventivo",AC39="Detectivo"),"Probabilidad",IF(AC39="Correctivo","Impacto",""))</f>
        <v/>
      </c>
      <c r="AC39" s="190"/>
      <c r="AD39" s="190"/>
      <c r="AE39" s="191" t="str">
        <f t="shared" si="36"/>
        <v/>
      </c>
      <c r="AF39" s="190"/>
      <c r="AG39" s="190"/>
      <c r="AH39" s="190"/>
      <c r="AI39" s="192" t="str">
        <f>IFERROR(IF(AND(AB38="Probabilidad",AB39="Probabilidad"),(AK38-(+AK38*AE39)),IF(AND(AB38="Impacto",AB39="Probabilidad"),(AK37-(+AK37*AE39)),IF(AB39="Impacto",AK38,""))),"")</f>
        <v/>
      </c>
      <c r="AJ39" s="193" t="str">
        <f t="shared" si="2"/>
        <v/>
      </c>
      <c r="AK39" s="191" t="str">
        <f t="shared" si="37"/>
        <v/>
      </c>
      <c r="AL39" s="193" t="str">
        <f t="shared" si="4"/>
        <v/>
      </c>
      <c r="AM39" s="191" t="str">
        <f t="shared" ref="AM39" si="40">IFERROR(IF(AND(AB38="Impacto",AB39="Impacto"),(AM38-(+AM38*AE39)),IF(AND(AB38="Probabilidad",AB39="Impacto"),(AM37-(+AM37*AE39)),IF(AB39="Probabilidad",AM38,""))),"")</f>
        <v/>
      </c>
      <c r="AN39" s="194" t="str">
        <f t="shared" si="39"/>
        <v/>
      </c>
      <c r="AO39" s="195"/>
      <c r="AP39" s="186"/>
      <c r="AQ39" s="196"/>
      <c r="AR39" s="196"/>
      <c r="AS39" s="197"/>
      <c r="AT39" s="341"/>
      <c r="AU39" s="341"/>
      <c r="AV39" s="341"/>
    </row>
    <row r="40" spans="1:48" ht="37.5" customHeight="1" x14ac:dyDescent="0.2">
      <c r="A40" s="352"/>
      <c r="B40" s="353"/>
      <c r="C40" s="353"/>
      <c r="D40" s="353"/>
      <c r="E40" s="353"/>
      <c r="F40" s="353"/>
      <c r="G40" s="336"/>
      <c r="H40" s="336"/>
      <c r="I40" s="336"/>
      <c r="J40" s="336"/>
      <c r="K40" s="336"/>
      <c r="L40" s="336"/>
      <c r="M40" s="336"/>
      <c r="N40" s="336"/>
      <c r="O40" s="336"/>
      <c r="P40" s="336"/>
      <c r="Q40" s="336"/>
      <c r="R40" s="341"/>
      <c r="S40" s="346"/>
      <c r="T40" s="331"/>
      <c r="U40" s="343"/>
      <c r="V40" s="331">
        <f>IF(NOT(ISERROR(MATCH(U40,_xlfn.ANCHORARRAY(E51),0))),T53&amp;"Por favor no seleccionar los criterios de impacto",U40)</f>
        <v>0</v>
      </c>
      <c r="W40" s="346"/>
      <c r="X40" s="331"/>
      <c r="Y40" s="327"/>
      <c r="Z40" s="214">
        <v>4</v>
      </c>
      <c r="AA40" s="187"/>
      <c r="AB40" s="189" t="str">
        <f t="shared" ref="AB40:AB42" si="41">IF(OR(AC40="Preventivo",AC40="Detectivo"),"Probabilidad",IF(AC40="Correctivo","Impacto",""))</f>
        <v/>
      </c>
      <c r="AC40" s="190"/>
      <c r="AD40" s="190"/>
      <c r="AE40" s="191" t="str">
        <f t="shared" si="36"/>
        <v/>
      </c>
      <c r="AF40" s="190"/>
      <c r="AG40" s="190"/>
      <c r="AH40" s="190"/>
      <c r="AI40" s="192" t="str">
        <f t="shared" ref="AI40:AI42" si="42">IFERROR(IF(AND(AB39="Probabilidad",AB40="Probabilidad"),(AK39-(+AK39*AE40)),IF(AND(AB39="Impacto",AB40="Probabilidad"),(AK38-(+AK38*AE40)),IF(AB40="Impacto",AK39,""))),"")</f>
        <v/>
      </c>
      <c r="AJ40" s="193" t="str">
        <f t="shared" si="2"/>
        <v/>
      </c>
      <c r="AK40" s="191" t="str">
        <f t="shared" si="37"/>
        <v/>
      </c>
      <c r="AL40" s="193" t="str">
        <f t="shared" si="4"/>
        <v/>
      </c>
      <c r="AM40" s="191" t="str">
        <f t="shared" si="13"/>
        <v/>
      </c>
      <c r="AN40" s="194" t="str">
        <f>IFERROR(IF(OR(AND(AJ40="Muy Baja",AL40="Leve"),AND(AJ40="Muy Baja",AL40="Menor"),AND(AJ40="Baja",AL40="Leve")),"Bajo",IF(OR(AND(AJ40="Muy baja",AL40="Moderado"),AND(AJ40="Baja",AL40="Menor"),AND(AJ40="Baja",AL40="Moderado"),AND(AJ40="Media",AL40="Leve"),AND(AJ40="Media",AL40="Menor"),AND(AJ40="Media",AL40="Moderado"),AND(AJ40="Alta",AL40="Leve"),AND(AJ40="Alta",AL40="Menor")),"Moderado",IF(OR(AND(AJ40="Muy Baja",AL40="Mayor"),AND(AJ40="Baja",AL40="Mayor"),AND(AJ40="Media",AL40="Mayor"),AND(AJ40="Alta",AL40="Moderado"),AND(AJ40="Alta",AL40="Mayor"),AND(AJ40="Muy Alta",AL40="Leve"),AND(AJ40="Muy Alta",AL40="Menor"),AND(AJ40="Muy Alta",AL40="Moderado"),AND(AJ40="Muy Alta",AL40="Mayor")),"Alto",IF(OR(AND(AJ40="Muy Baja",AL40="Catastrófico"),AND(AJ40="Baja",AL40="Catastrófico"),AND(AJ40="Media",AL40="Catastrófico"),AND(AJ40="Alta",AL40="Catastrófico"),AND(AJ40="Muy Alta",AL40="Catastrófico")),"Extremo","")))),"")</f>
        <v/>
      </c>
      <c r="AO40" s="195"/>
      <c r="AP40" s="186"/>
      <c r="AQ40" s="196"/>
      <c r="AR40" s="196"/>
      <c r="AS40" s="197"/>
      <c r="AT40" s="341"/>
      <c r="AU40" s="341"/>
      <c r="AV40" s="341"/>
    </row>
    <row r="41" spans="1:48" ht="37.5" customHeight="1" x14ac:dyDescent="0.2">
      <c r="A41" s="352"/>
      <c r="B41" s="353"/>
      <c r="C41" s="353"/>
      <c r="D41" s="353"/>
      <c r="E41" s="353"/>
      <c r="F41" s="353"/>
      <c r="G41" s="336"/>
      <c r="H41" s="336"/>
      <c r="I41" s="336"/>
      <c r="J41" s="336"/>
      <c r="K41" s="336"/>
      <c r="L41" s="336"/>
      <c r="M41" s="336"/>
      <c r="N41" s="336"/>
      <c r="O41" s="336"/>
      <c r="P41" s="336"/>
      <c r="Q41" s="336"/>
      <c r="R41" s="341"/>
      <c r="S41" s="346"/>
      <c r="T41" s="331"/>
      <c r="U41" s="343"/>
      <c r="V41" s="331">
        <f>IF(NOT(ISERROR(MATCH(U41,_xlfn.ANCHORARRAY(E52),0))),T54&amp;"Por favor no seleccionar los criterios de impacto",U41)</f>
        <v>0</v>
      </c>
      <c r="W41" s="346"/>
      <c r="X41" s="331"/>
      <c r="Y41" s="327"/>
      <c r="Z41" s="214">
        <v>5</v>
      </c>
      <c r="AA41" s="187"/>
      <c r="AB41" s="189" t="str">
        <f t="shared" si="41"/>
        <v/>
      </c>
      <c r="AC41" s="190"/>
      <c r="AD41" s="190"/>
      <c r="AE41" s="191" t="str">
        <f t="shared" si="36"/>
        <v/>
      </c>
      <c r="AF41" s="190"/>
      <c r="AG41" s="190"/>
      <c r="AH41" s="190"/>
      <c r="AI41" s="192" t="str">
        <f t="shared" si="42"/>
        <v/>
      </c>
      <c r="AJ41" s="193" t="str">
        <f t="shared" si="2"/>
        <v/>
      </c>
      <c r="AK41" s="191" t="str">
        <f t="shared" si="37"/>
        <v/>
      </c>
      <c r="AL41" s="193" t="str">
        <f t="shared" si="4"/>
        <v/>
      </c>
      <c r="AM41" s="191" t="str">
        <f t="shared" si="13"/>
        <v/>
      </c>
      <c r="AN41" s="194" t="str">
        <f t="shared" ref="AN41:AN42" si="43">IFERROR(IF(OR(AND(AJ41="Muy Baja",AL41="Leve"),AND(AJ41="Muy Baja",AL41="Menor"),AND(AJ41="Baja",AL41="Leve")),"Bajo",IF(OR(AND(AJ41="Muy baja",AL41="Moderado"),AND(AJ41="Baja",AL41="Menor"),AND(AJ41="Baja",AL41="Moderado"),AND(AJ41="Media",AL41="Leve"),AND(AJ41="Media",AL41="Menor"),AND(AJ41="Media",AL41="Moderado"),AND(AJ41="Alta",AL41="Leve"),AND(AJ41="Alta",AL41="Menor")),"Moderado",IF(OR(AND(AJ41="Muy Baja",AL41="Mayor"),AND(AJ41="Baja",AL41="Mayor"),AND(AJ41="Media",AL41="Mayor"),AND(AJ41="Alta",AL41="Moderado"),AND(AJ41="Alta",AL41="Mayor"),AND(AJ41="Muy Alta",AL41="Leve"),AND(AJ41="Muy Alta",AL41="Menor"),AND(AJ41="Muy Alta",AL41="Moderado"),AND(AJ41="Muy Alta",AL41="Mayor")),"Alto",IF(OR(AND(AJ41="Muy Baja",AL41="Catastrófico"),AND(AJ41="Baja",AL41="Catastrófico"),AND(AJ41="Media",AL41="Catastrófico"),AND(AJ41="Alta",AL41="Catastrófico"),AND(AJ41="Muy Alta",AL41="Catastrófico")),"Extremo","")))),"")</f>
        <v/>
      </c>
      <c r="AO41" s="195"/>
      <c r="AP41" s="186"/>
      <c r="AQ41" s="196"/>
      <c r="AR41" s="196"/>
      <c r="AS41" s="197"/>
      <c r="AT41" s="341"/>
      <c r="AU41" s="341"/>
      <c r="AV41" s="341"/>
    </row>
    <row r="42" spans="1:48" ht="37.5" customHeight="1" x14ac:dyDescent="0.2">
      <c r="A42" s="352"/>
      <c r="B42" s="353"/>
      <c r="C42" s="353"/>
      <c r="D42" s="353"/>
      <c r="E42" s="353"/>
      <c r="F42" s="353"/>
      <c r="G42" s="337"/>
      <c r="H42" s="337"/>
      <c r="I42" s="337"/>
      <c r="J42" s="337"/>
      <c r="K42" s="337"/>
      <c r="L42" s="337"/>
      <c r="M42" s="337"/>
      <c r="N42" s="337"/>
      <c r="O42" s="337"/>
      <c r="P42" s="337"/>
      <c r="Q42" s="337"/>
      <c r="R42" s="341"/>
      <c r="S42" s="346"/>
      <c r="T42" s="331"/>
      <c r="U42" s="343"/>
      <c r="V42" s="331">
        <f>IF(NOT(ISERROR(MATCH(U42,_xlfn.ANCHORARRAY(E53),0))),T55&amp;"Por favor no seleccionar los criterios de impacto",U42)</f>
        <v>0</v>
      </c>
      <c r="W42" s="346"/>
      <c r="X42" s="331"/>
      <c r="Y42" s="327"/>
      <c r="Z42" s="214">
        <v>6</v>
      </c>
      <c r="AA42" s="187"/>
      <c r="AB42" s="189" t="str">
        <f t="shared" si="41"/>
        <v/>
      </c>
      <c r="AC42" s="190"/>
      <c r="AD42" s="190"/>
      <c r="AE42" s="191" t="str">
        <f t="shared" si="36"/>
        <v/>
      </c>
      <c r="AF42" s="190"/>
      <c r="AG42" s="190"/>
      <c r="AH42" s="190"/>
      <c r="AI42" s="192" t="str">
        <f t="shared" si="42"/>
        <v/>
      </c>
      <c r="AJ42" s="193" t="str">
        <f t="shared" si="2"/>
        <v/>
      </c>
      <c r="AK42" s="191" t="str">
        <f t="shared" si="37"/>
        <v/>
      </c>
      <c r="AL42" s="193" t="str">
        <f t="shared" si="4"/>
        <v/>
      </c>
      <c r="AM42" s="191" t="str">
        <f t="shared" si="13"/>
        <v/>
      </c>
      <c r="AN42" s="194" t="str">
        <f t="shared" si="43"/>
        <v/>
      </c>
      <c r="AO42" s="195"/>
      <c r="AP42" s="186"/>
      <c r="AQ42" s="196"/>
      <c r="AR42" s="196"/>
      <c r="AS42" s="197"/>
      <c r="AT42" s="341"/>
      <c r="AU42" s="341"/>
      <c r="AV42" s="341"/>
    </row>
    <row r="43" spans="1:48" ht="37.5" customHeight="1" x14ac:dyDescent="0.2">
      <c r="A43" s="352">
        <v>6</v>
      </c>
      <c r="B43" s="353"/>
      <c r="C43" s="353"/>
      <c r="D43" s="353"/>
      <c r="E43" s="335"/>
      <c r="F43" s="353"/>
      <c r="G43" s="335"/>
      <c r="H43" s="335"/>
      <c r="I43" s="335"/>
      <c r="J43" s="335"/>
      <c r="K43" s="335"/>
      <c r="L43" s="335"/>
      <c r="M43" s="335"/>
      <c r="N43" s="335"/>
      <c r="O43" s="335"/>
      <c r="P43" s="335"/>
      <c r="Q43" s="335"/>
      <c r="R43" s="341"/>
      <c r="S43" s="346" t="str">
        <f>IF(R43&lt;=0,"",IF(R43&lt;=2,"Muy Baja",IF(R43&lt;=24,"Baja",IF(R43&lt;=500,"Media",IF(R43&lt;=5000,"Alta","Muy Alta")))))</f>
        <v/>
      </c>
      <c r="T43" s="331" t="str">
        <f>IF(S43="","",IF(S43="Muy Baja",0.2,IF(S43="Baja",0.4,IF(S43="Media",0.6,IF(S43="Alta",0.8,IF(S43="Muy Alta",1,))))))</f>
        <v/>
      </c>
      <c r="U43" s="343"/>
      <c r="V43" s="331">
        <f>IF(NOT(ISERROR(MATCH(U43,'Tabla Impacto'!$B$222:$B$224,0))),'Tabla Impacto'!$F$224&amp;"Por favor no seleccionar los criterios de impacto(Afectación Económica o presupuestal y Pérdida Reputacional)",U43)</f>
        <v>0</v>
      </c>
      <c r="W43" s="346" t="str">
        <f>IF(OR(V43='Tabla Impacto'!$C$12,V43='Tabla Impacto'!$D$12),"Leve",IF(OR(V43='Tabla Impacto'!$C$13,V43='Tabla Impacto'!$D$13),"Menor",IF(OR(V43='Tabla Impacto'!$C$14,V43='Tabla Impacto'!$D$14),"Moderado",IF(OR(V43='Tabla Impacto'!$C$15,V43='Tabla Impacto'!$D$15),"Mayor",IF(OR(V43='Tabla Impacto'!$C$16,V43='Tabla Impacto'!$D$16),"Catastrófico","")))))</f>
        <v/>
      </c>
      <c r="X43" s="331" t="str">
        <f>IF(W43="","",IF(W43="Leve",0.2,IF(W43="Menor",0.4,IF(W43="Moderado",0.6,IF(W43="Mayor",0.8,IF(W43="Catastrófico",1,))))))</f>
        <v/>
      </c>
      <c r="Y43" s="327" t="str">
        <f>IF(OR(AND(S43="Muy Baja",W43="Leve"),AND(S43="Muy Baja",W43="Menor"),AND(S43="Baja",W43="Leve")),"Bajo",IF(OR(AND(S43="Muy baja",W43="Moderado"),AND(S43="Baja",W43="Menor"),AND(S43="Baja",W43="Moderado"),AND(S43="Media",W43="Leve"),AND(S43="Media",W43="Menor"),AND(S43="Media",W43="Moderado"),AND(S43="Alta",W43="Leve"),AND(S43="Alta",W43="Menor")),"Moderado",IF(OR(AND(S43="Muy Baja",W43="Mayor"),AND(S43="Baja",W43="Mayor"),AND(S43="Media",W43="Mayor"),AND(S43="Alta",W43="Moderado"),AND(S43="Alta",W43="Mayor"),AND(S43="Muy Alta",W43="Leve"),AND(S43="Muy Alta",W43="Menor"),AND(S43="Muy Alta",W43="Moderado"),AND(S43="Muy Alta",W43="Mayor")),"Alto",IF(OR(AND(S43="Muy Baja",W43="Catastrófico"),AND(S43="Baja",W43="Catastrófico"),AND(S43="Media",W43="Catastrófico"),AND(S43="Alta",W43="Catastrófico"),AND(S43="Muy Alta",W43="Catastrófico")),"Extremo",""))))</f>
        <v/>
      </c>
      <c r="Z43" s="214">
        <v>1</v>
      </c>
      <c r="AA43" s="187"/>
      <c r="AB43" s="189" t="str">
        <f>IF(OR(AC43="Preventivo",AC43="Detectivo"),"Probabilidad",IF(AC43="Correctivo","Impacto",""))</f>
        <v/>
      </c>
      <c r="AC43" s="190"/>
      <c r="AD43" s="190"/>
      <c r="AE43" s="191" t="str">
        <f>IF(AND(AC43="Preventivo",AD43="Automático"),"50%",IF(AND(AC43="Preventivo",AD43="Manual"),"40%",IF(AND(AC43="Detectivo",AD43="Automático"),"40%",IF(AND(AC43="Detectivo",AD43="Manual"),"30%",IF(AND(AC43="Correctivo",AD43="Automático"),"35%",IF(AND(AC43="Correctivo",AD43="Manual"),"25%",""))))))</f>
        <v/>
      </c>
      <c r="AF43" s="190"/>
      <c r="AG43" s="190"/>
      <c r="AH43" s="190"/>
      <c r="AI43" s="192" t="str">
        <f>IFERROR(IF(AB43="Probabilidad",(T43-(+T43*AE43)),IF(AB43="Impacto",T43,"")),"")</f>
        <v/>
      </c>
      <c r="AJ43" s="193" t="str">
        <f>IFERROR(IF(AI43="","",IF(AI43&lt;=0.2,"Muy Baja",IF(AI43&lt;=0.4,"Baja",IF(AI43&lt;=0.6,"Media",IF(AI43&lt;=0.8,"Alta","Muy Alta"))))),"")</f>
        <v/>
      </c>
      <c r="AK43" s="191" t="str">
        <f>+AI43</f>
        <v/>
      </c>
      <c r="AL43" s="193" t="str">
        <f>IFERROR(IF(AM43="","",IF(AM43&lt;=0.2,"Leve",IF(AM43&lt;=0.4,"Menor",IF(AM43&lt;=0.6,"Moderado",IF(AM43&lt;=0.8,"Mayor","Catastrófico"))))),"")</f>
        <v/>
      </c>
      <c r="AM43" s="191" t="str">
        <f t="shared" ref="AM43" si="44">IFERROR(IF(AB43="Impacto",(X43-(+X43*AE43)),IF(AB43="Probabilidad",X43,"")),"")</f>
        <v/>
      </c>
      <c r="AN43" s="194" t="str">
        <f>IFERROR(IF(OR(AND(AJ43="Muy Baja",AL43="Leve"),AND(AJ43="Muy Baja",AL43="Menor"),AND(AJ43="Baja",AL43="Leve")),"Bajo",IF(OR(AND(AJ43="Muy baja",AL43="Moderado"),AND(AJ43="Baja",AL43="Menor"),AND(AJ43="Baja",AL43="Moderado"),AND(AJ43="Media",AL43="Leve"),AND(AJ43="Media",AL43="Menor"),AND(AJ43="Media",AL43="Moderado"),AND(AJ43="Alta",AL43="Leve"),AND(AJ43="Alta",AL43="Menor")),"Moderado",IF(OR(AND(AJ43="Muy Baja",AL43="Mayor"),AND(AJ43="Baja",AL43="Mayor"),AND(AJ43="Media",AL43="Mayor"),AND(AJ43="Alta",AL43="Moderado"),AND(AJ43="Alta",AL43="Mayor"),AND(AJ43="Muy Alta",AL43="Leve"),AND(AJ43="Muy Alta",AL43="Menor"),AND(AJ43="Muy Alta",AL43="Moderado"),AND(AJ43="Muy Alta",AL43="Mayor")),"Alto",IF(OR(AND(AJ43="Muy Baja",AL43="Catastrófico"),AND(AJ43="Baja",AL43="Catastrófico"),AND(AJ43="Media",AL43="Catastrófico"),AND(AJ43="Alta",AL43="Catastrófico"),AND(AJ43="Muy Alta",AL43="Catastrófico")),"Extremo","")))),"")</f>
        <v/>
      </c>
      <c r="AO43" s="190"/>
      <c r="AP43" s="186"/>
      <c r="AQ43" s="196"/>
      <c r="AR43" s="196"/>
      <c r="AS43" s="197"/>
      <c r="AT43" s="341"/>
      <c r="AU43" s="341"/>
      <c r="AV43" s="341"/>
    </row>
    <row r="44" spans="1:48" ht="37.5" customHeight="1" x14ac:dyDescent="0.2">
      <c r="A44" s="352"/>
      <c r="B44" s="353"/>
      <c r="C44" s="353"/>
      <c r="D44" s="353"/>
      <c r="E44" s="336"/>
      <c r="F44" s="353"/>
      <c r="G44" s="336"/>
      <c r="H44" s="336"/>
      <c r="I44" s="336"/>
      <c r="J44" s="336"/>
      <c r="K44" s="336"/>
      <c r="L44" s="336"/>
      <c r="M44" s="336"/>
      <c r="N44" s="336"/>
      <c r="O44" s="336"/>
      <c r="P44" s="336"/>
      <c r="Q44" s="336"/>
      <c r="R44" s="341"/>
      <c r="S44" s="346"/>
      <c r="T44" s="331"/>
      <c r="U44" s="343"/>
      <c r="V44" s="331">
        <f>IF(NOT(ISERROR(MATCH(U44,_xlfn.ANCHORARRAY(E55),0))),T57&amp;"Por favor no seleccionar los criterios de impacto",U44)</f>
        <v>0</v>
      </c>
      <c r="W44" s="346"/>
      <c r="X44" s="331"/>
      <c r="Y44" s="327"/>
      <c r="Z44" s="214">
        <v>2</v>
      </c>
      <c r="AA44" s="187"/>
      <c r="AB44" s="189" t="str">
        <f>IF(OR(AC44="Preventivo",AC44="Detectivo"),"Probabilidad",IF(AC44="Correctivo","Impacto",""))</f>
        <v/>
      </c>
      <c r="AC44" s="190"/>
      <c r="AD44" s="190"/>
      <c r="AE44" s="191" t="str">
        <f t="shared" ref="AE44:AE48" si="45">IF(AND(AC44="Preventivo",AD44="Automático"),"50%",IF(AND(AC44="Preventivo",AD44="Manual"),"40%",IF(AND(AC44="Detectivo",AD44="Automático"),"40%",IF(AND(AC44="Detectivo",AD44="Manual"),"30%",IF(AND(AC44="Correctivo",AD44="Automático"),"35%",IF(AND(AC44="Correctivo",AD44="Manual"),"25%",""))))))</f>
        <v/>
      </c>
      <c r="AF44" s="190"/>
      <c r="AG44" s="190"/>
      <c r="AH44" s="190"/>
      <c r="AI44" s="192" t="str">
        <f>IFERROR(IF(AND(AB43="Probabilidad",AB44="Probabilidad"),(AK43-(+AK43*AE44)),IF(AB44="Probabilidad",(T43-(+T43*AE44)),IF(AB44="Impacto",AK43,""))),"")</f>
        <v/>
      </c>
      <c r="AJ44" s="193" t="str">
        <f t="shared" si="2"/>
        <v/>
      </c>
      <c r="AK44" s="191" t="str">
        <f t="shared" ref="AK44:AK48" si="46">+AI44</f>
        <v/>
      </c>
      <c r="AL44" s="193" t="str">
        <f t="shared" si="4"/>
        <v/>
      </c>
      <c r="AM44" s="191" t="str">
        <f t="shared" ref="AM44" si="47">IFERROR(IF(AND(AB43="Impacto",AB44="Impacto"),(AM43-(+AM43*AE44)),IF(AB44="Impacto",($X$13-(+$X$13*AE44)),IF(AB44="Probabilidad",AM43,""))),"")</f>
        <v/>
      </c>
      <c r="AN44" s="194" t="str">
        <f t="shared" ref="AN44:AN45" si="48">IFERROR(IF(OR(AND(AJ44="Muy Baja",AL44="Leve"),AND(AJ44="Muy Baja",AL44="Menor"),AND(AJ44="Baja",AL44="Leve")),"Bajo",IF(OR(AND(AJ44="Muy baja",AL44="Moderado"),AND(AJ44="Baja",AL44="Menor"),AND(AJ44="Baja",AL44="Moderado"),AND(AJ44="Media",AL44="Leve"),AND(AJ44="Media",AL44="Menor"),AND(AJ44="Media",AL44="Moderado"),AND(AJ44="Alta",AL44="Leve"),AND(AJ44="Alta",AL44="Menor")),"Moderado",IF(OR(AND(AJ44="Muy Baja",AL44="Mayor"),AND(AJ44="Baja",AL44="Mayor"),AND(AJ44="Media",AL44="Mayor"),AND(AJ44="Alta",AL44="Moderado"),AND(AJ44="Alta",AL44="Mayor"),AND(AJ44="Muy Alta",AL44="Leve"),AND(AJ44="Muy Alta",AL44="Menor"),AND(AJ44="Muy Alta",AL44="Moderado"),AND(AJ44="Muy Alta",AL44="Mayor")),"Alto",IF(OR(AND(AJ44="Muy Baja",AL44="Catastrófico"),AND(AJ44="Baja",AL44="Catastrófico"),AND(AJ44="Media",AL44="Catastrófico"),AND(AJ44="Alta",AL44="Catastrófico"),AND(AJ44="Muy Alta",AL44="Catastrófico")),"Extremo","")))),"")</f>
        <v/>
      </c>
      <c r="AO44" s="195"/>
      <c r="AP44" s="186"/>
      <c r="AQ44" s="196"/>
      <c r="AR44" s="196"/>
      <c r="AS44" s="197"/>
      <c r="AT44" s="341"/>
      <c r="AU44" s="341"/>
      <c r="AV44" s="341"/>
    </row>
    <row r="45" spans="1:48" ht="37.5" customHeight="1" x14ac:dyDescent="0.2">
      <c r="A45" s="352"/>
      <c r="B45" s="353"/>
      <c r="C45" s="353"/>
      <c r="D45" s="353"/>
      <c r="E45" s="336"/>
      <c r="F45" s="353"/>
      <c r="G45" s="336"/>
      <c r="H45" s="336"/>
      <c r="I45" s="336"/>
      <c r="J45" s="336"/>
      <c r="K45" s="336"/>
      <c r="L45" s="336"/>
      <c r="M45" s="336"/>
      <c r="N45" s="336"/>
      <c r="O45" s="336"/>
      <c r="P45" s="336"/>
      <c r="Q45" s="336"/>
      <c r="R45" s="341"/>
      <c r="S45" s="346"/>
      <c r="T45" s="331"/>
      <c r="U45" s="343"/>
      <c r="V45" s="331">
        <f>IF(NOT(ISERROR(MATCH(U45,_xlfn.ANCHORARRAY(E56),0))),T58&amp;"Por favor no seleccionar los criterios de impacto",U45)</f>
        <v>0</v>
      </c>
      <c r="W45" s="346"/>
      <c r="X45" s="331"/>
      <c r="Y45" s="327"/>
      <c r="Z45" s="214">
        <v>3</v>
      </c>
      <c r="AA45" s="188"/>
      <c r="AB45" s="189" t="str">
        <f>IF(OR(AC45="Preventivo",AC45="Detectivo"),"Probabilidad",IF(AC45="Correctivo","Impacto",""))</f>
        <v/>
      </c>
      <c r="AC45" s="190"/>
      <c r="AD45" s="190"/>
      <c r="AE45" s="191" t="str">
        <f t="shared" si="45"/>
        <v/>
      </c>
      <c r="AF45" s="190"/>
      <c r="AG45" s="190"/>
      <c r="AH45" s="190"/>
      <c r="AI45" s="192" t="str">
        <f>IFERROR(IF(AND(AB44="Probabilidad",AB45="Probabilidad"),(AK44-(+AK44*AE45)),IF(AND(AB44="Impacto",AB45="Probabilidad"),(AK43-(+AK43*AE45)),IF(AB45="Impacto",AK44,""))),"")</f>
        <v/>
      </c>
      <c r="AJ45" s="193" t="str">
        <f t="shared" si="2"/>
        <v/>
      </c>
      <c r="AK45" s="191" t="str">
        <f t="shared" si="46"/>
        <v/>
      </c>
      <c r="AL45" s="193" t="str">
        <f t="shared" si="4"/>
        <v/>
      </c>
      <c r="AM45" s="191" t="str">
        <f t="shared" ref="AM45" si="49">IFERROR(IF(AND(AB44="Impacto",AB45="Impacto"),(AM44-(+AM44*AE45)),IF(AND(AB44="Probabilidad",AB45="Impacto"),(AM43-(+AM43*AE45)),IF(AB45="Probabilidad",AM44,""))),"")</f>
        <v/>
      </c>
      <c r="AN45" s="194" t="str">
        <f t="shared" si="48"/>
        <v/>
      </c>
      <c r="AO45" s="195"/>
      <c r="AP45" s="186"/>
      <c r="AQ45" s="196"/>
      <c r="AR45" s="196"/>
      <c r="AS45" s="197"/>
      <c r="AT45" s="341"/>
      <c r="AU45" s="341"/>
      <c r="AV45" s="341"/>
    </row>
    <row r="46" spans="1:48" ht="37.5" customHeight="1" x14ac:dyDescent="0.2">
      <c r="A46" s="352"/>
      <c r="B46" s="353"/>
      <c r="C46" s="353"/>
      <c r="D46" s="353"/>
      <c r="E46" s="336"/>
      <c r="F46" s="353"/>
      <c r="G46" s="336"/>
      <c r="H46" s="336"/>
      <c r="I46" s="336"/>
      <c r="J46" s="336"/>
      <c r="K46" s="336"/>
      <c r="L46" s="336"/>
      <c r="M46" s="336"/>
      <c r="N46" s="336"/>
      <c r="O46" s="336"/>
      <c r="P46" s="336"/>
      <c r="Q46" s="336"/>
      <c r="R46" s="341"/>
      <c r="S46" s="346"/>
      <c r="T46" s="331"/>
      <c r="U46" s="343"/>
      <c r="V46" s="331">
        <f>IF(NOT(ISERROR(MATCH(U46,_xlfn.ANCHORARRAY(E57),0))),T59&amp;"Por favor no seleccionar los criterios de impacto",U46)</f>
        <v>0</v>
      </c>
      <c r="W46" s="346"/>
      <c r="X46" s="331"/>
      <c r="Y46" s="327"/>
      <c r="Z46" s="214">
        <v>4</v>
      </c>
      <c r="AA46" s="187"/>
      <c r="AB46" s="189" t="str">
        <f t="shared" ref="AB46:AB48" si="50">IF(OR(AC46="Preventivo",AC46="Detectivo"),"Probabilidad",IF(AC46="Correctivo","Impacto",""))</f>
        <v/>
      </c>
      <c r="AC46" s="190"/>
      <c r="AD46" s="190"/>
      <c r="AE46" s="191" t="str">
        <f t="shared" si="45"/>
        <v/>
      </c>
      <c r="AF46" s="190"/>
      <c r="AG46" s="190"/>
      <c r="AH46" s="190"/>
      <c r="AI46" s="192" t="str">
        <f t="shared" ref="AI46:AI48" si="51">IFERROR(IF(AND(AB45="Probabilidad",AB46="Probabilidad"),(AK45-(+AK45*AE46)),IF(AND(AB45="Impacto",AB46="Probabilidad"),(AK44-(+AK44*AE46)),IF(AB46="Impacto",AK45,""))),"")</f>
        <v/>
      </c>
      <c r="AJ46" s="193" t="str">
        <f t="shared" si="2"/>
        <v/>
      </c>
      <c r="AK46" s="191" t="str">
        <f t="shared" si="46"/>
        <v/>
      </c>
      <c r="AL46" s="193" t="str">
        <f t="shared" si="4"/>
        <v/>
      </c>
      <c r="AM46" s="191" t="str">
        <f t="shared" si="13"/>
        <v/>
      </c>
      <c r="AN46" s="194" t="str">
        <f>IFERROR(IF(OR(AND(AJ46="Muy Baja",AL46="Leve"),AND(AJ46="Muy Baja",AL46="Menor"),AND(AJ46="Baja",AL46="Leve")),"Bajo",IF(OR(AND(AJ46="Muy baja",AL46="Moderado"),AND(AJ46="Baja",AL46="Menor"),AND(AJ46="Baja",AL46="Moderado"),AND(AJ46="Media",AL46="Leve"),AND(AJ46="Media",AL46="Menor"),AND(AJ46="Media",AL46="Moderado"),AND(AJ46="Alta",AL46="Leve"),AND(AJ46="Alta",AL46="Menor")),"Moderado",IF(OR(AND(AJ46="Muy Baja",AL46="Mayor"),AND(AJ46="Baja",AL46="Mayor"),AND(AJ46="Media",AL46="Mayor"),AND(AJ46="Alta",AL46="Moderado"),AND(AJ46="Alta",AL46="Mayor"),AND(AJ46="Muy Alta",AL46="Leve"),AND(AJ46="Muy Alta",AL46="Menor"),AND(AJ46="Muy Alta",AL46="Moderado"),AND(AJ46="Muy Alta",AL46="Mayor")),"Alto",IF(OR(AND(AJ46="Muy Baja",AL46="Catastrófico"),AND(AJ46="Baja",AL46="Catastrófico"),AND(AJ46="Media",AL46="Catastrófico"),AND(AJ46="Alta",AL46="Catastrófico"),AND(AJ46="Muy Alta",AL46="Catastrófico")),"Extremo","")))),"")</f>
        <v/>
      </c>
      <c r="AO46" s="195"/>
      <c r="AP46" s="186"/>
      <c r="AQ46" s="196"/>
      <c r="AR46" s="196"/>
      <c r="AS46" s="197"/>
      <c r="AT46" s="341"/>
      <c r="AU46" s="341"/>
      <c r="AV46" s="341"/>
    </row>
    <row r="47" spans="1:48" ht="37.5" customHeight="1" x14ac:dyDescent="0.2">
      <c r="A47" s="352"/>
      <c r="B47" s="353"/>
      <c r="C47" s="353"/>
      <c r="D47" s="353"/>
      <c r="E47" s="336"/>
      <c r="F47" s="353"/>
      <c r="G47" s="336"/>
      <c r="H47" s="336"/>
      <c r="I47" s="336"/>
      <c r="J47" s="336"/>
      <c r="K47" s="336"/>
      <c r="L47" s="336"/>
      <c r="M47" s="336"/>
      <c r="N47" s="336"/>
      <c r="O47" s="336"/>
      <c r="P47" s="336"/>
      <c r="Q47" s="336"/>
      <c r="R47" s="341"/>
      <c r="S47" s="346"/>
      <c r="T47" s="331"/>
      <c r="U47" s="343"/>
      <c r="V47" s="331">
        <f>IF(NOT(ISERROR(MATCH(U47,_xlfn.ANCHORARRAY(E58),0))),T60&amp;"Por favor no seleccionar los criterios de impacto",U47)</f>
        <v>0</v>
      </c>
      <c r="W47" s="346"/>
      <c r="X47" s="331"/>
      <c r="Y47" s="327"/>
      <c r="Z47" s="214">
        <v>5</v>
      </c>
      <c r="AA47" s="187"/>
      <c r="AB47" s="189" t="str">
        <f t="shared" si="50"/>
        <v/>
      </c>
      <c r="AC47" s="190"/>
      <c r="AD47" s="190"/>
      <c r="AE47" s="191" t="str">
        <f t="shared" si="45"/>
        <v/>
      </c>
      <c r="AF47" s="190"/>
      <c r="AG47" s="190"/>
      <c r="AH47" s="190"/>
      <c r="AI47" s="192" t="str">
        <f t="shared" si="51"/>
        <v/>
      </c>
      <c r="AJ47" s="193" t="str">
        <f t="shared" si="2"/>
        <v/>
      </c>
      <c r="AK47" s="191" t="str">
        <f t="shared" si="46"/>
        <v/>
      </c>
      <c r="AL47" s="193" t="str">
        <f t="shared" si="4"/>
        <v/>
      </c>
      <c r="AM47" s="191" t="str">
        <f t="shared" si="13"/>
        <v/>
      </c>
      <c r="AN47" s="194" t="str">
        <f t="shared" ref="AN47" si="52">IFERROR(IF(OR(AND(AJ47="Muy Baja",AL47="Leve"),AND(AJ47="Muy Baja",AL47="Menor"),AND(AJ47="Baja",AL47="Leve")),"Bajo",IF(OR(AND(AJ47="Muy baja",AL47="Moderado"),AND(AJ47="Baja",AL47="Menor"),AND(AJ47="Baja",AL47="Moderado"),AND(AJ47="Media",AL47="Leve"),AND(AJ47="Media",AL47="Menor"),AND(AJ47="Media",AL47="Moderado"),AND(AJ47="Alta",AL47="Leve"),AND(AJ47="Alta",AL47="Menor")),"Moderado",IF(OR(AND(AJ47="Muy Baja",AL47="Mayor"),AND(AJ47="Baja",AL47="Mayor"),AND(AJ47="Media",AL47="Mayor"),AND(AJ47="Alta",AL47="Moderado"),AND(AJ47="Alta",AL47="Mayor"),AND(AJ47="Muy Alta",AL47="Leve"),AND(AJ47="Muy Alta",AL47="Menor"),AND(AJ47="Muy Alta",AL47="Moderado"),AND(AJ47="Muy Alta",AL47="Mayor")),"Alto",IF(OR(AND(AJ47="Muy Baja",AL47="Catastrófico"),AND(AJ47="Baja",AL47="Catastrófico"),AND(AJ47="Media",AL47="Catastrófico"),AND(AJ47="Alta",AL47="Catastrófico"),AND(AJ47="Muy Alta",AL47="Catastrófico")),"Extremo","")))),"")</f>
        <v/>
      </c>
      <c r="AO47" s="195"/>
      <c r="AP47" s="186"/>
      <c r="AQ47" s="196"/>
      <c r="AR47" s="196"/>
      <c r="AS47" s="197"/>
      <c r="AT47" s="341"/>
      <c r="AU47" s="341"/>
      <c r="AV47" s="341"/>
    </row>
    <row r="48" spans="1:48" ht="37.5" customHeight="1" x14ac:dyDescent="0.2">
      <c r="A48" s="352"/>
      <c r="B48" s="353"/>
      <c r="C48" s="353"/>
      <c r="D48" s="353"/>
      <c r="E48" s="337"/>
      <c r="F48" s="353"/>
      <c r="G48" s="337"/>
      <c r="H48" s="337"/>
      <c r="I48" s="337"/>
      <c r="J48" s="337"/>
      <c r="K48" s="337"/>
      <c r="L48" s="337"/>
      <c r="M48" s="337"/>
      <c r="N48" s="337"/>
      <c r="O48" s="337"/>
      <c r="P48" s="337"/>
      <c r="Q48" s="337"/>
      <c r="R48" s="341"/>
      <c r="S48" s="346"/>
      <c r="T48" s="331"/>
      <c r="U48" s="343"/>
      <c r="V48" s="331">
        <f>IF(NOT(ISERROR(MATCH(U48,_xlfn.ANCHORARRAY(E59),0))),T61&amp;"Por favor no seleccionar los criterios de impacto",U48)</f>
        <v>0</v>
      </c>
      <c r="W48" s="346"/>
      <c r="X48" s="331"/>
      <c r="Y48" s="327"/>
      <c r="Z48" s="214">
        <v>6</v>
      </c>
      <c r="AA48" s="187"/>
      <c r="AB48" s="189" t="str">
        <f t="shared" si="50"/>
        <v/>
      </c>
      <c r="AC48" s="190"/>
      <c r="AD48" s="190"/>
      <c r="AE48" s="191" t="str">
        <f t="shared" si="45"/>
        <v/>
      </c>
      <c r="AF48" s="190"/>
      <c r="AG48" s="190"/>
      <c r="AH48" s="190"/>
      <c r="AI48" s="192" t="str">
        <f t="shared" si="51"/>
        <v/>
      </c>
      <c r="AJ48" s="193" t="str">
        <f t="shared" si="2"/>
        <v/>
      </c>
      <c r="AK48" s="191" t="str">
        <f t="shared" si="46"/>
        <v/>
      </c>
      <c r="AL48" s="193" t="str">
        <f>IFERROR(IF(AM48="","",IF(AM48&lt;=0.2,"Leve",IF(AM48&lt;=0.4,"Menor",IF(AM48&lt;=0.6,"Moderado",IF(AM48&lt;=0.8,"Mayor","Catastrófico"))))),"")</f>
        <v/>
      </c>
      <c r="AM48" s="191" t="str">
        <f t="shared" si="13"/>
        <v/>
      </c>
      <c r="AN48" s="194" t="str">
        <f>IFERROR(IF(OR(AND(AJ48="Muy Baja",AL48="Leve"),AND(AJ48="Muy Baja",AL48="Menor"),AND(AJ48="Baja",AL48="Leve")),"Bajo",IF(OR(AND(AJ48="Muy baja",AL48="Moderado"),AND(AJ48="Baja",AL48="Menor"),AND(AJ48="Baja",AL48="Moderado"),AND(AJ48="Media",AL48="Leve"),AND(AJ48="Media",AL48="Menor"),AND(AJ48="Media",AL48="Moderado"),AND(AJ48="Alta",AL48="Leve"),AND(AJ48="Alta",AL48="Menor")),"Moderado",IF(OR(AND(AJ48="Muy Baja",AL48="Mayor"),AND(AJ48="Baja",AL48="Mayor"),AND(AJ48="Media",AL48="Mayor"),AND(AJ48="Alta",AL48="Moderado"),AND(AJ48="Alta",AL48="Mayor"),AND(AJ48="Muy Alta",AL48="Leve"),AND(AJ48="Muy Alta",AL48="Menor"),AND(AJ48="Muy Alta",AL48="Moderado"),AND(AJ48="Muy Alta",AL48="Mayor")),"Alto",IF(OR(AND(AJ48="Muy Baja",AL48="Catastrófico"),AND(AJ48="Baja",AL48="Catastrófico"),AND(AJ48="Media",AL48="Catastrófico"),AND(AJ48="Alta",AL48="Catastrófico"),AND(AJ48="Muy Alta",AL48="Catastrófico")),"Extremo","")))),"")</f>
        <v/>
      </c>
      <c r="AO48" s="195"/>
      <c r="AP48" s="186"/>
      <c r="AQ48" s="196"/>
      <c r="AR48" s="196"/>
      <c r="AS48" s="197"/>
      <c r="AT48" s="341"/>
      <c r="AU48" s="341"/>
      <c r="AV48" s="341"/>
    </row>
    <row r="49" spans="1:48" ht="37.5" customHeight="1" x14ac:dyDescent="0.2">
      <c r="A49" s="352">
        <v>7</v>
      </c>
      <c r="B49" s="353"/>
      <c r="C49" s="353"/>
      <c r="D49" s="356"/>
      <c r="E49" s="353"/>
      <c r="F49" s="353"/>
      <c r="G49" s="335"/>
      <c r="H49" s="335"/>
      <c r="I49" s="335"/>
      <c r="J49" s="335"/>
      <c r="K49" s="335"/>
      <c r="L49" s="335"/>
      <c r="M49" s="335"/>
      <c r="N49" s="335"/>
      <c r="O49" s="335"/>
      <c r="P49" s="335"/>
      <c r="Q49" s="335"/>
      <c r="R49" s="341"/>
      <c r="S49" s="346" t="str">
        <f>IF(R49&lt;=0,"",IF(R49&lt;=2,"Muy Baja",IF(R49&lt;=24,"Baja",IF(R49&lt;=500,"Media",IF(R49&lt;=5000,"Alta","Muy Alta")))))</f>
        <v/>
      </c>
      <c r="T49" s="331" t="str">
        <f>IF(S49="","",IF(S49="Muy Baja",0.2,IF(S49="Baja",0.4,IF(S49="Media",0.6,IF(S49="Alta",0.8,IF(S49="Muy Alta",1,))))))</f>
        <v/>
      </c>
      <c r="U49" s="343"/>
      <c r="V49" s="331">
        <f>IF(NOT(ISERROR(MATCH(U49,'Tabla Impacto'!$B$222:$B$224,0))),'Tabla Impacto'!$F$224&amp;"Por favor no seleccionar los criterios de impacto(Afectación Económica o presupuestal y Pérdida Reputacional)",U49)</f>
        <v>0</v>
      </c>
      <c r="W49" s="346" t="str">
        <f>IF(OR(V49='Tabla Impacto'!$C$12,V49='Tabla Impacto'!$D$12),"Leve",IF(OR(V49='Tabla Impacto'!$C$13,V49='Tabla Impacto'!$D$13),"Menor",IF(OR(V49='Tabla Impacto'!$C$14,V49='Tabla Impacto'!$D$14),"Moderado",IF(OR(V49='Tabla Impacto'!$C$15,V49='Tabla Impacto'!$D$15),"Mayor",IF(OR(V49='Tabla Impacto'!$C$16,V49='Tabla Impacto'!$D$16),"Catastrófico","")))))</f>
        <v/>
      </c>
      <c r="X49" s="331" t="str">
        <f>IF(W49="","",IF(W49="Leve",0.2,IF(W49="Menor",0.4,IF(W49="Moderado",0.6,IF(W49="Mayor",0.8,IF(W49="Catastrófico",1,))))))</f>
        <v/>
      </c>
      <c r="Y49" s="327" t="str">
        <f>IF(OR(AND(S49="Muy Baja",W49="Leve"),AND(S49="Muy Baja",W49="Menor"),AND(S49="Baja",W49="Leve")),"Bajo",IF(OR(AND(S49="Muy baja",W49="Moderado"),AND(S49="Baja",W49="Menor"),AND(S49="Baja",W49="Moderado"),AND(S49="Media",W49="Leve"),AND(S49="Media",W49="Menor"),AND(S49="Media",W49="Moderado"),AND(S49="Alta",W49="Leve"),AND(S49="Alta",W49="Menor")),"Moderado",IF(OR(AND(S49="Muy Baja",W49="Mayor"),AND(S49="Baja",W49="Mayor"),AND(S49="Media",W49="Mayor"),AND(S49="Alta",W49="Moderado"),AND(S49="Alta",W49="Mayor"),AND(S49="Muy Alta",W49="Leve"),AND(S49="Muy Alta",W49="Menor"),AND(S49="Muy Alta",W49="Moderado"),AND(S49="Muy Alta",W49="Mayor")),"Alto",IF(OR(AND(S49="Muy Baja",W49="Catastrófico"),AND(S49="Baja",W49="Catastrófico"),AND(S49="Media",W49="Catastrófico"),AND(S49="Alta",W49="Catastrófico"),AND(S49="Muy Alta",W49="Catastrófico")),"Extremo",""))))</f>
        <v/>
      </c>
      <c r="Z49" s="214">
        <v>1</v>
      </c>
      <c r="AA49" s="199"/>
      <c r="AB49" s="189" t="str">
        <f>IF(OR(AC49="Preventivo",AC49="Detectivo"),"Probabilidad",IF(AC49="Correctivo","Impacto",""))</f>
        <v/>
      </c>
      <c r="AC49" s="190"/>
      <c r="AD49" s="190"/>
      <c r="AE49" s="191" t="str">
        <f>IF(AND(AC49="Preventivo",AD49="Automático"),"50%",IF(AND(AC49="Preventivo",AD49="Manual"),"40%",IF(AND(AC49="Detectivo",AD49="Automático"),"40%",IF(AND(AC49="Detectivo",AD49="Manual"),"30%",IF(AND(AC49="Correctivo",AD49="Automático"),"35%",IF(AND(AC49="Correctivo",AD49="Manual"),"25%",""))))))</f>
        <v/>
      </c>
      <c r="AF49" s="190"/>
      <c r="AG49" s="190"/>
      <c r="AH49" s="190"/>
      <c r="AI49" s="192" t="str">
        <f>IFERROR(IF(AB49="Probabilidad",(T49-(+T49*AE49)),IF(AB49="Impacto",T49,"")),"")</f>
        <v/>
      </c>
      <c r="AJ49" s="193" t="str">
        <f>IFERROR(IF(AI49="","",IF(AI49&lt;=0.2,"Muy Baja",IF(AI49&lt;=0.4,"Baja",IF(AI49&lt;=0.6,"Media",IF(AI49&lt;=0.8,"Alta","Muy Alta"))))),"")</f>
        <v/>
      </c>
      <c r="AK49" s="191" t="str">
        <f>+AI49</f>
        <v/>
      </c>
      <c r="AL49" s="193" t="str">
        <f>IFERROR(IF(AM49="","",IF(AM49&lt;=0.2,"Leve",IF(AM49&lt;=0.4,"Menor",IF(AM49&lt;=0.6,"Moderado",IF(AM49&lt;=0.8,"Mayor","Catastrófico"))))),"")</f>
        <v/>
      </c>
      <c r="AM49" s="191" t="str">
        <f t="shared" ref="AM49" si="53">IFERROR(IF(AB49="Impacto",(X49-(+X49*AE49)),IF(AB49="Probabilidad",X49,"")),"")</f>
        <v/>
      </c>
      <c r="AN49" s="194" t="str">
        <f>IFERROR(IF(OR(AND(AJ49="Muy Baja",AL49="Leve"),AND(AJ49="Muy Baja",AL49="Menor"),AND(AJ49="Baja",AL49="Leve")),"Bajo",IF(OR(AND(AJ49="Muy baja",AL49="Moderado"),AND(AJ49="Baja",AL49="Menor"),AND(AJ49="Baja",AL49="Moderado"),AND(AJ49="Media",AL49="Leve"),AND(AJ49="Media",AL49="Menor"),AND(AJ49="Media",AL49="Moderado"),AND(AJ49="Alta",AL49="Leve"),AND(AJ49="Alta",AL49="Menor")),"Moderado",IF(OR(AND(AJ49="Muy Baja",AL49="Mayor"),AND(AJ49="Baja",AL49="Mayor"),AND(AJ49="Media",AL49="Mayor"),AND(AJ49="Alta",AL49="Moderado"),AND(AJ49="Alta",AL49="Mayor"),AND(AJ49="Muy Alta",AL49="Leve"),AND(AJ49="Muy Alta",AL49="Menor"),AND(AJ49="Muy Alta",AL49="Moderado"),AND(AJ49="Muy Alta",AL49="Mayor")),"Alto",IF(OR(AND(AJ49="Muy Baja",AL49="Catastrófico"),AND(AJ49="Baja",AL49="Catastrófico"),AND(AJ49="Media",AL49="Catastrófico"),AND(AJ49="Alta",AL49="Catastrófico"),AND(AJ49="Muy Alta",AL49="Catastrófico")),"Extremo","")))),"")</f>
        <v/>
      </c>
      <c r="AO49" s="195"/>
      <c r="AP49" s="186"/>
      <c r="AQ49" s="196"/>
      <c r="AR49" s="196"/>
      <c r="AS49" s="197"/>
      <c r="AT49" s="341"/>
      <c r="AU49" s="341"/>
      <c r="AV49" s="341"/>
    </row>
    <row r="50" spans="1:48" ht="37.5" customHeight="1" x14ac:dyDescent="0.2">
      <c r="A50" s="352"/>
      <c r="B50" s="353"/>
      <c r="C50" s="353"/>
      <c r="D50" s="356"/>
      <c r="E50" s="353"/>
      <c r="F50" s="353"/>
      <c r="G50" s="336"/>
      <c r="H50" s="336"/>
      <c r="I50" s="336"/>
      <c r="J50" s="336"/>
      <c r="K50" s="336"/>
      <c r="L50" s="336"/>
      <c r="M50" s="336"/>
      <c r="N50" s="336"/>
      <c r="O50" s="336"/>
      <c r="P50" s="336"/>
      <c r="Q50" s="336"/>
      <c r="R50" s="341"/>
      <c r="S50" s="346"/>
      <c r="T50" s="331"/>
      <c r="U50" s="343"/>
      <c r="V50" s="331">
        <f>IF(NOT(ISERROR(MATCH(U50,_xlfn.ANCHORARRAY(E61),0))),T63&amp;"Por favor no seleccionar los criterios de impacto",U50)</f>
        <v>0</v>
      </c>
      <c r="W50" s="346"/>
      <c r="X50" s="331"/>
      <c r="Y50" s="327"/>
      <c r="Z50" s="214">
        <v>2</v>
      </c>
      <c r="AA50" s="187"/>
      <c r="AB50" s="189" t="str">
        <f>IF(OR(AC50="Preventivo",AC50="Detectivo"),"Probabilidad",IF(AC50="Correctivo","Impacto",""))</f>
        <v/>
      </c>
      <c r="AC50" s="190"/>
      <c r="AD50" s="190"/>
      <c r="AE50" s="191" t="str">
        <f t="shared" ref="AE50:AE54" si="54">IF(AND(AC50="Preventivo",AD50="Automático"),"50%",IF(AND(AC50="Preventivo",AD50="Manual"),"40%",IF(AND(AC50="Detectivo",AD50="Automático"),"40%",IF(AND(AC50="Detectivo",AD50="Manual"),"30%",IF(AND(AC50="Correctivo",AD50="Automático"),"35%",IF(AND(AC50="Correctivo",AD50="Manual"),"25%",""))))))</f>
        <v/>
      </c>
      <c r="AF50" s="190"/>
      <c r="AG50" s="190"/>
      <c r="AH50" s="190"/>
      <c r="AI50" s="192" t="str">
        <f>IFERROR(IF(AND(AB49="Probabilidad",AB50="Probabilidad"),(AK49-(+AK49*AE50)),IF(AB50="Probabilidad",(T49-(+T49*AE50)),IF(AB50="Impacto",AK49,""))),"")</f>
        <v/>
      </c>
      <c r="AJ50" s="193" t="str">
        <f t="shared" si="2"/>
        <v/>
      </c>
      <c r="AK50" s="191" t="str">
        <f t="shared" ref="AK50:AK54" si="55">+AI50</f>
        <v/>
      </c>
      <c r="AL50" s="193" t="str">
        <f t="shared" si="4"/>
        <v/>
      </c>
      <c r="AM50" s="191" t="str">
        <f t="shared" ref="AM50" si="56">IFERROR(IF(AND(AB49="Impacto",AB50="Impacto"),(AM49-(+AM49*AE50)),IF(AB50="Impacto",($X$13-(+$X$13*AE50)),IF(AB50="Probabilidad",AM49,""))),"")</f>
        <v/>
      </c>
      <c r="AN50" s="194" t="str">
        <f t="shared" ref="AN50:AN51" si="57">IFERROR(IF(OR(AND(AJ50="Muy Baja",AL50="Leve"),AND(AJ50="Muy Baja",AL50="Menor"),AND(AJ50="Baja",AL50="Leve")),"Bajo",IF(OR(AND(AJ50="Muy baja",AL50="Moderado"),AND(AJ50="Baja",AL50="Menor"),AND(AJ50="Baja",AL50="Moderado"),AND(AJ50="Media",AL50="Leve"),AND(AJ50="Media",AL50="Menor"),AND(AJ50="Media",AL50="Moderado"),AND(AJ50="Alta",AL50="Leve"),AND(AJ50="Alta",AL50="Menor")),"Moderado",IF(OR(AND(AJ50="Muy Baja",AL50="Mayor"),AND(AJ50="Baja",AL50="Mayor"),AND(AJ50="Media",AL50="Mayor"),AND(AJ50="Alta",AL50="Moderado"),AND(AJ50="Alta",AL50="Mayor"),AND(AJ50="Muy Alta",AL50="Leve"),AND(AJ50="Muy Alta",AL50="Menor"),AND(AJ50="Muy Alta",AL50="Moderado"),AND(AJ50="Muy Alta",AL50="Mayor")),"Alto",IF(OR(AND(AJ50="Muy Baja",AL50="Catastrófico"),AND(AJ50="Baja",AL50="Catastrófico"),AND(AJ50="Media",AL50="Catastrófico"),AND(AJ50="Alta",AL50="Catastrófico"),AND(AJ50="Muy Alta",AL50="Catastrófico")),"Extremo","")))),"")</f>
        <v/>
      </c>
      <c r="AO50" s="195"/>
      <c r="AP50" s="186"/>
      <c r="AQ50" s="196"/>
      <c r="AR50" s="196"/>
      <c r="AS50" s="197"/>
      <c r="AT50" s="341"/>
      <c r="AU50" s="341"/>
      <c r="AV50" s="341"/>
    </row>
    <row r="51" spans="1:48" ht="37.5" customHeight="1" x14ac:dyDescent="0.2">
      <c r="A51" s="352"/>
      <c r="B51" s="353"/>
      <c r="C51" s="353"/>
      <c r="D51" s="356"/>
      <c r="E51" s="353"/>
      <c r="F51" s="353"/>
      <c r="G51" s="336"/>
      <c r="H51" s="336"/>
      <c r="I51" s="336"/>
      <c r="J51" s="336"/>
      <c r="K51" s="336"/>
      <c r="L51" s="336"/>
      <c r="M51" s="336"/>
      <c r="N51" s="336"/>
      <c r="O51" s="336"/>
      <c r="P51" s="336"/>
      <c r="Q51" s="336"/>
      <c r="R51" s="341"/>
      <c r="S51" s="346"/>
      <c r="T51" s="331"/>
      <c r="U51" s="343"/>
      <c r="V51" s="331">
        <f>IF(NOT(ISERROR(MATCH(U51,_xlfn.ANCHORARRAY(E62),0))),T64&amp;"Por favor no seleccionar los criterios de impacto",U51)</f>
        <v>0</v>
      </c>
      <c r="W51" s="346"/>
      <c r="X51" s="331"/>
      <c r="Y51" s="327"/>
      <c r="Z51" s="214">
        <v>3</v>
      </c>
      <c r="AA51" s="188"/>
      <c r="AB51" s="189" t="str">
        <f>IF(OR(AC51="Preventivo",AC51="Detectivo"),"Probabilidad",IF(AC51="Correctivo","Impacto",""))</f>
        <v/>
      </c>
      <c r="AC51" s="190"/>
      <c r="AD51" s="190"/>
      <c r="AE51" s="191" t="str">
        <f t="shared" si="54"/>
        <v/>
      </c>
      <c r="AF51" s="190"/>
      <c r="AG51" s="190"/>
      <c r="AH51" s="190"/>
      <c r="AI51" s="192" t="str">
        <f>IFERROR(IF(AND(AB50="Probabilidad",AB51="Probabilidad"),(AK50-(+AK50*AE51)),IF(AND(AB50="Impacto",AB51="Probabilidad"),(AK49-(+AK49*AE51)),IF(AB51="Impacto",AK50,""))),"")</f>
        <v/>
      </c>
      <c r="AJ51" s="193" t="str">
        <f t="shared" si="2"/>
        <v/>
      </c>
      <c r="AK51" s="191" t="str">
        <f t="shared" si="55"/>
        <v/>
      </c>
      <c r="AL51" s="193" t="str">
        <f t="shared" si="4"/>
        <v/>
      </c>
      <c r="AM51" s="191" t="str">
        <f t="shared" ref="AM51" si="58">IFERROR(IF(AND(AB50="Impacto",AB51="Impacto"),(AM50-(+AM50*AE51)),IF(AND(AB50="Probabilidad",AB51="Impacto"),(AM49-(+AM49*AE51)),IF(AB51="Probabilidad",AM50,""))),"")</f>
        <v/>
      </c>
      <c r="AN51" s="194" t="str">
        <f t="shared" si="57"/>
        <v/>
      </c>
      <c r="AO51" s="195"/>
      <c r="AP51" s="186"/>
      <c r="AQ51" s="196"/>
      <c r="AR51" s="196"/>
      <c r="AS51" s="197"/>
      <c r="AT51" s="341"/>
      <c r="AU51" s="341"/>
      <c r="AV51" s="341"/>
    </row>
    <row r="52" spans="1:48" ht="37.5" customHeight="1" x14ac:dyDescent="0.2">
      <c r="A52" s="352"/>
      <c r="B52" s="353"/>
      <c r="C52" s="353"/>
      <c r="D52" s="356"/>
      <c r="E52" s="353"/>
      <c r="F52" s="353"/>
      <c r="G52" s="336"/>
      <c r="H52" s="336"/>
      <c r="I52" s="336"/>
      <c r="J52" s="336"/>
      <c r="K52" s="336"/>
      <c r="L52" s="336"/>
      <c r="M52" s="336"/>
      <c r="N52" s="336"/>
      <c r="O52" s="336"/>
      <c r="P52" s="336"/>
      <c r="Q52" s="336"/>
      <c r="R52" s="341"/>
      <c r="S52" s="346"/>
      <c r="T52" s="331"/>
      <c r="U52" s="343"/>
      <c r="V52" s="331">
        <f>IF(NOT(ISERROR(MATCH(U52,_xlfn.ANCHORARRAY(E63),0))),T65&amp;"Por favor no seleccionar los criterios de impacto",U52)</f>
        <v>0</v>
      </c>
      <c r="W52" s="346"/>
      <c r="X52" s="331"/>
      <c r="Y52" s="327"/>
      <c r="Z52" s="214">
        <v>4</v>
      </c>
      <c r="AA52" s="187"/>
      <c r="AB52" s="189" t="str">
        <f t="shared" ref="AB52:AB54" si="59">IF(OR(AC52="Preventivo",AC52="Detectivo"),"Probabilidad",IF(AC52="Correctivo","Impacto",""))</f>
        <v/>
      </c>
      <c r="AC52" s="190"/>
      <c r="AD52" s="190"/>
      <c r="AE52" s="191" t="str">
        <f t="shared" si="54"/>
        <v/>
      </c>
      <c r="AF52" s="190"/>
      <c r="AG52" s="190"/>
      <c r="AH52" s="190"/>
      <c r="AI52" s="192" t="str">
        <f t="shared" ref="AI52:AI54" si="60">IFERROR(IF(AND(AB51="Probabilidad",AB52="Probabilidad"),(AK51-(+AK51*AE52)),IF(AND(AB51="Impacto",AB52="Probabilidad"),(AK50-(+AK50*AE52)),IF(AB52="Impacto",AK51,""))),"")</f>
        <v/>
      </c>
      <c r="AJ52" s="193" t="str">
        <f t="shared" si="2"/>
        <v/>
      </c>
      <c r="AK52" s="191" t="str">
        <f t="shared" si="55"/>
        <v/>
      </c>
      <c r="AL52" s="193" t="str">
        <f t="shared" si="4"/>
        <v/>
      </c>
      <c r="AM52" s="191" t="str">
        <f t="shared" si="13"/>
        <v/>
      </c>
      <c r="AN52" s="194" t="str">
        <f>IFERROR(IF(OR(AND(AJ52="Muy Baja",AL52="Leve"),AND(AJ52="Muy Baja",AL52="Menor"),AND(AJ52="Baja",AL52="Leve")),"Bajo",IF(OR(AND(AJ52="Muy baja",AL52="Moderado"),AND(AJ52="Baja",AL52="Menor"),AND(AJ52="Baja",AL52="Moderado"),AND(AJ52="Media",AL52="Leve"),AND(AJ52="Media",AL52="Menor"),AND(AJ52="Media",AL52="Moderado"),AND(AJ52="Alta",AL52="Leve"),AND(AJ52="Alta",AL52="Menor")),"Moderado",IF(OR(AND(AJ52="Muy Baja",AL52="Mayor"),AND(AJ52="Baja",AL52="Mayor"),AND(AJ52="Media",AL52="Mayor"),AND(AJ52="Alta",AL52="Moderado"),AND(AJ52="Alta",AL52="Mayor"),AND(AJ52="Muy Alta",AL52="Leve"),AND(AJ52="Muy Alta",AL52="Menor"),AND(AJ52="Muy Alta",AL52="Moderado"),AND(AJ52="Muy Alta",AL52="Mayor")),"Alto",IF(OR(AND(AJ52="Muy Baja",AL52="Catastrófico"),AND(AJ52="Baja",AL52="Catastrófico"),AND(AJ52="Media",AL52="Catastrófico"),AND(AJ52="Alta",AL52="Catastrófico"),AND(AJ52="Muy Alta",AL52="Catastrófico")),"Extremo","")))),"")</f>
        <v/>
      </c>
      <c r="AO52" s="195"/>
      <c r="AP52" s="186"/>
      <c r="AQ52" s="196"/>
      <c r="AR52" s="196"/>
      <c r="AS52" s="197"/>
      <c r="AT52" s="341"/>
      <c r="AU52" s="341"/>
      <c r="AV52" s="341"/>
    </row>
    <row r="53" spans="1:48" ht="37.5" customHeight="1" x14ac:dyDescent="0.2">
      <c r="A53" s="352"/>
      <c r="B53" s="353"/>
      <c r="C53" s="353"/>
      <c r="D53" s="356"/>
      <c r="E53" s="353"/>
      <c r="F53" s="353"/>
      <c r="G53" s="336"/>
      <c r="H53" s="336"/>
      <c r="I53" s="336"/>
      <c r="J53" s="336"/>
      <c r="K53" s="336"/>
      <c r="L53" s="336"/>
      <c r="M53" s="336"/>
      <c r="N53" s="336"/>
      <c r="O53" s="336"/>
      <c r="P53" s="336"/>
      <c r="Q53" s="336"/>
      <c r="R53" s="341"/>
      <c r="S53" s="346"/>
      <c r="T53" s="331"/>
      <c r="U53" s="343"/>
      <c r="V53" s="331">
        <f>IF(NOT(ISERROR(MATCH(U53,_xlfn.ANCHORARRAY(E64),0))),T66&amp;"Por favor no seleccionar los criterios de impacto",U53)</f>
        <v>0</v>
      </c>
      <c r="W53" s="346"/>
      <c r="X53" s="331"/>
      <c r="Y53" s="327"/>
      <c r="Z53" s="214">
        <v>5</v>
      </c>
      <c r="AA53" s="187"/>
      <c r="AB53" s="189" t="str">
        <f t="shared" si="59"/>
        <v/>
      </c>
      <c r="AC53" s="190"/>
      <c r="AD53" s="190"/>
      <c r="AE53" s="191" t="str">
        <f t="shared" si="54"/>
        <v/>
      </c>
      <c r="AF53" s="190"/>
      <c r="AG53" s="190"/>
      <c r="AH53" s="190"/>
      <c r="AI53" s="192" t="str">
        <f t="shared" si="60"/>
        <v/>
      </c>
      <c r="AJ53" s="193" t="str">
        <f t="shared" si="2"/>
        <v/>
      </c>
      <c r="AK53" s="191" t="str">
        <f t="shared" si="55"/>
        <v/>
      </c>
      <c r="AL53" s="193" t="str">
        <f t="shared" si="4"/>
        <v/>
      </c>
      <c r="AM53" s="191" t="str">
        <f t="shared" si="13"/>
        <v/>
      </c>
      <c r="AN53" s="194" t="str">
        <f t="shared" ref="AN53:AN54" si="61">IFERROR(IF(OR(AND(AJ53="Muy Baja",AL53="Leve"),AND(AJ53="Muy Baja",AL53="Menor"),AND(AJ53="Baja",AL53="Leve")),"Bajo",IF(OR(AND(AJ53="Muy baja",AL53="Moderado"),AND(AJ53="Baja",AL53="Menor"),AND(AJ53="Baja",AL53="Moderado"),AND(AJ53="Media",AL53="Leve"),AND(AJ53="Media",AL53="Menor"),AND(AJ53="Media",AL53="Moderado"),AND(AJ53="Alta",AL53="Leve"),AND(AJ53="Alta",AL53="Menor")),"Moderado",IF(OR(AND(AJ53="Muy Baja",AL53="Mayor"),AND(AJ53="Baja",AL53="Mayor"),AND(AJ53="Media",AL53="Mayor"),AND(AJ53="Alta",AL53="Moderado"),AND(AJ53="Alta",AL53="Mayor"),AND(AJ53="Muy Alta",AL53="Leve"),AND(AJ53="Muy Alta",AL53="Menor"),AND(AJ53="Muy Alta",AL53="Moderado"),AND(AJ53="Muy Alta",AL53="Mayor")),"Alto",IF(OR(AND(AJ53="Muy Baja",AL53="Catastrófico"),AND(AJ53="Baja",AL53="Catastrófico"),AND(AJ53="Media",AL53="Catastrófico"),AND(AJ53="Alta",AL53="Catastrófico"),AND(AJ53="Muy Alta",AL53="Catastrófico")),"Extremo","")))),"")</f>
        <v/>
      </c>
      <c r="AO53" s="195"/>
      <c r="AP53" s="186"/>
      <c r="AQ53" s="196"/>
      <c r="AR53" s="196"/>
      <c r="AS53" s="197"/>
      <c r="AT53" s="341"/>
      <c r="AU53" s="341"/>
      <c r="AV53" s="341"/>
    </row>
    <row r="54" spans="1:48" ht="37.5" customHeight="1" x14ac:dyDescent="0.2">
      <c r="A54" s="352"/>
      <c r="B54" s="353"/>
      <c r="C54" s="353"/>
      <c r="D54" s="356"/>
      <c r="E54" s="353"/>
      <c r="F54" s="353"/>
      <c r="G54" s="337"/>
      <c r="H54" s="337"/>
      <c r="I54" s="337"/>
      <c r="J54" s="337"/>
      <c r="K54" s="337"/>
      <c r="L54" s="337"/>
      <c r="M54" s="337"/>
      <c r="N54" s="337"/>
      <c r="O54" s="337"/>
      <c r="P54" s="337"/>
      <c r="Q54" s="337"/>
      <c r="R54" s="341"/>
      <c r="S54" s="346"/>
      <c r="T54" s="331"/>
      <c r="U54" s="343"/>
      <c r="V54" s="331">
        <f>IF(NOT(ISERROR(MATCH(U54,_xlfn.ANCHORARRAY(E65),0))),T67&amp;"Por favor no seleccionar los criterios de impacto",U54)</f>
        <v>0</v>
      </c>
      <c r="W54" s="346"/>
      <c r="X54" s="331"/>
      <c r="Y54" s="327"/>
      <c r="Z54" s="214">
        <v>6</v>
      </c>
      <c r="AA54" s="187"/>
      <c r="AB54" s="189" t="str">
        <f t="shared" si="59"/>
        <v/>
      </c>
      <c r="AC54" s="190"/>
      <c r="AD54" s="190"/>
      <c r="AE54" s="191" t="str">
        <f t="shared" si="54"/>
        <v/>
      </c>
      <c r="AF54" s="190"/>
      <c r="AG54" s="190"/>
      <c r="AH54" s="190"/>
      <c r="AI54" s="192" t="str">
        <f t="shared" si="60"/>
        <v/>
      </c>
      <c r="AJ54" s="193" t="str">
        <f t="shared" si="2"/>
        <v/>
      </c>
      <c r="AK54" s="191" t="str">
        <f t="shared" si="55"/>
        <v/>
      </c>
      <c r="AL54" s="193" t="str">
        <f t="shared" si="4"/>
        <v/>
      </c>
      <c r="AM54" s="191" t="str">
        <f t="shared" si="13"/>
        <v/>
      </c>
      <c r="AN54" s="194" t="str">
        <f t="shared" si="61"/>
        <v/>
      </c>
      <c r="AO54" s="195"/>
      <c r="AP54" s="186"/>
      <c r="AQ54" s="196"/>
      <c r="AR54" s="196"/>
      <c r="AS54" s="197"/>
      <c r="AT54" s="341"/>
      <c r="AU54" s="341"/>
      <c r="AV54" s="341"/>
    </row>
    <row r="55" spans="1:48" ht="37.5" customHeight="1" x14ac:dyDescent="0.2">
      <c r="A55" s="352">
        <v>8</v>
      </c>
      <c r="B55" s="353"/>
      <c r="C55" s="353"/>
      <c r="D55" s="353"/>
      <c r="E55" s="353"/>
      <c r="F55" s="353"/>
      <c r="G55" s="335"/>
      <c r="H55" s="335"/>
      <c r="I55" s="335"/>
      <c r="J55" s="335"/>
      <c r="K55" s="335"/>
      <c r="L55" s="335"/>
      <c r="M55" s="335"/>
      <c r="N55" s="335"/>
      <c r="O55" s="335"/>
      <c r="P55" s="335"/>
      <c r="Q55" s="335"/>
      <c r="R55" s="341"/>
      <c r="S55" s="346" t="str">
        <f>IF(R55&lt;=0,"",IF(R55&lt;=2,"Muy Baja",IF(R55&lt;=24,"Baja",IF(R55&lt;=500,"Media",IF(R55&lt;=5000,"Alta","Muy Alta")))))</f>
        <v/>
      </c>
      <c r="T55" s="331" t="str">
        <f>IF(S55="","",IF(S55="Muy Baja",0.2,IF(S55="Baja",0.4,IF(S55="Media",0.6,IF(S55="Alta",0.8,IF(S55="Muy Alta",1,))))))</f>
        <v/>
      </c>
      <c r="U55" s="343"/>
      <c r="V55" s="331">
        <f>IF(NOT(ISERROR(MATCH(U55,'Tabla Impacto'!$B$222:$B$224,0))),'Tabla Impacto'!$F$224&amp;"Por favor no seleccionar los criterios de impacto(Afectación Económica o presupuestal y Pérdida Reputacional)",U55)</f>
        <v>0</v>
      </c>
      <c r="W55" s="346" t="str">
        <f>IF(OR(V55='Tabla Impacto'!$C$12,V55='Tabla Impacto'!$D$12),"Leve",IF(OR(V55='Tabla Impacto'!$C$13,V55='Tabla Impacto'!$D$13),"Menor",IF(OR(V55='Tabla Impacto'!$C$14,V55='Tabla Impacto'!$D$14),"Moderado",IF(OR(V55='Tabla Impacto'!$C$15,V55='Tabla Impacto'!$D$15),"Mayor",IF(OR(V55='Tabla Impacto'!$C$16,V55='Tabla Impacto'!$D$16),"Catastrófico","")))))</f>
        <v/>
      </c>
      <c r="X55" s="331" t="str">
        <f>IF(W55="","",IF(W55="Leve",0.2,IF(W55="Menor",0.4,IF(W55="Moderado",0.6,IF(W55="Mayor",0.8,IF(W55="Catastrófico",1,))))))</f>
        <v/>
      </c>
      <c r="Y55" s="327" t="str">
        <f>IF(OR(AND(S55="Muy Baja",W55="Leve"),AND(S55="Muy Baja",W55="Menor"),AND(S55="Baja",W55="Leve")),"Bajo",IF(OR(AND(S55="Muy baja",W55="Moderado"),AND(S55="Baja",W55="Menor"),AND(S55="Baja",W55="Moderado"),AND(S55="Media",W55="Leve"),AND(S55="Media",W55="Menor"),AND(S55="Media",W55="Moderado"),AND(S55="Alta",W55="Leve"),AND(S55="Alta",W55="Menor")),"Moderado",IF(OR(AND(S55="Muy Baja",W55="Mayor"),AND(S55="Baja",W55="Mayor"),AND(S55="Media",W55="Mayor"),AND(S55="Alta",W55="Moderado"),AND(S55="Alta",W55="Mayor"),AND(S55="Muy Alta",W55="Leve"),AND(S55="Muy Alta",W55="Menor"),AND(S55="Muy Alta",W55="Moderado"),AND(S55="Muy Alta",W55="Mayor")),"Alto",IF(OR(AND(S55="Muy Baja",W55="Catastrófico"),AND(S55="Baja",W55="Catastrófico"),AND(S55="Media",W55="Catastrófico"),AND(S55="Alta",W55="Catastrófico"),AND(S55="Muy Alta",W55="Catastrófico")),"Extremo",""))))</f>
        <v/>
      </c>
      <c r="Z55" s="214">
        <v>1</v>
      </c>
      <c r="AA55" s="187"/>
      <c r="AB55" s="189" t="str">
        <f>IF(OR(AC55="Preventivo",AC55="Detectivo"),"Probabilidad",IF(AC55="Correctivo","Impacto",""))</f>
        <v/>
      </c>
      <c r="AC55" s="190"/>
      <c r="AD55" s="190"/>
      <c r="AE55" s="191" t="str">
        <f>IF(AND(AC55="Preventivo",AD55="Automático"),"50%",IF(AND(AC55="Preventivo",AD55="Manual"),"40%",IF(AND(AC55="Detectivo",AD55="Automático"),"40%",IF(AND(AC55="Detectivo",AD55="Manual"),"30%",IF(AND(AC55="Correctivo",AD55="Automático"),"35%",IF(AND(AC55="Correctivo",AD55="Manual"),"25%",""))))))</f>
        <v/>
      </c>
      <c r="AF55" s="190"/>
      <c r="AG55" s="190"/>
      <c r="AH55" s="190"/>
      <c r="AI55" s="192" t="str">
        <f>IFERROR(IF(AB55="Probabilidad",(T55-(+T55*AE55)),IF(AB55="Impacto",T55,"")),"")</f>
        <v/>
      </c>
      <c r="AJ55" s="193" t="str">
        <f>IFERROR(IF(AI55="","",IF(AI55&lt;=0.2,"Muy Baja",IF(AI55&lt;=0.4,"Baja",IF(AI55&lt;=0.6,"Media",IF(AI55&lt;=0.8,"Alta","Muy Alta"))))),"")</f>
        <v/>
      </c>
      <c r="AK55" s="191" t="str">
        <f>+AI55</f>
        <v/>
      </c>
      <c r="AL55" s="193" t="str">
        <f>IFERROR(IF(AM55="","",IF(AM55&lt;=0.2,"Leve",IF(AM55&lt;=0.4,"Menor",IF(AM55&lt;=0.6,"Moderado",IF(AM55&lt;=0.8,"Mayor","Catastrófico"))))),"")</f>
        <v/>
      </c>
      <c r="AM55" s="191" t="str">
        <f t="shared" ref="AM55" si="62">IFERROR(IF(AB55="Impacto",(X55-(+X55*AE55)),IF(AB55="Probabilidad",X55,"")),"")</f>
        <v/>
      </c>
      <c r="AN55" s="194" t="str">
        <f>IFERROR(IF(OR(AND(AJ55="Muy Baja",AL55="Leve"),AND(AJ55="Muy Baja",AL55="Menor"),AND(AJ55="Baja",AL55="Leve")),"Bajo",IF(OR(AND(AJ55="Muy baja",AL55="Moderado"),AND(AJ55="Baja",AL55="Menor"),AND(AJ55="Baja",AL55="Moderado"),AND(AJ55="Media",AL55="Leve"),AND(AJ55="Media",AL55="Menor"),AND(AJ55="Media",AL55="Moderado"),AND(AJ55="Alta",AL55="Leve"),AND(AJ55="Alta",AL55="Menor")),"Moderado",IF(OR(AND(AJ55="Muy Baja",AL55="Mayor"),AND(AJ55="Baja",AL55="Mayor"),AND(AJ55="Media",AL55="Mayor"),AND(AJ55="Alta",AL55="Moderado"),AND(AJ55="Alta",AL55="Mayor"),AND(AJ55="Muy Alta",AL55="Leve"),AND(AJ55="Muy Alta",AL55="Menor"),AND(AJ55="Muy Alta",AL55="Moderado"),AND(AJ55="Muy Alta",AL55="Mayor")),"Alto",IF(OR(AND(AJ55="Muy Baja",AL55="Catastrófico"),AND(AJ55="Baja",AL55="Catastrófico"),AND(AJ55="Media",AL55="Catastrófico"),AND(AJ55="Alta",AL55="Catastrófico"),AND(AJ55="Muy Alta",AL55="Catastrófico")),"Extremo","")))),"")</f>
        <v/>
      </c>
      <c r="AO55" s="195"/>
      <c r="AP55" s="186"/>
      <c r="AQ55" s="196"/>
      <c r="AR55" s="196"/>
      <c r="AS55" s="197"/>
      <c r="AT55" s="341"/>
      <c r="AU55" s="341"/>
      <c r="AV55" s="341"/>
    </row>
    <row r="56" spans="1:48" ht="37.5" customHeight="1" x14ac:dyDescent="0.2">
      <c r="A56" s="352"/>
      <c r="B56" s="353"/>
      <c r="C56" s="353"/>
      <c r="D56" s="353"/>
      <c r="E56" s="353"/>
      <c r="F56" s="353"/>
      <c r="G56" s="336"/>
      <c r="H56" s="336"/>
      <c r="I56" s="336"/>
      <c r="J56" s="336"/>
      <c r="K56" s="336"/>
      <c r="L56" s="336"/>
      <c r="M56" s="336"/>
      <c r="N56" s="336"/>
      <c r="O56" s="336"/>
      <c r="P56" s="336"/>
      <c r="Q56" s="336"/>
      <c r="R56" s="341"/>
      <c r="S56" s="346"/>
      <c r="T56" s="331"/>
      <c r="U56" s="343"/>
      <c r="V56" s="331">
        <f>IF(NOT(ISERROR(MATCH(U56,_xlfn.ANCHORARRAY(E67),0))),T69&amp;"Por favor no seleccionar los criterios de impacto",U56)</f>
        <v>0</v>
      </c>
      <c r="W56" s="346"/>
      <c r="X56" s="331"/>
      <c r="Y56" s="327"/>
      <c r="Z56" s="214">
        <v>2</v>
      </c>
      <c r="AA56" s="187"/>
      <c r="AB56" s="189" t="str">
        <f>IF(OR(AC56="Preventivo",AC56="Detectivo"),"Probabilidad",IF(AC56="Correctivo","Impacto",""))</f>
        <v/>
      </c>
      <c r="AC56" s="190"/>
      <c r="AD56" s="190"/>
      <c r="AE56" s="191" t="str">
        <f t="shared" ref="AE56:AE60" si="63">IF(AND(AC56="Preventivo",AD56="Automático"),"50%",IF(AND(AC56="Preventivo",AD56="Manual"),"40%",IF(AND(AC56="Detectivo",AD56="Automático"),"40%",IF(AND(AC56="Detectivo",AD56="Manual"),"30%",IF(AND(AC56="Correctivo",AD56="Automático"),"35%",IF(AND(AC56="Correctivo",AD56="Manual"),"25%",""))))))</f>
        <v/>
      </c>
      <c r="AF56" s="190"/>
      <c r="AG56" s="190"/>
      <c r="AH56" s="190"/>
      <c r="AI56" s="192" t="str">
        <f>IFERROR(IF(AND(AB55="Probabilidad",AB56="Probabilidad"),(AK55-(+AK55*AE56)),IF(AB56="Probabilidad",(T55-(+T55*AE56)),IF(AB56="Impacto",AK55,""))),"")</f>
        <v/>
      </c>
      <c r="AJ56" s="193" t="str">
        <f t="shared" si="2"/>
        <v/>
      </c>
      <c r="AK56" s="191" t="str">
        <f t="shared" ref="AK56:AK60" si="64">+AI56</f>
        <v/>
      </c>
      <c r="AL56" s="193" t="str">
        <f t="shared" si="4"/>
        <v/>
      </c>
      <c r="AM56" s="191" t="str">
        <f t="shared" ref="AM56" si="65">IFERROR(IF(AND(AB55="Impacto",AB56="Impacto"),(AM55-(+AM55*AE56)),IF(AB56="Impacto",($X$13-(+$X$13*AE56)),IF(AB56="Probabilidad",AM55,""))),"")</f>
        <v/>
      </c>
      <c r="AN56" s="194" t="str">
        <f t="shared" ref="AN56:AN57" si="66">IFERROR(IF(OR(AND(AJ56="Muy Baja",AL56="Leve"),AND(AJ56="Muy Baja",AL56="Menor"),AND(AJ56="Baja",AL56="Leve")),"Bajo",IF(OR(AND(AJ56="Muy baja",AL56="Moderado"),AND(AJ56="Baja",AL56="Menor"),AND(AJ56="Baja",AL56="Moderado"),AND(AJ56="Media",AL56="Leve"),AND(AJ56="Media",AL56="Menor"),AND(AJ56="Media",AL56="Moderado"),AND(AJ56="Alta",AL56="Leve"),AND(AJ56="Alta",AL56="Menor")),"Moderado",IF(OR(AND(AJ56="Muy Baja",AL56="Mayor"),AND(AJ56="Baja",AL56="Mayor"),AND(AJ56="Media",AL56="Mayor"),AND(AJ56="Alta",AL56="Moderado"),AND(AJ56="Alta",AL56="Mayor"),AND(AJ56="Muy Alta",AL56="Leve"),AND(AJ56="Muy Alta",AL56="Menor"),AND(AJ56="Muy Alta",AL56="Moderado"),AND(AJ56="Muy Alta",AL56="Mayor")),"Alto",IF(OR(AND(AJ56="Muy Baja",AL56="Catastrófico"),AND(AJ56="Baja",AL56="Catastrófico"),AND(AJ56="Media",AL56="Catastrófico"),AND(AJ56="Alta",AL56="Catastrófico"),AND(AJ56="Muy Alta",AL56="Catastrófico")),"Extremo","")))),"")</f>
        <v/>
      </c>
      <c r="AO56" s="195"/>
      <c r="AP56" s="186"/>
      <c r="AQ56" s="196"/>
      <c r="AR56" s="196"/>
      <c r="AS56" s="197"/>
      <c r="AT56" s="341"/>
      <c r="AU56" s="341"/>
      <c r="AV56" s="341"/>
    </row>
    <row r="57" spans="1:48" ht="37.5" customHeight="1" x14ac:dyDescent="0.2">
      <c r="A57" s="352"/>
      <c r="B57" s="353"/>
      <c r="C57" s="353"/>
      <c r="D57" s="353"/>
      <c r="E57" s="353"/>
      <c r="F57" s="353"/>
      <c r="G57" s="336"/>
      <c r="H57" s="336"/>
      <c r="I57" s="336"/>
      <c r="J57" s="336"/>
      <c r="K57" s="336"/>
      <c r="L57" s="336"/>
      <c r="M57" s="336"/>
      <c r="N57" s="336"/>
      <c r="O57" s="336"/>
      <c r="P57" s="336"/>
      <c r="Q57" s="336"/>
      <c r="R57" s="341"/>
      <c r="S57" s="346"/>
      <c r="T57" s="331"/>
      <c r="U57" s="343"/>
      <c r="V57" s="331">
        <f>IF(NOT(ISERROR(MATCH(U57,_xlfn.ANCHORARRAY(E68),0))),T70&amp;"Por favor no seleccionar los criterios de impacto",U57)</f>
        <v>0</v>
      </c>
      <c r="W57" s="346"/>
      <c r="X57" s="331"/>
      <c r="Y57" s="327"/>
      <c r="Z57" s="214">
        <v>3</v>
      </c>
      <c r="AA57" s="188"/>
      <c r="AB57" s="189" t="str">
        <f>IF(OR(AC57="Preventivo",AC57="Detectivo"),"Probabilidad",IF(AC57="Correctivo","Impacto",""))</f>
        <v/>
      </c>
      <c r="AC57" s="190"/>
      <c r="AD57" s="190"/>
      <c r="AE57" s="191" t="str">
        <f t="shared" si="63"/>
        <v/>
      </c>
      <c r="AF57" s="190"/>
      <c r="AG57" s="190"/>
      <c r="AH57" s="190"/>
      <c r="AI57" s="192" t="str">
        <f>IFERROR(IF(AND(AB56="Probabilidad",AB57="Probabilidad"),(AK56-(+AK56*AE57)),IF(AND(AB56="Impacto",AB57="Probabilidad"),(AK55-(+AK55*AE57)),IF(AB57="Impacto",AK56,""))),"")</f>
        <v/>
      </c>
      <c r="AJ57" s="193" t="str">
        <f t="shared" si="2"/>
        <v/>
      </c>
      <c r="AK57" s="191" t="str">
        <f t="shared" si="64"/>
        <v/>
      </c>
      <c r="AL57" s="193" t="str">
        <f t="shared" si="4"/>
        <v/>
      </c>
      <c r="AM57" s="191" t="str">
        <f t="shared" ref="AM57" si="67">IFERROR(IF(AND(AB56="Impacto",AB57="Impacto"),(AM56-(+AM56*AE57)),IF(AND(AB56="Probabilidad",AB57="Impacto"),(AM55-(+AM55*AE57)),IF(AB57="Probabilidad",AM56,""))),"")</f>
        <v/>
      </c>
      <c r="AN57" s="194" t="str">
        <f t="shared" si="66"/>
        <v/>
      </c>
      <c r="AO57" s="195"/>
      <c r="AP57" s="186"/>
      <c r="AQ57" s="196"/>
      <c r="AR57" s="196"/>
      <c r="AS57" s="197"/>
      <c r="AT57" s="341"/>
      <c r="AU57" s="341"/>
      <c r="AV57" s="341"/>
    </row>
    <row r="58" spans="1:48" ht="37.5" customHeight="1" x14ac:dyDescent="0.2">
      <c r="A58" s="352"/>
      <c r="B58" s="353"/>
      <c r="C58" s="353"/>
      <c r="D58" s="353"/>
      <c r="E58" s="353"/>
      <c r="F58" s="353"/>
      <c r="G58" s="336"/>
      <c r="H58" s="336"/>
      <c r="I58" s="336"/>
      <c r="J58" s="336"/>
      <c r="K58" s="336"/>
      <c r="L58" s="336"/>
      <c r="M58" s="336"/>
      <c r="N58" s="336"/>
      <c r="O58" s="336"/>
      <c r="P58" s="336"/>
      <c r="Q58" s="336"/>
      <c r="R58" s="341"/>
      <c r="S58" s="346"/>
      <c r="T58" s="331"/>
      <c r="U58" s="343"/>
      <c r="V58" s="331">
        <f>IF(NOT(ISERROR(MATCH(U58,_xlfn.ANCHORARRAY(E69),0))),T71&amp;"Por favor no seleccionar los criterios de impacto",U58)</f>
        <v>0</v>
      </c>
      <c r="W58" s="346"/>
      <c r="X58" s="331"/>
      <c r="Y58" s="327"/>
      <c r="Z58" s="214">
        <v>4</v>
      </c>
      <c r="AA58" s="187"/>
      <c r="AB58" s="189" t="str">
        <f t="shared" ref="AB58:AB60" si="68">IF(OR(AC58="Preventivo",AC58="Detectivo"),"Probabilidad",IF(AC58="Correctivo","Impacto",""))</f>
        <v/>
      </c>
      <c r="AC58" s="190"/>
      <c r="AD58" s="190"/>
      <c r="AE58" s="191" t="str">
        <f t="shared" si="63"/>
        <v/>
      </c>
      <c r="AF58" s="190"/>
      <c r="AG58" s="190"/>
      <c r="AH58" s="190"/>
      <c r="AI58" s="192" t="str">
        <f t="shared" ref="AI58:AI60" si="69">IFERROR(IF(AND(AB57="Probabilidad",AB58="Probabilidad"),(AK57-(+AK57*AE58)),IF(AND(AB57="Impacto",AB58="Probabilidad"),(AK56-(+AK56*AE58)),IF(AB58="Impacto",AK57,""))),"")</f>
        <v/>
      </c>
      <c r="AJ58" s="193" t="str">
        <f t="shared" si="2"/>
        <v/>
      </c>
      <c r="AK58" s="191" t="str">
        <f t="shared" si="64"/>
        <v/>
      </c>
      <c r="AL58" s="193" t="str">
        <f t="shared" si="4"/>
        <v/>
      </c>
      <c r="AM58" s="191" t="str">
        <f t="shared" si="13"/>
        <v/>
      </c>
      <c r="AN58" s="194" t="str">
        <f>IFERROR(IF(OR(AND(AJ58="Muy Baja",AL58="Leve"),AND(AJ58="Muy Baja",AL58="Menor"),AND(AJ58="Baja",AL58="Leve")),"Bajo",IF(OR(AND(AJ58="Muy baja",AL58="Moderado"),AND(AJ58="Baja",AL58="Menor"),AND(AJ58="Baja",AL58="Moderado"),AND(AJ58="Media",AL58="Leve"),AND(AJ58="Media",AL58="Menor"),AND(AJ58="Media",AL58="Moderado"),AND(AJ58="Alta",AL58="Leve"),AND(AJ58="Alta",AL58="Menor")),"Moderado",IF(OR(AND(AJ58="Muy Baja",AL58="Mayor"),AND(AJ58="Baja",AL58="Mayor"),AND(AJ58="Media",AL58="Mayor"),AND(AJ58="Alta",AL58="Moderado"),AND(AJ58="Alta",AL58="Mayor"),AND(AJ58="Muy Alta",AL58="Leve"),AND(AJ58="Muy Alta",AL58="Menor"),AND(AJ58="Muy Alta",AL58="Moderado"),AND(AJ58="Muy Alta",AL58="Mayor")),"Alto",IF(OR(AND(AJ58="Muy Baja",AL58="Catastrófico"),AND(AJ58="Baja",AL58="Catastrófico"),AND(AJ58="Media",AL58="Catastrófico"),AND(AJ58="Alta",AL58="Catastrófico"),AND(AJ58="Muy Alta",AL58="Catastrófico")),"Extremo","")))),"")</f>
        <v/>
      </c>
      <c r="AO58" s="195"/>
      <c r="AP58" s="186"/>
      <c r="AQ58" s="196"/>
      <c r="AR58" s="196"/>
      <c r="AS58" s="197"/>
      <c r="AT58" s="341"/>
      <c r="AU58" s="341"/>
      <c r="AV58" s="341"/>
    </row>
    <row r="59" spans="1:48" ht="37.5" customHeight="1" x14ac:dyDescent="0.2">
      <c r="A59" s="352"/>
      <c r="B59" s="353"/>
      <c r="C59" s="353"/>
      <c r="D59" s="353"/>
      <c r="E59" s="353"/>
      <c r="F59" s="353"/>
      <c r="G59" s="336"/>
      <c r="H59" s="336"/>
      <c r="I59" s="336"/>
      <c r="J59" s="336"/>
      <c r="K59" s="336"/>
      <c r="L59" s="336"/>
      <c r="M59" s="336"/>
      <c r="N59" s="336"/>
      <c r="O59" s="336"/>
      <c r="P59" s="336"/>
      <c r="Q59" s="336"/>
      <c r="R59" s="341"/>
      <c r="S59" s="346"/>
      <c r="T59" s="331"/>
      <c r="U59" s="343"/>
      <c r="V59" s="331">
        <f>IF(NOT(ISERROR(MATCH(U59,_xlfn.ANCHORARRAY(E70),0))),T72&amp;"Por favor no seleccionar los criterios de impacto",U59)</f>
        <v>0</v>
      </c>
      <c r="W59" s="346"/>
      <c r="X59" s="331"/>
      <c r="Y59" s="327"/>
      <c r="Z59" s="214">
        <v>5</v>
      </c>
      <c r="AA59" s="187"/>
      <c r="AB59" s="189" t="str">
        <f t="shared" si="68"/>
        <v/>
      </c>
      <c r="AC59" s="190"/>
      <c r="AD59" s="190"/>
      <c r="AE59" s="191" t="str">
        <f t="shared" si="63"/>
        <v/>
      </c>
      <c r="AF59" s="190"/>
      <c r="AG59" s="190"/>
      <c r="AH59" s="190"/>
      <c r="AI59" s="192" t="str">
        <f t="shared" si="69"/>
        <v/>
      </c>
      <c r="AJ59" s="193" t="str">
        <f t="shared" si="2"/>
        <v/>
      </c>
      <c r="AK59" s="191" t="str">
        <f t="shared" si="64"/>
        <v/>
      </c>
      <c r="AL59" s="193" t="str">
        <f t="shared" si="4"/>
        <v/>
      </c>
      <c r="AM59" s="191" t="str">
        <f t="shared" si="13"/>
        <v/>
      </c>
      <c r="AN59" s="194" t="str">
        <f t="shared" ref="AN59:AN60" si="70">IFERROR(IF(OR(AND(AJ59="Muy Baja",AL59="Leve"),AND(AJ59="Muy Baja",AL59="Menor"),AND(AJ59="Baja",AL59="Leve")),"Bajo",IF(OR(AND(AJ59="Muy baja",AL59="Moderado"),AND(AJ59="Baja",AL59="Menor"),AND(AJ59="Baja",AL59="Moderado"),AND(AJ59="Media",AL59="Leve"),AND(AJ59="Media",AL59="Menor"),AND(AJ59="Media",AL59="Moderado"),AND(AJ59="Alta",AL59="Leve"),AND(AJ59="Alta",AL59="Menor")),"Moderado",IF(OR(AND(AJ59="Muy Baja",AL59="Mayor"),AND(AJ59="Baja",AL59="Mayor"),AND(AJ59="Media",AL59="Mayor"),AND(AJ59="Alta",AL59="Moderado"),AND(AJ59="Alta",AL59="Mayor"),AND(AJ59="Muy Alta",AL59="Leve"),AND(AJ59="Muy Alta",AL59="Menor"),AND(AJ59="Muy Alta",AL59="Moderado"),AND(AJ59="Muy Alta",AL59="Mayor")),"Alto",IF(OR(AND(AJ59="Muy Baja",AL59="Catastrófico"),AND(AJ59="Baja",AL59="Catastrófico"),AND(AJ59="Media",AL59="Catastrófico"),AND(AJ59="Alta",AL59="Catastrófico"),AND(AJ59="Muy Alta",AL59="Catastrófico")),"Extremo","")))),"")</f>
        <v/>
      </c>
      <c r="AO59" s="195"/>
      <c r="AP59" s="186"/>
      <c r="AQ59" s="196"/>
      <c r="AR59" s="196"/>
      <c r="AS59" s="197"/>
      <c r="AT59" s="341"/>
      <c r="AU59" s="341"/>
      <c r="AV59" s="341"/>
    </row>
    <row r="60" spans="1:48" ht="37.5" customHeight="1" x14ac:dyDescent="0.2">
      <c r="A60" s="352"/>
      <c r="B60" s="353"/>
      <c r="C60" s="353"/>
      <c r="D60" s="353"/>
      <c r="E60" s="353"/>
      <c r="F60" s="353"/>
      <c r="G60" s="337"/>
      <c r="H60" s="337"/>
      <c r="I60" s="337"/>
      <c r="J60" s="337"/>
      <c r="K60" s="337"/>
      <c r="L60" s="337"/>
      <c r="M60" s="337"/>
      <c r="N60" s="337"/>
      <c r="O60" s="337"/>
      <c r="P60" s="337"/>
      <c r="Q60" s="337"/>
      <c r="R60" s="341"/>
      <c r="S60" s="346"/>
      <c r="T60" s="331"/>
      <c r="U60" s="343"/>
      <c r="V60" s="331">
        <f>IF(NOT(ISERROR(MATCH(U60,_xlfn.ANCHORARRAY(E71),0))),U73&amp;"Por favor no seleccionar los criterios de impacto",U60)</f>
        <v>0</v>
      </c>
      <c r="W60" s="346"/>
      <c r="X60" s="331"/>
      <c r="Y60" s="327"/>
      <c r="Z60" s="214">
        <v>6</v>
      </c>
      <c r="AA60" s="187"/>
      <c r="AB60" s="189" t="str">
        <f t="shared" si="68"/>
        <v/>
      </c>
      <c r="AC60" s="190"/>
      <c r="AD60" s="190"/>
      <c r="AE60" s="191" t="str">
        <f t="shared" si="63"/>
        <v/>
      </c>
      <c r="AF60" s="190"/>
      <c r="AG60" s="190"/>
      <c r="AH60" s="190"/>
      <c r="AI60" s="192" t="str">
        <f t="shared" si="69"/>
        <v/>
      </c>
      <c r="AJ60" s="193" t="str">
        <f t="shared" si="2"/>
        <v/>
      </c>
      <c r="AK60" s="191" t="str">
        <f t="shared" si="64"/>
        <v/>
      </c>
      <c r="AL60" s="193" t="str">
        <f t="shared" si="4"/>
        <v/>
      </c>
      <c r="AM60" s="191" t="str">
        <f t="shared" si="13"/>
        <v/>
      </c>
      <c r="AN60" s="194" t="str">
        <f t="shared" si="70"/>
        <v/>
      </c>
      <c r="AO60" s="195"/>
      <c r="AP60" s="186"/>
      <c r="AQ60" s="196"/>
      <c r="AR60" s="196"/>
      <c r="AS60" s="197"/>
      <c r="AT60" s="341"/>
      <c r="AU60" s="341"/>
      <c r="AV60" s="341"/>
    </row>
    <row r="61" spans="1:48" ht="37.5" customHeight="1" x14ac:dyDescent="0.2">
      <c r="A61" s="352">
        <v>9</v>
      </c>
      <c r="B61" s="353"/>
      <c r="C61" s="353"/>
      <c r="D61" s="353"/>
      <c r="E61" s="353"/>
      <c r="F61" s="353"/>
      <c r="G61" s="335"/>
      <c r="H61" s="335"/>
      <c r="I61" s="335"/>
      <c r="J61" s="335"/>
      <c r="K61" s="335"/>
      <c r="L61" s="335"/>
      <c r="M61" s="221"/>
      <c r="N61" s="221"/>
      <c r="O61" s="221"/>
      <c r="P61" s="335"/>
      <c r="Q61" s="335"/>
      <c r="R61" s="341"/>
      <c r="S61" s="346" t="str">
        <f>IF(R61&lt;=0,"",IF(R61&lt;=2,"Muy Baja",IF(R61&lt;=24,"Baja",IF(R61&lt;=500,"Media",IF(R61&lt;=5000,"Alta","Muy Alta")))))</f>
        <v/>
      </c>
      <c r="T61" s="331" t="str">
        <f>IF(S61="","",IF(S61="Muy Baja",0.2,IF(S61="Baja",0.4,IF(S61="Media",0.6,IF(S61="Alta",0.8,IF(S61="Muy Alta",1,))))))</f>
        <v/>
      </c>
      <c r="U61" s="343"/>
      <c r="V61" s="331">
        <f>IF(NOT(ISERROR(MATCH(U61,'Tabla Impacto'!$B$222:$B$224,0))),'Tabla Impacto'!$F$224&amp;"Por favor no seleccionar los criterios de impacto(Afectación Económica o presupuestal y Pérdida Reputacional)",U61)</f>
        <v>0</v>
      </c>
      <c r="W61" s="346" t="str">
        <f>IF(OR(V61='Tabla Impacto'!$C$12,V61='Tabla Impacto'!$D$12),"Leve",IF(OR(V61='Tabla Impacto'!$C$13,V61='Tabla Impacto'!$D$13),"Menor",IF(OR(V61='Tabla Impacto'!$C$14,V61='Tabla Impacto'!$D$14),"Moderado",IF(OR(V61='Tabla Impacto'!$C$15,V61='Tabla Impacto'!$D$15),"Mayor",IF(OR(V61='Tabla Impacto'!$C$16,V61='Tabla Impacto'!$D$16),"Catastrófico","")))))</f>
        <v/>
      </c>
      <c r="X61" s="331" t="str">
        <f>IF(W61="","",IF(W61="Leve",0.2,IF(W61="Menor",0.4,IF(W61="Moderado",0.6,IF(W61="Mayor",0.8,IF(W61="Catastrófico",1,))))))</f>
        <v/>
      </c>
      <c r="Y61" s="327" t="str">
        <f>IF(OR(AND(S61="Muy Baja",W61="Leve"),AND(S61="Muy Baja",W61="Menor"),AND(S61="Baja",W61="Leve")),"Bajo",IF(OR(AND(S61="Muy baja",W61="Moderado"),AND(S61="Baja",W61="Menor"),AND(S61="Baja",W61="Moderado"),AND(S61="Media",W61="Leve"),AND(S61="Media",W61="Menor"),AND(S61="Media",W61="Moderado"),AND(S61="Alta",W61="Leve"),AND(S61="Alta",W61="Menor")),"Moderado",IF(OR(AND(S61="Muy Baja",W61="Mayor"),AND(S61="Baja",W61="Mayor"),AND(S61="Media",W61="Mayor"),AND(S61="Alta",W61="Moderado"),AND(S61="Alta",W61="Mayor"),AND(S61="Muy Alta",W61="Leve"),AND(S61="Muy Alta",W61="Menor"),AND(S61="Muy Alta",W61="Moderado"),AND(S61="Muy Alta",W61="Mayor")),"Alto",IF(OR(AND(S61="Muy Baja",W61="Catastrófico"),AND(S61="Baja",W61="Catastrófico"),AND(S61="Media",W61="Catastrófico"),AND(S61="Alta",W61="Catastrófico"),AND(S61="Muy Alta",W61="Catastrófico")),"Extremo",""))))</f>
        <v/>
      </c>
      <c r="Z61" s="214">
        <v>1</v>
      </c>
      <c r="AA61" s="187"/>
      <c r="AB61" s="189" t="str">
        <f>IF(OR(AC61="Preventivo",AC61="Detectivo"),"Probabilidad",IF(AC61="Correctivo","Impacto",""))</f>
        <v/>
      </c>
      <c r="AC61" s="190"/>
      <c r="AD61" s="190"/>
      <c r="AE61" s="191" t="str">
        <f>IF(AND(AC61="Preventivo",AD61="Automático"),"50%",IF(AND(AC61="Preventivo",AD61="Manual"),"40%",IF(AND(AC61="Detectivo",AD61="Automático"),"40%",IF(AND(AC61="Detectivo",AD61="Manual"),"30%",IF(AND(AC61="Correctivo",AD61="Automático"),"35%",IF(AND(AC61="Correctivo",AD61="Manual"),"25%",""))))))</f>
        <v/>
      </c>
      <c r="AF61" s="190"/>
      <c r="AG61" s="190"/>
      <c r="AH61" s="190"/>
      <c r="AI61" s="192" t="str">
        <f>IFERROR(IF(AB61="Probabilidad",(T61-(+T61*AE61)),IF(AB61="Impacto",T61,"")),"")</f>
        <v/>
      </c>
      <c r="AJ61" s="193" t="str">
        <f>IFERROR(IF(AI61="","",IF(AI61&lt;=0.2,"Muy Baja",IF(AI61&lt;=0.4,"Baja",IF(AI61&lt;=0.6,"Media",IF(AI61&lt;=0.8,"Alta","Muy Alta"))))),"")</f>
        <v/>
      </c>
      <c r="AK61" s="191" t="str">
        <f>+AI61</f>
        <v/>
      </c>
      <c r="AL61" s="193" t="str">
        <f>IFERROR(IF(AM61="","",IF(AM61&lt;=0.2,"Leve",IF(AM61&lt;=0.4,"Menor",IF(AM61&lt;=0.6,"Moderado",IF(AM61&lt;=0.8,"Mayor","Catastrófico"))))),"")</f>
        <v/>
      </c>
      <c r="AM61" s="191" t="str">
        <f t="shared" ref="AM61" si="71">IFERROR(IF(AB61="Impacto",(X61-(+X61*AE61)),IF(AB61="Probabilidad",X61,"")),"")</f>
        <v/>
      </c>
      <c r="AN61" s="194" t="str">
        <f>IFERROR(IF(OR(AND(AJ61="Muy Baja",AL61="Leve"),AND(AJ61="Muy Baja",AL61="Menor"),AND(AJ61="Baja",AL61="Leve")),"Bajo",IF(OR(AND(AJ61="Muy baja",AL61="Moderado"),AND(AJ61="Baja",AL61="Menor"),AND(AJ61="Baja",AL61="Moderado"),AND(AJ61="Media",AL61="Leve"),AND(AJ61="Media",AL61="Menor"),AND(AJ61="Media",AL61="Moderado"),AND(AJ61="Alta",AL61="Leve"),AND(AJ61="Alta",AL61="Menor")),"Moderado",IF(OR(AND(AJ61="Muy Baja",AL61="Mayor"),AND(AJ61="Baja",AL61="Mayor"),AND(AJ61="Media",AL61="Mayor"),AND(AJ61="Alta",AL61="Moderado"),AND(AJ61="Alta",AL61="Mayor"),AND(AJ61="Muy Alta",AL61="Leve"),AND(AJ61="Muy Alta",AL61="Menor"),AND(AJ61="Muy Alta",AL61="Moderado"),AND(AJ61="Muy Alta",AL61="Mayor")),"Alto",IF(OR(AND(AJ61="Muy Baja",AL61="Catastrófico"),AND(AJ61="Baja",AL61="Catastrófico"),AND(AJ61="Media",AL61="Catastrófico"),AND(AJ61="Alta",AL61="Catastrófico"),AND(AJ61="Muy Alta",AL61="Catastrófico")),"Extremo","")))),"")</f>
        <v/>
      </c>
      <c r="AO61" s="195"/>
      <c r="AP61" s="186"/>
      <c r="AQ61" s="196"/>
      <c r="AR61" s="196"/>
      <c r="AS61" s="197"/>
      <c r="AT61" s="341"/>
      <c r="AU61" s="341"/>
      <c r="AV61" s="341"/>
    </row>
    <row r="62" spans="1:48" ht="37.5" customHeight="1" x14ac:dyDescent="0.2">
      <c r="A62" s="352"/>
      <c r="B62" s="353"/>
      <c r="C62" s="353"/>
      <c r="D62" s="353"/>
      <c r="E62" s="353"/>
      <c r="F62" s="353"/>
      <c r="G62" s="336"/>
      <c r="H62" s="336"/>
      <c r="I62" s="336"/>
      <c r="J62" s="336"/>
      <c r="K62" s="336"/>
      <c r="L62" s="336"/>
      <c r="M62" s="222"/>
      <c r="N62" s="222"/>
      <c r="O62" s="222"/>
      <c r="P62" s="336"/>
      <c r="Q62" s="336"/>
      <c r="R62" s="341"/>
      <c r="S62" s="346"/>
      <c r="T62" s="331"/>
      <c r="U62" s="343"/>
      <c r="V62" s="331">
        <f>IF(NOT(ISERROR(MATCH(U62,_xlfn.ANCHORARRAY(F73),0))),U75&amp;"Por favor no seleccionar los criterios de impacto",U62)</f>
        <v>0</v>
      </c>
      <c r="W62" s="346"/>
      <c r="X62" s="331"/>
      <c r="Y62" s="327"/>
      <c r="Z62" s="214">
        <v>2</v>
      </c>
      <c r="AA62" s="187"/>
      <c r="AB62" s="189" t="str">
        <f>IF(OR(AC62="Preventivo",AC62="Detectivo"),"Probabilidad",IF(AC62="Correctivo","Impacto",""))</f>
        <v/>
      </c>
      <c r="AC62" s="190"/>
      <c r="AD62" s="190"/>
      <c r="AE62" s="191" t="str">
        <f t="shared" ref="AE62:AE66" si="72">IF(AND(AC62="Preventivo",AD62="Automático"),"50%",IF(AND(AC62="Preventivo",AD62="Manual"),"40%",IF(AND(AC62="Detectivo",AD62="Automático"),"40%",IF(AND(AC62="Detectivo",AD62="Manual"),"30%",IF(AND(AC62="Correctivo",AD62="Automático"),"35%",IF(AND(AC62="Correctivo",AD62="Manual"),"25%",""))))))</f>
        <v/>
      </c>
      <c r="AF62" s="190"/>
      <c r="AG62" s="190"/>
      <c r="AH62" s="190"/>
      <c r="AI62" s="192" t="str">
        <f>IFERROR(IF(AND(AB61="Probabilidad",AB62="Probabilidad"),(AK61-(+AK61*AE62)),IF(AB62="Probabilidad",(T61-(+T61*AE62)),IF(AB62="Impacto",AK61,""))),"")</f>
        <v/>
      </c>
      <c r="AJ62" s="193" t="str">
        <f t="shared" si="2"/>
        <v/>
      </c>
      <c r="AK62" s="191" t="str">
        <f t="shared" ref="AK62:AK66" si="73">+AI62</f>
        <v/>
      </c>
      <c r="AL62" s="193" t="str">
        <f t="shared" si="4"/>
        <v/>
      </c>
      <c r="AM62" s="191" t="str">
        <f t="shared" ref="AM62" si="74">IFERROR(IF(AND(AB61="Impacto",AB62="Impacto"),(AM61-(+AM61*AE62)),IF(AB62="Impacto",($X$13-(+$X$13*AE62)),IF(AB62="Probabilidad",AM61,""))),"")</f>
        <v/>
      </c>
      <c r="AN62" s="194" t="str">
        <f t="shared" ref="AN62:AN63" si="75">IFERROR(IF(OR(AND(AJ62="Muy Baja",AL62="Leve"),AND(AJ62="Muy Baja",AL62="Menor"),AND(AJ62="Baja",AL62="Leve")),"Bajo",IF(OR(AND(AJ62="Muy baja",AL62="Moderado"),AND(AJ62="Baja",AL62="Menor"),AND(AJ62="Baja",AL62="Moderado"),AND(AJ62="Media",AL62="Leve"),AND(AJ62="Media",AL62="Menor"),AND(AJ62="Media",AL62="Moderado"),AND(AJ62="Alta",AL62="Leve"),AND(AJ62="Alta",AL62="Menor")),"Moderado",IF(OR(AND(AJ62="Muy Baja",AL62="Mayor"),AND(AJ62="Baja",AL62="Mayor"),AND(AJ62="Media",AL62="Mayor"),AND(AJ62="Alta",AL62="Moderado"),AND(AJ62="Alta",AL62="Mayor"),AND(AJ62="Muy Alta",AL62="Leve"),AND(AJ62="Muy Alta",AL62="Menor"),AND(AJ62="Muy Alta",AL62="Moderado"),AND(AJ62="Muy Alta",AL62="Mayor")),"Alto",IF(OR(AND(AJ62="Muy Baja",AL62="Catastrófico"),AND(AJ62="Baja",AL62="Catastrófico"),AND(AJ62="Media",AL62="Catastrófico"),AND(AJ62="Alta",AL62="Catastrófico"),AND(AJ62="Muy Alta",AL62="Catastrófico")),"Extremo","")))),"")</f>
        <v/>
      </c>
      <c r="AO62" s="195"/>
      <c r="AP62" s="186"/>
      <c r="AQ62" s="196"/>
      <c r="AR62" s="196"/>
      <c r="AS62" s="197"/>
      <c r="AT62" s="341"/>
      <c r="AU62" s="341"/>
      <c r="AV62" s="341"/>
    </row>
    <row r="63" spans="1:48" ht="37.5" customHeight="1" x14ac:dyDescent="0.2">
      <c r="A63" s="352"/>
      <c r="B63" s="353"/>
      <c r="C63" s="353"/>
      <c r="D63" s="353"/>
      <c r="E63" s="353"/>
      <c r="F63" s="353"/>
      <c r="G63" s="336"/>
      <c r="H63" s="336"/>
      <c r="I63" s="336"/>
      <c r="J63" s="336"/>
      <c r="K63" s="336"/>
      <c r="L63" s="336"/>
      <c r="M63" s="222"/>
      <c r="N63" s="222"/>
      <c r="O63" s="222"/>
      <c r="P63" s="336"/>
      <c r="Q63" s="336"/>
      <c r="R63" s="341"/>
      <c r="S63" s="346"/>
      <c r="T63" s="331"/>
      <c r="U63" s="343"/>
      <c r="V63" s="331">
        <f>IF(NOT(ISERROR(MATCH(U63,_xlfn.ANCHORARRAY(F74),0))),U76&amp;"Por favor no seleccionar los criterios de impacto",U63)</f>
        <v>0</v>
      </c>
      <c r="W63" s="346"/>
      <c r="X63" s="331"/>
      <c r="Y63" s="327"/>
      <c r="Z63" s="214">
        <v>3</v>
      </c>
      <c r="AA63" s="187"/>
      <c r="AB63" s="189" t="str">
        <f>IF(OR(AC63="Preventivo",AC63="Detectivo"),"Probabilidad",IF(AC63="Correctivo","Impacto",""))</f>
        <v/>
      </c>
      <c r="AC63" s="190"/>
      <c r="AD63" s="190"/>
      <c r="AE63" s="191" t="str">
        <f t="shared" si="72"/>
        <v/>
      </c>
      <c r="AF63" s="190"/>
      <c r="AG63" s="190"/>
      <c r="AH63" s="190"/>
      <c r="AI63" s="192" t="str">
        <f>IFERROR(IF(AND(AB62="Probabilidad",AB63="Probabilidad"),(AK62-(+AK62*AE63)),IF(AND(AB62="Impacto",AB63="Probabilidad"),(AK61-(+AK61*AE63)),IF(AB63="Impacto",AK62,""))),"")</f>
        <v/>
      </c>
      <c r="AJ63" s="193" t="str">
        <f t="shared" si="2"/>
        <v/>
      </c>
      <c r="AK63" s="191" t="str">
        <f t="shared" si="73"/>
        <v/>
      </c>
      <c r="AL63" s="193" t="str">
        <f t="shared" si="4"/>
        <v/>
      </c>
      <c r="AM63" s="191" t="str">
        <f t="shared" ref="AM63" si="76">IFERROR(IF(AND(AB62="Impacto",AB63="Impacto"),(AM62-(+AM62*AE63)),IF(AND(AB62="Probabilidad",AB63="Impacto"),(AM61-(+AM61*AE63)),IF(AB63="Probabilidad",AM62,""))),"")</f>
        <v/>
      </c>
      <c r="AN63" s="194" t="str">
        <f t="shared" si="75"/>
        <v/>
      </c>
      <c r="AO63" s="195"/>
      <c r="AP63" s="186"/>
      <c r="AQ63" s="196"/>
      <c r="AR63" s="196"/>
      <c r="AS63" s="197"/>
      <c r="AT63" s="341"/>
      <c r="AU63" s="341"/>
      <c r="AV63" s="341"/>
    </row>
    <row r="64" spans="1:48" ht="37.5" customHeight="1" x14ac:dyDescent="0.2">
      <c r="A64" s="352"/>
      <c r="B64" s="353"/>
      <c r="C64" s="353"/>
      <c r="D64" s="353"/>
      <c r="E64" s="353"/>
      <c r="F64" s="353"/>
      <c r="G64" s="336"/>
      <c r="H64" s="336"/>
      <c r="I64" s="336"/>
      <c r="J64" s="336"/>
      <c r="K64" s="336"/>
      <c r="L64" s="336"/>
      <c r="M64" s="222"/>
      <c r="N64" s="222"/>
      <c r="O64" s="222"/>
      <c r="P64" s="336"/>
      <c r="Q64" s="336"/>
      <c r="R64" s="341"/>
      <c r="S64" s="346"/>
      <c r="T64" s="331"/>
      <c r="U64" s="343"/>
      <c r="V64" s="331">
        <f>IF(NOT(ISERROR(MATCH(U64,_xlfn.ANCHORARRAY(F75),0))),U77&amp;"Por favor no seleccionar los criterios de impacto",U64)</f>
        <v>0</v>
      </c>
      <c r="W64" s="346"/>
      <c r="X64" s="331"/>
      <c r="Y64" s="327"/>
      <c r="Z64" s="214">
        <v>4</v>
      </c>
      <c r="AA64" s="187"/>
      <c r="AB64" s="189" t="str">
        <f t="shared" ref="AB64:AB66" si="77">IF(OR(AC64="Preventivo",AC64="Detectivo"),"Probabilidad",IF(AC64="Correctivo","Impacto",""))</f>
        <v/>
      </c>
      <c r="AC64" s="190"/>
      <c r="AD64" s="190"/>
      <c r="AE64" s="191" t="str">
        <f t="shared" si="72"/>
        <v/>
      </c>
      <c r="AF64" s="190"/>
      <c r="AG64" s="190"/>
      <c r="AH64" s="190"/>
      <c r="AI64" s="192" t="str">
        <f t="shared" ref="AI64:AI66" si="78">IFERROR(IF(AND(AB63="Probabilidad",AB64="Probabilidad"),(AK63-(+AK63*AE64)),IF(AND(AB63="Impacto",AB64="Probabilidad"),(AK62-(+AK62*AE64)),IF(AB64="Impacto",AK63,""))),"")</f>
        <v/>
      </c>
      <c r="AJ64" s="193" t="str">
        <f t="shared" si="2"/>
        <v/>
      </c>
      <c r="AK64" s="191" t="str">
        <f t="shared" si="73"/>
        <v/>
      </c>
      <c r="AL64" s="193" t="str">
        <f t="shared" si="4"/>
        <v/>
      </c>
      <c r="AM64" s="191" t="str">
        <f t="shared" si="13"/>
        <v/>
      </c>
      <c r="AN64" s="194" t="str">
        <f>IFERROR(IF(OR(AND(AJ64="Muy Baja",AL64="Leve"),AND(AJ64="Muy Baja",AL64="Menor"),AND(AJ64="Baja",AL64="Leve")),"Bajo",IF(OR(AND(AJ64="Muy baja",AL64="Moderado"),AND(AJ64="Baja",AL64="Menor"),AND(AJ64="Baja",AL64="Moderado"),AND(AJ64="Media",AL64="Leve"),AND(AJ64="Media",AL64="Menor"),AND(AJ64="Media",AL64="Moderado"),AND(AJ64="Alta",AL64="Leve"),AND(AJ64="Alta",AL64="Menor")),"Moderado",IF(OR(AND(AJ64="Muy Baja",AL64="Mayor"),AND(AJ64="Baja",AL64="Mayor"),AND(AJ64="Media",AL64="Mayor"),AND(AJ64="Alta",AL64="Moderado"),AND(AJ64="Alta",AL64="Mayor"),AND(AJ64="Muy Alta",AL64="Leve"),AND(AJ64="Muy Alta",AL64="Menor"),AND(AJ64="Muy Alta",AL64="Moderado"),AND(AJ64="Muy Alta",AL64="Mayor")),"Alto",IF(OR(AND(AJ64="Muy Baja",AL64="Catastrófico"),AND(AJ64="Baja",AL64="Catastrófico"),AND(AJ64="Media",AL64="Catastrófico"),AND(AJ64="Alta",AL64="Catastrófico"),AND(AJ64="Muy Alta",AL64="Catastrófico")),"Extremo","")))),"")</f>
        <v/>
      </c>
      <c r="AO64" s="195"/>
      <c r="AP64" s="186"/>
      <c r="AQ64" s="196"/>
      <c r="AR64" s="196"/>
      <c r="AS64" s="197"/>
      <c r="AT64" s="341"/>
      <c r="AU64" s="341"/>
      <c r="AV64" s="341"/>
    </row>
    <row r="65" spans="1:48" ht="37.5" customHeight="1" x14ac:dyDescent="0.2">
      <c r="A65" s="352"/>
      <c r="B65" s="353"/>
      <c r="C65" s="353"/>
      <c r="D65" s="353"/>
      <c r="E65" s="353"/>
      <c r="F65" s="353"/>
      <c r="G65" s="336"/>
      <c r="H65" s="336"/>
      <c r="I65" s="336"/>
      <c r="J65" s="336"/>
      <c r="K65" s="336"/>
      <c r="L65" s="336"/>
      <c r="M65" s="222"/>
      <c r="N65" s="222"/>
      <c r="O65" s="222"/>
      <c r="P65" s="336"/>
      <c r="Q65" s="336"/>
      <c r="R65" s="341"/>
      <c r="S65" s="346"/>
      <c r="T65" s="331"/>
      <c r="U65" s="343"/>
      <c r="V65" s="331">
        <f>IF(NOT(ISERROR(MATCH(U65,_xlfn.ANCHORARRAY(F76),0))),U78&amp;"Por favor no seleccionar los criterios de impacto",U65)</f>
        <v>0</v>
      </c>
      <c r="W65" s="346"/>
      <c r="X65" s="331"/>
      <c r="Y65" s="327"/>
      <c r="Z65" s="214">
        <v>5</v>
      </c>
      <c r="AA65" s="187"/>
      <c r="AB65" s="189" t="str">
        <f t="shared" si="77"/>
        <v/>
      </c>
      <c r="AC65" s="190"/>
      <c r="AD65" s="190"/>
      <c r="AE65" s="191" t="str">
        <f t="shared" si="72"/>
        <v/>
      </c>
      <c r="AF65" s="190"/>
      <c r="AG65" s="190"/>
      <c r="AH65" s="190"/>
      <c r="AI65" s="192" t="str">
        <f t="shared" si="78"/>
        <v/>
      </c>
      <c r="AJ65" s="193" t="str">
        <f t="shared" si="2"/>
        <v/>
      </c>
      <c r="AK65" s="191" t="str">
        <f t="shared" si="73"/>
        <v/>
      </c>
      <c r="AL65" s="193" t="str">
        <f t="shared" si="4"/>
        <v/>
      </c>
      <c r="AM65" s="191" t="str">
        <f t="shared" si="13"/>
        <v/>
      </c>
      <c r="AN65" s="194" t="str">
        <f t="shared" ref="AN65:AN66" si="79">IFERROR(IF(OR(AND(AJ65="Muy Baja",AL65="Leve"),AND(AJ65="Muy Baja",AL65="Menor"),AND(AJ65="Baja",AL65="Leve")),"Bajo",IF(OR(AND(AJ65="Muy baja",AL65="Moderado"),AND(AJ65="Baja",AL65="Menor"),AND(AJ65="Baja",AL65="Moderado"),AND(AJ65="Media",AL65="Leve"),AND(AJ65="Media",AL65="Menor"),AND(AJ65="Media",AL65="Moderado"),AND(AJ65="Alta",AL65="Leve"),AND(AJ65="Alta",AL65="Menor")),"Moderado",IF(OR(AND(AJ65="Muy Baja",AL65="Mayor"),AND(AJ65="Baja",AL65="Mayor"),AND(AJ65="Media",AL65="Mayor"),AND(AJ65="Alta",AL65="Moderado"),AND(AJ65="Alta",AL65="Mayor"),AND(AJ65="Muy Alta",AL65="Leve"),AND(AJ65="Muy Alta",AL65="Menor"),AND(AJ65="Muy Alta",AL65="Moderado"),AND(AJ65="Muy Alta",AL65="Mayor")),"Alto",IF(OR(AND(AJ65="Muy Baja",AL65="Catastrófico"),AND(AJ65="Baja",AL65="Catastrófico"),AND(AJ65="Media",AL65="Catastrófico"),AND(AJ65="Alta",AL65="Catastrófico"),AND(AJ65="Muy Alta",AL65="Catastrófico")),"Extremo","")))),"")</f>
        <v/>
      </c>
      <c r="AO65" s="195"/>
      <c r="AP65" s="186"/>
      <c r="AQ65" s="196"/>
      <c r="AR65" s="196"/>
      <c r="AS65" s="197"/>
      <c r="AT65" s="341"/>
      <c r="AU65" s="341"/>
      <c r="AV65" s="341"/>
    </row>
    <row r="66" spans="1:48" ht="37.5" customHeight="1" x14ac:dyDescent="0.2">
      <c r="A66" s="352"/>
      <c r="B66" s="353"/>
      <c r="C66" s="353"/>
      <c r="D66" s="353"/>
      <c r="E66" s="353"/>
      <c r="F66" s="353"/>
      <c r="G66" s="337"/>
      <c r="H66" s="337"/>
      <c r="I66" s="337"/>
      <c r="J66" s="337"/>
      <c r="K66" s="337"/>
      <c r="L66" s="337"/>
      <c r="M66" s="223"/>
      <c r="N66" s="223"/>
      <c r="O66" s="223"/>
      <c r="P66" s="337"/>
      <c r="Q66" s="337"/>
      <c r="R66" s="341"/>
      <c r="S66" s="346"/>
      <c r="T66" s="331"/>
      <c r="U66" s="343"/>
      <c r="V66" s="331">
        <f>IF(NOT(ISERROR(MATCH(U66,_xlfn.ANCHORARRAY(F77),0))),U79&amp;"Por favor no seleccionar los criterios de impacto",U66)</f>
        <v>0</v>
      </c>
      <c r="W66" s="346"/>
      <c r="X66" s="331"/>
      <c r="Y66" s="327"/>
      <c r="Z66" s="214">
        <v>6</v>
      </c>
      <c r="AA66" s="187"/>
      <c r="AB66" s="189" t="str">
        <f t="shared" si="77"/>
        <v/>
      </c>
      <c r="AC66" s="190"/>
      <c r="AD66" s="190"/>
      <c r="AE66" s="191" t="str">
        <f t="shared" si="72"/>
        <v/>
      </c>
      <c r="AF66" s="190"/>
      <c r="AG66" s="190"/>
      <c r="AH66" s="190"/>
      <c r="AI66" s="192" t="str">
        <f t="shared" si="78"/>
        <v/>
      </c>
      <c r="AJ66" s="193" t="str">
        <f t="shared" si="2"/>
        <v/>
      </c>
      <c r="AK66" s="191" t="str">
        <f t="shared" si="73"/>
        <v/>
      </c>
      <c r="AL66" s="193" t="str">
        <f t="shared" si="4"/>
        <v/>
      </c>
      <c r="AM66" s="191" t="str">
        <f t="shared" si="13"/>
        <v/>
      </c>
      <c r="AN66" s="194" t="str">
        <f t="shared" si="79"/>
        <v/>
      </c>
      <c r="AO66" s="195"/>
      <c r="AP66" s="186"/>
      <c r="AQ66" s="196"/>
      <c r="AR66" s="196"/>
      <c r="AS66" s="197"/>
      <c r="AT66" s="341"/>
      <c r="AU66" s="341"/>
      <c r="AV66" s="341"/>
    </row>
    <row r="67" spans="1:48" ht="37.5" customHeight="1" x14ac:dyDescent="0.2">
      <c r="A67" s="352">
        <v>10</v>
      </c>
      <c r="B67" s="353"/>
      <c r="C67" s="353"/>
      <c r="D67" s="353"/>
      <c r="E67" s="353"/>
      <c r="F67" s="353"/>
      <c r="G67" s="335"/>
      <c r="H67" s="335"/>
      <c r="I67" s="335"/>
      <c r="J67" s="335"/>
      <c r="K67" s="335"/>
      <c r="L67" s="335"/>
      <c r="M67" s="221"/>
      <c r="N67" s="221"/>
      <c r="O67" s="221"/>
      <c r="P67" s="335"/>
      <c r="Q67" s="335"/>
      <c r="R67" s="341"/>
      <c r="S67" s="346" t="str">
        <f>IF(R67&lt;=0,"",IF(R67&lt;=2,"Muy Baja",IF(R67&lt;=24,"Baja",IF(R67&lt;=500,"Media",IF(R67&lt;=5000,"Alta","Muy Alta")))))</f>
        <v/>
      </c>
      <c r="T67" s="331" t="str">
        <f>IF(S67="","",IF(S67="Muy Baja",0.2,IF(S67="Baja",0.4,IF(S67="Media",0.6,IF(S67="Alta",0.8,IF(S67="Muy Alta",1,))))))</f>
        <v/>
      </c>
      <c r="U67" s="343"/>
      <c r="V67" s="331">
        <f>IF(NOT(ISERROR(MATCH(U67,'Tabla Impacto'!$B$222:$B$224,0))),'Tabla Impacto'!$F$224&amp;"Por favor no seleccionar los criterios de impacto(Afectación Económica o presupuestal y Pérdida Reputacional)",U67)</f>
        <v>0</v>
      </c>
      <c r="W67" s="346" t="str">
        <f>IF(OR(V67='Tabla Impacto'!$C$12,V67='Tabla Impacto'!$D$12),"Leve",IF(OR(V67='Tabla Impacto'!$C$13,V67='Tabla Impacto'!$D$13),"Menor",IF(OR(V67='Tabla Impacto'!$C$14,V67='Tabla Impacto'!$D$14),"Moderado",IF(OR(V67='Tabla Impacto'!$C$15,V67='Tabla Impacto'!$D$15),"Mayor",IF(OR(V67='Tabla Impacto'!$C$16,V67='Tabla Impacto'!$D$16),"Catastrófico","")))))</f>
        <v/>
      </c>
      <c r="X67" s="331" t="str">
        <f>IF(W67="","",IF(W67="Leve",0.2,IF(W67="Menor",0.4,IF(W67="Moderado",0.6,IF(W67="Mayor",0.8,IF(W67="Catastrófico",1,))))))</f>
        <v/>
      </c>
      <c r="Y67" s="327" t="str">
        <f>IF(OR(AND(S67="Muy Baja",W67="Leve"),AND(S67="Muy Baja",W67="Menor"),AND(S67="Baja",W67="Leve")),"Bajo",IF(OR(AND(S67="Muy baja",W67="Moderado"),AND(S67="Baja",W67="Menor"),AND(S67="Baja",W67="Moderado"),AND(S67="Media",W67="Leve"),AND(S67="Media",W67="Menor"),AND(S67="Media",W67="Moderado"),AND(S67="Alta",W67="Leve"),AND(S67="Alta",W67="Menor")),"Moderado",IF(OR(AND(S67="Muy Baja",W67="Mayor"),AND(S67="Baja",W67="Mayor"),AND(S67="Media",W67="Mayor"),AND(S67="Alta",W67="Moderado"),AND(S67="Alta",W67="Mayor"),AND(S67="Muy Alta",W67="Leve"),AND(S67="Muy Alta",W67="Menor"),AND(S67="Muy Alta",W67="Moderado"),AND(S67="Muy Alta",W67="Mayor")),"Alto",IF(OR(AND(S67="Muy Baja",W67="Catastrófico"),AND(S67="Baja",W67="Catastrófico"),AND(S67="Media",W67="Catastrófico"),AND(S67="Alta",W67="Catastrófico"),AND(S67="Muy Alta",W67="Catastrófico")),"Extremo",""))))</f>
        <v/>
      </c>
      <c r="Z67" s="214">
        <v>1</v>
      </c>
      <c r="AA67" s="187"/>
      <c r="AB67" s="189" t="str">
        <f>IF(OR(AC67="Preventivo",AC67="Detectivo"),"Probabilidad",IF(AC67="Correctivo","Impacto",""))</f>
        <v/>
      </c>
      <c r="AC67" s="190"/>
      <c r="AD67" s="190"/>
      <c r="AE67" s="191" t="str">
        <f>IF(AND(AC67="Preventivo",AD67="Automático"),"50%",IF(AND(AC67="Preventivo",AD67="Manual"),"40%",IF(AND(AC67="Detectivo",AD67="Automático"),"40%",IF(AND(AC67="Detectivo",AD67="Manual"),"30%",IF(AND(AC67="Correctivo",AD67="Automático"),"35%",IF(AND(AC67="Correctivo",AD67="Manual"),"25%",""))))))</f>
        <v/>
      </c>
      <c r="AF67" s="190"/>
      <c r="AG67" s="190"/>
      <c r="AH67" s="190"/>
      <c r="AI67" s="192" t="str">
        <f>IFERROR(IF(AB67="Probabilidad",(T67-(+T67*AE67)),IF(AB67="Impacto",T67,"")),"")</f>
        <v/>
      </c>
      <c r="AJ67" s="193" t="str">
        <f>IFERROR(IF(AI67="","",IF(AI67&lt;=0.2,"Muy Baja",IF(AI67&lt;=0.4,"Baja",IF(AI67&lt;=0.6,"Media",IF(AI67&lt;=0.8,"Alta","Muy Alta"))))),"")</f>
        <v/>
      </c>
      <c r="AK67" s="191" t="str">
        <f>+AI67</f>
        <v/>
      </c>
      <c r="AL67" s="193" t="str">
        <f>IFERROR(IF(AM67="","",IF(AM67&lt;=0.2,"Leve",IF(AM67&lt;=0.4,"Menor",IF(AM67&lt;=0.6,"Moderado",IF(AM67&lt;=0.8,"Mayor","Catastrófico"))))),"")</f>
        <v/>
      </c>
      <c r="AM67" s="191" t="str">
        <f t="shared" ref="AM67" si="80">IFERROR(IF(AB67="Impacto",(X67-(+X67*AE67)),IF(AB67="Probabilidad",X67,"")),"")</f>
        <v/>
      </c>
      <c r="AN67" s="194" t="str">
        <f>IFERROR(IF(OR(AND(AJ67="Muy Baja",AL67="Leve"),AND(AJ67="Muy Baja",AL67="Menor"),AND(AJ67="Baja",AL67="Leve")),"Bajo",IF(OR(AND(AJ67="Muy baja",AL67="Moderado"),AND(AJ67="Baja",AL67="Menor"),AND(AJ67="Baja",AL67="Moderado"),AND(AJ67="Media",AL67="Leve"),AND(AJ67="Media",AL67="Menor"),AND(AJ67="Media",AL67="Moderado"),AND(AJ67="Alta",AL67="Leve"),AND(AJ67="Alta",AL67="Menor")),"Moderado",IF(OR(AND(AJ67="Muy Baja",AL67="Mayor"),AND(AJ67="Baja",AL67="Mayor"),AND(AJ67="Media",AL67="Mayor"),AND(AJ67="Alta",AL67="Moderado"),AND(AJ67="Alta",AL67="Mayor"),AND(AJ67="Muy Alta",AL67="Leve"),AND(AJ67="Muy Alta",AL67="Menor"),AND(AJ67="Muy Alta",AL67="Moderado"),AND(AJ67="Muy Alta",AL67="Mayor")),"Alto",IF(OR(AND(AJ67="Muy Baja",AL67="Catastrófico"),AND(AJ67="Baja",AL67="Catastrófico"),AND(AJ67="Media",AL67="Catastrófico"),AND(AJ67="Alta",AL67="Catastrófico"),AND(AJ67="Muy Alta",AL67="Catastrófico")),"Extremo","")))),"")</f>
        <v/>
      </c>
      <c r="AO67" s="195"/>
      <c r="AP67" s="186"/>
      <c r="AQ67" s="196"/>
      <c r="AR67" s="196"/>
      <c r="AS67" s="197"/>
      <c r="AT67" s="341"/>
      <c r="AU67" s="341"/>
      <c r="AV67" s="341"/>
    </row>
    <row r="68" spans="1:48" ht="37.5" customHeight="1" x14ac:dyDescent="0.2">
      <c r="A68" s="352"/>
      <c r="B68" s="353"/>
      <c r="C68" s="353"/>
      <c r="D68" s="353"/>
      <c r="E68" s="353"/>
      <c r="F68" s="353"/>
      <c r="G68" s="336"/>
      <c r="H68" s="336"/>
      <c r="I68" s="336"/>
      <c r="J68" s="336"/>
      <c r="K68" s="336"/>
      <c r="L68" s="336"/>
      <c r="M68" s="222"/>
      <c r="N68" s="222"/>
      <c r="O68" s="222"/>
      <c r="P68" s="336"/>
      <c r="Q68" s="336"/>
      <c r="R68" s="341"/>
      <c r="S68" s="346"/>
      <c r="T68" s="331"/>
      <c r="U68" s="343"/>
      <c r="V68" s="331">
        <f>IF(NOT(ISERROR(MATCH(U68,_xlfn.ANCHORARRAY(F79),0))),U81&amp;"Por favor no seleccionar los criterios de impacto",U68)</f>
        <v>0</v>
      </c>
      <c r="W68" s="346"/>
      <c r="X68" s="331"/>
      <c r="Y68" s="327"/>
      <c r="Z68" s="214">
        <v>2</v>
      </c>
      <c r="AA68" s="187"/>
      <c r="AB68" s="189" t="str">
        <f>IF(OR(AC68="Preventivo",AC68="Detectivo"),"Probabilidad",IF(AC68="Correctivo","Impacto",""))</f>
        <v/>
      </c>
      <c r="AC68" s="190"/>
      <c r="AD68" s="190"/>
      <c r="AE68" s="191" t="str">
        <f t="shared" ref="AE68:AE72" si="81">IF(AND(AC68="Preventivo",AD68="Automático"),"50%",IF(AND(AC68="Preventivo",AD68="Manual"),"40%",IF(AND(AC68="Detectivo",AD68="Automático"),"40%",IF(AND(AC68="Detectivo",AD68="Manual"),"30%",IF(AND(AC68="Correctivo",AD68="Automático"),"35%",IF(AND(AC68="Correctivo",AD68="Manual"),"25%",""))))))</f>
        <v/>
      </c>
      <c r="AF68" s="190"/>
      <c r="AG68" s="190"/>
      <c r="AH68" s="190"/>
      <c r="AI68" s="192" t="str">
        <f>IFERROR(IF(AND(AB67="Probabilidad",AB68="Probabilidad"),(AK67-(+AK67*AE68)),IF(AB68="Probabilidad",(T67-(+T67*AE68)),IF(AB68="Impacto",AK67,""))),"")</f>
        <v/>
      </c>
      <c r="AJ68" s="193" t="str">
        <f t="shared" si="2"/>
        <v/>
      </c>
      <c r="AK68" s="191" t="str">
        <f t="shared" ref="AK68:AK72" si="82">+AI68</f>
        <v/>
      </c>
      <c r="AL68" s="193" t="str">
        <f t="shared" si="4"/>
        <v/>
      </c>
      <c r="AM68" s="191" t="str">
        <f t="shared" ref="AM68" si="83">IFERROR(IF(AND(AB67="Impacto",AB68="Impacto"),(AM67-(+AM67*AE68)),IF(AB68="Impacto",($X$13-(+$X$13*AE68)),IF(AB68="Probabilidad",AM67,""))),"")</f>
        <v/>
      </c>
      <c r="AN68" s="194" t="str">
        <f t="shared" ref="AN68:AN69" si="84">IFERROR(IF(OR(AND(AJ68="Muy Baja",AL68="Leve"),AND(AJ68="Muy Baja",AL68="Menor"),AND(AJ68="Baja",AL68="Leve")),"Bajo",IF(OR(AND(AJ68="Muy baja",AL68="Moderado"),AND(AJ68="Baja",AL68="Menor"),AND(AJ68="Baja",AL68="Moderado"),AND(AJ68="Media",AL68="Leve"),AND(AJ68="Media",AL68="Menor"),AND(AJ68="Media",AL68="Moderado"),AND(AJ68="Alta",AL68="Leve"),AND(AJ68="Alta",AL68="Menor")),"Moderado",IF(OR(AND(AJ68="Muy Baja",AL68="Mayor"),AND(AJ68="Baja",AL68="Mayor"),AND(AJ68="Media",AL68="Mayor"),AND(AJ68="Alta",AL68="Moderado"),AND(AJ68="Alta",AL68="Mayor"),AND(AJ68="Muy Alta",AL68="Leve"),AND(AJ68="Muy Alta",AL68="Menor"),AND(AJ68="Muy Alta",AL68="Moderado"),AND(AJ68="Muy Alta",AL68="Mayor")),"Alto",IF(OR(AND(AJ68="Muy Baja",AL68="Catastrófico"),AND(AJ68="Baja",AL68="Catastrófico"),AND(AJ68="Media",AL68="Catastrófico"),AND(AJ68="Alta",AL68="Catastrófico"),AND(AJ68="Muy Alta",AL68="Catastrófico")),"Extremo","")))),"")</f>
        <v/>
      </c>
      <c r="AO68" s="195"/>
      <c r="AP68" s="186"/>
      <c r="AQ68" s="196"/>
      <c r="AR68" s="196"/>
      <c r="AS68" s="197"/>
      <c r="AT68" s="341"/>
      <c r="AU68" s="341"/>
      <c r="AV68" s="341"/>
    </row>
    <row r="69" spans="1:48" ht="37.5" customHeight="1" x14ac:dyDescent="0.2">
      <c r="A69" s="352"/>
      <c r="B69" s="353"/>
      <c r="C69" s="353"/>
      <c r="D69" s="353"/>
      <c r="E69" s="353"/>
      <c r="F69" s="353"/>
      <c r="G69" s="336"/>
      <c r="H69" s="336"/>
      <c r="I69" s="336"/>
      <c r="J69" s="336"/>
      <c r="K69" s="336"/>
      <c r="L69" s="336"/>
      <c r="M69" s="222"/>
      <c r="N69" s="222"/>
      <c r="O69" s="222"/>
      <c r="P69" s="336"/>
      <c r="Q69" s="336"/>
      <c r="R69" s="341"/>
      <c r="S69" s="346"/>
      <c r="T69" s="331"/>
      <c r="U69" s="343"/>
      <c r="V69" s="331">
        <f>IF(NOT(ISERROR(MATCH(U69,_xlfn.ANCHORARRAY(F80),0))),U82&amp;"Por favor no seleccionar los criterios de impacto",U69)</f>
        <v>0</v>
      </c>
      <c r="W69" s="346"/>
      <c r="X69" s="331"/>
      <c r="Y69" s="327"/>
      <c r="Z69" s="214">
        <v>3</v>
      </c>
      <c r="AA69" s="187"/>
      <c r="AB69" s="189" t="str">
        <f>IF(OR(AC69="Preventivo",AC69="Detectivo"),"Probabilidad",IF(AC69="Correctivo","Impacto",""))</f>
        <v/>
      </c>
      <c r="AC69" s="190"/>
      <c r="AD69" s="190"/>
      <c r="AE69" s="191" t="str">
        <f t="shared" si="81"/>
        <v/>
      </c>
      <c r="AF69" s="190"/>
      <c r="AG69" s="190"/>
      <c r="AH69" s="190"/>
      <c r="AI69" s="192" t="str">
        <f>IFERROR(IF(AND(AB68="Probabilidad",AB69="Probabilidad"),(AK68-(+AK68*AE69)),IF(AND(AB68="Impacto",AB69="Probabilidad"),(AK67-(+AK67*AE69)),IF(AB69="Impacto",AK68,""))),"")</f>
        <v/>
      </c>
      <c r="AJ69" s="193" t="str">
        <f t="shared" si="2"/>
        <v/>
      </c>
      <c r="AK69" s="191" t="str">
        <f t="shared" si="82"/>
        <v/>
      </c>
      <c r="AL69" s="193" t="str">
        <f t="shared" si="4"/>
        <v/>
      </c>
      <c r="AM69" s="191" t="str">
        <f t="shared" ref="AM69" si="85">IFERROR(IF(AND(AB68="Impacto",AB69="Impacto"),(AM68-(+AM68*AE69)),IF(AND(AB68="Probabilidad",AB69="Impacto"),(AM67-(+AM67*AE69)),IF(AB69="Probabilidad",AM68,""))),"")</f>
        <v/>
      </c>
      <c r="AN69" s="194" t="str">
        <f t="shared" si="84"/>
        <v/>
      </c>
      <c r="AO69" s="195"/>
      <c r="AP69" s="186"/>
      <c r="AQ69" s="196"/>
      <c r="AR69" s="196"/>
      <c r="AS69" s="197"/>
      <c r="AT69" s="341"/>
      <c r="AU69" s="341"/>
      <c r="AV69" s="341"/>
    </row>
    <row r="70" spans="1:48" ht="37.5" customHeight="1" x14ac:dyDescent="0.2">
      <c r="A70" s="352"/>
      <c r="B70" s="353"/>
      <c r="C70" s="353"/>
      <c r="D70" s="353"/>
      <c r="E70" s="353"/>
      <c r="F70" s="353"/>
      <c r="G70" s="336"/>
      <c r="H70" s="336"/>
      <c r="I70" s="336"/>
      <c r="J70" s="336"/>
      <c r="K70" s="336"/>
      <c r="L70" s="336"/>
      <c r="M70" s="222"/>
      <c r="N70" s="222"/>
      <c r="O70" s="222"/>
      <c r="P70" s="336"/>
      <c r="Q70" s="336"/>
      <c r="R70" s="341"/>
      <c r="S70" s="346"/>
      <c r="T70" s="331"/>
      <c r="U70" s="343"/>
      <c r="V70" s="331">
        <f>IF(NOT(ISERROR(MATCH(U70,_xlfn.ANCHORARRAY(F81),0))),U83&amp;"Por favor no seleccionar los criterios de impacto",U70)</f>
        <v>0</v>
      </c>
      <c r="W70" s="346"/>
      <c r="X70" s="331"/>
      <c r="Y70" s="327"/>
      <c r="Z70" s="214">
        <v>4</v>
      </c>
      <c r="AA70" s="187"/>
      <c r="AB70" s="189" t="str">
        <f t="shared" ref="AB70:AB72" si="86">IF(OR(AC70="Preventivo",AC70="Detectivo"),"Probabilidad",IF(AC70="Correctivo","Impacto",""))</f>
        <v/>
      </c>
      <c r="AC70" s="190"/>
      <c r="AD70" s="190"/>
      <c r="AE70" s="191" t="str">
        <f t="shared" si="81"/>
        <v/>
      </c>
      <c r="AF70" s="190"/>
      <c r="AG70" s="190"/>
      <c r="AH70" s="190"/>
      <c r="AI70" s="192" t="str">
        <f t="shared" ref="AI70:AI72" si="87">IFERROR(IF(AND(AB69="Probabilidad",AB70="Probabilidad"),(AK69-(+AK69*AE70)),IF(AND(AB69="Impacto",AB70="Probabilidad"),(AK68-(+AK68*AE70)),IF(AB70="Impacto",AK69,""))),"")</f>
        <v/>
      </c>
      <c r="AJ70" s="193" t="str">
        <f t="shared" si="2"/>
        <v/>
      </c>
      <c r="AK70" s="191" t="str">
        <f t="shared" si="82"/>
        <v/>
      </c>
      <c r="AL70" s="193" t="str">
        <f t="shared" si="4"/>
        <v/>
      </c>
      <c r="AM70" s="191" t="str">
        <f t="shared" si="13"/>
        <v/>
      </c>
      <c r="AN70" s="194" t="str">
        <f>IFERROR(IF(OR(AND(AJ70="Muy Baja",AL70="Leve"),AND(AJ70="Muy Baja",AL70="Menor"),AND(AJ70="Baja",AL70="Leve")),"Bajo",IF(OR(AND(AJ70="Muy baja",AL70="Moderado"),AND(AJ70="Baja",AL70="Menor"),AND(AJ70="Baja",AL70="Moderado"),AND(AJ70="Media",AL70="Leve"),AND(AJ70="Media",AL70="Menor"),AND(AJ70="Media",AL70="Moderado"),AND(AJ70="Alta",AL70="Leve"),AND(AJ70="Alta",AL70="Menor")),"Moderado",IF(OR(AND(AJ70="Muy Baja",AL70="Mayor"),AND(AJ70="Baja",AL70="Mayor"),AND(AJ70="Media",AL70="Mayor"),AND(AJ70="Alta",AL70="Moderado"),AND(AJ70="Alta",AL70="Mayor"),AND(AJ70="Muy Alta",AL70="Leve"),AND(AJ70="Muy Alta",AL70="Menor"),AND(AJ70="Muy Alta",AL70="Moderado"),AND(AJ70="Muy Alta",AL70="Mayor")),"Alto",IF(OR(AND(AJ70="Muy Baja",AL70="Catastrófico"),AND(AJ70="Baja",AL70="Catastrófico"),AND(AJ70="Media",AL70="Catastrófico"),AND(AJ70="Alta",AL70="Catastrófico"),AND(AJ70="Muy Alta",AL70="Catastrófico")),"Extremo","")))),"")</f>
        <v/>
      </c>
      <c r="AO70" s="195"/>
      <c r="AP70" s="186"/>
      <c r="AQ70" s="196"/>
      <c r="AR70" s="196"/>
      <c r="AS70" s="197"/>
      <c r="AT70" s="341"/>
      <c r="AU70" s="341"/>
      <c r="AV70" s="341"/>
    </row>
    <row r="71" spans="1:48" ht="37.5" customHeight="1" x14ac:dyDescent="0.2">
      <c r="A71" s="352"/>
      <c r="B71" s="353"/>
      <c r="C71" s="353"/>
      <c r="D71" s="353"/>
      <c r="E71" s="353"/>
      <c r="F71" s="353"/>
      <c r="G71" s="336"/>
      <c r="H71" s="336"/>
      <c r="I71" s="336"/>
      <c r="J71" s="336"/>
      <c r="K71" s="336"/>
      <c r="L71" s="336"/>
      <c r="M71" s="222"/>
      <c r="N71" s="222"/>
      <c r="O71" s="222"/>
      <c r="P71" s="336"/>
      <c r="Q71" s="336"/>
      <c r="R71" s="341"/>
      <c r="S71" s="346"/>
      <c r="T71" s="331"/>
      <c r="U71" s="343"/>
      <c r="V71" s="331">
        <f>IF(NOT(ISERROR(MATCH(U71,_xlfn.ANCHORARRAY(F82),0))),U84&amp;"Por favor no seleccionar los criterios de impacto",U71)</f>
        <v>0</v>
      </c>
      <c r="W71" s="346"/>
      <c r="X71" s="331"/>
      <c r="Y71" s="327"/>
      <c r="Z71" s="214">
        <v>5</v>
      </c>
      <c r="AA71" s="187"/>
      <c r="AB71" s="189" t="str">
        <f t="shared" si="86"/>
        <v/>
      </c>
      <c r="AC71" s="190"/>
      <c r="AD71" s="190"/>
      <c r="AE71" s="191" t="str">
        <f t="shared" si="81"/>
        <v/>
      </c>
      <c r="AF71" s="190"/>
      <c r="AG71" s="190"/>
      <c r="AH71" s="190"/>
      <c r="AI71" s="192" t="str">
        <f t="shared" si="87"/>
        <v/>
      </c>
      <c r="AJ71" s="193" t="str">
        <f t="shared" si="2"/>
        <v/>
      </c>
      <c r="AK71" s="191" t="str">
        <f t="shared" si="82"/>
        <v/>
      </c>
      <c r="AL71" s="193" t="str">
        <f t="shared" si="4"/>
        <v/>
      </c>
      <c r="AM71" s="191" t="str">
        <f t="shared" si="13"/>
        <v/>
      </c>
      <c r="AN71" s="194" t="str">
        <f t="shared" ref="AN71:AN72" si="88">IFERROR(IF(OR(AND(AJ71="Muy Baja",AL71="Leve"),AND(AJ71="Muy Baja",AL71="Menor"),AND(AJ71="Baja",AL71="Leve")),"Bajo",IF(OR(AND(AJ71="Muy baja",AL71="Moderado"),AND(AJ71="Baja",AL71="Menor"),AND(AJ71="Baja",AL71="Moderado"),AND(AJ71="Media",AL71="Leve"),AND(AJ71="Media",AL71="Menor"),AND(AJ71="Media",AL71="Moderado"),AND(AJ71="Alta",AL71="Leve"),AND(AJ71="Alta",AL71="Menor")),"Moderado",IF(OR(AND(AJ71="Muy Baja",AL71="Mayor"),AND(AJ71="Baja",AL71="Mayor"),AND(AJ71="Media",AL71="Mayor"),AND(AJ71="Alta",AL71="Moderado"),AND(AJ71="Alta",AL71="Mayor"),AND(AJ71="Muy Alta",AL71="Leve"),AND(AJ71="Muy Alta",AL71="Menor"),AND(AJ71="Muy Alta",AL71="Moderado"),AND(AJ71="Muy Alta",AL71="Mayor")),"Alto",IF(OR(AND(AJ71="Muy Baja",AL71="Catastrófico"),AND(AJ71="Baja",AL71="Catastrófico"),AND(AJ71="Media",AL71="Catastrófico"),AND(AJ71="Alta",AL71="Catastrófico"),AND(AJ71="Muy Alta",AL71="Catastrófico")),"Extremo","")))),"")</f>
        <v/>
      </c>
      <c r="AO71" s="195"/>
      <c r="AP71" s="186"/>
      <c r="AQ71" s="196"/>
      <c r="AR71" s="196"/>
      <c r="AS71" s="197"/>
      <c r="AT71" s="341"/>
      <c r="AU71" s="341"/>
      <c r="AV71" s="341"/>
    </row>
    <row r="72" spans="1:48" ht="37.5" customHeight="1" x14ac:dyDescent="0.2">
      <c r="A72" s="352"/>
      <c r="B72" s="353"/>
      <c r="C72" s="353"/>
      <c r="D72" s="353"/>
      <c r="E72" s="353"/>
      <c r="F72" s="353"/>
      <c r="G72" s="337"/>
      <c r="H72" s="337"/>
      <c r="I72" s="337"/>
      <c r="J72" s="337"/>
      <c r="K72" s="337"/>
      <c r="L72" s="337"/>
      <c r="M72" s="223"/>
      <c r="N72" s="223"/>
      <c r="O72" s="223"/>
      <c r="P72" s="337"/>
      <c r="Q72" s="337"/>
      <c r="R72" s="341"/>
      <c r="S72" s="346"/>
      <c r="T72" s="331"/>
      <c r="U72" s="343"/>
      <c r="V72" s="331">
        <f>IF(NOT(ISERROR(MATCH(U72,_xlfn.ANCHORARRAY(F83),0))),U85&amp;"Por favor no seleccionar los criterios de impacto",U72)</f>
        <v>0</v>
      </c>
      <c r="W72" s="346"/>
      <c r="X72" s="331"/>
      <c r="Y72" s="327"/>
      <c r="Z72" s="214">
        <v>6</v>
      </c>
      <c r="AA72" s="187"/>
      <c r="AB72" s="189" t="str">
        <f t="shared" si="86"/>
        <v/>
      </c>
      <c r="AC72" s="190"/>
      <c r="AD72" s="190"/>
      <c r="AE72" s="191" t="str">
        <f t="shared" si="81"/>
        <v/>
      </c>
      <c r="AF72" s="190"/>
      <c r="AG72" s="190"/>
      <c r="AH72" s="190"/>
      <c r="AI72" s="192" t="str">
        <f t="shared" si="87"/>
        <v/>
      </c>
      <c r="AJ72" s="193" t="str">
        <f t="shared" si="2"/>
        <v/>
      </c>
      <c r="AK72" s="191" t="str">
        <f t="shared" si="82"/>
        <v/>
      </c>
      <c r="AL72" s="193" t="str">
        <f t="shared" si="4"/>
        <v/>
      </c>
      <c r="AM72" s="191" t="str">
        <f t="shared" si="13"/>
        <v/>
      </c>
      <c r="AN72" s="194" t="str">
        <f t="shared" si="88"/>
        <v/>
      </c>
      <c r="AO72" s="195"/>
      <c r="AP72" s="186"/>
      <c r="AQ72" s="196"/>
      <c r="AR72" s="196"/>
      <c r="AS72" s="197"/>
      <c r="AT72" s="341"/>
      <c r="AU72" s="341"/>
      <c r="AV72" s="341"/>
    </row>
    <row r="73" spans="1:48" ht="49.5" customHeight="1" x14ac:dyDescent="0.2">
      <c r="A73" s="216"/>
      <c r="B73" s="357" t="s">
        <v>261</v>
      </c>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row>
    <row r="75" spans="1:48" ht="15.75" x14ac:dyDescent="0.2">
      <c r="A75" s="198"/>
      <c r="B75" s="206" t="s">
        <v>262</v>
      </c>
      <c r="C75" s="198"/>
      <c r="D75" s="198"/>
      <c r="E75" s="198"/>
      <c r="R75" s="198"/>
    </row>
  </sheetData>
  <dataConsolidate/>
  <mergeCells count="343">
    <mergeCell ref="C6:T6"/>
    <mergeCell ref="W6:Y6"/>
    <mergeCell ref="Z6:AR6"/>
    <mergeCell ref="C7:T7"/>
    <mergeCell ref="Z7:AR7"/>
    <mergeCell ref="C8:T8"/>
    <mergeCell ref="Z8:AR8"/>
    <mergeCell ref="A6:B6"/>
    <mergeCell ref="A7:B7"/>
    <mergeCell ref="A8:B8"/>
    <mergeCell ref="A1:C4"/>
    <mergeCell ref="D1:T2"/>
    <mergeCell ref="X1:AR2"/>
    <mergeCell ref="D3:I3"/>
    <mergeCell ref="J3:T3"/>
    <mergeCell ref="X3:AL3"/>
    <mergeCell ref="AM3:AR3"/>
    <mergeCell ref="D4:T4"/>
    <mergeCell ref="X4:AR4"/>
    <mergeCell ref="K10:O10"/>
    <mergeCell ref="P10:Q10"/>
    <mergeCell ref="T10:Z10"/>
    <mergeCell ref="AA10:AI10"/>
    <mergeCell ref="AJ10:AN10"/>
    <mergeCell ref="AO10:AS10"/>
    <mergeCell ref="AT10:AV10"/>
    <mergeCell ref="A11:A12"/>
    <mergeCell ref="B11:B12"/>
    <mergeCell ref="C11:C12"/>
    <mergeCell ref="D11:D12"/>
    <mergeCell ref="E11:E12"/>
    <mergeCell ref="F11:F12"/>
    <mergeCell ref="K11:K12"/>
    <mergeCell ref="L11:L12"/>
    <mergeCell ref="M11:M12"/>
    <mergeCell ref="I11:I12"/>
    <mergeCell ref="J11:J12"/>
    <mergeCell ref="AS11:AS12"/>
    <mergeCell ref="AT11:AT12"/>
    <mergeCell ref="AU11:AU12"/>
    <mergeCell ref="AA11:AA12"/>
    <mergeCell ref="N11:N12"/>
    <mergeCell ref="O11:O12"/>
    <mergeCell ref="V11:V12"/>
    <mergeCell ref="W11:W12"/>
    <mergeCell ref="R11:R12"/>
    <mergeCell ref="S11:S12"/>
    <mergeCell ref="T11:T12"/>
    <mergeCell ref="U11:U12"/>
    <mergeCell ref="X11:X12"/>
    <mergeCell ref="Y11:Y12"/>
    <mergeCell ref="Z11:Z12"/>
    <mergeCell ref="AM11:AM12"/>
    <mergeCell ref="AN11:AN12"/>
    <mergeCell ref="AO11:AO12"/>
    <mergeCell ref="AB11:AB12"/>
    <mergeCell ref="AC11:AH11"/>
    <mergeCell ref="AI11:AI12"/>
    <mergeCell ref="AJ11:AJ12"/>
    <mergeCell ref="AK11:AK12"/>
    <mergeCell ref="AL11:AL12"/>
    <mergeCell ref="R13:R18"/>
    <mergeCell ref="S13:S18"/>
    <mergeCell ref="T13:T18"/>
    <mergeCell ref="U13:U18"/>
    <mergeCell ref="V13:V18"/>
    <mergeCell ref="Y13:Y18"/>
    <mergeCell ref="AT13:AT18"/>
    <mergeCell ref="AU13:AU18"/>
    <mergeCell ref="A13:A18"/>
    <mergeCell ref="B13:B18"/>
    <mergeCell ref="C13:C18"/>
    <mergeCell ref="D13:D18"/>
    <mergeCell ref="E13:E18"/>
    <mergeCell ref="F13:F18"/>
    <mergeCell ref="AV11:AV12"/>
    <mergeCell ref="AP11:AP12"/>
    <mergeCell ref="AQ11:AQ12"/>
    <mergeCell ref="AR11:AR12"/>
    <mergeCell ref="K19:K24"/>
    <mergeCell ref="L19:L24"/>
    <mergeCell ref="M19:M24"/>
    <mergeCell ref="N19:N24"/>
    <mergeCell ref="O19:O24"/>
    <mergeCell ref="P19:P24"/>
    <mergeCell ref="AT19:AT24"/>
    <mergeCell ref="AU19:AU24"/>
    <mergeCell ref="AV19:AV24"/>
    <mergeCell ref="Y19:Y24"/>
    <mergeCell ref="K13:K18"/>
    <mergeCell ref="L13:L18"/>
    <mergeCell ref="M13:M18"/>
    <mergeCell ref="N13:N18"/>
    <mergeCell ref="O13:O18"/>
    <mergeCell ref="P13:P18"/>
    <mergeCell ref="W13:W18"/>
    <mergeCell ref="X13:X18"/>
    <mergeCell ref="AV13:AV18"/>
    <mergeCell ref="Q13:Q18"/>
    <mergeCell ref="A19:A24"/>
    <mergeCell ref="B19:B24"/>
    <mergeCell ref="C19:C24"/>
    <mergeCell ref="D19:D24"/>
    <mergeCell ref="E19:E24"/>
    <mergeCell ref="F19:F24"/>
    <mergeCell ref="W19:W24"/>
    <mergeCell ref="X19:X24"/>
    <mergeCell ref="Q19:Q24"/>
    <mergeCell ref="R19:R24"/>
    <mergeCell ref="S19:S24"/>
    <mergeCell ref="T19:T24"/>
    <mergeCell ref="U19:U24"/>
    <mergeCell ref="V19:V24"/>
    <mergeCell ref="G19:G24"/>
    <mergeCell ref="H19:H24"/>
    <mergeCell ref="K25:K30"/>
    <mergeCell ref="L25:L30"/>
    <mergeCell ref="M25:M30"/>
    <mergeCell ref="N25:N30"/>
    <mergeCell ref="O25:O30"/>
    <mergeCell ref="P25:P30"/>
    <mergeCell ref="A25:A30"/>
    <mergeCell ref="B25:B30"/>
    <mergeCell ref="C25:C30"/>
    <mergeCell ref="D25:D30"/>
    <mergeCell ref="E25:E30"/>
    <mergeCell ref="F25:F30"/>
    <mergeCell ref="G25:G30"/>
    <mergeCell ref="H25:H30"/>
    <mergeCell ref="I25:I30"/>
    <mergeCell ref="J25:J30"/>
    <mergeCell ref="W25:W30"/>
    <mergeCell ref="X25:X30"/>
    <mergeCell ref="Y25:Y30"/>
    <mergeCell ref="AT25:AT30"/>
    <mergeCell ref="AU25:AU30"/>
    <mergeCell ref="AV25:AV30"/>
    <mergeCell ref="Q25:Q30"/>
    <mergeCell ref="R25:R30"/>
    <mergeCell ref="S25:S30"/>
    <mergeCell ref="T25:T30"/>
    <mergeCell ref="U25:U30"/>
    <mergeCell ref="V25:V30"/>
    <mergeCell ref="K31:K36"/>
    <mergeCell ref="L31:L36"/>
    <mergeCell ref="M31:M36"/>
    <mergeCell ref="N31:N36"/>
    <mergeCell ref="O31:O36"/>
    <mergeCell ref="P31:P36"/>
    <mergeCell ref="A31:A36"/>
    <mergeCell ref="B31:B36"/>
    <mergeCell ref="C31:C36"/>
    <mergeCell ref="D31:D36"/>
    <mergeCell ref="E31:E36"/>
    <mergeCell ref="F31:F36"/>
    <mergeCell ref="W31:W36"/>
    <mergeCell ref="X31:X36"/>
    <mergeCell ref="Y31:Y36"/>
    <mergeCell ref="AT31:AT36"/>
    <mergeCell ref="AU31:AU36"/>
    <mergeCell ref="AV31:AV36"/>
    <mergeCell ref="Q31:Q36"/>
    <mergeCell ref="R31:R36"/>
    <mergeCell ref="S31:S36"/>
    <mergeCell ref="T31:T36"/>
    <mergeCell ref="U31:U36"/>
    <mergeCell ref="V31:V36"/>
    <mergeCell ref="K37:K42"/>
    <mergeCell ref="L37:L42"/>
    <mergeCell ref="M37:M42"/>
    <mergeCell ref="N37:N42"/>
    <mergeCell ref="O37:O42"/>
    <mergeCell ref="P37:P42"/>
    <mergeCell ref="A37:A42"/>
    <mergeCell ref="B37:B42"/>
    <mergeCell ref="C37:C42"/>
    <mergeCell ref="D37:D42"/>
    <mergeCell ref="E37:E42"/>
    <mergeCell ref="F37:F42"/>
    <mergeCell ref="W37:W42"/>
    <mergeCell ref="X37:X42"/>
    <mergeCell ref="Y37:Y42"/>
    <mergeCell ref="AT37:AT42"/>
    <mergeCell ref="AU37:AU42"/>
    <mergeCell ref="AV37:AV42"/>
    <mergeCell ref="Q37:Q42"/>
    <mergeCell ref="R37:R42"/>
    <mergeCell ref="S37:S42"/>
    <mergeCell ref="T37:T42"/>
    <mergeCell ref="U37:U42"/>
    <mergeCell ref="V37:V42"/>
    <mergeCell ref="K43:K48"/>
    <mergeCell ref="L43:L48"/>
    <mergeCell ref="M43:M48"/>
    <mergeCell ref="N43:N48"/>
    <mergeCell ref="O43:O48"/>
    <mergeCell ref="P43:P48"/>
    <mergeCell ref="A43:A48"/>
    <mergeCell ref="B43:B48"/>
    <mergeCell ref="C43:C48"/>
    <mergeCell ref="D43:D48"/>
    <mergeCell ref="E43:E48"/>
    <mergeCell ref="F43:F48"/>
    <mergeCell ref="W43:W48"/>
    <mergeCell ref="X43:X48"/>
    <mergeCell ref="Y43:Y48"/>
    <mergeCell ref="AT43:AT48"/>
    <mergeCell ref="AU43:AU48"/>
    <mergeCell ref="AV43:AV48"/>
    <mergeCell ref="Q43:Q48"/>
    <mergeCell ref="R43:R48"/>
    <mergeCell ref="S43:S48"/>
    <mergeCell ref="T43:T48"/>
    <mergeCell ref="U43:U48"/>
    <mergeCell ref="V43:V48"/>
    <mergeCell ref="K49:K54"/>
    <mergeCell ref="L49:L54"/>
    <mergeCell ref="M49:M54"/>
    <mergeCell ref="N49:N54"/>
    <mergeCell ref="O49:O54"/>
    <mergeCell ref="P49:P54"/>
    <mergeCell ref="A49:A54"/>
    <mergeCell ref="B49:B54"/>
    <mergeCell ref="C49:C54"/>
    <mergeCell ref="D49:D54"/>
    <mergeCell ref="E49:E54"/>
    <mergeCell ref="F49:F54"/>
    <mergeCell ref="W49:W54"/>
    <mergeCell ref="X49:X54"/>
    <mergeCell ref="Y49:Y54"/>
    <mergeCell ref="AT49:AT54"/>
    <mergeCell ref="AU49:AU54"/>
    <mergeCell ref="AV49:AV54"/>
    <mergeCell ref="Q49:Q54"/>
    <mergeCell ref="R49:R54"/>
    <mergeCell ref="S49:S54"/>
    <mergeCell ref="T49:T54"/>
    <mergeCell ref="U49:U54"/>
    <mergeCell ref="V49:V54"/>
    <mergeCell ref="K55:K60"/>
    <mergeCell ref="L55:L60"/>
    <mergeCell ref="M55:M60"/>
    <mergeCell ref="N55:N60"/>
    <mergeCell ref="O55:O60"/>
    <mergeCell ref="P55:P60"/>
    <mergeCell ref="A55:A60"/>
    <mergeCell ref="B55:B60"/>
    <mergeCell ref="C55:C60"/>
    <mergeCell ref="D55:D60"/>
    <mergeCell ref="E55:E60"/>
    <mergeCell ref="F55:F60"/>
    <mergeCell ref="G55:G60"/>
    <mergeCell ref="H55:H60"/>
    <mergeCell ref="I55:I60"/>
    <mergeCell ref="J55:J60"/>
    <mergeCell ref="W55:W60"/>
    <mergeCell ref="X55:X60"/>
    <mergeCell ref="Y55:Y60"/>
    <mergeCell ref="AT55:AT60"/>
    <mergeCell ref="AU55:AU60"/>
    <mergeCell ref="AV55:AV60"/>
    <mergeCell ref="Q55:Q60"/>
    <mergeCell ref="R55:R60"/>
    <mergeCell ref="S55:S60"/>
    <mergeCell ref="T55:T60"/>
    <mergeCell ref="U55:U60"/>
    <mergeCell ref="V55:V60"/>
    <mergeCell ref="Y61:Y66"/>
    <mergeCell ref="K61:K66"/>
    <mergeCell ref="L61:L66"/>
    <mergeCell ref="P61:P66"/>
    <mergeCell ref="Q61:Q66"/>
    <mergeCell ref="R61:R66"/>
    <mergeCell ref="S61:S66"/>
    <mergeCell ref="A61:A66"/>
    <mergeCell ref="B61:B66"/>
    <mergeCell ref="C61:C66"/>
    <mergeCell ref="D61:D66"/>
    <mergeCell ref="E61:E66"/>
    <mergeCell ref="F61:F66"/>
    <mergeCell ref="D67:D72"/>
    <mergeCell ref="E67:E72"/>
    <mergeCell ref="F67:F72"/>
    <mergeCell ref="K67:K72"/>
    <mergeCell ref="T61:T66"/>
    <mergeCell ref="U61:U66"/>
    <mergeCell ref="V61:V66"/>
    <mergeCell ref="W61:W66"/>
    <mergeCell ref="X61:X66"/>
    <mergeCell ref="G67:G72"/>
    <mergeCell ref="H67:H72"/>
    <mergeCell ref="I67:I72"/>
    <mergeCell ref="J67:J72"/>
    <mergeCell ref="G61:G66"/>
    <mergeCell ref="H61:H66"/>
    <mergeCell ref="I61:I66"/>
    <mergeCell ref="J61:J66"/>
    <mergeCell ref="AU67:AU72"/>
    <mergeCell ref="AV67:AV72"/>
    <mergeCell ref="B73:AT73"/>
    <mergeCell ref="A10:J10"/>
    <mergeCell ref="G11:G12"/>
    <mergeCell ref="H11:H12"/>
    <mergeCell ref="U67:U72"/>
    <mergeCell ref="V67:V72"/>
    <mergeCell ref="W67:W72"/>
    <mergeCell ref="X67:X72"/>
    <mergeCell ref="Y67:Y72"/>
    <mergeCell ref="AT67:AT72"/>
    <mergeCell ref="L67:L72"/>
    <mergeCell ref="P67:P72"/>
    <mergeCell ref="Q67:Q72"/>
    <mergeCell ref="R67:R72"/>
    <mergeCell ref="S67:S72"/>
    <mergeCell ref="T67:T72"/>
    <mergeCell ref="AT61:AT66"/>
    <mergeCell ref="AU61:AU66"/>
    <mergeCell ref="AV61:AV66"/>
    <mergeCell ref="A67:A72"/>
    <mergeCell ref="B67:B72"/>
    <mergeCell ref="C67:C72"/>
    <mergeCell ref="G13:G18"/>
    <mergeCell ref="H13:H18"/>
    <mergeCell ref="I13:I18"/>
    <mergeCell ref="J13:J18"/>
    <mergeCell ref="G43:G48"/>
    <mergeCell ref="H43:H48"/>
    <mergeCell ref="I43:I48"/>
    <mergeCell ref="J43:J48"/>
    <mergeCell ref="G49:G54"/>
    <mergeCell ref="H49:H54"/>
    <mergeCell ref="I49:I54"/>
    <mergeCell ref="J49:J54"/>
    <mergeCell ref="G31:G36"/>
    <mergeCell ref="H31:H36"/>
    <mergeCell ref="I31:I36"/>
    <mergeCell ref="J31:J36"/>
    <mergeCell ref="G37:G42"/>
    <mergeCell ref="H37:H42"/>
    <mergeCell ref="I37:I42"/>
    <mergeCell ref="J37:J42"/>
    <mergeCell ref="I19:I24"/>
    <mergeCell ref="J19:J24"/>
  </mergeCells>
  <conditionalFormatting sqref="S13 S19">
    <cfRule type="cellIs" dxfId="238" priority="227" operator="equal">
      <formula>"Muy Alta"</formula>
    </cfRule>
    <cfRule type="cellIs" dxfId="237" priority="228" operator="equal">
      <formula>"Alta"</formula>
    </cfRule>
    <cfRule type="cellIs" dxfId="236" priority="229" operator="equal">
      <formula>"Media"</formula>
    </cfRule>
    <cfRule type="cellIs" dxfId="235" priority="230" operator="equal">
      <formula>"Baja"</formula>
    </cfRule>
    <cfRule type="cellIs" dxfId="234" priority="231" operator="equal">
      <formula>"Muy Baja"</formula>
    </cfRule>
  </conditionalFormatting>
  <conditionalFormatting sqref="W13 W19 W25 W31 W37 W43 W49 W55 W61 W67">
    <cfRule type="cellIs" dxfId="233" priority="222" operator="equal">
      <formula>"Catastrófico"</formula>
    </cfRule>
    <cfRule type="cellIs" dxfId="232" priority="223" operator="equal">
      <formula>"Mayor"</formula>
    </cfRule>
    <cfRule type="cellIs" dxfId="231" priority="224" operator="equal">
      <formula>"Moderado"</formula>
    </cfRule>
    <cfRule type="cellIs" dxfId="230" priority="225" operator="equal">
      <formula>"Menor"</formula>
    </cfRule>
    <cfRule type="cellIs" dxfId="229" priority="226" operator="equal">
      <formula>"Leve"</formula>
    </cfRule>
  </conditionalFormatting>
  <conditionalFormatting sqref="Y13">
    <cfRule type="cellIs" dxfId="228" priority="218" operator="equal">
      <formula>"Extremo"</formula>
    </cfRule>
    <cfRule type="cellIs" dxfId="227" priority="219" operator="equal">
      <formula>"Alto"</formula>
    </cfRule>
    <cfRule type="cellIs" dxfId="226" priority="220" operator="equal">
      <formula>"Moderado"</formula>
    </cfRule>
    <cfRule type="cellIs" dxfId="225" priority="221" operator="equal">
      <formula>"Bajo"</formula>
    </cfRule>
  </conditionalFormatting>
  <conditionalFormatting sqref="AJ13:AJ18">
    <cfRule type="cellIs" dxfId="224" priority="213" operator="equal">
      <formula>"Muy Alta"</formula>
    </cfRule>
    <cfRule type="cellIs" dxfId="223" priority="214" operator="equal">
      <formula>"Alta"</formula>
    </cfRule>
    <cfRule type="cellIs" dxfId="222" priority="215" operator="equal">
      <formula>"Media"</formula>
    </cfRule>
    <cfRule type="cellIs" dxfId="221" priority="216" operator="equal">
      <formula>"Baja"</formula>
    </cfRule>
    <cfRule type="cellIs" dxfId="220" priority="217" operator="equal">
      <formula>"Muy Baja"</formula>
    </cfRule>
  </conditionalFormatting>
  <conditionalFormatting sqref="AL13:AL18">
    <cfRule type="cellIs" dxfId="219" priority="208" operator="equal">
      <formula>"Catastrófico"</formula>
    </cfRule>
    <cfRule type="cellIs" dxfId="218" priority="209" operator="equal">
      <formula>"Mayor"</formula>
    </cfRule>
    <cfRule type="cellIs" dxfId="217" priority="210" operator="equal">
      <formula>"Moderado"</formula>
    </cfRule>
    <cfRule type="cellIs" dxfId="216" priority="211" operator="equal">
      <formula>"Menor"</formula>
    </cfRule>
    <cfRule type="cellIs" dxfId="215" priority="212" operator="equal">
      <formula>"Leve"</formula>
    </cfRule>
  </conditionalFormatting>
  <conditionalFormatting sqref="AN13:AN18">
    <cfRule type="cellIs" dxfId="214" priority="204" operator="equal">
      <formula>"Extremo"</formula>
    </cfRule>
    <cfRule type="cellIs" dxfId="213" priority="205" operator="equal">
      <formula>"Alto"</formula>
    </cfRule>
    <cfRule type="cellIs" dxfId="212" priority="206" operator="equal">
      <formula>"Moderado"</formula>
    </cfRule>
    <cfRule type="cellIs" dxfId="211" priority="207" operator="equal">
      <formula>"Bajo"</formula>
    </cfRule>
  </conditionalFormatting>
  <conditionalFormatting sqref="S61">
    <cfRule type="cellIs" dxfId="210" priority="48" operator="equal">
      <formula>"Muy Alta"</formula>
    </cfRule>
    <cfRule type="cellIs" dxfId="209" priority="49" operator="equal">
      <formula>"Alta"</formula>
    </cfRule>
    <cfRule type="cellIs" dxfId="208" priority="50" operator="equal">
      <formula>"Media"</formula>
    </cfRule>
    <cfRule type="cellIs" dxfId="207" priority="51" operator="equal">
      <formula>"Baja"</formula>
    </cfRule>
    <cfRule type="cellIs" dxfId="206" priority="52" operator="equal">
      <formula>"Muy Baja"</formula>
    </cfRule>
  </conditionalFormatting>
  <conditionalFormatting sqref="Y19">
    <cfRule type="cellIs" dxfId="205" priority="200" operator="equal">
      <formula>"Extremo"</formula>
    </cfRule>
    <cfRule type="cellIs" dxfId="204" priority="201" operator="equal">
      <formula>"Alto"</formula>
    </cfRule>
    <cfRule type="cellIs" dxfId="203" priority="202" operator="equal">
      <formula>"Moderado"</formula>
    </cfRule>
    <cfRule type="cellIs" dxfId="202" priority="203" operator="equal">
      <formula>"Bajo"</formula>
    </cfRule>
  </conditionalFormatting>
  <conditionalFormatting sqref="AJ19:AJ24">
    <cfRule type="cellIs" dxfId="201" priority="195" operator="equal">
      <formula>"Muy Alta"</formula>
    </cfRule>
    <cfRule type="cellIs" dxfId="200" priority="196" operator="equal">
      <formula>"Alta"</formula>
    </cfRule>
    <cfRule type="cellIs" dxfId="199" priority="197" operator="equal">
      <formula>"Media"</formula>
    </cfRule>
    <cfRule type="cellIs" dxfId="198" priority="198" operator="equal">
      <formula>"Baja"</formula>
    </cfRule>
    <cfRule type="cellIs" dxfId="197" priority="199" operator="equal">
      <formula>"Muy Baja"</formula>
    </cfRule>
  </conditionalFormatting>
  <conditionalFormatting sqref="AL19:AL24">
    <cfRule type="cellIs" dxfId="196" priority="190" operator="equal">
      <formula>"Catastrófico"</formula>
    </cfRule>
    <cfRule type="cellIs" dxfId="195" priority="191" operator="equal">
      <formula>"Mayor"</formula>
    </cfRule>
    <cfRule type="cellIs" dxfId="194" priority="192" operator="equal">
      <formula>"Moderado"</formula>
    </cfRule>
    <cfRule type="cellIs" dxfId="193" priority="193" operator="equal">
      <formula>"Menor"</formula>
    </cfRule>
    <cfRule type="cellIs" dxfId="192" priority="194" operator="equal">
      <formula>"Leve"</formula>
    </cfRule>
  </conditionalFormatting>
  <conditionalFormatting sqref="AN19:AN24">
    <cfRule type="cellIs" dxfId="191" priority="186" operator="equal">
      <formula>"Extremo"</formula>
    </cfRule>
    <cfRule type="cellIs" dxfId="190" priority="187" operator="equal">
      <formula>"Alto"</formula>
    </cfRule>
    <cfRule type="cellIs" dxfId="189" priority="188" operator="equal">
      <formula>"Moderado"</formula>
    </cfRule>
    <cfRule type="cellIs" dxfId="188" priority="189" operator="equal">
      <formula>"Bajo"</formula>
    </cfRule>
  </conditionalFormatting>
  <conditionalFormatting sqref="S25">
    <cfRule type="cellIs" dxfId="187" priority="181" operator="equal">
      <formula>"Muy Alta"</formula>
    </cfRule>
    <cfRule type="cellIs" dxfId="186" priority="182" operator="equal">
      <formula>"Alta"</formula>
    </cfRule>
    <cfRule type="cellIs" dxfId="185" priority="183" operator="equal">
      <formula>"Media"</formula>
    </cfRule>
    <cfRule type="cellIs" dxfId="184" priority="184" operator="equal">
      <formula>"Baja"</formula>
    </cfRule>
    <cfRule type="cellIs" dxfId="183" priority="185" operator="equal">
      <formula>"Muy Baja"</formula>
    </cfRule>
  </conditionalFormatting>
  <conditionalFormatting sqref="Y25">
    <cfRule type="cellIs" dxfId="182" priority="177" operator="equal">
      <formula>"Extremo"</formula>
    </cfRule>
    <cfRule type="cellIs" dxfId="181" priority="178" operator="equal">
      <formula>"Alto"</formula>
    </cfRule>
    <cfRule type="cellIs" dxfId="180" priority="179" operator="equal">
      <formula>"Moderado"</formula>
    </cfRule>
    <cfRule type="cellIs" dxfId="179" priority="180" operator="equal">
      <formula>"Bajo"</formula>
    </cfRule>
  </conditionalFormatting>
  <conditionalFormatting sqref="AJ25:AJ30">
    <cfRule type="cellIs" dxfId="178" priority="172" operator="equal">
      <formula>"Muy Alta"</formula>
    </cfRule>
    <cfRule type="cellIs" dxfId="177" priority="173" operator="equal">
      <formula>"Alta"</formula>
    </cfRule>
    <cfRule type="cellIs" dxfId="176" priority="174" operator="equal">
      <formula>"Media"</formula>
    </cfRule>
    <cfRule type="cellIs" dxfId="175" priority="175" operator="equal">
      <formula>"Baja"</formula>
    </cfRule>
    <cfRule type="cellIs" dxfId="174" priority="176" operator="equal">
      <formula>"Muy Baja"</formula>
    </cfRule>
  </conditionalFormatting>
  <conditionalFormatting sqref="AL25:AL30">
    <cfRule type="cellIs" dxfId="173" priority="167" operator="equal">
      <formula>"Catastrófico"</formula>
    </cfRule>
    <cfRule type="cellIs" dxfId="172" priority="168" operator="equal">
      <formula>"Mayor"</formula>
    </cfRule>
    <cfRule type="cellIs" dxfId="171" priority="169" operator="equal">
      <formula>"Moderado"</formula>
    </cfRule>
    <cfRule type="cellIs" dxfId="170" priority="170" operator="equal">
      <formula>"Menor"</formula>
    </cfRule>
    <cfRule type="cellIs" dxfId="169" priority="171" operator="equal">
      <formula>"Leve"</formula>
    </cfRule>
  </conditionalFormatting>
  <conditionalFormatting sqref="AN25:AN30">
    <cfRule type="cellIs" dxfId="168" priority="163" operator="equal">
      <formula>"Extremo"</formula>
    </cfRule>
    <cfRule type="cellIs" dxfId="167" priority="164" operator="equal">
      <formula>"Alto"</formula>
    </cfRule>
    <cfRule type="cellIs" dxfId="166" priority="165" operator="equal">
      <formula>"Moderado"</formula>
    </cfRule>
    <cfRule type="cellIs" dxfId="165" priority="166" operator="equal">
      <formula>"Bajo"</formula>
    </cfRule>
  </conditionalFormatting>
  <conditionalFormatting sqref="S31">
    <cfRule type="cellIs" dxfId="164" priority="158" operator="equal">
      <formula>"Muy Alta"</formula>
    </cfRule>
    <cfRule type="cellIs" dxfId="163" priority="159" operator="equal">
      <formula>"Alta"</formula>
    </cfRule>
    <cfRule type="cellIs" dxfId="162" priority="160" operator="equal">
      <formula>"Media"</formula>
    </cfRule>
    <cfRule type="cellIs" dxfId="161" priority="161" operator="equal">
      <formula>"Baja"</formula>
    </cfRule>
    <cfRule type="cellIs" dxfId="160" priority="162" operator="equal">
      <formula>"Muy Baja"</formula>
    </cfRule>
  </conditionalFormatting>
  <conditionalFormatting sqref="Y31">
    <cfRule type="cellIs" dxfId="159" priority="154" operator="equal">
      <formula>"Extremo"</formula>
    </cfRule>
    <cfRule type="cellIs" dxfId="158" priority="155" operator="equal">
      <formula>"Alto"</formula>
    </cfRule>
    <cfRule type="cellIs" dxfId="157" priority="156" operator="equal">
      <formula>"Moderado"</formula>
    </cfRule>
    <cfRule type="cellIs" dxfId="156" priority="157" operator="equal">
      <formula>"Bajo"</formula>
    </cfRule>
  </conditionalFormatting>
  <conditionalFormatting sqref="AJ31:AJ36">
    <cfRule type="cellIs" dxfId="155" priority="149" operator="equal">
      <formula>"Muy Alta"</formula>
    </cfRule>
    <cfRule type="cellIs" dxfId="154" priority="150" operator="equal">
      <formula>"Alta"</formula>
    </cfRule>
    <cfRule type="cellIs" dxfId="153" priority="151" operator="equal">
      <formula>"Media"</formula>
    </cfRule>
    <cfRule type="cellIs" dxfId="152" priority="152" operator="equal">
      <formula>"Baja"</formula>
    </cfRule>
    <cfRule type="cellIs" dxfId="151" priority="153" operator="equal">
      <formula>"Muy Baja"</formula>
    </cfRule>
  </conditionalFormatting>
  <conditionalFormatting sqref="AL31:AL36">
    <cfRule type="cellIs" dxfId="150" priority="144" operator="equal">
      <formula>"Catastrófico"</formula>
    </cfRule>
    <cfRule type="cellIs" dxfId="149" priority="145" operator="equal">
      <formula>"Mayor"</formula>
    </cfRule>
    <cfRule type="cellIs" dxfId="148" priority="146" operator="equal">
      <formula>"Moderado"</formula>
    </cfRule>
    <cfRule type="cellIs" dxfId="147" priority="147" operator="equal">
      <formula>"Menor"</formula>
    </cfRule>
    <cfRule type="cellIs" dxfId="146" priority="148" operator="equal">
      <formula>"Leve"</formula>
    </cfRule>
  </conditionalFormatting>
  <conditionalFormatting sqref="AN31:AN36">
    <cfRule type="cellIs" dxfId="145" priority="140" operator="equal">
      <formula>"Extremo"</formula>
    </cfRule>
    <cfRule type="cellIs" dxfId="144" priority="141" operator="equal">
      <formula>"Alto"</formula>
    </cfRule>
    <cfRule type="cellIs" dxfId="143" priority="142" operator="equal">
      <formula>"Moderado"</formula>
    </cfRule>
    <cfRule type="cellIs" dxfId="142" priority="143" operator="equal">
      <formula>"Bajo"</formula>
    </cfRule>
  </conditionalFormatting>
  <conditionalFormatting sqref="S37">
    <cfRule type="cellIs" dxfId="141" priority="135" operator="equal">
      <formula>"Muy Alta"</formula>
    </cfRule>
    <cfRule type="cellIs" dxfId="140" priority="136" operator="equal">
      <formula>"Alta"</formula>
    </cfRule>
    <cfRule type="cellIs" dxfId="139" priority="137" operator="equal">
      <formula>"Media"</formula>
    </cfRule>
    <cfRule type="cellIs" dxfId="138" priority="138" operator="equal">
      <formula>"Baja"</formula>
    </cfRule>
    <cfRule type="cellIs" dxfId="137" priority="139" operator="equal">
      <formula>"Muy Baja"</formula>
    </cfRule>
  </conditionalFormatting>
  <conditionalFormatting sqref="Y37">
    <cfRule type="cellIs" dxfId="136" priority="131" operator="equal">
      <formula>"Extremo"</formula>
    </cfRule>
    <cfRule type="cellIs" dxfId="135" priority="132" operator="equal">
      <formula>"Alto"</formula>
    </cfRule>
    <cfRule type="cellIs" dxfId="134" priority="133" operator="equal">
      <formula>"Moderado"</formula>
    </cfRule>
    <cfRule type="cellIs" dxfId="133" priority="134" operator="equal">
      <formula>"Bajo"</formula>
    </cfRule>
  </conditionalFormatting>
  <conditionalFormatting sqref="AJ37:AJ42">
    <cfRule type="cellIs" dxfId="132" priority="126" operator="equal">
      <formula>"Muy Alta"</formula>
    </cfRule>
    <cfRule type="cellIs" dxfId="131" priority="127" operator="equal">
      <formula>"Alta"</formula>
    </cfRule>
    <cfRule type="cellIs" dxfId="130" priority="128" operator="equal">
      <formula>"Media"</formula>
    </cfRule>
    <cfRule type="cellIs" dxfId="129" priority="129" operator="equal">
      <formula>"Baja"</formula>
    </cfRule>
    <cfRule type="cellIs" dxfId="128" priority="130" operator="equal">
      <formula>"Muy Baja"</formula>
    </cfRule>
  </conditionalFormatting>
  <conditionalFormatting sqref="AL37:AL42">
    <cfRule type="cellIs" dxfId="127" priority="121" operator="equal">
      <formula>"Catastrófico"</formula>
    </cfRule>
    <cfRule type="cellIs" dxfId="126" priority="122" operator="equal">
      <formula>"Mayor"</formula>
    </cfRule>
    <cfRule type="cellIs" dxfId="125" priority="123" operator="equal">
      <formula>"Moderado"</formula>
    </cfRule>
    <cfRule type="cellIs" dxfId="124" priority="124" operator="equal">
      <formula>"Menor"</formula>
    </cfRule>
    <cfRule type="cellIs" dxfId="123" priority="125" operator="equal">
      <formula>"Leve"</formula>
    </cfRule>
  </conditionalFormatting>
  <conditionalFormatting sqref="AN37:AN42">
    <cfRule type="cellIs" dxfId="122" priority="117" operator="equal">
      <formula>"Extremo"</formula>
    </cfRule>
    <cfRule type="cellIs" dxfId="121" priority="118" operator="equal">
      <formula>"Alto"</formula>
    </cfRule>
    <cfRule type="cellIs" dxfId="120" priority="119" operator="equal">
      <formula>"Moderado"</formula>
    </cfRule>
    <cfRule type="cellIs" dxfId="119" priority="120" operator="equal">
      <formula>"Bajo"</formula>
    </cfRule>
  </conditionalFormatting>
  <conditionalFormatting sqref="S43">
    <cfRule type="cellIs" dxfId="118" priority="112" operator="equal">
      <formula>"Muy Alta"</formula>
    </cfRule>
    <cfRule type="cellIs" dxfId="117" priority="113" operator="equal">
      <formula>"Alta"</formula>
    </cfRule>
    <cfRule type="cellIs" dxfId="116" priority="114" operator="equal">
      <formula>"Media"</formula>
    </cfRule>
    <cfRule type="cellIs" dxfId="115" priority="115" operator="equal">
      <formula>"Baja"</formula>
    </cfRule>
    <cfRule type="cellIs" dxfId="114" priority="116" operator="equal">
      <formula>"Muy Baja"</formula>
    </cfRule>
  </conditionalFormatting>
  <conditionalFormatting sqref="Y43">
    <cfRule type="cellIs" dxfId="113" priority="108" operator="equal">
      <formula>"Extremo"</formula>
    </cfRule>
    <cfRule type="cellIs" dxfId="112" priority="109" operator="equal">
      <formula>"Alto"</formula>
    </cfRule>
    <cfRule type="cellIs" dxfId="111" priority="110" operator="equal">
      <formula>"Moderado"</formula>
    </cfRule>
    <cfRule type="cellIs" dxfId="110" priority="111" operator="equal">
      <formula>"Bajo"</formula>
    </cfRule>
  </conditionalFormatting>
  <conditionalFormatting sqref="AJ43:AJ48">
    <cfRule type="cellIs" dxfId="109" priority="103" operator="equal">
      <formula>"Muy Alta"</formula>
    </cfRule>
    <cfRule type="cellIs" dxfId="108" priority="104" operator="equal">
      <formula>"Alta"</formula>
    </cfRule>
    <cfRule type="cellIs" dxfId="107" priority="105" operator="equal">
      <formula>"Media"</formula>
    </cfRule>
    <cfRule type="cellIs" dxfId="106" priority="106" operator="equal">
      <formula>"Baja"</formula>
    </cfRule>
    <cfRule type="cellIs" dxfId="105" priority="107" operator="equal">
      <formula>"Muy Baja"</formula>
    </cfRule>
  </conditionalFormatting>
  <conditionalFormatting sqref="AL43:AL48">
    <cfRule type="cellIs" dxfId="104" priority="98" operator="equal">
      <formula>"Catastrófico"</formula>
    </cfRule>
    <cfRule type="cellIs" dxfId="103" priority="99" operator="equal">
      <formula>"Mayor"</formula>
    </cfRule>
    <cfRule type="cellIs" dxfId="102" priority="100" operator="equal">
      <formula>"Moderado"</formula>
    </cfRule>
    <cfRule type="cellIs" dxfId="101" priority="101" operator="equal">
      <formula>"Menor"</formula>
    </cfRule>
    <cfRule type="cellIs" dxfId="100" priority="102" operator="equal">
      <formula>"Leve"</formula>
    </cfRule>
  </conditionalFormatting>
  <conditionalFormatting sqref="AN43:AN48">
    <cfRule type="cellIs" dxfId="99" priority="94" operator="equal">
      <formula>"Extremo"</formula>
    </cfRule>
    <cfRule type="cellIs" dxfId="98" priority="95" operator="equal">
      <formula>"Alto"</formula>
    </cfRule>
    <cfRule type="cellIs" dxfId="97" priority="96" operator="equal">
      <formula>"Moderado"</formula>
    </cfRule>
    <cfRule type="cellIs" dxfId="96" priority="97" operator="equal">
      <formula>"Bajo"</formula>
    </cfRule>
  </conditionalFormatting>
  <conditionalFormatting sqref="S49">
    <cfRule type="cellIs" dxfId="95" priority="89" operator="equal">
      <formula>"Muy Alta"</formula>
    </cfRule>
    <cfRule type="cellIs" dxfId="94" priority="90" operator="equal">
      <formula>"Alta"</formula>
    </cfRule>
    <cfRule type="cellIs" dxfId="93" priority="91" operator="equal">
      <formula>"Media"</formula>
    </cfRule>
    <cfRule type="cellIs" dxfId="92" priority="92" operator="equal">
      <formula>"Baja"</formula>
    </cfRule>
    <cfRule type="cellIs" dxfId="91" priority="93" operator="equal">
      <formula>"Muy Baja"</formula>
    </cfRule>
  </conditionalFormatting>
  <conditionalFormatting sqref="Y49">
    <cfRule type="cellIs" dxfId="90" priority="85" operator="equal">
      <formula>"Extremo"</formula>
    </cfRule>
    <cfRule type="cellIs" dxfId="89" priority="86" operator="equal">
      <formula>"Alto"</formula>
    </cfRule>
    <cfRule type="cellIs" dxfId="88" priority="87" operator="equal">
      <formula>"Moderado"</formula>
    </cfRule>
    <cfRule type="cellIs" dxfId="87" priority="88" operator="equal">
      <formula>"Bajo"</formula>
    </cfRule>
  </conditionalFormatting>
  <conditionalFormatting sqref="AJ49:AJ54">
    <cfRule type="cellIs" dxfId="86" priority="80" operator="equal">
      <formula>"Muy Alta"</formula>
    </cfRule>
    <cfRule type="cellIs" dxfId="85" priority="81" operator="equal">
      <formula>"Alta"</formula>
    </cfRule>
    <cfRule type="cellIs" dxfId="84" priority="82" operator="equal">
      <formula>"Media"</formula>
    </cfRule>
    <cfRule type="cellIs" dxfId="83" priority="83" operator="equal">
      <formula>"Baja"</formula>
    </cfRule>
    <cfRule type="cellIs" dxfId="82" priority="84" operator="equal">
      <formula>"Muy Baja"</formula>
    </cfRule>
  </conditionalFormatting>
  <conditionalFormatting sqref="AL49:AL54">
    <cfRule type="cellIs" dxfId="81" priority="75" operator="equal">
      <formula>"Catastrófico"</formula>
    </cfRule>
    <cfRule type="cellIs" dxfId="80" priority="76" operator="equal">
      <formula>"Mayor"</formula>
    </cfRule>
    <cfRule type="cellIs" dxfId="79" priority="77" operator="equal">
      <formula>"Moderado"</formula>
    </cfRule>
    <cfRule type="cellIs" dxfId="78" priority="78" operator="equal">
      <formula>"Menor"</formula>
    </cfRule>
    <cfRule type="cellIs" dxfId="77" priority="79" operator="equal">
      <formula>"Leve"</formula>
    </cfRule>
  </conditionalFormatting>
  <conditionalFormatting sqref="AN49:AN54">
    <cfRule type="cellIs" dxfId="76" priority="71" operator="equal">
      <formula>"Extremo"</formula>
    </cfRule>
    <cfRule type="cellIs" dxfId="75" priority="72" operator="equal">
      <formula>"Alto"</formula>
    </cfRule>
    <cfRule type="cellIs" dxfId="74" priority="73" operator="equal">
      <formula>"Moderado"</formula>
    </cfRule>
    <cfRule type="cellIs" dxfId="73" priority="74" operator="equal">
      <formula>"Bajo"</formula>
    </cfRule>
  </conditionalFormatting>
  <conditionalFormatting sqref="Y55">
    <cfRule type="cellIs" dxfId="72" priority="67" operator="equal">
      <formula>"Extremo"</formula>
    </cfRule>
    <cfRule type="cellIs" dxfId="71" priority="68" operator="equal">
      <formula>"Alto"</formula>
    </cfRule>
    <cfRule type="cellIs" dxfId="70" priority="69" operator="equal">
      <formula>"Moderado"</formula>
    </cfRule>
    <cfRule type="cellIs" dxfId="69" priority="70" operator="equal">
      <formula>"Bajo"</formula>
    </cfRule>
  </conditionalFormatting>
  <conditionalFormatting sqref="AJ55:AJ60">
    <cfRule type="cellIs" dxfId="68" priority="62" operator="equal">
      <formula>"Muy Alta"</formula>
    </cfRule>
    <cfRule type="cellIs" dxfId="67" priority="63" operator="equal">
      <formula>"Alta"</formula>
    </cfRule>
    <cfRule type="cellIs" dxfId="66" priority="64" operator="equal">
      <formula>"Media"</formula>
    </cfRule>
    <cfRule type="cellIs" dxfId="65" priority="65" operator="equal">
      <formula>"Baja"</formula>
    </cfRule>
    <cfRule type="cellIs" dxfId="64" priority="66" operator="equal">
      <formula>"Muy Baja"</formula>
    </cfRule>
  </conditionalFormatting>
  <conditionalFormatting sqref="AL55:AL60">
    <cfRule type="cellIs" dxfId="63" priority="57" operator="equal">
      <formula>"Catastrófico"</formula>
    </cfRule>
    <cfRule type="cellIs" dxfId="62" priority="58" operator="equal">
      <formula>"Mayor"</formula>
    </cfRule>
    <cfRule type="cellIs" dxfId="61" priority="59" operator="equal">
      <formula>"Moderado"</formula>
    </cfRule>
    <cfRule type="cellIs" dxfId="60" priority="60" operator="equal">
      <formula>"Menor"</formula>
    </cfRule>
    <cfRule type="cellIs" dxfId="59" priority="61" operator="equal">
      <formula>"Leve"</formula>
    </cfRule>
  </conditionalFormatting>
  <conditionalFormatting sqref="AN55:AN60">
    <cfRule type="cellIs" dxfId="58" priority="53" operator="equal">
      <formula>"Extremo"</formula>
    </cfRule>
    <cfRule type="cellIs" dxfId="57" priority="54" operator="equal">
      <formula>"Alto"</formula>
    </cfRule>
    <cfRule type="cellIs" dxfId="56" priority="55" operator="equal">
      <formula>"Moderado"</formula>
    </cfRule>
    <cfRule type="cellIs" dxfId="55" priority="56" operator="equal">
      <formula>"Bajo"</formula>
    </cfRule>
  </conditionalFormatting>
  <conditionalFormatting sqref="Y61">
    <cfRule type="cellIs" dxfId="54" priority="44" operator="equal">
      <formula>"Extremo"</formula>
    </cfRule>
    <cfRule type="cellIs" dxfId="53" priority="45" operator="equal">
      <formula>"Alto"</formula>
    </cfRule>
    <cfRule type="cellIs" dxfId="52" priority="46" operator="equal">
      <formula>"Moderado"</formula>
    </cfRule>
    <cfRule type="cellIs" dxfId="51" priority="47" operator="equal">
      <formula>"Bajo"</formula>
    </cfRule>
  </conditionalFormatting>
  <conditionalFormatting sqref="AJ61:AJ66">
    <cfRule type="cellIs" dxfId="50" priority="39" operator="equal">
      <formula>"Muy Alta"</formula>
    </cfRule>
    <cfRule type="cellIs" dxfId="49" priority="40" operator="equal">
      <formula>"Alta"</formula>
    </cfRule>
    <cfRule type="cellIs" dxfId="48" priority="41" operator="equal">
      <formula>"Media"</formula>
    </cfRule>
    <cfRule type="cellIs" dxfId="47" priority="42" operator="equal">
      <formula>"Baja"</formula>
    </cfRule>
    <cfRule type="cellIs" dxfId="46" priority="43" operator="equal">
      <formula>"Muy Baja"</formula>
    </cfRule>
  </conditionalFormatting>
  <conditionalFormatting sqref="AL61:AL66">
    <cfRule type="cellIs" dxfId="45" priority="34" operator="equal">
      <formula>"Catastrófico"</formula>
    </cfRule>
    <cfRule type="cellIs" dxfId="44" priority="35" operator="equal">
      <formula>"Mayor"</formula>
    </cfRule>
    <cfRule type="cellIs" dxfId="43" priority="36" operator="equal">
      <formula>"Moderado"</formula>
    </cfRule>
    <cfRule type="cellIs" dxfId="42" priority="37" operator="equal">
      <formula>"Menor"</formula>
    </cfRule>
    <cfRule type="cellIs" dxfId="41" priority="38" operator="equal">
      <formula>"Leve"</formula>
    </cfRule>
  </conditionalFormatting>
  <conditionalFormatting sqref="AN61:AN66">
    <cfRule type="cellIs" dxfId="40" priority="30" operator="equal">
      <formula>"Extremo"</formula>
    </cfRule>
    <cfRule type="cellIs" dxfId="39" priority="31" operator="equal">
      <formula>"Alto"</formula>
    </cfRule>
    <cfRule type="cellIs" dxfId="38" priority="32" operator="equal">
      <formula>"Moderado"</formula>
    </cfRule>
    <cfRule type="cellIs" dxfId="37" priority="33" operator="equal">
      <formula>"Bajo"</formula>
    </cfRule>
  </conditionalFormatting>
  <conditionalFormatting sqref="S67">
    <cfRule type="cellIs" dxfId="36" priority="25" operator="equal">
      <formula>"Muy Alta"</formula>
    </cfRule>
    <cfRule type="cellIs" dxfId="35" priority="26" operator="equal">
      <formula>"Alta"</formula>
    </cfRule>
    <cfRule type="cellIs" dxfId="34" priority="27" operator="equal">
      <formula>"Media"</formula>
    </cfRule>
    <cfRule type="cellIs" dxfId="33" priority="28" operator="equal">
      <formula>"Baja"</formula>
    </cfRule>
    <cfRule type="cellIs" dxfId="32" priority="29" operator="equal">
      <formula>"Muy Baja"</formula>
    </cfRule>
  </conditionalFormatting>
  <conditionalFormatting sqref="Y67">
    <cfRule type="cellIs" dxfId="31" priority="21" operator="equal">
      <formula>"Extremo"</formula>
    </cfRule>
    <cfRule type="cellIs" dxfId="30" priority="22" operator="equal">
      <formula>"Alto"</formula>
    </cfRule>
    <cfRule type="cellIs" dxfId="29" priority="23" operator="equal">
      <formula>"Moderado"</formula>
    </cfRule>
    <cfRule type="cellIs" dxfId="28" priority="24" operator="equal">
      <formula>"Bajo"</formula>
    </cfRule>
  </conditionalFormatting>
  <conditionalFormatting sqref="AJ67:AJ72">
    <cfRule type="cellIs" dxfId="27" priority="16" operator="equal">
      <formula>"Muy Alta"</formula>
    </cfRule>
    <cfRule type="cellIs" dxfId="26" priority="17" operator="equal">
      <formula>"Alta"</formula>
    </cfRule>
    <cfRule type="cellIs" dxfId="25" priority="18" operator="equal">
      <formula>"Media"</formula>
    </cfRule>
    <cfRule type="cellIs" dxfId="24" priority="19" operator="equal">
      <formula>"Baja"</formula>
    </cfRule>
    <cfRule type="cellIs" dxfId="23" priority="20" operator="equal">
      <formula>"Muy Baja"</formula>
    </cfRule>
  </conditionalFormatting>
  <conditionalFormatting sqref="AL67:AL72">
    <cfRule type="cellIs" dxfId="22" priority="11" operator="equal">
      <formula>"Catastrófico"</formula>
    </cfRule>
    <cfRule type="cellIs" dxfId="21" priority="12" operator="equal">
      <formula>"Mayor"</formula>
    </cfRule>
    <cfRule type="cellIs" dxfId="20" priority="13" operator="equal">
      <formula>"Moderado"</formula>
    </cfRule>
    <cfRule type="cellIs" dxfId="19" priority="14" operator="equal">
      <formula>"Menor"</formula>
    </cfRule>
    <cfRule type="cellIs" dxfId="18" priority="15" operator="equal">
      <formula>"Leve"</formula>
    </cfRule>
  </conditionalFormatting>
  <conditionalFormatting sqref="AN67:AN72">
    <cfRule type="cellIs" dxfId="17" priority="7" operator="equal">
      <formula>"Extremo"</formula>
    </cfRule>
    <cfRule type="cellIs" dxfId="16" priority="8" operator="equal">
      <formula>"Alto"</formula>
    </cfRule>
    <cfRule type="cellIs" dxfId="15" priority="9" operator="equal">
      <formula>"Moderado"</formula>
    </cfRule>
    <cfRule type="cellIs" dxfId="14" priority="10" operator="equal">
      <formula>"Bajo"</formula>
    </cfRule>
  </conditionalFormatting>
  <conditionalFormatting sqref="V13:V72">
    <cfRule type="containsText" dxfId="13" priority="6" operator="containsText" text="❌">
      <formula>NOT(ISERROR(SEARCH("❌",V13)))</formula>
    </cfRule>
  </conditionalFormatting>
  <conditionalFormatting sqref="S55">
    <cfRule type="cellIs" dxfId="12" priority="1" operator="equal">
      <formula>"Muy Alta"</formula>
    </cfRule>
    <cfRule type="cellIs" dxfId="11" priority="2" operator="equal">
      <formula>"Alta"</formula>
    </cfRule>
    <cfRule type="cellIs" dxfId="10" priority="3" operator="equal">
      <formula>"Media"</formula>
    </cfRule>
    <cfRule type="cellIs" dxfId="9" priority="4" operator="equal">
      <formula>"Baja"</formula>
    </cfRule>
    <cfRule type="cellIs" dxfId="8" priority="5" operator="equal">
      <formula>"Muy Baja"</formula>
    </cfRule>
  </conditionalFormatting>
  <pageMargins left="0.70866141732283472" right="0.70866141732283472" top="0.74803149606299213" bottom="0.74803149606299213" header="0.31496062992125984" footer="0.31496062992125984"/>
  <pageSetup scale="31" orientation="landscape" r:id="rId1"/>
  <headerFooter>
    <oddFooter>&amp;LAvenida Calle 26 No. 69-76,Edificio Elemento ,   Torre Aire , Piso 3, CP-111071
PBX:(+57) 601-3779555 - Información: Línea 195
Sede Operativa - Atención al Ciudadano: Calle 22D No. 120-40 
www.umv.gov.co&amp;CDESI-FM-018
Página &amp;P de &amp;N</oddFooter>
  </headerFooter>
  <rowBreaks count="2" manualBreakCount="2">
    <brk id="24" max="40" man="1"/>
    <brk id="30" max="37" man="1"/>
  </rowBreaks>
  <colBreaks count="1" manualBreakCount="1">
    <brk id="26" max="23" man="1"/>
  </colBreaks>
  <drawing r:id="rId2"/>
  <extLst>
    <ext xmlns:x14="http://schemas.microsoft.com/office/spreadsheetml/2009/9/main" uri="{CCE6A557-97BC-4b89-ADB6-D9C93CAAB3DF}">
      <x14:dataValidations xmlns:xm="http://schemas.microsoft.com/office/excel/2006/main" disablePrompts="1" count="16">
        <x14:dataValidation type="list" allowBlank="1" showInputMessage="1" showErrorMessage="1" xr:uid="{00000000-0002-0000-0800-000000000000}">
          <x14:formula1>
            <xm:f>Listas!$H$14:$H$18</xm:f>
          </x14:formula1>
          <xm:sqref>Q13:Q72</xm:sqref>
        </x14:dataValidation>
        <x14:dataValidation type="list" allowBlank="1" showInputMessage="1" showErrorMessage="1" xr:uid="{00000000-0002-0000-0800-000001000000}">
          <x14:formula1>
            <xm:f>Listas!$H$8:$H$12</xm:f>
          </x14:formula1>
          <xm:sqref>P13:P72</xm:sqref>
        </x14:dataValidation>
        <x14:dataValidation type="list" allowBlank="1" showInputMessage="1" showErrorMessage="1" xr:uid="{00000000-0002-0000-0800-000002000000}">
          <x14:formula1>
            <xm:f>Intructivo!$C$300:$C$316</xm:f>
          </x14:formula1>
          <xm:sqref>C6:Z6</xm:sqref>
        </x14:dataValidation>
        <x14:dataValidation type="list" allowBlank="1" showInputMessage="1" showErrorMessage="1" xr:uid="{00000000-0002-0000-0800-000003000000}">
          <x14:formula1>
            <xm:f>Listas!$F$8:$F$9</xm:f>
          </x14:formula1>
          <xm:sqref>K13:K72</xm:sqref>
        </x14:dataValidation>
        <x14:dataValidation type="list" allowBlank="1" showInputMessage="1" showErrorMessage="1" xr:uid="{00000000-0002-0000-0800-000004000000}">
          <x14:formula1>
            <xm:f>Listas!$B$20:$B$22</xm:f>
          </x14:formula1>
          <xm:sqref>F13:F72</xm:sqref>
        </x14:dataValidation>
        <x14:dataValidation type="custom" allowBlank="1" showInputMessage="1" showErrorMessage="1" error="Recuerde que las acciones se generan bajo la medida de mitigar el riesgo" xr:uid="{00000000-0002-0000-0800-000005000000}">
          <x14:formula1>
            <xm:f>IF(OR(#REF!=Listas!$B$2,#REF!=Listas!$B$3,#REF!=Listas!$B$4),ISBLANK(#REF!),ISTEXT(#REF!))</xm:f>
          </x14:formula1>
          <xm:sqref>AT19:AV19 AT67:AV67 AT61:AV61 AT55:AV55 AT49:AV49 AT43:AV43 AT37:AV37 AT31:AV31 AT25:AV25</xm:sqref>
        </x14:dataValidation>
        <x14:dataValidation type="list" allowBlank="1" showInputMessage="1" showErrorMessage="1" xr:uid="{00000000-0002-0000-0800-000006000000}">
          <x14:formula1>
            <xm:f>'Tabla Impacto'!$F$211:$F$222</xm:f>
          </x14:formula1>
          <xm:sqref>U13:U72</xm:sqref>
        </x14:dataValidation>
        <x14:dataValidation type="list" allowBlank="1" showInputMessage="1" showErrorMessage="1" xr:uid="{00000000-0002-0000-0800-000007000000}">
          <x14:formula1>
            <xm:f>Listas!$B$2:$B$5</xm:f>
          </x14:formula1>
          <xm:sqref>AO13:AO72</xm:sqref>
        </x14:dataValidation>
        <x14:dataValidation type="list" allowBlank="1" showInputMessage="1" showErrorMessage="1" xr:uid="{00000000-0002-0000-0800-000008000000}">
          <x14:formula1>
            <xm:f>Listas!$E$2:$E$4</xm:f>
          </x14:formula1>
          <xm:sqref>B13:B72</xm:sqref>
        </x14:dataValidation>
        <x14:dataValidation type="list" allowBlank="1" showInputMessage="1" showErrorMessage="1" xr:uid="{00000000-0002-0000-0800-000009000000}">
          <x14:formula1>
            <xm:f>'Tabla Valoración controles'!$D$13:$D$14</xm:f>
          </x14:formula1>
          <xm:sqref>AH13:AH72</xm:sqref>
        </x14:dataValidation>
        <x14:dataValidation type="list" allowBlank="1" showInputMessage="1" showErrorMessage="1" xr:uid="{00000000-0002-0000-0800-00000A000000}">
          <x14:formula1>
            <xm:f>'Tabla Valoración controles'!$D$11:$D$12</xm:f>
          </x14:formula1>
          <xm:sqref>AG13:AG72</xm:sqref>
        </x14:dataValidation>
        <x14:dataValidation type="list" allowBlank="1" showInputMessage="1" showErrorMessage="1" xr:uid="{00000000-0002-0000-0800-00000B000000}">
          <x14:formula1>
            <xm:f>'Tabla Valoración controles'!$D$9:$D$10</xm:f>
          </x14:formula1>
          <xm:sqref>AF13:AF72</xm:sqref>
        </x14:dataValidation>
        <x14:dataValidation type="list" allowBlank="1" showInputMessage="1" showErrorMessage="1" xr:uid="{00000000-0002-0000-0800-00000C000000}">
          <x14:formula1>
            <xm:f>'Tabla Valoración controles'!$D$7:$D$8</xm:f>
          </x14:formula1>
          <xm:sqref>AD13:AD72</xm:sqref>
        </x14:dataValidation>
        <x14:dataValidation type="list" allowBlank="1" showInputMessage="1" showErrorMessage="1" xr:uid="{00000000-0002-0000-0800-00000D000000}">
          <x14:formula1>
            <xm:f>'Tabla Valoración controles'!$D$4:$D$6</xm:f>
          </x14:formula1>
          <xm:sqref>AC13:AC72</xm:sqref>
        </x14:dataValidation>
        <x14:dataValidation type="list" allowBlank="1" showInputMessage="1" showErrorMessage="1" xr:uid="{00000000-0002-0000-0800-00000E000000}">
          <x14:formula1>
            <xm:f>Amenazas!$C$2:$C$11</xm:f>
          </x14:formula1>
          <xm:sqref>G13:G72</xm:sqref>
        </x14:dataValidation>
        <x14:dataValidation type="list" allowBlank="1" showInputMessage="1" showErrorMessage="1" xr:uid="{00000000-0002-0000-0800-00000F000000}">
          <x14:formula1>
            <xm:f>Listas!$B$25:$B$32</xm:f>
          </x14:formula1>
          <xm:sqref>I13:I72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4A772FB98E7BA4B9E1B07CC8F693443" ma:contentTypeVersion="17" ma:contentTypeDescription="Crear nuevo documento." ma:contentTypeScope="" ma:versionID="2b779474dba64742438205b145c5f80a">
  <xsd:schema xmlns:xsd="http://www.w3.org/2001/XMLSchema" xmlns:xs="http://www.w3.org/2001/XMLSchema" xmlns:p="http://schemas.microsoft.com/office/2006/metadata/properties" xmlns:ns2="4ab5e4fe-998f-4424-a00c-127c505be1d6" xmlns:ns3="f7a02df7-de8f-4c48-b238-a1ac80ef7990" targetNamespace="http://schemas.microsoft.com/office/2006/metadata/properties" ma:root="true" ma:fieldsID="e5db9b9e1e349003db2943b60b4da755" ns2:_="" ns3:_="">
    <xsd:import namespace="4ab5e4fe-998f-4424-a00c-127c505be1d6"/>
    <xsd:import namespace="f7a02df7-de8f-4c48-b238-a1ac80ef79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e4fe-998f-4424-a00c-127c505be1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a02df7-de8f-4c48-b238-a1ac80ef7990"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715fde6a-5240-44f1-969d-ccc84abf2fbe}" ma:internalName="TaxCatchAll" ma:showField="CatchAllData" ma:web="f7a02df7-de8f-4c48-b238-a1ac80ef79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7a02df7-de8f-4c48-b238-a1ac80ef7990">
      <UserInfo>
        <DisplayName>Stefany Ospino Cuellar</DisplayName>
        <AccountId>1659</AccountId>
        <AccountType/>
      </UserInfo>
      <UserInfo>
        <DisplayName>German Andres Hernandez Matiz</DisplayName>
        <AccountId>571</AccountId>
        <AccountType/>
      </UserInfo>
    </SharedWithUsers>
    <TaxCatchAll xmlns="f7a02df7-de8f-4c48-b238-a1ac80ef7990" xsi:nil="true"/>
    <lcf76f155ced4ddcb4097134ff3c332f xmlns="4ab5e4fe-998f-4424-a00c-127c505be1d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238E702-99CD-4A3A-A328-D1F3ADA68EBC}">
  <ds:schemaRefs>
    <ds:schemaRef ds:uri="http://schemas.microsoft.com/sharepoint/v3/contenttype/forms"/>
  </ds:schemaRefs>
</ds:datastoreItem>
</file>

<file path=customXml/itemProps2.xml><?xml version="1.0" encoding="utf-8"?>
<ds:datastoreItem xmlns:ds="http://schemas.openxmlformats.org/officeDocument/2006/customXml" ds:itemID="{B54A6A8F-738E-4AC5-B800-E0ECC0EFA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e4fe-998f-4424-a00c-127c505be1d6"/>
    <ds:schemaRef ds:uri="f7a02df7-de8f-4c48-b238-a1ac80ef79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D5E4EF-2809-49C9-8DCF-B2E4E5208101}">
  <ds:schemaRefs>
    <ds:schemaRef ds:uri="http://schemas.microsoft.com/office/2006/documentManagement/types"/>
    <ds:schemaRef ds:uri="http://schemas.microsoft.com/sharepoint/v3"/>
    <ds:schemaRef ds:uri="http://schemas.microsoft.com/office/2006/metadata/properties"/>
    <ds:schemaRef ds:uri="http://www.w3.org/XML/1998/namespace"/>
    <ds:schemaRef ds:uri="http://schemas.openxmlformats.org/package/2006/metadata/core-properties"/>
    <ds:schemaRef ds:uri="70eaac67-e064-433b-ba54-6f78c0f1ecb1"/>
    <ds:schemaRef ds:uri="http://purl.org/dc/terms/"/>
    <ds:schemaRef ds:uri="http://purl.org/dc/elements/1.1/"/>
    <ds:schemaRef ds:uri="http://schemas.microsoft.com/office/infopath/2007/PartnerControls"/>
    <ds:schemaRef ds:uri="64d77176-54eb-4753-be67-9b2e2fa23e0f"/>
    <ds:schemaRef ds:uri="http://purl.org/dc/dcmitype/"/>
    <ds:schemaRef ds:uri="f7a02df7-de8f-4c48-b238-a1ac80ef7990"/>
    <ds:schemaRef ds:uri="4ab5e4fe-998f-4424-a00c-127c505be1d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Intructivo</vt:lpstr>
      <vt:lpstr>Revisión DOFA</vt:lpstr>
      <vt:lpstr>Listas</vt:lpstr>
      <vt:lpstr>Riesgos de Gestión</vt:lpstr>
      <vt:lpstr>Matriz Calor Inherente</vt:lpstr>
      <vt:lpstr>Matriz Calor Residual</vt:lpstr>
      <vt:lpstr>Riesgos de Corrupción</vt:lpstr>
      <vt:lpstr>Impacto Corrupción </vt:lpstr>
      <vt:lpstr>Riesgos de Seguridad</vt:lpstr>
      <vt:lpstr>Tabla probabilidad</vt:lpstr>
      <vt:lpstr>Tabla Impacto</vt:lpstr>
      <vt:lpstr>Tipo de riesgos</vt:lpstr>
      <vt:lpstr>Amenazas</vt:lpstr>
      <vt:lpstr>Ejemplos de riesgos</vt:lpstr>
      <vt:lpstr>Tabla Valoración controles</vt:lpstr>
      <vt:lpstr>Hoja1</vt:lpstr>
      <vt:lpstr>'Impacto Corrupción '!Área_de_impresión</vt:lpstr>
      <vt:lpstr>'Riesgos de Corrupción'!Área_de_impresión</vt:lpstr>
      <vt:lpstr>'Riesgos de Gestión'!Área_de_impresión</vt:lpstr>
      <vt:lpstr>'Riesgos de Seguridad'!Área_de_impresión</vt:lpstr>
      <vt:lpstr>'Riesgos de Corrupción'!Títulos_a_imprimir</vt:lpstr>
      <vt:lpstr>'Riesgos de Gestión'!Títulos_a_imprimir</vt:lpstr>
      <vt:lpstr>'Riesgos de Seguridad'!Títulos_a_imprimir</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Usuario</cp:lastModifiedBy>
  <cp:revision/>
  <cp:lastPrinted>2022-11-28T21:48:11Z</cp:lastPrinted>
  <dcterms:created xsi:type="dcterms:W3CDTF">2020-03-24T23:12:47Z</dcterms:created>
  <dcterms:modified xsi:type="dcterms:W3CDTF">2023-01-30T15:28:16Z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0x01010044A772FB98E7BA4B9E1B07CC8F693443</vt:lpwstr>
  </property>
  <property fmtid="{D5CDD505-2E9C-101B-9397-08002B2CF9AE}" pid="3" name="MediaServiceImageTags">
    <vt:lpwstr/>
  </property>
</Properties>
</file>