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hidePivotFieldList="1" defaultThemeVersion="124226"/>
  <mc:AlternateContent xmlns:mc="http://schemas.openxmlformats.org/markup-compatibility/2006">
    <mc:Choice Requires="x15">
      <x15ac:absPath xmlns:x15ac="http://schemas.microsoft.com/office/spreadsheetml/2010/11/ac" url="E:\UMV\Riesgos 2023\"/>
    </mc:Choice>
  </mc:AlternateContent>
  <xr:revisionPtr revIDLastSave="0" documentId="13_ncr:1_{6C3BD09E-B35E-4CEC-A521-B6A7D19B8C59}" xr6:coauthVersionLast="47" xr6:coauthVersionMax="47" xr10:uidLastSave="{00000000-0000-0000-0000-000000000000}"/>
  <bookViews>
    <workbookView xWindow="1755" yWindow="1815" windowWidth="13335" windowHeight="15165" tabRatio="933" activeTab="3" xr2:uid="{00000000-000D-0000-FFFF-FFFF00000000}"/>
  </bookViews>
  <sheets>
    <sheet name="Intructivo" sheetId="20" r:id="rId1"/>
    <sheet name="Revisión DOFA" sheetId="21" state="hidden" r:id="rId2"/>
    <sheet name="Listas" sheetId="16" state="hidden" r:id="rId3"/>
    <sheet name="Riesgos de Gestión" sheetId="1" r:id="rId4"/>
    <sheet name="Matriz Calor Inherente" sheetId="18" r:id="rId5"/>
    <sheet name="Matriz Calor Residual" sheetId="19" r:id="rId6"/>
    <sheet name="Riesgos de Corrupción" sheetId="31" r:id="rId7"/>
    <sheet name="Impacto Corrupción " sheetId="22" r:id="rId8"/>
    <sheet name="Riesgos de Seguridad" sheetId="32" r:id="rId9"/>
    <sheet name="Tabla probabilidad" sheetId="12" r:id="rId10"/>
    <sheet name="Tabla Impacto" sheetId="13" r:id="rId11"/>
    <sheet name="Tipo de riesgos" sheetId="23" r:id="rId12"/>
    <sheet name="Amenazas" sheetId="28" r:id="rId13"/>
    <sheet name="Ejemplos de riesgos" sheetId="26" r:id="rId14"/>
    <sheet name="Tabla Valoración controles" sheetId="15" r:id="rId15"/>
    <sheet name="Hoja1" sheetId="11" state="hidden" r:id="rId16"/>
  </sheets>
  <externalReferences>
    <externalReference r:id="rId17"/>
    <externalReference r:id="rId18"/>
    <externalReference r:id="rId19"/>
  </externalReferences>
  <definedNames>
    <definedName name="_xlnm.Print_Area" localSheetId="7">'Impacto Corrupción '!$A$1:$G$26</definedName>
    <definedName name="_xlnm.Print_Area" localSheetId="6">'Riesgos de Corrupción'!$A$1:$AR$66</definedName>
    <definedName name="_xlnm.Print_Area" localSheetId="3">'Riesgos de Gestión'!$A$1:$AR$78</definedName>
    <definedName name="_xlnm.Print_Area" localSheetId="8">'Riesgos de Seguridad'!$A$1:$AV$24</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7">#REF!</definedName>
    <definedName name="impactoco">#REF!</definedName>
    <definedName name="infraestructura">#REF!</definedName>
    <definedName name="interno">#REF!</definedName>
    <definedName name="macroprocesos">#REF!</definedName>
    <definedName name="medio_ambientales">#REF!</definedName>
    <definedName name="opciondelriesgo" localSheetId="7">[1]FORMULAS!$K$4:$K$7</definedName>
    <definedName name="opciondelriesgo">[2]FORMULAS!$K$4:$K$7</definedName>
    <definedName name="personal">#REF!</definedName>
    <definedName name="políticos">#REF!</definedName>
    <definedName name="probabilidad" localSheetId="7">#REF!</definedName>
    <definedName name="probabilidad">[2]FORMULAS!$G$4:$G$8</definedName>
    <definedName name="proceso">#REF!</definedName>
    <definedName name="procesos" localSheetId="7">#REF!</definedName>
    <definedName name="procesos">[2]FORMULAS!$B$4:$B$21</definedName>
    <definedName name="sociales">#REF!</definedName>
    <definedName name="tecnología">#REF!</definedName>
    <definedName name="tecnológicos">#REF!</definedName>
    <definedName name="tipo_de_amenaza" localSheetId="7">[1]FORMULAS!$E$4:$E$11</definedName>
    <definedName name="tipo_de_amenaza">[2]FORMULAS!$E$4:$E$11</definedName>
    <definedName name="tipo_de_riesgos" localSheetId="7">[1]FORMULAS!$C$4:$C$6</definedName>
    <definedName name="tipo_de_riesgos">[2]FORMULAS!$C$4:$C$6</definedName>
    <definedName name="_xlnm.Print_Titles" localSheetId="6">'Riesgos de Corrupción'!$1:$8</definedName>
    <definedName name="_xlnm.Print_Titles" localSheetId="3">'Riesgos de Gestión'!$1:$8</definedName>
    <definedName name="_xlnm.Print_Titles" localSheetId="8">'Riesgos de Seguridad'!$1:$8</definedName>
  </definedNames>
  <calcPr calcId="191029"/>
  <pivotCaches>
    <pivotCache cacheId="15" r:id="rId2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2" i="1" l="1"/>
  <c r="AA23" i="1"/>
  <c r="AA24" i="1"/>
  <c r="AE16" i="32" l="1"/>
  <c r="AA15" i="31"/>
  <c r="X16" i="31"/>
  <c r="AA16" i="31"/>
  <c r="X17" i="31"/>
  <c r="AA17" i="31"/>
  <c r="AE17" i="31"/>
  <c r="AF17" i="31" s="1"/>
  <c r="AI17" i="31"/>
  <c r="AH17" i="31" s="1"/>
  <c r="X18" i="31"/>
  <c r="AA18" i="31"/>
  <c r="AA14" i="31"/>
  <c r="R16" i="31"/>
  <c r="R17" i="31"/>
  <c r="R18" i="31"/>
  <c r="AE18" i="31" l="1"/>
  <c r="AG18" i="31" s="1"/>
  <c r="AJ17" i="31"/>
  <c r="AG17" i="31"/>
  <c r="AI18" i="31"/>
  <c r="AH18" i="31" s="1"/>
  <c r="AF18" i="31" l="1"/>
  <c r="AJ18" i="31" s="1"/>
  <c r="AA19" i="1"/>
  <c r="AA20" i="1"/>
  <c r="X18" i="1"/>
  <c r="X19" i="1"/>
  <c r="X20" i="1"/>
  <c r="AA18" i="1"/>
  <c r="AA17" i="1"/>
  <c r="N13" i="1"/>
  <c r="AE72" i="32" l="1"/>
  <c r="AB72" i="32"/>
  <c r="AE71" i="32"/>
  <c r="AB71" i="32"/>
  <c r="AM72" i="32" s="1"/>
  <c r="AL72" i="32" s="1"/>
  <c r="AE70" i="32"/>
  <c r="AB70" i="32"/>
  <c r="AM71" i="32" s="1"/>
  <c r="AL71" i="32" s="1"/>
  <c r="AE69" i="32"/>
  <c r="AB69" i="32"/>
  <c r="AE68" i="32"/>
  <c r="AB68" i="32"/>
  <c r="AE67" i="32"/>
  <c r="AB67" i="32"/>
  <c r="S67" i="32"/>
  <c r="T67" i="32" s="1"/>
  <c r="AE66" i="32"/>
  <c r="AB66" i="32"/>
  <c r="AE65" i="32"/>
  <c r="AB65" i="32"/>
  <c r="AE64" i="32"/>
  <c r="AB64" i="32"/>
  <c r="AI65" i="32" s="1"/>
  <c r="AE63" i="32"/>
  <c r="AB63" i="32"/>
  <c r="AE62" i="32"/>
  <c r="AB62" i="32"/>
  <c r="AE61" i="32"/>
  <c r="AB61" i="32"/>
  <c r="S61" i="32"/>
  <c r="AE60" i="32"/>
  <c r="AB60" i="32"/>
  <c r="AE59" i="32"/>
  <c r="AB59" i="32"/>
  <c r="AI60" i="32" s="1"/>
  <c r="AE58" i="32"/>
  <c r="AB58" i="32"/>
  <c r="AE57" i="32"/>
  <c r="AB57" i="32"/>
  <c r="AE56" i="32"/>
  <c r="AB56" i="32"/>
  <c r="AE55" i="32"/>
  <c r="AB55" i="32"/>
  <c r="AM55" i="32" s="1"/>
  <c r="AL55" i="32" s="1"/>
  <c r="S55" i="32"/>
  <c r="AE54" i="32"/>
  <c r="AB54" i="32"/>
  <c r="AE53" i="32"/>
  <c r="AB53" i="32"/>
  <c r="AM54" i="32" s="1"/>
  <c r="AL54" i="32" s="1"/>
  <c r="AE52" i="32"/>
  <c r="AB52" i="32"/>
  <c r="AE51" i="32"/>
  <c r="AB51" i="32"/>
  <c r="AE50" i="32"/>
  <c r="AB50" i="32"/>
  <c r="AE49" i="32"/>
  <c r="AB49" i="32"/>
  <c r="AM49" i="32" s="1"/>
  <c r="AL49" i="32" s="1"/>
  <c r="S49" i="32"/>
  <c r="T49" i="32" s="1"/>
  <c r="AM48" i="32"/>
  <c r="AL48" i="32" s="1"/>
  <c r="AE48" i="32"/>
  <c r="AB48" i="32"/>
  <c r="AE47" i="32"/>
  <c r="AB47" i="32"/>
  <c r="AI48" i="32" s="1"/>
  <c r="AE46" i="32"/>
  <c r="AB46" i="32"/>
  <c r="AM47" i="32" s="1"/>
  <c r="AL47" i="32" s="1"/>
  <c r="AE45" i="32"/>
  <c r="AB45" i="32"/>
  <c r="AI46" i="32" s="1"/>
  <c r="AE44" i="32"/>
  <c r="AB44" i="32"/>
  <c r="AE43" i="32"/>
  <c r="AB43" i="32"/>
  <c r="AI43" i="32" s="1"/>
  <c r="AJ43" i="32" s="1"/>
  <c r="S43" i="32"/>
  <c r="AE42" i="32"/>
  <c r="AB42" i="32"/>
  <c r="AE41" i="32"/>
  <c r="AB41" i="32"/>
  <c r="AE40" i="32"/>
  <c r="AB40" i="32"/>
  <c r="AE39" i="32"/>
  <c r="AB39" i="32"/>
  <c r="AE38" i="32"/>
  <c r="AB38" i="32"/>
  <c r="AI38" i="32" s="1"/>
  <c r="AE37" i="32"/>
  <c r="AB37" i="32"/>
  <c r="AI37" i="32" s="1"/>
  <c r="S37" i="32"/>
  <c r="T37" i="32" s="1"/>
  <c r="AE36" i="32"/>
  <c r="AB36" i="32"/>
  <c r="AE35" i="32"/>
  <c r="AB35" i="32"/>
  <c r="AE34" i="32"/>
  <c r="AB34" i="32"/>
  <c r="AE33" i="32"/>
  <c r="AB33" i="32"/>
  <c r="AE32" i="32"/>
  <c r="AB32" i="32"/>
  <c r="AE31" i="32"/>
  <c r="AB31" i="32"/>
  <c r="AM31" i="32" s="1"/>
  <c r="AL31" i="32" s="1"/>
  <c r="S31" i="32"/>
  <c r="T31" i="32" s="1"/>
  <c r="AE30" i="32"/>
  <c r="AB30" i="32"/>
  <c r="AE29" i="32"/>
  <c r="AB29" i="32"/>
  <c r="AM30" i="32" s="1"/>
  <c r="AL30" i="32" s="1"/>
  <c r="AE28" i="32"/>
  <c r="AB28" i="32"/>
  <c r="AE27" i="32"/>
  <c r="AB27" i="32"/>
  <c r="AE26" i="32"/>
  <c r="AB26" i="32"/>
  <c r="AE25" i="32"/>
  <c r="AB25" i="32"/>
  <c r="AM26" i="32" s="1"/>
  <c r="AL26" i="32" s="1"/>
  <c r="S25" i="32"/>
  <c r="AE24" i="32"/>
  <c r="AB24" i="32"/>
  <c r="AE23" i="32"/>
  <c r="AB23" i="32"/>
  <c r="AE22" i="32"/>
  <c r="AB22" i="32"/>
  <c r="AE21" i="32"/>
  <c r="AB21" i="32"/>
  <c r="AM22" i="32" s="1"/>
  <c r="AL22" i="32" s="1"/>
  <c r="AE20" i="32"/>
  <c r="AB20" i="32"/>
  <c r="AE19" i="32"/>
  <c r="AB19" i="32"/>
  <c r="AM19" i="32" s="1"/>
  <c r="AL19" i="32" s="1"/>
  <c r="S19" i="32"/>
  <c r="T19" i="32" s="1"/>
  <c r="AE18" i="32"/>
  <c r="AB18" i="32"/>
  <c r="AE17" i="32"/>
  <c r="AB17" i="32"/>
  <c r="AB16" i="32"/>
  <c r="AE15" i="32"/>
  <c r="AB15" i="32"/>
  <c r="AE14" i="32"/>
  <c r="AB14" i="32"/>
  <c r="AE13" i="32"/>
  <c r="AB13" i="32"/>
  <c r="S13" i="32"/>
  <c r="AA72" i="31"/>
  <c r="X72" i="31"/>
  <c r="AA71" i="31"/>
  <c r="X71" i="31"/>
  <c r="AA70" i="31"/>
  <c r="X70" i="31"/>
  <c r="AA69" i="31"/>
  <c r="X69" i="31"/>
  <c r="AA68" i="31"/>
  <c r="X68" i="31"/>
  <c r="AA67" i="31"/>
  <c r="X67" i="31"/>
  <c r="O67" i="31"/>
  <c r="P67" i="31" s="1"/>
  <c r="AA66" i="31"/>
  <c r="X66" i="31"/>
  <c r="AA65" i="31"/>
  <c r="X65" i="31"/>
  <c r="AA64" i="31"/>
  <c r="X64" i="31"/>
  <c r="AA63" i="31"/>
  <c r="X63" i="31"/>
  <c r="AA62" i="31"/>
  <c r="X62" i="31"/>
  <c r="AA61" i="31"/>
  <c r="X61" i="31"/>
  <c r="O61" i="31"/>
  <c r="P61" i="31" s="1"/>
  <c r="AA60" i="31"/>
  <c r="X60" i="31"/>
  <c r="AA59" i="31"/>
  <c r="X59" i="31"/>
  <c r="AA58" i="31"/>
  <c r="X58" i="31"/>
  <c r="AA57" i="31"/>
  <c r="X57" i="31"/>
  <c r="AA56" i="31"/>
  <c r="X56" i="31"/>
  <c r="AA55" i="31"/>
  <c r="X55" i="31"/>
  <c r="O55" i="31"/>
  <c r="AA54" i="31"/>
  <c r="X54" i="31"/>
  <c r="AA53" i="31"/>
  <c r="X53" i="31"/>
  <c r="AA52" i="31"/>
  <c r="X52" i="31"/>
  <c r="AA51" i="31"/>
  <c r="X51" i="31"/>
  <c r="AA50" i="31"/>
  <c r="X50" i="31"/>
  <c r="AA49" i="31"/>
  <c r="X49" i="31"/>
  <c r="AI49" i="31" s="1"/>
  <c r="AH49" i="31" s="1"/>
  <c r="O49" i="31"/>
  <c r="P49" i="31" s="1"/>
  <c r="AA48" i="31"/>
  <c r="X48" i="31"/>
  <c r="AA47" i="31"/>
  <c r="X47" i="31"/>
  <c r="AA46" i="31"/>
  <c r="X46" i="31"/>
  <c r="AA45" i="31"/>
  <c r="X45" i="31"/>
  <c r="AA44" i="31"/>
  <c r="X44" i="31"/>
  <c r="AA43" i="31"/>
  <c r="X43" i="31"/>
  <c r="AI43" i="31" s="1"/>
  <c r="AH43" i="31" s="1"/>
  <c r="O43" i="31"/>
  <c r="P43" i="31" s="1"/>
  <c r="AA42" i="31"/>
  <c r="X42" i="31"/>
  <c r="AA41" i="31"/>
  <c r="X41" i="31"/>
  <c r="AA40" i="31"/>
  <c r="X40" i="31"/>
  <c r="AA39" i="31"/>
  <c r="X39" i="31"/>
  <c r="AA38" i="31"/>
  <c r="X38" i="31"/>
  <c r="AA37" i="31"/>
  <c r="X37" i="31"/>
  <c r="AI38" i="31" s="1"/>
  <c r="AH38" i="31" s="1"/>
  <c r="O37" i="31"/>
  <c r="AA36" i="31"/>
  <c r="X36" i="31"/>
  <c r="AA35" i="31"/>
  <c r="X35" i="31"/>
  <c r="AA34" i="31"/>
  <c r="X34" i="31"/>
  <c r="AA33" i="31"/>
  <c r="X33" i="31"/>
  <c r="AA32" i="31"/>
  <c r="X32" i="31"/>
  <c r="AA31" i="31"/>
  <c r="X31" i="31"/>
  <c r="AE31" i="31" s="1"/>
  <c r="O31" i="31"/>
  <c r="P31" i="31" s="1"/>
  <c r="AA30" i="31"/>
  <c r="X30" i="31"/>
  <c r="AA29" i="31"/>
  <c r="X29" i="31"/>
  <c r="AA28" i="31"/>
  <c r="X28" i="31"/>
  <c r="AA27" i="31"/>
  <c r="X27" i="31"/>
  <c r="AA26" i="31"/>
  <c r="X26" i="31"/>
  <c r="AA25" i="31"/>
  <c r="X25" i="31"/>
  <c r="O25" i="31"/>
  <c r="P25" i="31" s="1"/>
  <c r="AA24" i="31"/>
  <c r="X24" i="31"/>
  <c r="AA23" i="31"/>
  <c r="X23" i="31"/>
  <c r="AA22" i="31"/>
  <c r="X22" i="31"/>
  <c r="AA21" i="31"/>
  <c r="X21" i="31"/>
  <c r="AA20" i="31"/>
  <c r="X20" i="31"/>
  <c r="AA19" i="31"/>
  <c r="X19" i="31"/>
  <c r="AI19" i="31" s="1"/>
  <c r="AH19" i="31" s="1"/>
  <c r="O19" i="31"/>
  <c r="P19" i="31" s="1"/>
  <c r="X15" i="31"/>
  <c r="X14" i="31"/>
  <c r="AA13" i="31"/>
  <c r="X13" i="31"/>
  <c r="O13" i="31"/>
  <c r="P13" i="31" s="1"/>
  <c r="V72" i="32"/>
  <c r="V63" i="32"/>
  <c r="V65" i="32"/>
  <c r="V53" i="32"/>
  <c r="V54" i="32"/>
  <c r="V45" i="32"/>
  <c r="V48" i="32"/>
  <c r="V34" i="32"/>
  <c r="V35" i="32"/>
  <c r="V33" i="32"/>
  <c r="V28" i="32"/>
  <c r="V16" i="32"/>
  <c r="R56" i="31"/>
  <c r="R71" i="31"/>
  <c r="R59" i="31"/>
  <c r="R52" i="31"/>
  <c r="R51" i="31"/>
  <c r="R36" i="31"/>
  <c r="R39" i="31"/>
  <c r="R68" i="31"/>
  <c r="R48" i="31"/>
  <c r="R62" i="31"/>
  <c r="R34" i="31"/>
  <c r="R32" i="31"/>
  <c r="R35" i="31"/>
  <c r="V58" i="32"/>
  <c r="V23" i="32"/>
  <c r="R66" i="31"/>
  <c r="R33" i="31"/>
  <c r="R53" i="31"/>
  <c r="V71" i="32"/>
  <c r="V69" i="32"/>
  <c r="V60" i="32"/>
  <c r="V51" i="32"/>
  <c r="V50" i="32"/>
  <c r="V41" i="32"/>
  <c r="V47" i="32"/>
  <c r="V29" i="32"/>
  <c r="V30" i="32"/>
  <c r="V21" i="32"/>
  <c r="V24" i="32"/>
  <c r="V27" i="32"/>
  <c r="R70" i="31"/>
  <c r="R64" i="31"/>
  <c r="R40" i="31"/>
  <c r="R41" i="31"/>
  <c r="R60" i="31"/>
  <c r="R24" i="31"/>
  <c r="R45" i="31"/>
  <c r="R15" i="31"/>
  <c r="R54" i="31"/>
  <c r="R44" i="31"/>
  <c r="R29" i="31"/>
  <c r="V17" i="32"/>
  <c r="V64" i="32"/>
  <c r="V59" i="32"/>
  <c r="V40" i="32"/>
  <c r="V39" i="32"/>
  <c r="V14" i="32"/>
  <c r="R63" i="31"/>
  <c r="R23" i="31"/>
  <c r="R27" i="31"/>
  <c r="R26" i="31"/>
  <c r="V70" i="32"/>
  <c r="V68" i="32"/>
  <c r="V66" i="32"/>
  <c r="V52" i="32"/>
  <c r="V57" i="32"/>
  <c r="V44" i="32"/>
  <c r="V46" i="32"/>
  <c r="V32" i="32"/>
  <c r="V38" i="32"/>
  <c r="V15" i="32"/>
  <c r="V26" i="32"/>
  <c r="V20" i="32"/>
  <c r="R20" i="31"/>
  <c r="R47" i="31"/>
  <c r="R57" i="31"/>
  <c r="R46" i="31"/>
  <c r="R50" i="31"/>
  <c r="R58" i="31"/>
  <c r="R22" i="31"/>
  <c r="V18" i="32"/>
  <c r="R38" i="31"/>
  <c r="R21" i="31"/>
  <c r="R28" i="31"/>
  <c r="R69" i="31"/>
  <c r="V62" i="32"/>
  <c r="V56" i="32"/>
  <c r="V42" i="32"/>
  <c r="V36" i="32"/>
  <c r="V22" i="32"/>
  <c r="R72" i="31"/>
  <c r="R30" i="31"/>
  <c r="R65" i="31"/>
  <c r="R42" i="31"/>
  <c r="R14" i="31"/>
  <c r="AE66" i="31" l="1"/>
  <c r="AG66" i="31" s="1"/>
  <c r="AI36" i="32"/>
  <c r="AK36" i="32" s="1"/>
  <c r="AE33" i="31"/>
  <c r="AE48" i="31"/>
  <c r="AF48" i="31" s="1"/>
  <c r="AI70" i="31"/>
  <c r="AH70" i="31" s="1"/>
  <c r="AM18" i="32"/>
  <c r="AL18" i="32" s="1"/>
  <c r="AI55" i="32"/>
  <c r="AK55" i="32" s="1"/>
  <c r="AM36" i="32"/>
  <c r="AL36" i="32" s="1"/>
  <c r="AE68" i="31"/>
  <c r="AF68" i="31" s="1"/>
  <c r="AE72" i="31"/>
  <c r="AM27" i="32"/>
  <c r="AL27" i="32" s="1"/>
  <c r="AI51" i="32"/>
  <c r="AM69" i="32"/>
  <c r="AL69" i="32" s="1"/>
  <c r="AI35" i="32"/>
  <c r="AK35" i="32" s="1"/>
  <c r="AM66" i="32"/>
  <c r="AL66" i="32" s="1"/>
  <c r="AI72" i="32"/>
  <c r="AJ72" i="32" s="1"/>
  <c r="AN72" i="32" s="1"/>
  <c r="AI63" i="32"/>
  <c r="AM62" i="32"/>
  <c r="AL62" i="32" s="1"/>
  <c r="AM63" i="32"/>
  <c r="AL63" i="32" s="1"/>
  <c r="AI68" i="32"/>
  <c r="AK68" i="32" s="1"/>
  <c r="AM68" i="32"/>
  <c r="AL68" i="32" s="1"/>
  <c r="AM52" i="32"/>
  <c r="AL52" i="32" s="1"/>
  <c r="AM58" i="32"/>
  <c r="AL58" i="32" s="1"/>
  <c r="AI53" i="32"/>
  <c r="AK53" i="32" s="1"/>
  <c r="AI54" i="32"/>
  <c r="AK54" i="32" s="1"/>
  <c r="AM41" i="32"/>
  <c r="AL41" i="32" s="1"/>
  <c r="AM45" i="32"/>
  <c r="AL45" i="32" s="1"/>
  <c r="AM46" i="32"/>
  <c r="AL46" i="32" s="1"/>
  <c r="AM29" i="32"/>
  <c r="AL29" i="32" s="1"/>
  <c r="AM34" i="32"/>
  <c r="AL34" i="32" s="1"/>
  <c r="AI33" i="32"/>
  <c r="AK33" i="32" s="1"/>
  <c r="AI39" i="32"/>
  <c r="AK39" i="32" s="1"/>
  <c r="AM24" i="32"/>
  <c r="AL24" i="32" s="1"/>
  <c r="AM28" i="32"/>
  <c r="AL28" i="32" s="1"/>
  <c r="AI26" i="31"/>
  <c r="AH26" i="31" s="1"/>
  <c r="AI27" i="31"/>
  <c r="AH27" i="31" s="1"/>
  <c r="AE29" i="31"/>
  <c r="AG29" i="31" s="1"/>
  <c r="AE65" i="31"/>
  <c r="AF65" i="31" s="1"/>
  <c r="AI45" i="31"/>
  <c r="AH45" i="31" s="1"/>
  <c r="AE58" i="31"/>
  <c r="AG58" i="31" s="1"/>
  <c r="AM17" i="32"/>
  <c r="AL17" i="32" s="1"/>
  <c r="AE20" i="31"/>
  <c r="AF20" i="31" s="1"/>
  <c r="AI52" i="31"/>
  <c r="AH52" i="31" s="1"/>
  <c r="AE62" i="31"/>
  <c r="AE64" i="31"/>
  <c r="AE16" i="31"/>
  <c r="AI16" i="31"/>
  <c r="AH16" i="31" s="1"/>
  <c r="AE24" i="31"/>
  <c r="AG24" i="31" s="1"/>
  <c r="AI34" i="31"/>
  <c r="AH34" i="31" s="1"/>
  <c r="AE67" i="31"/>
  <c r="AF67" i="31" s="1"/>
  <c r="AI69" i="31"/>
  <c r="AH69" i="31" s="1"/>
  <c r="AE30" i="31"/>
  <c r="AG30" i="31" s="1"/>
  <c r="AI36" i="31"/>
  <c r="AH36" i="31" s="1"/>
  <c r="AE41" i="31"/>
  <c r="AG41" i="31" s="1"/>
  <c r="AI48" i="31"/>
  <c r="AH48" i="31" s="1"/>
  <c r="AE51" i="31"/>
  <c r="AF51" i="31" s="1"/>
  <c r="AE52" i="31"/>
  <c r="AG52" i="31" s="1"/>
  <c r="AI57" i="31"/>
  <c r="AH57" i="31" s="1"/>
  <c r="AI58" i="31"/>
  <c r="AH58" i="31" s="1"/>
  <c r="AI63" i="31"/>
  <c r="AH63" i="31" s="1"/>
  <c r="AI64" i="31"/>
  <c r="AH64" i="31" s="1"/>
  <c r="AI42" i="31"/>
  <c r="AH42" i="31" s="1"/>
  <c r="AI22" i="31"/>
  <c r="AH22" i="31" s="1"/>
  <c r="AI28" i="31"/>
  <c r="AH28" i="31" s="1"/>
  <c r="AI31" i="31"/>
  <c r="AH31" i="31" s="1"/>
  <c r="AE35" i="31"/>
  <c r="AG35" i="31" s="1"/>
  <c r="AI40" i="31"/>
  <c r="AH40" i="31" s="1"/>
  <c r="AI41" i="31"/>
  <c r="AH41" i="31" s="1"/>
  <c r="AE46" i="31"/>
  <c r="AG46" i="31" s="1"/>
  <c r="AG67" i="31"/>
  <c r="AI47" i="31"/>
  <c r="AH47" i="31" s="1"/>
  <c r="AE49" i="31"/>
  <c r="AG49" i="31" s="1"/>
  <c r="AI60" i="31"/>
  <c r="AH60" i="31" s="1"/>
  <c r="AI67" i="31"/>
  <c r="AH67" i="31" s="1"/>
  <c r="AJ67" i="31" s="1"/>
  <c r="AE69" i="31"/>
  <c r="AG69" i="31" s="1"/>
  <c r="AG33" i="31"/>
  <c r="AF33" i="31"/>
  <c r="AG64" i="31"/>
  <c r="AF64" i="31"/>
  <c r="AF46" i="31"/>
  <c r="AE50" i="31"/>
  <c r="AE60" i="31"/>
  <c r="AI21" i="31"/>
  <c r="AH21" i="31" s="1"/>
  <c r="AI23" i="31"/>
  <c r="AH23" i="31" s="1"/>
  <c r="AI24" i="31"/>
  <c r="AH24" i="31" s="1"/>
  <c r="AI30" i="31"/>
  <c r="AH30" i="31" s="1"/>
  <c r="AE34" i="31"/>
  <c r="AF34" i="31" s="1"/>
  <c r="AE38" i="31"/>
  <c r="AG38" i="31" s="1"/>
  <c r="AE42" i="31"/>
  <c r="AF42" i="31" s="1"/>
  <c r="AE45" i="31"/>
  <c r="AI53" i="31"/>
  <c r="AH53" i="31" s="1"/>
  <c r="AI61" i="31"/>
  <c r="AH61" i="31" s="1"/>
  <c r="AE63" i="31"/>
  <c r="AI50" i="31"/>
  <c r="AH50" i="31" s="1"/>
  <c r="AE32" i="31"/>
  <c r="AI56" i="31"/>
  <c r="AH56" i="31" s="1"/>
  <c r="AI59" i="31"/>
  <c r="AH59" i="31" s="1"/>
  <c r="AI66" i="31"/>
  <c r="AH66" i="31" s="1"/>
  <c r="AI33" i="31"/>
  <c r="AH33" i="31" s="1"/>
  <c r="AE37" i="31"/>
  <c r="AF37" i="31" s="1"/>
  <c r="AE47" i="31"/>
  <c r="AI54" i="31"/>
  <c r="AH54" i="31" s="1"/>
  <c r="AI62" i="31"/>
  <c r="AH62" i="31" s="1"/>
  <c r="AI71" i="31"/>
  <c r="AH71" i="31" s="1"/>
  <c r="AI72" i="31"/>
  <c r="AH72" i="31" s="1"/>
  <c r="AE19" i="31"/>
  <c r="AF19" i="31" s="1"/>
  <c r="AE28" i="31"/>
  <c r="AE55" i="31"/>
  <c r="AG55" i="31" s="1"/>
  <c r="AE59" i="31"/>
  <c r="AG59" i="31" s="1"/>
  <c r="AE21" i="31"/>
  <c r="AG21" i="31" s="1"/>
  <c r="AE27" i="31"/>
  <c r="AI35" i="31"/>
  <c r="AH35" i="31" s="1"/>
  <c r="AI39" i="31"/>
  <c r="AH39" i="31" s="1"/>
  <c r="AI44" i="31"/>
  <c r="AH44" i="31" s="1"/>
  <c r="AE61" i="31"/>
  <c r="AF29" i="31"/>
  <c r="AK51" i="32"/>
  <c r="AJ51" i="32"/>
  <c r="AK48" i="32"/>
  <c r="AJ48" i="32"/>
  <c r="AN48" i="32" s="1"/>
  <c r="AK65" i="32"/>
  <c r="AJ65" i="32"/>
  <c r="AK38" i="32"/>
  <c r="AJ38" i="32"/>
  <c r="AI71" i="32"/>
  <c r="AI17" i="32"/>
  <c r="AI18" i="32"/>
  <c r="AI34" i="32"/>
  <c r="AK34" i="32" s="1"/>
  <c r="AM39" i="32"/>
  <c r="AL39" i="32" s="1"/>
  <c r="AI47" i="32"/>
  <c r="AJ47" i="32" s="1"/>
  <c r="AN47" i="32" s="1"/>
  <c r="AJ55" i="32"/>
  <c r="AN55" i="32" s="1"/>
  <c r="AI20" i="32"/>
  <c r="AK20" i="32" s="1"/>
  <c r="AI19" i="32"/>
  <c r="AI23" i="32"/>
  <c r="AJ23" i="32" s="1"/>
  <c r="AI25" i="32"/>
  <c r="AJ25" i="32" s="1"/>
  <c r="AM32" i="32"/>
  <c r="AL32" i="32" s="1"/>
  <c r="AM20" i="32"/>
  <c r="AL20" i="32" s="1"/>
  <c r="AM23" i="32"/>
  <c r="AL23" i="32" s="1"/>
  <c r="AM25" i="32"/>
  <c r="AL25" i="32" s="1"/>
  <c r="T55" i="32"/>
  <c r="AM67" i="32"/>
  <c r="AL67" i="32" s="1"/>
  <c r="AI24" i="32"/>
  <c r="AJ24" i="32" s="1"/>
  <c r="AN24" i="32" s="1"/>
  <c r="AI29" i="32"/>
  <c r="AK29" i="32" s="1"/>
  <c r="AM57" i="32"/>
  <c r="AL57" i="32" s="1"/>
  <c r="AM70" i="32"/>
  <c r="AL70" i="32" s="1"/>
  <c r="AI70" i="32"/>
  <c r="AK70" i="32" s="1"/>
  <c r="AM51" i="32"/>
  <c r="AL51" i="32" s="1"/>
  <c r="AI57" i="32"/>
  <c r="AI22" i="32"/>
  <c r="AJ22" i="32" s="1"/>
  <c r="AN22" i="32" s="1"/>
  <c r="AI40" i="32"/>
  <c r="AK40" i="32" s="1"/>
  <c r="AM59" i="32"/>
  <c r="AL59" i="32" s="1"/>
  <c r="AM60" i="32"/>
  <c r="AL60" i="32" s="1"/>
  <c r="AM65" i="32"/>
  <c r="AL65" i="32" s="1"/>
  <c r="AN65" i="32" s="1"/>
  <c r="AM37" i="32"/>
  <c r="AL37" i="32" s="1"/>
  <c r="AM40" i="32"/>
  <c r="AL40" i="32" s="1"/>
  <c r="AI50" i="32"/>
  <c r="AK50" i="32" s="1"/>
  <c r="AI52" i="32"/>
  <c r="AI56" i="32"/>
  <c r="AK56" i="32" s="1"/>
  <c r="AI64" i="32"/>
  <c r="AK64" i="32" s="1"/>
  <c r="AI66" i="32"/>
  <c r="AI69" i="32"/>
  <c r="AI21" i="32"/>
  <c r="AI26" i="32"/>
  <c r="AJ26" i="32" s="1"/>
  <c r="AN26" i="32" s="1"/>
  <c r="AI30" i="32"/>
  <c r="AK30" i="32" s="1"/>
  <c r="AM33" i="32"/>
  <c r="AL33" i="32" s="1"/>
  <c r="AM42" i="32"/>
  <c r="AL42" i="32" s="1"/>
  <c r="AM44" i="32"/>
  <c r="AL44" i="32" s="1"/>
  <c r="AI67" i="32"/>
  <c r="AK46" i="32"/>
  <c r="AJ46" i="32"/>
  <c r="AJ33" i="32"/>
  <c r="AK60" i="32"/>
  <c r="AJ60" i="32"/>
  <c r="AJ34" i="32"/>
  <c r="AN34" i="32" s="1"/>
  <c r="AJ37" i="32"/>
  <c r="AK37" i="32"/>
  <c r="AK63" i="32"/>
  <c r="AJ63" i="32"/>
  <c r="AN63" i="32" s="1"/>
  <c r="AK72" i="32"/>
  <c r="AJ29" i="32"/>
  <c r="AN29" i="32" s="1"/>
  <c r="AM50" i="32"/>
  <c r="AL50" i="32" s="1"/>
  <c r="AM64" i="32"/>
  <c r="AL64" i="32" s="1"/>
  <c r="T25" i="32"/>
  <c r="AJ40" i="32"/>
  <c r="T13" i="32"/>
  <c r="AI13" i="32" s="1"/>
  <c r="AM21" i="32"/>
  <c r="AL21" i="32" s="1"/>
  <c r="AK23" i="32"/>
  <c r="AI28" i="32"/>
  <c r="AI31" i="32"/>
  <c r="AM35" i="32"/>
  <c r="AL35" i="32" s="1"/>
  <c r="AM38" i="32"/>
  <c r="AL38" i="32" s="1"/>
  <c r="AN38" i="32" s="1"/>
  <c r="AI42" i="32"/>
  <c r="AK43" i="32"/>
  <c r="AI45" i="32"/>
  <c r="AI59" i="32"/>
  <c r="T61" i="32"/>
  <c r="AI62" i="32"/>
  <c r="AI27" i="32"/>
  <c r="AI32" i="32"/>
  <c r="AI49" i="32"/>
  <c r="AM53" i="32"/>
  <c r="AL53" i="32" s="1"/>
  <c r="AM56" i="32"/>
  <c r="AL56" i="32" s="1"/>
  <c r="AJ36" i="32"/>
  <c r="AN36" i="32" s="1"/>
  <c r="T43" i="32"/>
  <c r="AI61" i="32"/>
  <c r="AM43" i="32"/>
  <c r="AL43" i="32" s="1"/>
  <c r="AN43" i="32" s="1"/>
  <c r="AI41" i="32"/>
  <c r="AI44" i="32"/>
  <c r="AM61" i="32"/>
  <c r="AL61" i="32" s="1"/>
  <c r="AI58" i="32"/>
  <c r="AJ48" i="31"/>
  <c r="AG72" i="31"/>
  <c r="AF72" i="31"/>
  <c r="AG27" i="31"/>
  <c r="AF27" i="31"/>
  <c r="AJ27" i="31" s="1"/>
  <c r="AG31" i="31"/>
  <c r="AF31" i="31"/>
  <c r="AJ31" i="31" s="1"/>
  <c r="AJ19" i="31"/>
  <c r="AG45" i="31"/>
  <c r="AF45" i="31"/>
  <c r="AJ45" i="31" s="1"/>
  <c r="AF24" i="31"/>
  <c r="AG62" i="31"/>
  <c r="AF62" i="31"/>
  <c r="AG28" i="31"/>
  <c r="AF28" i="31"/>
  <c r="P37" i="31"/>
  <c r="AE22" i="31"/>
  <c r="AE25" i="31"/>
  <c r="AI29" i="31"/>
  <c r="AH29" i="31" s="1"/>
  <c r="AJ29" i="31" s="1"/>
  <c r="AI32" i="31"/>
  <c r="AH32" i="31" s="1"/>
  <c r="AF35" i="31"/>
  <c r="AE36" i="31"/>
  <c r="AG37" i="31"/>
  <c r="AE39" i="31"/>
  <c r="AI46" i="31"/>
  <c r="AH46" i="31" s="1"/>
  <c r="AG48" i="31"/>
  <c r="AF52" i="31"/>
  <c r="AJ52" i="31" s="1"/>
  <c r="AE53" i="31"/>
  <c r="P55" i="31"/>
  <c r="AF55" i="31"/>
  <c r="AE56" i="31"/>
  <c r="AF66" i="31"/>
  <c r="AG68" i="31"/>
  <c r="AF69" i="31"/>
  <c r="AJ69" i="31" s="1"/>
  <c r="AE70" i="31"/>
  <c r="AE23" i="31"/>
  <c r="AE26" i="31"/>
  <c r="AE40" i="31"/>
  <c r="AE43" i="31"/>
  <c r="AE54" i="31"/>
  <c r="AE57" i="31"/>
  <c r="AE71" i="31"/>
  <c r="AE13" i="31"/>
  <c r="AI20" i="31"/>
  <c r="AH20" i="31" s="1"/>
  <c r="AI37" i="31"/>
  <c r="AH37" i="31" s="1"/>
  <c r="AJ37" i="31" s="1"/>
  <c r="AE44" i="31"/>
  <c r="AI51" i="31"/>
  <c r="AH51" i="31" s="1"/>
  <c r="AJ51" i="31" s="1"/>
  <c r="AI65" i="31"/>
  <c r="AH65" i="31" s="1"/>
  <c r="AI68" i="31"/>
  <c r="AH68" i="31" s="1"/>
  <c r="AJ68" i="31" s="1"/>
  <c r="AI55" i="31"/>
  <c r="AH55" i="31" s="1"/>
  <c r="AI25" i="31"/>
  <c r="AH25" i="31" s="1"/>
  <c r="O13" i="1"/>
  <c r="P13" i="1" s="1"/>
  <c r="X13" i="1"/>
  <c r="AA13" i="1"/>
  <c r="X14" i="1"/>
  <c r="AA14" i="1"/>
  <c r="X15" i="1"/>
  <c r="AA15" i="1"/>
  <c r="X16" i="1"/>
  <c r="AA16" i="1"/>
  <c r="X17" i="1"/>
  <c r="R15" i="1"/>
  <c r="R16" i="1"/>
  <c r="R14" i="1"/>
  <c r="R17" i="1"/>
  <c r="R20" i="1"/>
  <c r="AJ46" i="31" l="1"/>
  <c r="AF41" i="31"/>
  <c r="AJ41" i="31" s="1"/>
  <c r="AF38" i="31"/>
  <c r="AJ38" i="31" s="1"/>
  <c r="AF21" i="31"/>
  <c r="AJ21" i="31" s="1"/>
  <c r="AF58" i="31"/>
  <c r="AJ28" i="31"/>
  <c r="AN35" i="32"/>
  <c r="AJ56" i="32"/>
  <c r="AG51" i="31"/>
  <c r="AK25" i="32"/>
  <c r="AJ35" i="32"/>
  <c r="AJ42" i="31"/>
  <c r="AJ70" i="32"/>
  <c r="AJ68" i="32"/>
  <c r="AN68" i="32" s="1"/>
  <c r="AJ50" i="32"/>
  <c r="AJ53" i="32"/>
  <c r="AN51" i="32"/>
  <c r="AJ54" i="32"/>
  <c r="AN54" i="32" s="1"/>
  <c r="AK47" i="32"/>
  <c r="AN46" i="32"/>
  <c r="AJ39" i="32"/>
  <c r="AN39" i="32" s="1"/>
  <c r="AF59" i="31"/>
  <c r="AJ59" i="31" s="1"/>
  <c r="AG42" i="31"/>
  <c r="AJ64" i="31"/>
  <c r="AJ65" i="31"/>
  <c r="AJ20" i="31"/>
  <c r="AG20" i="31"/>
  <c r="AJ33" i="31"/>
  <c r="AG65" i="31"/>
  <c r="AJ66" i="31"/>
  <c r="AJ58" i="31"/>
  <c r="AJ34" i="31"/>
  <c r="AF30" i="31"/>
  <c r="AJ30" i="31" s="1"/>
  <c r="AF49" i="31"/>
  <c r="AJ49" i="31" s="1"/>
  <c r="AF16" i="31"/>
  <c r="AJ16" i="31" s="1"/>
  <c r="AG16" i="31"/>
  <c r="AJ62" i="31"/>
  <c r="AJ24" i="31"/>
  <c r="AJ35" i="31"/>
  <c r="AJ72" i="31"/>
  <c r="AG60" i="31"/>
  <c r="AF60" i="31"/>
  <c r="AJ60" i="31" s="1"/>
  <c r="AG34" i="31"/>
  <c r="AG19" i="31"/>
  <c r="AG32" i="31"/>
  <c r="AF32" i="31"/>
  <c r="AJ32" i="31" s="1"/>
  <c r="AG50" i="31"/>
  <c r="AF50" i="31"/>
  <c r="AJ50" i="31" s="1"/>
  <c r="AG47" i="31"/>
  <c r="AF47" i="31"/>
  <c r="AJ47" i="31" s="1"/>
  <c r="AF61" i="31"/>
  <c r="AJ61" i="31" s="1"/>
  <c r="AG61" i="31"/>
  <c r="AF63" i="31"/>
  <c r="AJ63" i="31" s="1"/>
  <c r="AG63" i="31"/>
  <c r="AN40" i="32"/>
  <c r="AN60" i="32"/>
  <c r="AN70" i="32"/>
  <c r="AK26" i="32"/>
  <c r="AJ30" i="32"/>
  <c r="AN30" i="32" s="1"/>
  <c r="AK24" i="32"/>
  <c r="AJ20" i="32"/>
  <c r="AN20" i="32" s="1"/>
  <c r="AK22" i="32"/>
  <c r="AJ21" i="32"/>
  <c r="AN21" i="32" s="1"/>
  <c r="AK21" i="32"/>
  <c r="AK57" i="32"/>
  <c r="AJ57" i="32"/>
  <c r="AN57" i="32" s="1"/>
  <c r="AK19" i="32"/>
  <c r="AJ19" i="32"/>
  <c r="AN19" i="32" s="1"/>
  <c r="AJ18" i="32"/>
  <c r="AN18" i="32" s="1"/>
  <c r="AK18" i="32"/>
  <c r="AN33" i="32"/>
  <c r="AJ69" i="32"/>
  <c r="AN69" i="32" s="1"/>
  <c r="AK69" i="32"/>
  <c r="AK17" i="32"/>
  <c r="AJ17" i="32"/>
  <c r="AN17" i="32" s="1"/>
  <c r="AK71" i="32"/>
  <c r="AJ71" i="32"/>
  <c r="AN71" i="32" s="1"/>
  <c r="AJ66" i="32"/>
  <c r="AN66" i="32" s="1"/>
  <c r="AK66" i="32"/>
  <c r="AN37" i="32"/>
  <c r="AK67" i="32"/>
  <c r="AJ67" i="32"/>
  <c r="AN67" i="32" s="1"/>
  <c r="AJ64" i="32"/>
  <c r="AN64" i="32" s="1"/>
  <c r="AJ52" i="32"/>
  <c r="AN52" i="32" s="1"/>
  <c r="AK52" i="32"/>
  <c r="AN25" i="32"/>
  <c r="AN23" i="32"/>
  <c r="AK13" i="32"/>
  <c r="AI14" i="32" s="1"/>
  <c r="AJ13" i="32"/>
  <c r="AK45" i="32"/>
  <c r="AJ45" i="32"/>
  <c r="AN45" i="32" s="1"/>
  <c r="AK61" i="32"/>
  <c r="AJ61" i="32"/>
  <c r="AN61" i="32" s="1"/>
  <c r="AN56" i="32"/>
  <c r="AN50" i="32"/>
  <c r="AK58" i="32"/>
  <c r="AJ58" i="32"/>
  <c r="AN58" i="32" s="1"/>
  <c r="AK49" i="32"/>
  <c r="AJ49" i="32"/>
  <c r="AN49" i="32" s="1"/>
  <c r="AK42" i="32"/>
  <c r="AJ42" i="32"/>
  <c r="AN42" i="32" s="1"/>
  <c r="AN53" i="32"/>
  <c r="AK32" i="32"/>
  <c r="AJ32" i="32"/>
  <c r="AN32" i="32" s="1"/>
  <c r="AK62" i="32"/>
  <c r="AJ62" i="32"/>
  <c r="AN62" i="32" s="1"/>
  <c r="AK31" i="32"/>
  <c r="AJ31" i="32"/>
  <c r="AN31" i="32" s="1"/>
  <c r="AK44" i="32"/>
  <c r="AJ44" i="32"/>
  <c r="AN44" i="32" s="1"/>
  <c r="AK27" i="32"/>
  <c r="AJ27" i="32"/>
  <c r="AN27" i="32" s="1"/>
  <c r="AK28" i="32"/>
  <c r="AJ28" i="32"/>
  <c r="AN28" i="32" s="1"/>
  <c r="AK41" i="32"/>
  <c r="AJ41" i="32"/>
  <c r="AN41" i="32" s="1"/>
  <c r="AK59" i="32"/>
  <c r="AJ59" i="32"/>
  <c r="AN59" i="32" s="1"/>
  <c r="AG40" i="31"/>
  <c r="AF40" i="31"/>
  <c r="AJ40" i="31" s="1"/>
  <c r="AG56" i="31"/>
  <c r="AF56" i="31"/>
  <c r="AJ56" i="31" s="1"/>
  <c r="AG39" i="31"/>
  <c r="AF39" i="31"/>
  <c r="AJ39" i="31" s="1"/>
  <c r="AG25" i="31"/>
  <c r="AF25" i="31"/>
  <c r="AJ25" i="31" s="1"/>
  <c r="AG44" i="31"/>
  <c r="AF44" i="31"/>
  <c r="AJ44" i="31" s="1"/>
  <c r="AG22" i="31"/>
  <c r="AF22" i="31"/>
  <c r="AJ22" i="31" s="1"/>
  <c r="AG26" i="31"/>
  <c r="AF26" i="31"/>
  <c r="AJ26" i="31" s="1"/>
  <c r="AJ55" i="31"/>
  <c r="AG23" i="31"/>
  <c r="AF23" i="31"/>
  <c r="AJ23" i="31" s="1"/>
  <c r="AG57" i="31"/>
  <c r="AF57" i="31"/>
  <c r="AJ57" i="31" s="1"/>
  <c r="AG13" i="31"/>
  <c r="AE14" i="31" s="1"/>
  <c r="AF13" i="31"/>
  <c r="AG70" i="31"/>
  <c r="AF70" i="31"/>
  <c r="AJ70" i="31" s="1"/>
  <c r="AG53" i="31"/>
  <c r="AF53" i="31"/>
  <c r="AJ53" i="31" s="1"/>
  <c r="AG36" i="31"/>
  <c r="AF36" i="31"/>
  <c r="AJ36" i="31" s="1"/>
  <c r="AG54" i="31"/>
  <c r="AF54" i="31"/>
  <c r="AJ54" i="31" s="1"/>
  <c r="AG43" i="31"/>
  <c r="AF43" i="31"/>
  <c r="AJ43" i="31" s="1"/>
  <c r="AG71" i="31"/>
  <c r="AF71" i="31"/>
  <c r="AJ71" i="31" s="1"/>
  <c r="AE13" i="1"/>
  <c r="AG13" i="1" s="1"/>
  <c r="AE14" i="1" s="1"/>
  <c r="AK14" i="32" l="1"/>
  <c r="AJ14" i="32"/>
  <c r="AG14" i="31"/>
  <c r="AE15" i="31" s="1"/>
  <c r="AF14" i="31"/>
  <c r="AF13" i="1"/>
  <c r="AF14" i="1"/>
  <c r="AG14" i="1"/>
  <c r="AE15" i="1" s="1"/>
  <c r="AF15" i="1" s="1"/>
  <c r="AI15" i="32" l="1"/>
  <c r="AJ15" i="32" s="1"/>
  <c r="AI16" i="32"/>
  <c r="AK15" i="32"/>
  <c r="AG15" i="31"/>
  <c r="AF15" i="31"/>
  <c r="AG15" i="1"/>
  <c r="AE16" i="1" s="1"/>
  <c r="AF16" i="1" l="1"/>
  <c r="AG16" i="1"/>
  <c r="AE17" i="1" s="1"/>
  <c r="AK16" i="32"/>
  <c r="AJ16" i="32"/>
  <c r="O57" i="1"/>
  <c r="AF17" i="1" l="1"/>
  <c r="AG17" i="1"/>
  <c r="AE18" i="1" s="1"/>
  <c r="X21" i="1"/>
  <c r="X22" i="1"/>
  <c r="AF18" i="1" l="1"/>
  <c r="AG18" i="1"/>
  <c r="AE19" i="1" s="1"/>
  <c r="E24" i="22"/>
  <c r="E8" i="13"/>
  <c r="E7" i="13"/>
  <c r="E6" i="13"/>
  <c r="E5" i="13"/>
  <c r="R65" i="1"/>
  <c r="R73" i="1"/>
  <c r="R46" i="1"/>
  <c r="R64" i="1"/>
  <c r="R32" i="1"/>
  <c r="R67" i="1"/>
  <c r="R71" i="1"/>
  <c r="R59" i="1"/>
  <c r="R62" i="1"/>
  <c r="R54" i="1"/>
  <c r="R36" i="1"/>
  <c r="R68" i="1"/>
  <c r="R40" i="1"/>
  <c r="R66" i="1"/>
  <c r="R43" i="1"/>
  <c r="R31" i="1"/>
  <c r="R34" i="1"/>
  <c r="R47" i="1"/>
  <c r="R53" i="1"/>
  <c r="R72" i="1"/>
  <c r="R58" i="1"/>
  <c r="R28" i="1"/>
  <c r="R30" i="1"/>
  <c r="R70" i="1"/>
  <c r="R41" i="1"/>
  <c r="R42" i="1"/>
  <c r="R24" i="1"/>
  <c r="R74" i="1"/>
  <c r="R37" i="1"/>
  <c r="R61" i="1"/>
  <c r="R55" i="1"/>
  <c r="R49" i="1"/>
  <c r="R29" i="1"/>
  <c r="R35" i="1"/>
  <c r="R25" i="1"/>
  <c r="R56" i="1"/>
  <c r="R38" i="1"/>
  <c r="R26" i="1"/>
  <c r="R44" i="1"/>
  <c r="R50" i="1"/>
  <c r="R48" i="1"/>
  <c r="R52" i="1"/>
  <c r="R60" i="1"/>
  <c r="R23" i="1"/>
  <c r="R22" i="1"/>
  <c r="AF19" i="1" l="1"/>
  <c r="AG19" i="1"/>
  <c r="AE20" i="1" s="1"/>
  <c r="F222" i="13"/>
  <c r="F212" i="13"/>
  <c r="F213" i="13"/>
  <c r="F214" i="13"/>
  <c r="F215" i="13"/>
  <c r="F216" i="13"/>
  <c r="F217" i="13"/>
  <c r="F218" i="13"/>
  <c r="F219" i="13"/>
  <c r="F220" i="13"/>
  <c r="F221" i="13"/>
  <c r="F211" i="13"/>
  <c r="B222" i="13" a="1"/>
  <c r="AF20" i="1" l="1"/>
  <c r="AG20" i="1"/>
  <c r="B222" i="13"/>
  <c r="X57" i="1"/>
  <c r="X52" i="1"/>
  <c r="X46" i="1"/>
  <c r="AI57" i="1" l="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AA74" i="1" l="1"/>
  <c r="X74" i="1"/>
  <c r="AA73" i="1"/>
  <c r="X73" i="1"/>
  <c r="AA72" i="1"/>
  <c r="X72" i="1"/>
  <c r="AA71" i="1"/>
  <c r="X71" i="1"/>
  <c r="AA70" i="1"/>
  <c r="X70" i="1"/>
  <c r="AA69" i="1"/>
  <c r="X69" i="1"/>
  <c r="O69" i="1"/>
  <c r="P69" i="1" s="1"/>
  <c r="AA68" i="1"/>
  <c r="X68" i="1"/>
  <c r="AA67" i="1"/>
  <c r="X67" i="1"/>
  <c r="AA66" i="1"/>
  <c r="X66" i="1"/>
  <c r="AA65" i="1"/>
  <c r="X65" i="1"/>
  <c r="AA64" i="1"/>
  <c r="X64" i="1"/>
  <c r="AA63" i="1"/>
  <c r="X63" i="1"/>
  <c r="O63" i="1"/>
  <c r="P63" i="1" s="1"/>
  <c r="AA62" i="1"/>
  <c r="X62" i="1"/>
  <c r="AA61" i="1"/>
  <c r="X61" i="1"/>
  <c r="AA60" i="1"/>
  <c r="X60" i="1"/>
  <c r="AA59" i="1"/>
  <c r="X59" i="1"/>
  <c r="AA58" i="1"/>
  <c r="X58" i="1"/>
  <c r="AA57" i="1"/>
  <c r="P57" i="1"/>
  <c r="AA56" i="1"/>
  <c r="X56" i="1"/>
  <c r="AA55" i="1"/>
  <c r="X55" i="1"/>
  <c r="AA54" i="1"/>
  <c r="X54" i="1"/>
  <c r="AA53" i="1"/>
  <c r="X53" i="1"/>
  <c r="AA52" i="1"/>
  <c r="AA51" i="1"/>
  <c r="X51" i="1"/>
  <c r="O51" i="1"/>
  <c r="P51" i="1" s="1"/>
  <c r="AA50" i="1"/>
  <c r="X50" i="1"/>
  <c r="AA49" i="1"/>
  <c r="X49" i="1"/>
  <c r="AA48" i="1"/>
  <c r="X48" i="1"/>
  <c r="AA47" i="1"/>
  <c r="X47" i="1"/>
  <c r="AA46" i="1"/>
  <c r="AA45" i="1"/>
  <c r="X45" i="1"/>
  <c r="O45" i="1"/>
  <c r="P45" i="1" s="1"/>
  <c r="AA44" i="1"/>
  <c r="X44" i="1"/>
  <c r="AA43" i="1"/>
  <c r="X43" i="1"/>
  <c r="AA42" i="1"/>
  <c r="X42" i="1"/>
  <c r="AA41" i="1"/>
  <c r="X41" i="1"/>
  <c r="AA40" i="1"/>
  <c r="X40" i="1"/>
  <c r="AA39" i="1"/>
  <c r="X39" i="1"/>
  <c r="O39" i="1"/>
  <c r="AA38" i="1"/>
  <c r="X38" i="1"/>
  <c r="AA37" i="1"/>
  <c r="X37" i="1"/>
  <c r="AA36" i="1"/>
  <c r="X36" i="1"/>
  <c r="AA35" i="1"/>
  <c r="X35" i="1"/>
  <c r="AA34" i="1"/>
  <c r="X34" i="1"/>
  <c r="AA33" i="1"/>
  <c r="X33" i="1"/>
  <c r="O33" i="1"/>
  <c r="P33" i="1" s="1"/>
  <c r="AA32" i="1"/>
  <c r="X32" i="1"/>
  <c r="AA31" i="1"/>
  <c r="X31" i="1"/>
  <c r="AA30" i="1"/>
  <c r="X30" i="1"/>
  <c r="AA29" i="1"/>
  <c r="X29" i="1"/>
  <c r="AA28" i="1"/>
  <c r="X28" i="1"/>
  <c r="AA27" i="1"/>
  <c r="X27" i="1"/>
  <c r="O27" i="1"/>
  <c r="P27" i="1" s="1"/>
  <c r="O21" i="1"/>
  <c r="AA26" i="1"/>
  <c r="X26" i="1"/>
  <c r="AA25" i="1"/>
  <c r="X25" i="1"/>
  <c r="X24" i="1"/>
  <c r="X23" i="1"/>
  <c r="AA21" i="1"/>
  <c r="P39" i="1" l="1"/>
  <c r="AI31" i="1"/>
  <c r="AI42" i="1"/>
  <c r="AI50" i="1"/>
  <c r="AI62" i="1"/>
  <c r="AI73" i="1"/>
  <c r="AI25" i="1"/>
  <c r="AI32" i="1"/>
  <c r="AI43" i="1"/>
  <c r="AI38" i="1"/>
  <c r="AI65" i="1"/>
  <c r="AI66" i="1"/>
  <c r="AI36" i="1"/>
  <c r="AI67" i="1"/>
  <c r="AI30" i="1"/>
  <c r="AI41" i="1"/>
  <c r="AI49" i="1"/>
  <c r="AI61" i="1"/>
  <c r="AI72" i="1"/>
  <c r="AI35" i="1"/>
  <c r="AI55" i="1"/>
  <c r="AH55" i="1" s="1"/>
  <c r="AI74" i="1"/>
  <c r="AI33" i="1"/>
  <c r="AI34" i="1"/>
  <c r="AI46" i="1"/>
  <c r="AI45" i="1"/>
  <c r="AI28" i="1"/>
  <c r="AI27" i="1"/>
  <c r="AI59" i="1"/>
  <c r="AI58" i="1"/>
  <c r="AI70" i="1"/>
  <c r="AI69" i="1"/>
  <c r="AI54" i="1"/>
  <c r="AI53" i="1"/>
  <c r="AI26" i="1"/>
  <c r="AI29" i="1"/>
  <c r="AI40" i="1"/>
  <c r="AI39" i="1"/>
  <c r="AI44" i="1"/>
  <c r="AI48" i="1"/>
  <c r="AI47" i="1"/>
  <c r="AI56" i="1"/>
  <c r="AH56" i="1" s="1"/>
  <c r="AI60" i="1"/>
  <c r="AI71" i="1"/>
  <c r="AI37" i="1"/>
  <c r="AI52" i="1"/>
  <c r="AI51" i="1"/>
  <c r="AI64" i="1"/>
  <c r="AI63" i="1"/>
  <c r="AI68" i="1"/>
  <c r="P21" i="1"/>
  <c r="AE21" i="1" s="1"/>
  <c r="AE69" i="1"/>
  <c r="AE63" i="1"/>
  <c r="AE57" i="1"/>
  <c r="AE51" i="1"/>
  <c r="AE55" i="1"/>
  <c r="AE56" i="1"/>
  <c r="AE45" i="1"/>
  <c r="AE39" i="1"/>
  <c r="AE33" i="1"/>
  <c r="AE27" i="1"/>
  <c r="AF69" i="1" l="1"/>
  <c r="AG69" i="1"/>
  <c r="AE70" i="1" s="1"/>
  <c r="AF70" i="1" s="1"/>
  <c r="AF63" i="1"/>
  <c r="AG63" i="1"/>
  <c r="AE64" i="1" s="1"/>
  <c r="AG64" i="1" s="1"/>
  <c r="AE65" i="1" s="1"/>
  <c r="AF57" i="1"/>
  <c r="AG57" i="1"/>
  <c r="AE58" i="1" s="1"/>
  <c r="AG58" i="1" s="1"/>
  <c r="AE59" i="1" s="1"/>
  <c r="AF56" i="1"/>
  <c r="AG56" i="1"/>
  <c r="AF55" i="1"/>
  <c r="AG55" i="1"/>
  <c r="AF51" i="1"/>
  <c r="AG51" i="1"/>
  <c r="AF45" i="1"/>
  <c r="AG45" i="1"/>
  <c r="AE46" i="1" s="1"/>
  <c r="AG46" i="1" s="1"/>
  <c r="AE47" i="1" s="1"/>
  <c r="AF39" i="1"/>
  <c r="AG39" i="1"/>
  <c r="AF33" i="1"/>
  <c r="AG33" i="1"/>
  <c r="AE34" i="1" s="1"/>
  <c r="AG34" i="1" s="1"/>
  <c r="AE35" i="1" s="1"/>
  <c r="AF35" i="1" s="1"/>
  <c r="AF27" i="1"/>
  <c r="AG27" i="1"/>
  <c r="AE28" i="1" s="1"/>
  <c r="AF28" i="1" s="1"/>
  <c r="AF21" i="1"/>
  <c r="AG21" i="1"/>
  <c r="AE22" i="1" s="1"/>
  <c r="AF64" i="1" l="1"/>
  <c r="AF58" i="1"/>
  <c r="AG28" i="1"/>
  <c r="AE29" i="1" s="1"/>
  <c r="AF29" i="1" s="1"/>
  <c r="AF46" i="1"/>
  <c r="AF34" i="1"/>
  <c r="AF47" i="1"/>
  <c r="AG47" i="1"/>
  <c r="AG65" i="1"/>
  <c r="AE66" i="1" s="1"/>
  <c r="AF65" i="1"/>
  <c r="AG59" i="1"/>
  <c r="AE60" i="1" s="1"/>
  <c r="AF59" i="1"/>
  <c r="AG70" i="1"/>
  <c r="AE71" i="1" s="1"/>
  <c r="AE40" i="1"/>
  <c r="AE52" i="1"/>
  <c r="AG35"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J55" i="1"/>
  <c r="AJ56" i="1"/>
  <c r="AF66" i="1" l="1"/>
  <c r="AG66" i="1"/>
  <c r="AF60" i="1"/>
  <c r="AG60" i="1"/>
  <c r="AE61" i="1" s="1"/>
  <c r="AG29" i="1"/>
  <c r="AE30" i="1" s="1"/>
  <c r="AG30" i="1" s="1"/>
  <c r="AF71" i="1"/>
  <c r="AG71" i="1"/>
  <c r="AE72" i="1" s="1"/>
  <c r="AF52" i="1"/>
  <c r="AG52" i="1"/>
  <c r="AE53" i="1" s="1"/>
  <c r="AF53" i="1" s="1"/>
  <c r="AE48" i="1"/>
  <c r="AF40" i="1"/>
  <c r="AG40" i="1"/>
  <c r="AE41" i="1" s="1"/>
  <c r="AF41" i="1" s="1"/>
  <c r="AE37" i="1"/>
  <c r="AF37" i="1" s="1"/>
  <c r="AE36" i="1"/>
  <c r="AF22" i="1"/>
  <c r="AG22" i="1"/>
  <c r="AE23" i="1" s="1"/>
  <c r="AF23" i="1" s="1"/>
  <c r="AG53" i="1" l="1"/>
  <c r="AE54" i="1" s="1"/>
  <c r="AF54" i="1" s="1"/>
  <c r="AG41" i="1"/>
  <c r="AE42" i="1" s="1"/>
  <c r="AG42" i="1" s="1"/>
  <c r="AE43" i="1" s="1"/>
  <c r="AF61" i="1"/>
  <c r="AG61" i="1"/>
  <c r="AE62" i="1" s="1"/>
  <c r="AE67" i="1"/>
  <c r="AE68" i="1"/>
  <c r="AF30" i="1"/>
  <c r="AF48" i="1"/>
  <c r="AG48" i="1"/>
  <c r="AE49" i="1" s="1"/>
  <c r="AF49" i="1" s="1"/>
  <c r="AE31" i="1"/>
  <c r="AG72" i="1"/>
  <c r="AF72" i="1"/>
  <c r="AF36" i="1"/>
  <c r="AG36" i="1"/>
  <c r="AG37" i="1"/>
  <c r="AE38" i="1" s="1"/>
  <c r="AG23" i="1"/>
  <c r="AE24" i="1" s="1"/>
  <c r="AF24" i="1" s="1"/>
  <c r="AG54" i="1" l="1"/>
  <c r="AF42" i="1"/>
  <c r="AF68" i="1"/>
  <c r="AG68" i="1"/>
  <c r="AF67" i="1"/>
  <c r="AG67" i="1"/>
  <c r="AF62" i="1"/>
  <c r="AG62" i="1"/>
  <c r="AE73" i="1"/>
  <c r="AE74" i="1"/>
  <c r="AG49" i="1"/>
  <c r="AE50" i="1" s="1"/>
  <c r="AF50" i="1" s="1"/>
  <c r="AG43" i="1"/>
  <c r="AE44" i="1" s="1"/>
  <c r="AF43" i="1"/>
  <c r="AF31" i="1"/>
  <c r="AG31" i="1"/>
  <c r="AE32" i="1" s="1"/>
  <c r="AF32" i="1" s="1"/>
  <c r="AF38" i="1"/>
  <c r="AG38" i="1"/>
  <c r="AG24" i="1"/>
  <c r="AE25" i="1" s="1"/>
  <c r="AG25" i="1" s="1"/>
  <c r="AE26" i="1" s="1"/>
  <c r="AF74" i="1" l="1"/>
  <c r="AG74" i="1"/>
  <c r="AF73" i="1"/>
  <c r="AG73" i="1"/>
  <c r="AF44" i="1"/>
  <c r="AG44" i="1"/>
  <c r="AG50" i="1"/>
  <c r="AG32" i="1"/>
  <c r="AF25" i="1"/>
  <c r="AF26" i="1"/>
  <c r="AG26" i="1"/>
  <c r="AH33" i="1" l="1"/>
  <c r="AH69" i="1"/>
  <c r="AH45" i="1"/>
  <c r="AH57" i="1"/>
  <c r="AH27" i="1"/>
  <c r="AH51" i="1"/>
  <c r="AH39" i="1"/>
  <c r="AH52" i="1" l="1"/>
  <c r="AH58" i="1"/>
  <c r="AH64" i="1"/>
  <c r="AH40" i="1"/>
  <c r="AH46" i="1"/>
  <c r="AH34" i="1"/>
  <c r="AH28" i="1"/>
  <c r="J40" i="19"/>
  <c r="V30" i="19"/>
  <c r="AH20" i="19"/>
  <c r="J30" i="19"/>
  <c r="V20" i="19"/>
  <c r="AH10" i="19"/>
  <c r="P10" i="19"/>
  <c r="AB50" i="19"/>
  <c r="J50" i="19"/>
  <c r="AB40" i="19"/>
  <c r="P30" i="19"/>
  <c r="V50" i="19"/>
  <c r="P50" i="19"/>
  <c r="AB10" i="19"/>
  <c r="AH30" i="19"/>
  <c r="AH40" i="19"/>
  <c r="J10" i="19"/>
  <c r="AB20" i="19"/>
  <c r="AH50" i="19"/>
  <c r="AJ39" i="1"/>
  <c r="V10" i="19"/>
  <c r="P20" i="19"/>
  <c r="J20" i="19"/>
  <c r="P40" i="19"/>
  <c r="V40" i="19"/>
  <c r="AB30" i="19"/>
  <c r="J11" i="19"/>
  <c r="V11" i="19"/>
  <c r="AB21" i="19"/>
  <c r="P31" i="19"/>
  <c r="J31" i="19"/>
  <c r="AB41" i="19"/>
  <c r="AJ45" i="1"/>
  <c r="AH41" i="19"/>
  <c r="P41" i="19"/>
  <c r="J21" i="19"/>
  <c r="AB31" i="19"/>
  <c r="AB51" i="19"/>
  <c r="P21" i="19"/>
  <c r="V41" i="19"/>
  <c r="V31" i="19"/>
  <c r="AH21" i="19"/>
  <c r="AB11" i="19"/>
  <c r="P51" i="19"/>
  <c r="V21" i="19"/>
  <c r="AH31" i="19"/>
  <c r="V51" i="19"/>
  <c r="J51" i="19"/>
  <c r="AH51" i="19"/>
  <c r="AH11" i="19"/>
  <c r="J41" i="19"/>
  <c r="P11" i="19"/>
  <c r="V25" i="19"/>
  <c r="AH25" i="19"/>
  <c r="P45" i="19"/>
  <c r="AH45" i="19"/>
  <c r="AH15" i="19"/>
  <c r="AB55" i="19"/>
  <c r="J45" i="19"/>
  <c r="AH35" i="19"/>
  <c r="V45" i="19"/>
  <c r="AH55" i="19"/>
  <c r="V15" i="19"/>
  <c r="J25" i="19"/>
  <c r="V35" i="19"/>
  <c r="AJ69" i="1"/>
  <c r="P25" i="19"/>
  <c r="V55" i="19"/>
  <c r="J15" i="19"/>
  <c r="AB15" i="19"/>
  <c r="J35" i="19"/>
  <c r="AB35" i="19"/>
  <c r="J55" i="19"/>
  <c r="AB25" i="19"/>
  <c r="P35" i="19"/>
  <c r="P55" i="19"/>
  <c r="AB45" i="19"/>
  <c r="P15" i="19"/>
  <c r="AJ57"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H63" i="1"/>
  <c r="AJ33"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J27"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H47" i="1"/>
  <c r="V32" i="19"/>
  <c r="P42" i="19"/>
  <c r="J12" i="19"/>
  <c r="J32" i="19"/>
  <c r="AB52" i="19"/>
  <c r="AJ51" i="1"/>
  <c r="J22" i="19"/>
  <c r="V22" i="19"/>
  <c r="J52" i="19"/>
  <c r="AH12" i="19"/>
  <c r="J42" i="19"/>
  <c r="AH42" i="19"/>
  <c r="P32" i="19"/>
  <c r="AB12" i="19"/>
  <c r="AH32" i="19"/>
  <c r="AB32" i="19"/>
  <c r="AB42" i="19"/>
  <c r="V42" i="19"/>
  <c r="V12" i="19"/>
  <c r="V52" i="19"/>
  <c r="AB22" i="19"/>
  <c r="AH52" i="19"/>
  <c r="AH22" i="19"/>
  <c r="P22" i="19"/>
  <c r="P12" i="19"/>
  <c r="P52" i="19"/>
  <c r="AH53" i="1"/>
  <c r="AH70" i="1" l="1"/>
  <c r="K45" i="19" s="1"/>
  <c r="AH54" i="1"/>
  <c r="S12" i="19" s="1"/>
  <c r="AC14" i="19"/>
  <c r="Q14" i="19"/>
  <c r="AI54" i="19"/>
  <c r="Q54" i="19"/>
  <c r="Q24" i="19"/>
  <c r="AI14" i="19"/>
  <c r="W24" i="19"/>
  <c r="AC44" i="19"/>
  <c r="K54" i="19"/>
  <c r="AI34" i="19"/>
  <c r="W14" i="19"/>
  <c r="K24" i="19"/>
  <c r="AC24" i="19"/>
  <c r="AI44" i="19"/>
  <c r="AI24" i="19"/>
  <c r="W44" i="19"/>
  <c r="Q44" i="19"/>
  <c r="AC54" i="19"/>
  <c r="AJ64"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J46" i="1"/>
  <c r="P54" i="19"/>
  <c r="AH14" i="19"/>
  <c r="AB14" i="19"/>
  <c r="AH34" i="19"/>
  <c r="AB54" i="19"/>
  <c r="AH54" i="19"/>
  <c r="AJ63"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J53" i="1"/>
  <c r="AD12" i="19"/>
  <c r="AD32" i="19"/>
  <c r="AD22" i="19"/>
  <c r="X52" i="19"/>
  <c r="AD52" i="19"/>
  <c r="L42" i="19"/>
  <c r="R42" i="19"/>
  <c r="AJ21" i="19"/>
  <c r="AD31" i="19"/>
  <c r="R21" i="19"/>
  <c r="AD41" i="19"/>
  <c r="AJ11" i="19"/>
  <c r="AJ51" i="19"/>
  <c r="AJ47" i="1"/>
  <c r="L41" i="19"/>
  <c r="AD11" i="19"/>
  <c r="L21" i="19"/>
  <c r="L11" i="19"/>
  <c r="X51" i="19"/>
  <c r="X21" i="19"/>
  <c r="R11" i="19"/>
  <c r="R31" i="19"/>
  <c r="AJ41" i="19"/>
  <c r="L31" i="19"/>
  <c r="R51" i="19"/>
  <c r="X31" i="19"/>
  <c r="X11" i="19"/>
  <c r="X41" i="19"/>
  <c r="AJ31" i="19"/>
  <c r="AD51" i="19"/>
  <c r="R41" i="19"/>
  <c r="AD21" i="19"/>
  <c r="L51" i="19"/>
  <c r="AH35" i="1"/>
  <c r="AH59" i="1"/>
  <c r="K42" i="19"/>
  <c r="AC32" i="19"/>
  <c r="W42" i="19"/>
  <c r="AI52" i="19"/>
  <c r="K22" i="19"/>
  <c r="Q32" i="19"/>
  <c r="AI12" i="19"/>
  <c r="AC52" i="19"/>
  <c r="Q42" i="19"/>
  <c r="AC42" i="19"/>
  <c r="K12" i="19"/>
  <c r="Q22" i="19"/>
  <c r="W52" i="19"/>
  <c r="AI42" i="19"/>
  <c r="W32" i="19"/>
  <c r="AI22" i="19"/>
  <c r="W12" i="19"/>
  <c r="AI32" i="19"/>
  <c r="AC12" i="19"/>
  <c r="Q12" i="19"/>
  <c r="Q52" i="19"/>
  <c r="AJ52" i="1"/>
  <c r="K32" i="19"/>
  <c r="W22" i="19"/>
  <c r="K52" i="19"/>
  <c r="AC22" i="19"/>
  <c r="AC40" i="19"/>
  <c r="W10" i="19"/>
  <c r="AC50" i="19"/>
  <c r="Q10" i="19"/>
  <c r="Q30" i="19"/>
  <c r="W50" i="19"/>
  <c r="K40" i="19"/>
  <c r="Q50" i="19"/>
  <c r="W20" i="19"/>
  <c r="AJ40" i="1"/>
  <c r="K10" i="19"/>
  <c r="Q40" i="19"/>
  <c r="K30" i="19"/>
  <c r="AI50" i="19"/>
  <c r="AI20" i="19"/>
  <c r="K50" i="19"/>
  <c r="AI40" i="19"/>
  <c r="W40" i="19"/>
  <c r="K20" i="19"/>
  <c r="AC10" i="19"/>
  <c r="AI10" i="19"/>
  <c r="AC20" i="19"/>
  <c r="AI30" i="19"/>
  <c r="AC30" i="19"/>
  <c r="W30" i="19"/>
  <c r="Q20" i="19"/>
  <c r="AH65" i="1"/>
  <c r="K39" i="19"/>
  <c r="AC39" i="19"/>
  <c r="W29" i="19"/>
  <c r="AI49" i="19"/>
  <c r="W9" i="19"/>
  <c r="AC19" i="19"/>
  <c r="Q49" i="19"/>
  <c r="W49" i="19"/>
  <c r="AC9" i="19"/>
  <c r="AI9" i="19"/>
  <c r="Q29" i="19"/>
  <c r="W39" i="19"/>
  <c r="Q39" i="19"/>
  <c r="AJ34"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J58" i="1"/>
  <c r="Q33" i="19"/>
  <c r="AI23" i="19"/>
  <c r="K53" i="19"/>
  <c r="AC23" i="19"/>
  <c r="AC13" i="19"/>
  <c r="W23" i="19"/>
  <c r="W33" i="19"/>
  <c r="Q13" i="19"/>
  <c r="W13" i="19"/>
  <c r="AI13" i="19"/>
  <c r="Q43" i="19"/>
  <c r="Q23" i="19"/>
  <c r="W53" i="19"/>
  <c r="AK42" i="19"/>
  <c r="AE32" i="19"/>
  <c r="AJ54" i="1"/>
  <c r="Y52" i="19"/>
  <c r="S22" i="19"/>
  <c r="AK52" i="19"/>
  <c r="M22" i="19"/>
  <c r="AK32" i="19"/>
  <c r="AE22" i="19"/>
  <c r="AE42" i="19"/>
  <c r="S42" i="19"/>
  <c r="AH48" i="1"/>
  <c r="AH50" i="1"/>
  <c r="AH49" i="1"/>
  <c r="AH41"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J28" i="1"/>
  <c r="M12" i="19" l="1"/>
  <c r="S52" i="19"/>
  <c r="AK22" i="19"/>
  <c r="AK12" i="19"/>
  <c r="AE52" i="19"/>
  <c r="Y42" i="19"/>
  <c r="Q55" i="19"/>
  <c r="Y22" i="19"/>
  <c r="Y32" i="19"/>
  <c r="AE12" i="19"/>
  <c r="M52" i="19"/>
  <c r="Y12" i="19"/>
  <c r="S32" i="19"/>
  <c r="M32" i="19"/>
  <c r="M42" i="19"/>
  <c r="W45" i="19"/>
  <c r="K25" i="19"/>
  <c r="W55" i="19"/>
  <c r="AI25" i="19"/>
  <c r="AI45" i="19"/>
  <c r="Q25" i="19"/>
  <c r="AJ70" i="1"/>
  <c r="AC35" i="19"/>
  <c r="AI15" i="19"/>
  <c r="Q35" i="19"/>
  <c r="W25" i="19"/>
  <c r="AC25" i="19"/>
  <c r="AI55" i="19"/>
  <c r="K15" i="19"/>
  <c r="Q15" i="19"/>
  <c r="K35" i="19"/>
  <c r="W35" i="19"/>
  <c r="W15" i="19"/>
  <c r="AC15" i="19"/>
  <c r="Q45" i="19"/>
  <c r="AC55" i="19"/>
  <c r="K55" i="19"/>
  <c r="AC45" i="19"/>
  <c r="AI35" i="19"/>
  <c r="AH71" i="1"/>
  <c r="AH29" i="1"/>
  <c r="R18" i="19" s="1"/>
  <c r="R40" i="19"/>
  <c r="AD10" i="19"/>
  <c r="X40" i="19"/>
  <c r="AJ10" i="19"/>
  <c r="R50" i="19"/>
  <c r="X10" i="19"/>
  <c r="R30" i="19"/>
  <c r="AJ41" i="1"/>
  <c r="L10" i="19"/>
  <c r="L50" i="19"/>
  <c r="AJ20" i="19"/>
  <c r="AJ40" i="19"/>
  <c r="AD30" i="19"/>
  <c r="R20" i="19"/>
  <c r="AD50" i="19"/>
  <c r="AJ30" i="19"/>
  <c r="AJ50" i="19"/>
  <c r="X30" i="19"/>
  <c r="AD20" i="19"/>
  <c r="L40" i="19"/>
  <c r="X50" i="19"/>
  <c r="X20" i="19"/>
  <c r="AD40" i="19"/>
  <c r="R10" i="19"/>
  <c r="L30" i="19"/>
  <c r="L20" i="19"/>
  <c r="AH60" i="1"/>
  <c r="AH74" i="1"/>
  <c r="AH31" i="1"/>
  <c r="AH30" i="1"/>
  <c r="AH32" i="1"/>
  <c r="AJ43" i="19"/>
  <c r="AD33" i="19"/>
  <c r="X33" i="19"/>
  <c r="X13" i="19"/>
  <c r="AD43" i="19"/>
  <c r="L43" i="19"/>
  <c r="AJ59" i="1"/>
  <c r="X23" i="19"/>
  <c r="R33" i="19"/>
  <c r="R43" i="19"/>
  <c r="AD53" i="19"/>
  <c r="AJ13" i="19"/>
  <c r="R23" i="19"/>
  <c r="R13" i="19"/>
  <c r="AJ53" i="19"/>
  <c r="L33" i="19"/>
  <c r="L23" i="19"/>
  <c r="X43" i="19"/>
  <c r="X53" i="19"/>
  <c r="AD13" i="19"/>
  <c r="L53" i="19"/>
  <c r="L13" i="19"/>
  <c r="AD23" i="19"/>
  <c r="AJ33" i="19"/>
  <c r="AJ23" i="19"/>
  <c r="R53" i="19"/>
  <c r="Z11" i="19"/>
  <c r="AF31" i="19"/>
  <c r="T51" i="19"/>
  <c r="N51" i="19"/>
  <c r="Z41" i="19"/>
  <c r="AF21" i="19"/>
  <c r="AL31" i="19"/>
  <c r="T31" i="19"/>
  <c r="Z31" i="19"/>
  <c r="N21" i="19"/>
  <c r="N31" i="19"/>
  <c r="AL11" i="19"/>
  <c r="T11" i="19"/>
  <c r="AF11" i="19"/>
  <c r="AL41" i="19"/>
  <c r="T21" i="19"/>
  <c r="Z21" i="19"/>
  <c r="AL51" i="19"/>
  <c r="N11" i="19"/>
  <c r="AF51" i="19"/>
  <c r="N41" i="19"/>
  <c r="Z51" i="19"/>
  <c r="AJ49" i="1"/>
  <c r="AL21" i="19"/>
  <c r="T41" i="19"/>
  <c r="AF41" i="19"/>
  <c r="O11" i="19"/>
  <c r="O21" i="19"/>
  <c r="O51" i="19"/>
  <c r="AA31" i="19"/>
  <c r="AM31" i="19"/>
  <c r="AG51" i="19"/>
  <c r="AA41" i="19"/>
  <c r="AM11" i="19"/>
  <c r="U21" i="19"/>
  <c r="AG41" i="19"/>
  <c r="AM21" i="19"/>
  <c r="AM51" i="19"/>
  <c r="O41" i="19"/>
  <c r="U11" i="19"/>
  <c r="AG31" i="19"/>
  <c r="U41" i="19"/>
  <c r="AJ50" i="1"/>
  <c r="AG11" i="19"/>
  <c r="AM41" i="19"/>
  <c r="AA21" i="19"/>
  <c r="AA51" i="19"/>
  <c r="U51" i="19"/>
  <c r="U31" i="19"/>
  <c r="AA11" i="19"/>
  <c r="AG21" i="19"/>
  <c r="O31" i="19"/>
  <c r="AH66" i="1"/>
  <c r="AH36" i="1"/>
  <c r="AH37" i="1"/>
  <c r="AH38" i="1"/>
  <c r="AH42" i="1"/>
  <c r="AE11" i="19"/>
  <c r="Y41" i="19"/>
  <c r="M41" i="19"/>
  <c r="Y21" i="19"/>
  <c r="AK41" i="19"/>
  <c r="S31" i="19"/>
  <c r="M31" i="19"/>
  <c r="M51" i="19"/>
  <c r="Y51" i="19"/>
  <c r="AK21" i="19"/>
  <c r="AK31" i="19"/>
  <c r="Y11" i="19"/>
  <c r="AE41" i="19"/>
  <c r="AE21" i="19"/>
  <c r="S51" i="19"/>
  <c r="AE51" i="19"/>
  <c r="AK51" i="19"/>
  <c r="M21" i="19"/>
  <c r="AE31" i="19"/>
  <c r="AJ48" i="1"/>
  <c r="S41" i="19"/>
  <c r="AK11" i="19"/>
  <c r="S11" i="19"/>
  <c r="Y31" i="19"/>
  <c r="S21" i="19"/>
  <c r="M11" i="19"/>
  <c r="L54" i="19"/>
  <c r="AJ14" i="19"/>
  <c r="AD44" i="19"/>
  <c r="X54" i="19"/>
  <c r="R14" i="19"/>
  <c r="AD24" i="19"/>
  <c r="AD34" i="19"/>
  <c r="R54" i="19"/>
  <c r="L34" i="19"/>
  <c r="AJ34" i="19"/>
  <c r="X24" i="19"/>
  <c r="AJ24" i="19"/>
  <c r="X44" i="19"/>
  <c r="R24" i="19"/>
  <c r="AJ65" i="1"/>
  <c r="X34" i="19"/>
  <c r="L14" i="19"/>
  <c r="AD14" i="19"/>
  <c r="L44" i="19"/>
  <c r="R44" i="19"/>
  <c r="AD54" i="19"/>
  <c r="X14" i="19"/>
  <c r="AJ44" i="19"/>
  <c r="R34" i="19"/>
  <c r="AJ54" i="19"/>
  <c r="L24" i="19"/>
  <c r="AD29" i="19"/>
  <c r="AD19" i="19"/>
  <c r="R39" i="19"/>
  <c r="R9" i="19"/>
  <c r="X49" i="19"/>
  <c r="X9" i="19"/>
  <c r="AD39" i="19"/>
  <c r="R29" i="19"/>
  <c r="L49" i="19"/>
  <c r="X19" i="19"/>
  <c r="X29" i="19"/>
  <c r="X39" i="19"/>
  <c r="L9" i="19"/>
  <c r="AJ35" i="1"/>
  <c r="AD9" i="19"/>
  <c r="AJ49" i="19"/>
  <c r="L39" i="19"/>
  <c r="R19" i="19"/>
  <c r="AJ39" i="19"/>
  <c r="AJ29" i="19"/>
  <c r="AJ19" i="19"/>
  <c r="AJ9" i="19"/>
  <c r="AD49" i="19"/>
  <c r="L19" i="19"/>
  <c r="L29" i="19"/>
  <c r="R49" i="19"/>
  <c r="R15" i="19" l="1"/>
  <c r="R55" i="19"/>
  <c r="AD25" i="19"/>
  <c r="L55" i="19"/>
  <c r="AJ35" i="19"/>
  <c r="X55" i="19"/>
  <c r="X35" i="19"/>
  <c r="AJ71" i="1"/>
  <c r="AD15" i="19"/>
  <c r="X25" i="19"/>
  <c r="X45" i="19"/>
  <c r="L35" i="19"/>
  <c r="R35" i="19"/>
  <c r="AJ15" i="19"/>
  <c r="L15" i="19"/>
  <c r="AJ25" i="19"/>
  <c r="AJ55" i="19"/>
  <c r="L45" i="19"/>
  <c r="AD35" i="19"/>
  <c r="R25" i="19"/>
  <c r="AD45" i="19"/>
  <c r="R45" i="19"/>
  <c r="AD55" i="19"/>
  <c r="X15" i="19"/>
  <c r="L25" i="19"/>
  <c r="AJ45" i="19"/>
  <c r="AH73" i="1"/>
  <c r="Z35" i="19" s="1"/>
  <c r="AH72" i="1"/>
  <c r="AJ48" i="19"/>
  <c r="L18" i="19"/>
  <c r="AD8" i="19"/>
  <c r="AJ8" i="19"/>
  <c r="AJ28" i="19"/>
  <c r="R48" i="19"/>
  <c r="X48" i="19"/>
  <c r="L8" i="19"/>
  <c r="AD28" i="19"/>
  <c r="X38" i="19"/>
  <c r="AJ29" i="1"/>
  <c r="X8" i="19"/>
  <c r="L48" i="19"/>
  <c r="AD48" i="19"/>
  <c r="AD38" i="19"/>
  <c r="X18" i="19"/>
  <c r="R38" i="19"/>
  <c r="R8" i="19"/>
  <c r="L38" i="19"/>
  <c r="R28" i="19"/>
  <c r="AJ38" i="19"/>
  <c r="AD18" i="19"/>
  <c r="L28" i="19"/>
  <c r="AJ18" i="19"/>
  <c r="X28" i="19"/>
  <c r="AH43" i="1"/>
  <c r="AH44" i="1"/>
  <c r="AG39" i="19"/>
  <c r="AG29" i="19"/>
  <c r="AM19" i="19"/>
  <c r="O39" i="19"/>
  <c r="AJ38"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J66" i="1"/>
  <c r="AE24" i="19"/>
  <c r="S14" i="19"/>
  <c r="M48" i="19"/>
  <c r="S48" i="19"/>
  <c r="AE8" i="19"/>
  <c r="AE38" i="19"/>
  <c r="M38" i="19"/>
  <c r="AE18" i="19"/>
  <c r="AK48" i="19"/>
  <c r="AK18" i="19"/>
  <c r="AK28" i="19"/>
  <c r="S28" i="19"/>
  <c r="Y48" i="19"/>
  <c r="M8" i="19"/>
  <c r="Y8" i="19"/>
  <c r="M28" i="19"/>
  <c r="AK38" i="19"/>
  <c r="M18" i="19"/>
  <c r="Y28" i="19"/>
  <c r="S38" i="19"/>
  <c r="AE48" i="19"/>
  <c r="Y18" i="19"/>
  <c r="AK8" i="19"/>
  <c r="Y38" i="19"/>
  <c r="S8" i="19"/>
  <c r="S18" i="19"/>
  <c r="AJ30" i="1"/>
  <c r="AE28" i="19"/>
  <c r="AA55" i="19"/>
  <c r="O45" i="19"/>
  <c r="AA15" i="19"/>
  <c r="AM55" i="19"/>
  <c r="O55" i="19"/>
  <c r="AG35" i="19"/>
  <c r="AM25" i="19"/>
  <c r="AM35" i="19"/>
  <c r="AA25" i="19"/>
  <c r="AM45" i="19"/>
  <c r="AG25" i="19"/>
  <c r="AA35" i="19"/>
  <c r="O25" i="19"/>
  <c r="U25" i="19"/>
  <c r="AG45" i="19"/>
  <c r="U35" i="19"/>
  <c r="AA45" i="19"/>
  <c r="AM15" i="19"/>
  <c r="U45" i="19"/>
  <c r="O35" i="19"/>
  <c r="O15" i="19"/>
  <c r="AJ74" i="1"/>
  <c r="AG15" i="19"/>
  <c r="U15" i="19"/>
  <c r="AG55" i="19"/>
  <c r="U55" i="19"/>
  <c r="AE40" i="19"/>
  <c r="Y30" i="19"/>
  <c r="M20" i="19"/>
  <c r="AJ42"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J37" i="1"/>
  <c r="T19" i="19"/>
  <c r="AL49" i="19"/>
  <c r="T29" i="19"/>
  <c r="AF29" i="19"/>
  <c r="T18" i="19"/>
  <c r="N48" i="19"/>
  <c r="N8" i="19"/>
  <c r="T28" i="19"/>
  <c r="AF38" i="19"/>
  <c r="Z28" i="19"/>
  <c r="Z18" i="19"/>
  <c r="AF8" i="19"/>
  <c r="AJ31"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J36" i="1"/>
  <c r="M9" i="19"/>
  <c r="Y29" i="19"/>
  <c r="AH61" i="1"/>
  <c r="AH62" i="1"/>
  <c r="AH67" i="1"/>
  <c r="AH68" i="1"/>
  <c r="AH26" i="1"/>
  <c r="AH25" i="1"/>
  <c r="O8" i="19"/>
  <c r="AA48" i="19"/>
  <c r="AM38" i="19"/>
  <c r="U48" i="19"/>
  <c r="AA18" i="19"/>
  <c r="AG18" i="19"/>
  <c r="AG48" i="19"/>
  <c r="AM18" i="19"/>
  <c r="AA28" i="19"/>
  <c r="AG28" i="19"/>
  <c r="AA8" i="19"/>
  <c r="U18" i="19"/>
  <c r="AG38" i="19"/>
  <c r="U38" i="19"/>
  <c r="AM8" i="19"/>
  <c r="AA38" i="19"/>
  <c r="AM48" i="19"/>
  <c r="U28" i="19"/>
  <c r="O38" i="19"/>
  <c r="U8" i="19"/>
  <c r="AG8" i="19"/>
  <c r="AJ32"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J60" i="1"/>
  <c r="M33" i="19"/>
  <c r="AL35" i="19" l="1"/>
  <c r="AJ73"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J72"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J68" i="1"/>
  <c r="AA14" i="19"/>
  <c r="O54" i="19"/>
  <c r="U44" i="19"/>
  <c r="U43" i="19"/>
  <c r="U13" i="19"/>
  <c r="AM53" i="19"/>
  <c r="AA53" i="19"/>
  <c r="AA43" i="19"/>
  <c r="O53" i="19"/>
  <c r="O23" i="19"/>
  <c r="O13" i="19"/>
  <c r="AG43" i="19"/>
  <c r="U33" i="19"/>
  <c r="U23" i="19"/>
  <c r="AM13" i="19"/>
  <c r="AM23" i="19"/>
  <c r="AG13" i="19"/>
  <c r="AA23" i="19"/>
  <c r="AG33" i="19"/>
  <c r="AA33" i="19"/>
  <c r="AM33" i="19"/>
  <c r="AA13" i="19"/>
  <c r="AJ62"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J67" i="1"/>
  <c r="AF53" i="19"/>
  <c r="T43" i="19"/>
  <c r="Z53" i="19"/>
  <c r="N43" i="19"/>
  <c r="T23" i="19"/>
  <c r="AF43" i="19"/>
  <c r="Z13" i="19"/>
  <c r="Z43" i="19"/>
  <c r="AF23" i="19"/>
  <c r="AL13" i="19"/>
  <c r="Z23" i="19"/>
  <c r="AL43" i="19"/>
  <c r="AF13" i="19"/>
  <c r="AL23" i="19"/>
  <c r="N13" i="19"/>
  <c r="T33" i="19"/>
  <c r="AL53" i="19"/>
  <c r="N23" i="19"/>
  <c r="N53" i="19"/>
  <c r="AF33" i="19"/>
  <c r="N33" i="19"/>
  <c r="AJ61" i="1"/>
  <c r="T53" i="19"/>
  <c r="AL33" i="19"/>
  <c r="T13" i="19"/>
  <c r="Z33" i="19"/>
  <c r="Z47" i="19"/>
  <c r="T7" i="19"/>
  <c r="AL37" i="19"/>
  <c r="T17" i="19"/>
  <c r="Z17" i="19"/>
  <c r="AF7" i="19"/>
  <c r="AF37" i="19"/>
  <c r="N17" i="19"/>
  <c r="AF27" i="19"/>
  <c r="AJ25"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J44"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J26" i="1"/>
  <c r="AA17" i="19"/>
  <c r="O7" i="19"/>
  <c r="AA37" i="19"/>
  <c r="AA27" i="19"/>
  <c r="AM27" i="19"/>
  <c r="U17" i="19"/>
  <c r="U47" i="19"/>
  <c r="AG17" i="19"/>
  <c r="O47" i="19"/>
  <c r="Z40" i="19"/>
  <c r="AJ43"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R13" i="1" l="1"/>
  <c r="S13" i="1" s="1"/>
  <c r="V49" i="32"/>
  <c r="W49" i="32" s="1"/>
  <c r="R61" i="31"/>
  <c r="S61" i="31" s="1"/>
  <c r="R13" i="31"/>
  <c r="S13" i="31" s="1"/>
  <c r="R19" i="31"/>
  <c r="S19" i="31" s="1"/>
  <c r="R31" i="31"/>
  <c r="S31" i="31" s="1"/>
  <c r="V13" i="32"/>
  <c r="W13" i="32" s="1"/>
  <c r="V37" i="32"/>
  <c r="W37" i="32" s="1"/>
  <c r="V55" i="32"/>
  <c r="W55" i="32" s="1"/>
  <c r="V31" i="32"/>
  <c r="W31" i="32" s="1"/>
  <c r="R49" i="31"/>
  <c r="S49" i="31" s="1"/>
  <c r="V61" i="32"/>
  <c r="W61" i="32" s="1"/>
  <c r="V67" i="32"/>
  <c r="W67" i="32" s="1"/>
  <c r="R55" i="31"/>
  <c r="S55" i="31" s="1"/>
  <c r="V19" i="32"/>
  <c r="W19" i="32" s="1"/>
  <c r="V25" i="32"/>
  <c r="W25" i="32" s="1"/>
  <c r="R37" i="31"/>
  <c r="S37" i="31" s="1"/>
  <c r="R67" i="31"/>
  <c r="S67" i="31" s="1"/>
  <c r="V43" i="32"/>
  <c r="W43" i="32" s="1"/>
  <c r="R25" i="31"/>
  <c r="S25" i="31" s="1"/>
  <c r="R43" i="31"/>
  <c r="S43" i="31" s="1"/>
  <c r="R45" i="1"/>
  <c r="S45" i="1" s="1"/>
  <c r="R51" i="1"/>
  <c r="S51" i="1" s="1"/>
  <c r="R21" i="1"/>
  <c r="S21" i="1" s="1"/>
  <c r="R39" i="1"/>
  <c r="S39" i="1" s="1"/>
  <c r="R57" i="1"/>
  <c r="S57" i="1" s="1"/>
  <c r="R33" i="1"/>
  <c r="S33" i="1" s="1"/>
  <c r="R69" i="1"/>
  <c r="S69" i="1" s="1"/>
  <c r="R63" i="1"/>
  <c r="S63" i="1" s="1"/>
  <c r="R27" i="1"/>
  <c r="S27" i="1" s="1"/>
  <c r="T13" i="31" l="1"/>
  <c r="AI13" i="31" s="1"/>
  <c r="U13" i="31"/>
  <c r="AJ6" i="18"/>
  <c r="L6" i="18"/>
  <c r="L38" i="18"/>
  <c r="R30" i="18"/>
  <c r="AD14" i="18"/>
  <c r="X22" i="18"/>
  <c r="AD38" i="18"/>
  <c r="L14" i="18"/>
  <c r="U21" i="1"/>
  <c r="AD6" i="18"/>
  <c r="AD22" i="18"/>
  <c r="X38" i="18"/>
  <c r="T21" i="1"/>
  <c r="AI21" i="1" s="1"/>
  <c r="L30" i="18"/>
  <c r="L22" i="18"/>
  <c r="R38" i="18"/>
  <c r="R6" i="18"/>
  <c r="AJ14" i="18"/>
  <c r="X14" i="18"/>
  <c r="R14" i="18"/>
  <c r="AD30" i="18"/>
  <c r="X6" i="18"/>
  <c r="AJ38" i="18"/>
  <c r="AJ30" i="18"/>
  <c r="AJ22" i="18"/>
  <c r="R22" i="18"/>
  <c r="X30" i="18"/>
  <c r="X25" i="32"/>
  <c r="Y25" i="32"/>
  <c r="X37" i="32"/>
  <c r="Y37" i="32"/>
  <c r="AH18" i="18"/>
  <c r="V42" i="18"/>
  <c r="J34" i="18"/>
  <c r="P26" i="18"/>
  <c r="J10" i="18"/>
  <c r="V10" i="18"/>
  <c r="T51" i="1"/>
  <c r="AB10" i="18"/>
  <c r="J42" i="18"/>
  <c r="J18" i="18"/>
  <c r="P34" i="18"/>
  <c r="U51" i="1"/>
  <c r="AB18" i="18"/>
  <c r="P42" i="18"/>
  <c r="AH34" i="18"/>
  <c r="J26" i="18"/>
  <c r="P10" i="18"/>
  <c r="AH10" i="18"/>
  <c r="V34" i="18"/>
  <c r="P18" i="18"/>
  <c r="AH42" i="18"/>
  <c r="V18" i="18"/>
  <c r="AB26" i="18"/>
  <c r="AB34" i="18"/>
  <c r="AH26" i="18"/>
  <c r="AB42" i="18"/>
  <c r="V26" i="18"/>
  <c r="Y19" i="32"/>
  <c r="X19" i="32"/>
  <c r="X13" i="32"/>
  <c r="AM13" i="32" s="1"/>
  <c r="Y13" i="32"/>
  <c r="U61" i="31"/>
  <c r="T61" i="31"/>
  <c r="R34" i="18"/>
  <c r="X42" i="18"/>
  <c r="L34" i="18"/>
  <c r="AD34" i="18"/>
  <c r="AJ42" i="18"/>
  <c r="AD10" i="18"/>
  <c r="R10" i="18"/>
  <c r="R42" i="18"/>
  <c r="L42" i="18"/>
  <c r="X26" i="18"/>
  <c r="L26" i="18"/>
  <c r="AJ18" i="18"/>
  <c r="X18" i="18"/>
  <c r="U57" i="1"/>
  <c r="AJ26" i="18"/>
  <c r="R18" i="18"/>
  <c r="X34" i="18"/>
  <c r="AJ10" i="18"/>
  <c r="AD26" i="18"/>
  <c r="AD42" i="18"/>
  <c r="AJ34" i="18"/>
  <c r="X10" i="18"/>
  <c r="R26" i="18"/>
  <c r="AD18" i="18"/>
  <c r="T57" i="1"/>
  <c r="L10" i="18"/>
  <c r="L18" i="18"/>
  <c r="Z32" i="18"/>
  <c r="N8" i="18"/>
  <c r="N32" i="18"/>
  <c r="T45" i="1"/>
  <c r="N16" i="18"/>
  <c r="U45" i="1"/>
  <c r="Z8" i="18"/>
  <c r="N40" i="18"/>
  <c r="AF8" i="18"/>
  <c r="T8" i="18"/>
  <c r="N24" i="18"/>
  <c r="AF24" i="18"/>
  <c r="T32" i="18"/>
  <c r="AF32" i="18"/>
  <c r="T16" i="18"/>
  <c r="T40" i="18"/>
  <c r="AF40" i="18"/>
  <c r="Z40" i="18"/>
  <c r="Z24" i="18"/>
  <c r="AL16" i="18"/>
  <c r="AL24" i="18"/>
  <c r="AL32" i="18"/>
  <c r="AL8" i="18"/>
  <c r="T24" i="18"/>
  <c r="AL40" i="18"/>
  <c r="Z16" i="18"/>
  <c r="AF16" i="18"/>
  <c r="T67" i="31"/>
  <c r="U67" i="31"/>
  <c r="T55" i="31"/>
  <c r="U55" i="31"/>
  <c r="X31" i="32"/>
  <c r="Y31" i="32"/>
  <c r="T31" i="31"/>
  <c r="U31" i="31"/>
  <c r="Y49" i="32"/>
  <c r="X49" i="32"/>
  <c r="AH12" i="18"/>
  <c r="V12" i="18"/>
  <c r="J20" i="18"/>
  <c r="V28" i="18"/>
  <c r="J44" i="18"/>
  <c r="AH44" i="18"/>
  <c r="AB28" i="18"/>
  <c r="P28" i="18"/>
  <c r="AH28" i="18"/>
  <c r="U69" i="1"/>
  <c r="V36" i="18"/>
  <c r="P12" i="18"/>
  <c r="V20" i="18"/>
  <c r="T69" i="1"/>
  <c r="AH20" i="18"/>
  <c r="AB20" i="18"/>
  <c r="P44" i="18"/>
  <c r="J28" i="18"/>
  <c r="AB12" i="18"/>
  <c r="P20" i="18"/>
  <c r="AB36" i="18"/>
  <c r="P36" i="18"/>
  <c r="J12" i="18"/>
  <c r="AB44" i="18"/>
  <c r="AH36" i="18"/>
  <c r="V44" i="18"/>
  <c r="J36" i="18"/>
  <c r="U25" i="31"/>
  <c r="T25" i="31"/>
  <c r="X61" i="32"/>
  <c r="Y61" i="32"/>
  <c r="J16" i="18"/>
  <c r="J24" i="18"/>
  <c r="P32" i="18"/>
  <c r="J32" i="18"/>
  <c r="V24" i="18"/>
  <c r="P8" i="18"/>
  <c r="P24" i="18"/>
  <c r="P16" i="18"/>
  <c r="AH16" i="18"/>
  <c r="P40" i="18"/>
  <c r="V16" i="18"/>
  <c r="V32" i="18"/>
  <c r="U33" i="1"/>
  <c r="T33" i="1"/>
  <c r="V8" i="18"/>
  <c r="AB16" i="18"/>
  <c r="AH24" i="18"/>
  <c r="V40" i="18"/>
  <c r="AH8" i="18"/>
  <c r="AH40" i="18"/>
  <c r="J40" i="18"/>
  <c r="J8" i="18"/>
  <c r="AB40" i="18"/>
  <c r="AB32" i="18"/>
  <c r="AH32" i="18"/>
  <c r="AB8" i="18"/>
  <c r="AB24" i="18"/>
  <c r="X43" i="32"/>
  <c r="Y43" i="32"/>
  <c r="T49" i="31"/>
  <c r="U49" i="31"/>
  <c r="AF30" i="18"/>
  <c r="T14" i="18"/>
  <c r="Z22" i="18"/>
  <c r="AL38" i="18"/>
  <c r="T30" i="18"/>
  <c r="N14" i="18"/>
  <c r="T38" i="18"/>
  <c r="AL6" i="18"/>
  <c r="T22" i="18"/>
  <c r="Z14" i="18"/>
  <c r="AL14" i="18"/>
  <c r="Z38" i="18"/>
  <c r="N22" i="18"/>
  <c r="AF22" i="18"/>
  <c r="Z6" i="18"/>
  <c r="N6" i="18"/>
  <c r="T27" i="1"/>
  <c r="AF6" i="18"/>
  <c r="AF14" i="18"/>
  <c r="AF38" i="18"/>
  <c r="N38" i="18"/>
  <c r="U27" i="1"/>
  <c r="AL30" i="18"/>
  <c r="Z30" i="18"/>
  <c r="AL22" i="18"/>
  <c r="N30" i="18"/>
  <c r="T6" i="18"/>
  <c r="Z42" i="18"/>
  <c r="AF18" i="18"/>
  <c r="T18" i="18"/>
  <c r="Z26" i="18"/>
  <c r="AF34" i="18"/>
  <c r="AL34" i="18"/>
  <c r="AF42" i="18"/>
  <c r="N42" i="18"/>
  <c r="T10" i="18"/>
  <c r="Z18" i="18"/>
  <c r="U63" i="1"/>
  <c r="AL10" i="18"/>
  <c r="AL42" i="18"/>
  <c r="AL26" i="18"/>
  <c r="AF26" i="18"/>
  <c r="N34" i="18"/>
  <c r="Z10" i="18"/>
  <c r="T63" i="1"/>
  <c r="N18" i="18"/>
  <c r="AF10" i="18"/>
  <c r="T26" i="18"/>
  <c r="N26" i="18"/>
  <c r="T34" i="18"/>
  <c r="AL18" i="18"/>
  <c r="T42" i="18"/>
  <c r="N10" i="18"/>
  <c r="Z34" i="18"/>
  <c r="AD40" i="18"/>
  <c r="T39" i="1"/>
  <c r="L16" i="18"/>
  <c r="R40" i="18"/>
  <c r="R24" i="18"/>
  <c r="L40" i="18"/>
  <c r="L8" i="18"/>
  <c r="X16" i="18"/>
  <c r="X32" i="18"/>
  <c r="R32" i="18"/>
  <c r="AJ40" i="18"/>
  <c r="AJ16" i="18"/>
  <c r="R16" i="18"/>
  <c r="R8" i="18"/>
  <c r="X24" i="18"/>
  <c r="AD32" i="18"/>
  <c r="AJ32" i="18"/>
  <c r="AD24" i="18"/>
  <c r="AD8" i="18"/>
  <c r="L24" i="18"/>
  <c r="X40" i="18"/>
  <c r="AJ8" i="18"/>
  <c r="U39" i="1"/>
  <c r="AJ24" i="18"/>
  <c r="L32" i="18"/>
  <c r="AD16" i="18"/>
  <c r="X8" i="18"/>
  <c r="U43" i="31"/>
  <c r="T43" i="31"/>
  <c r="T37" i="31"/>
  <c r="U37" i="31"/>
  <c r="Y67" i="32"/>
  <c r="X67" i="32"/>
  <c r="X55" i="32"/>
  <c r="Y55" i="32"/>
  <c r="T19" i="31"/>
  <c r="U19" i="31"/>
  <c r="U13" i="1"/>
  <c r="T13" i="1"/>
  <c r="AI13" i="1" s="1"/>
  <c r="J6" i="18"/>
  <c r="AH14" i="18"/>
  <c r="P30" i="18"/>
  <c r="AH38" i="18"/>
  <c r="AH22" i="18"/>
  <c r="J14" i="18"/>
  <c r="P6" i="18"/>
  <c r="AB38" i="18"/>
  <c r="AB22" i="18"/>
  <c r="P22" i="18"/>
  <c r="V30" i="18"/>
  <c r="AB30" i="18"/>
  <c r="AB14" i="18"/>
  <c r="AH30" i="18"/>
  <c r="J30" i="18"/>
  <c r="J22" i="18"/>
  <c r="P38" i="18"/>
  <c r="V38" i="18"/>
  <c r="AB6" i="18"/>
  <c r="P14" i="18"/>
  <c r="J38" i="18"/>
  <c r="V22" i="18"/>
  <c r="AH6" i="18"/>
  <c r="V14" i="18"/>
  <c r="V6" i="18"/>
  <c r="AL13" i="32" l="1"/>
  <c r="AN13" i="32" s="1"/>
  <c r="AM14" i="32"/>
  <c r="AL14" i="32" s="1"/>
  <c r="AN14" i="32" s="1"/>
  <c r="AM15" i="32"/>
  <c r="AI22" i="1"/>
  <c r="AH21" i="1"/>
  <c r="AH13" i="1"/>
  <c r="AI14" i="1"/>
  <c r="AH13" i="31"/>
  <c r="AJ13" i="31" s="1"/>
  <c r="AI14" i="31"/>
  <c r="AI23" i="1" l="1"/>
  <c r="AH23" i="1" s="1"/>
  <c r="AH22" i="1"/>
  <c r="AH14" i="1"/>
  <c r="AI15" i="1"/>
  <c r="AL15" i="32"/>
  <c r="AN15" i="32" s="1"/>
  <c r="AM16" i="32"/>
  <c r="AL16" i="32" s="1"/>
  <c r="AN16" i="32" s="1"/>
  <c r="AJ13" i="1"/>
  <c r="AH16" i="19"/>
  <c r="AB16" i="19"/>
  <c r="J26" i="19"/>
  <c r="AH26" i="19"/>
  <c r="V6" i="19"/>
  <c r="J16" i="19"/>
  <c r="P16" i="19"/>
  <c r="V26" i="19"/>
  <c r="P6" i="19"/>
  <c r="AH36" i="19"/>
  <c r="AH6" i="19"/>
  <c r="P26" i="19"/>
  <c r="V46" i="19"/>
  <c r="V16" i="19"/>
  <c r="AH46" i="19"/>
  <c r="V36" i="19"/>
  <c r="AB46" i="19"/>
  <c r="J36" i="19"/>
  <c r="AB36" i="19"/>
  <c r="J6" i="19"/>
  <c r="AB6" i="19"/>
  <c r="P46" i="19"/>
  <c r="P36" i="19"/>
  <c r="AB26" i="19"/>
  <c r="J46" i="19"/>
  <c r="AH14" i="31"/>
  <c r="AJ14" i="31" s="1"/>
  <c r="AI15" i="31"/>
  <c r="AH15" i="31" s="1"/>
  <c r="AJ15" i="31" s="1"/>
  <c r="AH7" i="19"/>
  <c r="V47" i="19"/>
  <c r="J27" i="19"/>
  <c r="AB7" i="19"/>
  <c r="P37" i="19"/>
  <c r="AH17" i="19"/>
  <c r="P47" i="19"/>
  <c r="J37" i="19"/>
  <c r="V7" i="19"/>
  <c r="P17" i="19"/>
  <c r="AB17" i="19"/>
  <c r="P7" i="19"/>
  <c r="J47" i="19"/>
  <c r="AB27" i="19"/>
  <c r="AJ21" i="1"/>
  <c r="AH37" i="19"/>
  <c r="V17" i="19"/>
  <c r="J7" i="19"/>
  <c r="AH27" i="19"/>
  <c r="V27" i="19"/>
  <c r="J17" i="19"/>
  <c r="AB37" i="19"/>
  <c r="P27" i="19"/>
  <c r="AH47" i="19"/>
  <c r="V37" i="19"/>
  <c r="AB47" i="19"/>
  <c r="AI24" i="1" l="1"/>
  <c r="AH24" i="1" s="1"/>
  <c r="AH15" i="1"/>
  <c r="AI16" i="1"/>
  <c r="AJ14" i="1"/>
  <c r="W36" i="19"/>
  <c r="Q6" i="19"/>
  <c r="AC36" i="19"/>
  <c r="K6" i="19"/>
  <c r="K16" i="19"/>
  <c r="Q16" i="19"/>
  <c r="W46" i="19"/>
  <c r="K36" i="19"/>
  <c r="AI6" i="19"/>
  <c r="K46" i="19"/>
  <c r="AI16" i="19"/>
  <c r="AI46" i="19"/>
  <c r="Q36" i="19"/>
  <c r="AC46" i="19"/>
  <c r="W6" i="19"/>
  <c r="Q46" i="19"/>
  <c r="AC26" i="19"/>
  <c r="AI26" i="19"/>
  <c r="Q26" i="19"/>
  <c r="W26" i="19"/>
  <c r="K26" i="19"/>
  <c r="AC16" i="19"/>
  <c r="AI36" i="19"/>
  <c r="W16" i="19"/>
  <c r="AC6" i="19"/>
  <c r="W17" i="19"/>
  <c r="AI17" i="19"/>
  <c r="AC27" i="19"/>
  <c r="AJ22" i="1"/>
  <c r="W47" i="19"/>
  <c r="K27" i="19"/>
  <c r="W7" i="19"/>
  <c r="W27" i="19"/>
  <c r="K47" i="19"/>
  <c r="AC47" i="19"/>
  <c r="AC17" i="19"/>
  <c r="Q37" i="19"/>
  <c r="K17" i="19"/>
  <c r="AI7" i="19"/>
  <c r="AC7" i="19"/>
  <c r="Q7" i="19"/>
  <c r="W37" i="19"/>
  <c r="Q47" i="19"/>
  <c r="AI47" i="19"/>
  <c r="AC37" i="19"/>
  <c r="K37" i="19"/>
  <c r="AI27" i="19"/>
  <c r="K7" i="19"/>
  <c r="Q27" i="19"/>
  <c r="AI37" i="19"/>
  <c r="Q17" i="19"/>
  <c r="AJ7" i="19"/>
  <c r="L37" i="19"/>
  <c r="X47" i="19"/>
  <c r="X27" i="19"/>
  <c r="L47" i="19"/>
  <c r="AJ23" i="1"/>
  <c r="AD47" i="19"/>
  <c r="AJ37" i="19"/>
  <c r="R17" i="19"/>
  <c r="L7" i="19"/>
  <c r="R7" i="19"/>
  <c r="R37" i="19"/>
  <c r="R47" i="19"/>
  <c r="AJ27" i="19"/>
  <c r="L27" i="19"/>
  <c r="AJ17" i="19"/>
  <c r="L17" i="19"/>
  <c r="X17" i="19"/>
  <c r="AD7" i="19"/>
  <c r="AD37" i="19"/>
  <c r="AD17" i="19"/>
  <c r="R27" i="19"/>
  <c r="X37" i="19"/>
  <c r="AD27" i="19"/>
  <c r="X7" i="19"/>
  <c r="AJ47" i="19"/>
  <c r="M47" i="19" l="1"/>
  <c r="AK17" i="19"/>
  <c r="M17" i="19"/>
  <c r="S17" i="19"/>
  <c r="AE37" i="19"/>
  <c r="AK27" i="19"/>
  <c r="S27" i="19"/>
  <c r="AE7" i="19"/>
  <c r="Y27" i="19"/>
  <c r="Y37" i="19"/>
  <c r="Y47" i="19"/>
  <c r="AE47" i="19"/>
  <c r="Y17" i="19"/>
  <c r="M27" i="19"/>
  <c r="AK7" i="19"/>
  <c r="S7" i="19"/>
  <c r="M37" i="19"/>
  <c r="M7" i="19"/>
  <c r="AJ24" i="1"/>
  <c r="AE27" i="19"/>
  <c r="S47" i="19"/>
  <c r="AK47" i="19"/>
  <c r="AE17" i="19"/>
  <c r="Y7" i="19"/>
  <c r="AK37" i="19"/>
  <c r="S37" i="19"/>
  <c r="AH16" i="1"/>
  <c r="AI17" i="1"/>
  <c r="AJ15" i="1"/>
  <c r="L36" i="19"/>
  <c r="X6" i="19"/>
  <c r="AJ6" i="19"/>
  <c r="L16" i="19"/>
  <c r="AJ36" i="19"/>
  <c r="L26" i="19"/>
  <c r="R36" i="19"/>
  <c r="AD16" i="19"/>
  <c r="R16" i="19"/>
  <c r="R6" i="19"/>
  <c r="L6" i="19"/>
  <c r="X16" i="19"/>
  <c r="AD36" i="19"/>
  <c r="R26" i="19"/>
  <c r="AJ46" i="19"/>
  <c r="AJ26" i="19"/>
  <c r="X36" i="19"/>
  <c r="R46" i="19"/>
  <c r="X46" i="19"/>
  <c r="AD6" i="19"/>
  <c r="AJ16" i="19"/>
  <c r="AD46" i="19"/>
  <c r="L46" i="19"/>
  <c r="X26" i="19"/>
  <c r="AD26" i="19"/>
  <c r="AH17" i="1" l="1"/>
  <c r="AI18" i="1"/>
  <c r="AJ16" i="1"/>
  <c r="M36" i="19"/>
  <c r="AE16" i="19"/>
  <c r="S46" i="19"/>
  <c r="AK26" i="19"/>
  <c r="S26" i="19"/>
  <c r="AK6" i="19"/>
  <c r="AE6" i="19"/>
  <c r="Y16" i="19"/>
  <c r="M6" i="19"/>
  <c r="AE26" i="19"/>
  <c r="S16" i="19"/>
  <c r="Y36" i="19"/>
  <c r="AK46" i="19"/>
  <c r="AK16" i="19"/>
  <c r="M16" i="19"/>
  <c r="Y6" i="19"/>
  <c r="M46" i="19"/>
  <c r="S6" i="19"/>
  <c r="AE46" i="19"/>
  <c r="S36" i="19"/>
  <c r="M26" i="19"/>
  <c r="Y46" i="19"/>
  <c r="AK36" i="19"/>
  <c r="Y26" i="19"/>
  <c r="AE36" i="19"/>
  <c r="AH18" i="1" l="1"/>
  <c r="AJ18" i="1" s="1"/>
  <c r="AI19" i="1"/>
  <c r="AJ17" i="1"/>
  <c r="AF6" i="19"/>
  <c r="AL36" i="19"/>
  <c r="Z46" i="19"/>
  <c r="AF36" i="19"/>
  <c r="Z36" i="19"/>
  <c r="AF16" i="19"/>
  <c r="T16" i="19"/>
  <c r="N6" i="19"/>
  <c r="Z6" i="19"/>
  <c r="Z16" i="19"/>
  <c r="N16" i="19"/>
  <c r="AL6" i="19"/>
  <c r="AL26" i="19"/>
  <c r="AL16" i="19"/>
  <c r="N46" i="19"/>
  <c r="AF26" i="19"/>
  <c r="AF46" i="19"/>
  <c r="N26" i="19"/>
  <c r="N36" i="19"/>
  <c r="Z26" i="19"/>
  <c r="T46" i="19"/>
  <c r="AL46" i="19"/>
  <c r="T6" i="19"/>
  <c r="T36" i="19"/>
  <c r="T26" i="19"/>
  <c r="AH19" i="1" l="1"/>
  <c r="AJ19" i="1" s="1"/>
  <c r="AI20" i="1"/>
  <c r="AH20" i="1" s="1"/>
  <c r="AJ20" i="1" l="1"/>
  <c r="U36" i="19"/>
  <c r="AM16" i="19"/>
  <c r="AA6" i="19"/>
  <c r="U16" i="19"/>
  <c r="AA26" i="19"/>
  <c r="O16" i="19"/>
  <c r="AA36" i="19"/>
  <c r="O46" i="19"/>
  <c r="AM36" i="19"/>
  <c r="AG16" i="19"/>
  <c r="U6" i="19"/>
  <c r="AG6" i="19"/>
  <c r="O36" i="19"/>
  <c r="AM6" i="19"/>
  <c r="AG36" i="19"/>
  <c r="AM46" i="19"/>
  <c r="AM26" i="19"/>
  <c r="AG26" i="19"/>
  <c r="O6" i="19"/>
  <c r="AG46" i="19"/>
  <c r="AA46" i="19"/>
  <c r="U26" i="19"/>
  <c r="U46" i="19"/>
  <c r="O26" i="19"/>
  <c r="AA1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<sst xmlns="http://schemas.openxmlformats.org/spreadsheetml/2006/main" count="924" uniqueCount="492">
  <si>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</si>
  <si>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</si>
  <si>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</si>
  <si>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</si>
  <si>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</si>
  <si>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</si>
  <si>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</si>
  <si>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</si>
  <si>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</si>
  <si>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</si>
  <si>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</si>
  <si>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</si>
  <si>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</si>
  <si>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</si>
  <si>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</si>
  <si>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</si>
  <si>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</si>
  <si>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</si>
  <si>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</si>
  <si>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</si>
  <si>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</si>
  <si>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</si>
  <si>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</si>
  <si>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</si>
  <si>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</si>
  <si>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</si>
  <si>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</si>
  <si>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</si>
  <si>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</si>
  <si>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</si>
  <si>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</si>
  <si>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</si>
  <si>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</si>
  <si>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</si>
  <si>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</si>
  <si>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</si>
  <si>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</si>
  <si>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</si>
  <si>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</si>
  <si>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</si>
  <si>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</si>
  <si>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</si>
  <si>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</si>
  <si>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</si>
  <si>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</si>
  <si>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</si>
  <si>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</si>
  <si>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</si>
  <si>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</si>
  <si>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</si>
  <si>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</si>
  <si>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</si>
  <si>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</si>
  <si>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</si>
  <si>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</si>
  <si>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</si>
  <si>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</si>
  <si>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</si>
  <si>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</si>
  <si>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</si>
  <si>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 xml:space="preserve">Control de cambios </t>
  </si>
  <si>
    <t>el registra la actualización de los riesgos a partir de 2023</t>
  </si>
  <si>
    <t>Versión inicial</t>
  </si>
  <si>
    <t>tipo de riesgos</t>
  </si>
  <si>
    <t>Fecha de cambio</t>
  </si>
  <si>
    <t>Aspecto(s) que cambiaron</t>
  </si>
  <si>
    <t>Descripción de los cambios efectuados</t>
  </si>
  <si>
    <t>2023 -v1</t>
  </si>
  <si>
    <t>na</t>
  </si>
  <si>
    <t>2023 -v2</t>
  </si>
  <si>
    <t>gestión</t>
  </si>
  <si>
    <t>interno</t>
  </si>
  <si>
    <t>se incorporo una nueva por el covid 2+</t>
  </si>
  <si>
    <t>1. Direccionamiento estratégico e innovación</t>
  </si>
  <si>
    <t>2. Atención a partes interesadas y comunicaciones</t>
  </si>
  <si>
    <t>3. Estrategia y gobierno de TI</t>
  </si>
  <si>
    <t>4. Planificación de la intervención vial</t>
  </si>
  <si>
    <t>5. Producción de mezcla y provisión de maquinaria y equipos</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</si>
  <si>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</si>
  <si>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</si>
  <si>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</si>
  <si>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</si>
  <si>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</si>
  <si>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</si>
  <si>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</si>
  <si>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</si>
  <si>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</si>
  <si>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</si>
  <si>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</si>
  <si>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</si>
  <si>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CONTEXTO  DE PROCESO</t>
  </si>
  <si>
    <t>Riesgo asociado</t>
  </si>
  <si>
    <t>FACTORES INTERNOS</t>
  </si>
  <si>
    <t>ORIGEN</t>
  </si>
  <si>
    <t>FORTALEZAS Y/O OPORTUNIDADES</t>
  </si>
  <si>
    <t>DEBILIDADES Y/O AMENAZAS</t>
  </si>
  <si>
    <t>DISEÑO DEL PROCESO:</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</si>
  <si>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</si>
  <si>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</si>
  <si>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</si>
  <si>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t>INTERACCIONES CON OTROS PROCESOS:</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</si>
  <si>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</si>
  <si>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</si>
  <si>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</si>
  <si>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TRANSVERSALIDAD</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</si>
  <si>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</si>
  <si>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</si>
  <si>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PROCEDIMIENTOS ASOCIADOS:</t>
  </si>
  <si>
    <t xml:space="preserve">RESPONSABLES DEL PROCESO: </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</si>
  <si>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</si>
  <si>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</si>
  <si>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COMUNICACIÓN ENTRE LOS PROCESOS:</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</si>
  <si>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</si>
  <si>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</si>
  <si>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ACTIVOS DE SEGURIDAD DIGITAL DEL PROCESO:</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</si>
  <si>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</si>
  <si>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</si>
  <si>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Aceptar</t>
  </si>
  <si>
    <t>Económico</t>
  </si>
  <si>
    <t>Evitar</t>
  </si>
  <si>
    <t>Reputacional</t>
  </si>
  <si>
    <t>Reducir (compartir)</t>
  </si>
  <si>
    <t>Económico y Reputacional</t>
  </si>
  <si>
    <t>Reducir (mitigar)</t>
  </si>
  <si>
    <t xml:space="preserve">Riesgo estrategico </t>
  </si>
  <si>
    <t>Objetivo Intitucional asociado</t>
  </si>
  <si>
    <t>Plan de accion (solo para la opción reducir)</t>
  </si>
  <si>
    <t>Si</t>
  </si>
  <si>
    <t>1. Lograr mecanismos de financiación que permitan incrementar los recursos propios de la entidad.</t>
  </si>
  <si>
    <t>Finalizado</t>
  </si>
  <si>
    <t>No</t>
  </si>
  <si>
    <t>2. Diseñar e implementar una estrategia de innovación que permita hacer más eficiente la gestión de la Unidad.</t>
  </si>
  <si>
    <t>En curso</t>
  </si>
  <si>
    <t xml:space="preserve">3.Mejorar el estado de la malla vial local, intermedia, rural, y de la ciclo-infraestructura de Bogotá D.C., </t>
  </si>
  <si>
    <t>4.Mejorar las condiciones de Infraestructura que permitan el uso y disfrute del espacio público en Bogotá D.C.</t>
  </si>
  <si>
    <t xml:space="preserve">Gestión </t>
  </si>
  <si>
    <t>Relaciones Laborales</t>
  </si>
  <si>
    <t>NA</t>
  </si>
  <si>
    <t>Daños Activos Fisicos</t>
  </si>
  <si>
    <t>Proyecto de inversión</t>
  </si>
  <si>
    <t>Ejecucion y Administracion de procesos</t>
  </si>
  <si>
    <t>7858 Conservación de la Malla Vial Distrital y Cicloinfraestructura de Bogotá</t>
  </si>
  <si>
    <t>Fallas Tecnologicas</t>
  </si>
  <si>
    <t xml:space="preserve">7859 Fortalecimiento Institucional </t>
  </si>
  <si>
    <t>Usuarios, productos y practicas , organizacionales</t>
  </si>
  <si>
    <t>7860 Fortalecimiento de los componentes de TI para la transformación digital</t>
  </si>
  <si>
    <t>Corrupción</t>
  </si>
  <si>
    <t>Fraude Externo</t>
  </si>
  <si>
    <t>7903 Apoyo a la adecuación y conservación del espacio público de Bogotá</t>
  </si>
  <si>
    <t>Fraude Interno</t>
  </si>
  <si>
    <t>Soborno</t>
  </si>
  <si>
    <t>seguridad</t>
  </si>
  <si>
    <t xml:space="preserve">Pérdida de la integridad </t>
  </si>
  <si>
    <t xml:space="preserve">Pérdida de la confidencialidad </t>
  </si>
  <si>
    <t xml:space="preserve">Pérdida de la disponibilidad </t>
  </si>
  <si>
    <t>Acciones no autorizadas </t>
  </si>
  <si>
    <t>Compromiso de la información </t>
  </si>
  <si>
    <t>Compromiso de las funciones </t>
  </si>
  <si>
    <t>Daño físico </t>
  </si>
  <si>
    <t>TIPO</t>
  </si>
  <si>
    <t>AMENAZA</t>
  </si>
  <si>
    <t>Fallas técnicas </t>
  </si>
  <si>
    <t>Fuego</t>
  </si>
  <si>
    <t>Perdida de los servicios esenciales </t>
  </si>
  <si>
    <t>Agua</t>
  </si>
  <si>
    <t>Perturbación debida a la radiación </t>
  </si>
  <si>
    <t>Contaminación</t>
  </si>
  <si>
    <t>Eventos naturales </t>
  </si>
  <si>
    <t>Accidente Importante</t>
  </si>
  <si>
    <t>Destrucción del equipo o medios </t>
  </si>
  <si>
    <t>Polvo, corrosión, congelamiento </t>
  </si>
  <si>
    <t>Fenómenos climáticos </t>
  </si>
  <si>
    <t>Fenómenos sísmicos </t>
  </si>
  <si>
    <t>Fenómenos volcánicos </t>
  </si>
  <si>
    <t>Fenómenos meteorológicos </t>
  </si>
  <si>
    <t>Inundación </t>
  </si>
  <si>
    <t>Fallas en el sistema de suministro de agua o aire acondicionado </t>
  </si>
  <si>
    <t>Perdida de suministro de energía </t>
  </si>
  <si>
    <t>Falla en equipo de telecomunicaciones </t>
  </si>
  <si>
    <t>Radiación electromagnética </t>
  </si>
  <si>
    <t>Radiación térmica </t>
  </si>
  <si>
    <t>Impulsos electromagnéticos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</si>
  <si>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</si>
  <si>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</si>
  <si>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</si>
  <si>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</si>
  <si>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</si>
  <si>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</si>
  <si>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</si>
  <si>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</si>
  <si>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</si>
  <si>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</si>
  <si>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</si>
  <si>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</si>
  <si>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</si>
  <si>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</si>
  <si>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</si>
  <si>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</si>
  <si>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Uso no autorizado del equipo </t>
  </si>
  <si>
    <t>Copia fraudulenta del software </t>
  </si>
  <si>
    <t>Uso de software falso o copiado </t>
  </si>
  <si>
    <t>Corrupción de los datos </t>
  </si>
  <si>
    <t>Procesamiento ilegal de datos </t>
  </si>
  <si>
    <t>Error en el uso </t>
  </si>
  <si>
    <t>Abuso de derechos </t>
  </si>
  <si>
    <t>Falsificación de derechos </t>
  </si>
  <si>
    <t>Negación de acciones </t>
  </si>
  <si>
    <t>Incumplimiento en la disponibilidad del personal </t>
  </si>
  <si>
    <t>FORMATO MAPA RIESGOS DE PROCESO</t>
  </si>
  <si>
    <t>CÓDIGO: DESI-FM-018</t>
  </si>
  <si>
    <t>VERSIÓN: 11</t>
  </si>
  <si>
    <t>Proceso:</t>
  </si>
  <si>
    <t>Objetivo:</t>
  </si>
  <si>
    <t>Alcance:</t>
  </si>
  <si>
    <t>Identificación del riesgo</t>
  </si>
  <si>
    <t>Contexto</t>
  </si>
  <si>
    <t>Instrumentos posiblemente afectados</t>
  </si>
  <si>
    <t>Análisis del riesgo inherente</t>
  </si>
  <si>
    <t>Evaluación del riesgo - Valoración de los controles</t>
  </si>
  <si>
    <t>Evaluación del riesgo - Nivel del riesgo residual</t>
  </si>
  <si>
    <t xml:space="preserve">Tratamiento del riesgo -plan de acción </t>
  </si>
  <si>
    <t>ACCION DE CONTINGENCIA</t>
  </si>
  <si>
    <t xml:space="preserve">Referencia </t>
  </si>
  <si>
    <t xml:space="preserve">Actividad clave o fase del proyecto </t>
  </si>
  <si>
    <t>Internas</t>
  </si>
  <si>
    <t>Externas</t>
  </si>
  <si>
    <t>Efectos (Consecuencias)</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</si>
  <si>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</si>
  <si>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</si>
  <si>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</si>
  <si>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</si>
  <si>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</si>
  <si>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</si>
  <si>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</si>
  <si>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</si>
  <si>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</si>
  <si>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</si>
  <si>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</si>
  <si>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</si>
  <si>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</si>
  <si>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</si>
  <si>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</si>
  <si>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</si>
  <si>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</si>
  <si>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</si>
  <si>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</si>
  <si>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 xml:space="preserve">Proyecto de Inversión asociado </t>
  </si>
  <si>
    <t>Tipo</t>
  </si>
  <si>
    <t>Implementación</t>
  </si>
  <si>
    <t>Calificación</t>
  </si>
  <si>
    <t>Documentación</t>
  </si>
  <si>
    <t>Frecuencia</t>
  </si>
  <si>
    <t>Evidencia</t>
  </si>
  <si>
    <t xml:space="preserve">     El riesgo afecta la imagen de la entidad con algunos usuarios de relevancia frente al logro de los objetivos</t>
  </si>
  <si>
    <t>Preventivo</t>
  </si>
  <si>
    <t>Manual</t>
  </si>
  <si>
    <t>Documentado</t>
  </si>
  <si>
    <t>Continua</t>
  </si>
  <si>
    <t>Con Registro</t>
  </si>
  <si>
    <t>Detectivo</t>
  </si>
  <si>
    <t>Sin Documentar</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</si>
  <si>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</si>
  <si>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</si>
  <si>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 RIESGOS GESTIÓN</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</si>
  <si>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</si>
  <si>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</si>
  <si>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</si>
  <si>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</si>
  <si>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</si>
  <si>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</si>
  <si>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</si>
  <si>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</si>
  <si>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</si>
  <si>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</si>
  <si>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</si>
  <si>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</si>
  <si>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</si>
  <si>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</si>
  <si>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</si>
  <si>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 RIESGOS GESTIÓN</t>
  </si>
  <si>
    <t>Actividad clave o fase del proyecto</t>
  </si>
  <si>
    <t>Correctivo</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</si>
  <si>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</si>
  <si>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</si>
  <si>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</si>
  <si>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</si>
  <si>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</si>
  <si>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</si>
  <si>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</si>
  <si>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</si>
  <si>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</si>
  <si>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</si>
  <si>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</si>
  <si>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</si>
  <si>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</si>
  <si>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</si>
  <si>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</si>
  <si>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</si>
  <si>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</si>
  <si>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</si>
  <si>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</si>
  <si>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</si>
  <si>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</si>
  <si>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</si>
  <si>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</si>
  <si>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</si>
  <si>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</si>
  <si>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</si>
  <si>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</si>
  <si>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Tipo de activo</t>
  </si>
  <si>
    <t>Activo de información</t>
  </si>
  <si>
    <t>Tipo de amenaza</t>
  </si>
  <si>
    <t>Amenaza</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</si>
  <si>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</si>
  <si>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</si>
  <si>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</si>
  <si>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</si>
  <si>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</si>
  <si>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</si>
  <si>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</si>
  <si>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</si>
  <si>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</si>
  <si>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</si>
  <si>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</si>
  <si>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</si>
  <si>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</si>
  <si>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</si>
  <si>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</si>
  <si>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 xml:space="preserve">Equivalente </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</si>
  <si>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</si>
  <si>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</si>
  <si>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</si>
  <si>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</si>
  <si>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</si>
  <si>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</si>
  <si>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</si>
  <si>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</si>
  <si>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</si>
  <si>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</si>
  <si>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</si>
  <si>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</si>
  <si>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</si>
  <si>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</si>
  <si>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</si>
  <si>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</si>
  <si>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</si>
  <si>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</si>
  <si>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</si>
  <si>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</si>
  <si>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</si>
  <si>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</si>
  <si>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</si>
  <si>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</si>
  <si>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</si>
  <si>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</si>
  <si>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</si>
  <si>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</si>
  <si>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</si>
  <si>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</si>
  <si>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</si>
  <si>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</si>
  <si>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</si>
  <si>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</si>
  <si>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</si>
  <si>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</si>
  <si>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</si>
  <si>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</si>
  <si>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Gestión</t>
  </si>
  <si>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</si>
  <si>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</si>
  <si>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</si>
  <si>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</si>
  <si>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</si>
  <si>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</si>
  <si>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Seguridad Digital</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</si>
  <si>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</si>
  <si>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</si>
  <si>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</si>
  <si>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</si>
  <si>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</si>
  <si>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</si>
  <si>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</si>
  <si>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</si>
  <si>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</si>
  <si>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</si>
  <si>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</si>
  <si>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INFORMACIÓN</t>
  </si>
  <si>
    <t>SOFTWARE</t>
  </si>
  <si>
    <t>HARDWARE</t>
  </si>
  <si>
    <t>INSTALACIONES</t>
  </si>
  <si>
    <t>PROCESOS</t>
  </si>
  <si>
    <t>RECURSOS HUMANOS</t>
  </si>
  <si>
    <t>RED</t>
  </si>
  <si>
    <t>SERVICIOS</t>
  </si>
  <si>
    <t>EQUIPAMIENTO AUXILIAR</t>
  </si>
  <si>
    <t>COMPONENTES DE RED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</si>
  <si>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</si>
  <si>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</si>
  <si>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</si>
  <si>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</si>
  <si>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</si>
  <si>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</si>
  <si>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</si>
  <si>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</si>
  <si>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</si>
  <si>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</si>
  <si>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</si>
  <si>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</si>
  <si>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</si>
  <si>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</si>
  <si>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</si>
  <si>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</si>
  <si>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</si>
  <si>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</si>
  <si>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</si>
  <si>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</si>
  <si>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</si>
  <si>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</si>
  <si>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Registro Sustancial</t>
  </si>
  <si>
    <t>Registro Material</t>
  </si>
  <si>
    <t>Sin registro</t>
  </si>
  <si>
    <t>Reducir</t>
  </si>
  <si>
    <t>FECHA DE APLICACIÓN: NOVIEMBRE 2022</t>
  </si>
  <si>
    <t xml:space="preserve">Tratamiento del riesgo -Plan de acción </t>
  </si>
  <si>
    <t xml:space="preserve">Acción de Contigencia </t>
  </si>
  <si>
    <t>Objetivo Institucional  asociado</t>
  </si>
  <si>
    <t xml:space="preserve">Aportar a asegurar la calidad de las intervenciones de la UAERMV realizando ensayos y entregando resultados confiables, utilizados como insumos para: los diseños de la estructura de pavimento, diseños de mezcla asfáltica e hidráulica, control de calidad de las materias primas utilizadas para la producción de mezcla asfáltica e hidráulica y los materiales que componen las diferentes capas de la estructura de pavimento, durante el proceso constructivo y para el producto terminado. </t>
  </si>
  <si>
    <t>Este proceso inicia desde la solicitud del servicio, preparación del ítem de ensayo, ejecución de los ensayos de laboratorio, hasta la generación, emisión y envió del informe con los resultados obtenidos.</t>
  </si>
  <si>
    <t>Que los resultados de los ensayos realizados en el laboratorio sean errados</t>
  </si>
  <si>
    <t>Incumplimiento en la fecha de entrega de los informes</t>
  </si>
  <si>
    <r>
      <t xml:space="preserve">El líder operativo, mensualmente en la programación del personal </t>
    </r>
    <r>
      <rPr>
        <b/>
        <sz val="12"/>
        <rFont val="Arial"/>
        <family val="2"/>
      </rPr>
      <t>GLAB-FM-134</t>
    </r>
    <r>
      <rPr>
        <sz val="12"/>
        <rFont val="Arial"/>
        <family val="2"/>
      </rPr>
      <t xml:space="preserve"> verifica que cada rol tenga un responsable principal y un relevo, con el fin de garantizar que todos los roles tengan un responsable sin ser afectado por el ausentismo, de no ser así se solicita al coordinador técnico que realice la programación del relevo.</t>
    </r>
  </si>
  <si>
    <r>
      <t xml:space="preserve">El auxiliar de equipos, mensualmente hace seguimiento al cronograma de aseguramiento de equipos del laboratorio UAERMV en el formato </t>
    </r>
    <r>
      <rPr>
        <b/>
        <sz val="12"/>
        <rFont val="Arial"/>
        <family val="2"/>
      </rPr>
      <t>GLAB-FM-146</t>
    </r>
    <r>
      <rPr>
        <sz val="12"/>
        <rFont val="Arial"/>
        <family val="2"/>
      </rPr>
      <t>, verificando que  las actividades ejecutadas corresponda con las programadas. En caso de encontrar que alguna actividad programada no fue ejecutada, se hace una inspección al funcionamiento del equipo, si no presenta ninguna desviación se reprograma la actividad para el siguiente mes, de lo contrario se pone el equipo en estado fuera de uso, hasta garantizar su correcto funcionamiento.</t>
    </r>
  </si>
  <si>
    <t>Cada vez que se genera una solicitud de servicio, el auxiliar administrativo verifica que exista un documento (acuerdo de servicio, orden de trabajo, acta o correo) entre las partes (cliente interno y laboratorio) en donde se establezcan los tiempos de entrega de resultados. Si  hay solicitudes de servicios en donde no se especifique los tiempos de entrega, el servicio no se prestara hasta que el documento cuente con el requisito anteriormente mencionado.</t>
  </si>
  <si>
    <t>Modificar  los resultados y/o los tiempos de entrega de informes de ensayos a cambio de beneficio a nombre propio o de terceros, con el fin agilizar, retrasar la entrega de informes o hacer que los materiales cumplan especificaciones técnicas.</t>
  </si>
  <si>
    <t>Permitir presiones indebidas por falta de propiedad, gobernanza  o indebida gestión de personal, recursos compartidos, contratos o intereses particulares por parte de los clientes internos.</t>
  </si>
  <si>
    <t>Contratos de OPS</t>
  </si>
  <si>
    <t>Dar apertura a las investigaciones para determinar el nivel de responsabilidad del personal involucrado frente a la materialización del riesgo</t>
  </si>
  <si>
    <t>Registros de la investigación</t>
  </si>
  <si>
    <t>Secretaria general</t>
  </si>
  <si>
    <t xml:space="preserve">Que se pierda o modifique informacion de los registros de datos primarios y/o  los informes de ensayo
</t>
  </si>
  <si>
    <t xml:space="preserve">*  Ausencia de controles para la prevención y protección de incendios de manera automática.
* Perdida de los registros de los informes  ensayo generados por el laboratorio </t>
  </si>
  <si>
    <t>Datos primarios e informes de ensayo</t>
  </si>
  <si>
    <t>Destrucción del equipo o medios</t>
  </si>
  <si>
    <t>El cordinador técnico, cada vez que se aprueba el informe lo convierte a pdf con el fin de evitar modificaciones sobre el informe definitivo, si el informe de ensayo se envie en formato diferente de pdf no serán válidos.</t>
  </si>
  <si>
    <t>El líder de acreditación, mensualmente revisa que se halla generado una copia digital de los registros de toma de datos en el repositorio, con el fin de guardar una copia digital de este. En el  caso de no encontrar el archivo digitalizado, se solicita la digitalización de inmediato.</t>
  </si>
  <si>
    <t>1. Desviaciones en la manipulación, preparación de los ítems de ensayo y/o el procedimiento de la norma de ensayo aplicable.
2. Uso de equipamiento que no cumple las especificaciones requeridas en la norma de ensayo.
3. Incumplimiento con las instalaciones y/o las condiciones ambientales especificadas en la norma de ensayo.
4. Falta de competencia del personal para realizar las actividades en las que esta autorizado.
5. Errores en el registro de datos primarios, en la digitación y/o en la emisión del informe.</t>
  </si>
  <si>
    <t>Ejecución y Administración de procesos</t>
  </si>
  <si>
    <t>• Ejecutar el cronograma de aseguramiento de la validez de los resultados, por medio de repetibilidad, Interlaboratorios, programas de aptitud entre otros.
• Ejecutar el cronograma de formación y supervisiones del personal del laboratorio.
• Ejecutar los servicios del laboratorio por medio de la manipulación de las muestras, ítems  de ensayos, ejecución de los ensayos, realización de los informes, solicitudes de ensayos externos y envió de los informes de ensayo a los clientes internos.
• Ejecutar el cronograma de mantenimiento preventivo, correctivo, inspecciones, verificaciones, comprobaciones intermedias, calibraciones del equipamiento (instrumentos de medición, conjuntos elementos, herramienta menor, insumos entre otros), del laboratorio.
• Verificar el cumplimiento de las tolerancias, la exactitud y realizar la liberación del equipamiento.</t>
  </si>
  <si>
    <t>* Falta de claridad en el proceso responsable del mantenimiento de la infraestructura física del laboratorio.
* Incumplimiento a los procedimientos y/o los instructivos internos del proceso.</t>
  </si>
  <si>
    <t>* Actualización de las normas de ensayo.
* Incumplimiento del contratista de mantenimiento del equipamiento.</t>
  </si>
  <si>
    <t>Reprocesos de actividades, trabajos no conformes, no conformidades y aumento de carga operativa, quejas de los clientes, perdida de credibilidad de los resultados y afectación de la imagen del laboratorio ante los clientes.</t>
  </si>
  <si>
    <r>
      <t xml:space="preserve">El coordinador técnico, mensualmente verifica el cumplimiento de la precisión de los métodos de ensayo, realizando una comparación entre la diferencia de los resultados de una misma muestra y la precisión del método. Dicha verificación se registra en el formato  análisis para el aseguramiento de la validez de los resultados </t>
    </r>
    <r>
      <rPr>
        <b/>
        <sz val="12"/>
        <color theme="1"/>
        <rFont val="Arial"/>
        <family val="2"/>
      </rPr>
      <t>GLAB-FM-148</t>
    </r>
    <r>
      <rPr>
        <sz val="12"/>
        <color theme="1"/>
        <rFont val="Arial"/>
        <family val="2"/>
      </rPr>
      <t>. Si los ensayos realizados no cumplen con la precisión del método, se realiza una retroalimentación a las personas que realizaron los ensayos y  se les solicita repetirlos con la contra muestra. Si al realizar nuevamente los ensayos aun no cumple con la precisión este laboratorista queda desautorizado para realizar dicho ensayo.</t>
    </r>
  </si>
  <si>
    <r>
      <t xml:space="preserve">El supervisor operativo,  semestralmente supervisa las competencias de los laboratoristas en la ejecución de los ensayos, a través de una lista de chequeo que se  registra en el  formato de  supervisión </t>
    </r>
    <r>
      <rPr>
        <b/>
        <sz val="12"/>
        <color theme="1"/>
        <rFont val="Arial"/>
        <family val="2"/>
      </rPr>
      <t>GLAB-FM-126,</t>
    </r>
    <r>
      <rPr>
        <sz val="12"/>
        <color theme="1"/>
        <rFont val="Arial"/>
        <family val="2"/>
      </rPr>
      <t xml:space="preserve"> que indica los criterios para la correcta ejecución del ensayo establecidos en la norma aplicable. En caso de encontrar desviaciones en la ejecución del ensayo, se desautoriza al laboratorista para la ejecución de dicho ensayo y se programa una nueva fecha para repetir la supervisión hasta que el laboratorista demuestre la competencia para ejecutar el ensayo de acuerdo a la norma.</t>
    </r>
  </si>
  <si>
    <t>Cada  vez que se va a emitir un informe de ensayo, el coordinador técnico, verifica que  la información  de los registros de toma de datos sean coherentes y que correspondan a la información  digitada, dejando como evidencia de la aprobación  su  firma en el  informe de ensayo. Si encuentra alguna diferencia en la información se solicita la corrección en el registro de toma de datos al laboratorista y/o la corrección del informe según corresponda.</t>
  </si>
  <si>
    <r>
      <t xml:space="preserve">Cada vez que se crea o se hace alguna modificación en los  formatos de informe de ensayo, que  influyan en  el  calculo de resultados , el  coordinador técnico realiza una validación de las formulas, por medio de una verificación manual que se  registra en el formato verificación manual hojas de cálculo </t>
    </r>
    <r>
      <rPr>
        <b/>
        <sz val="12"/>
        <rFont val="Arial"/>
        <family val="2"/>
      </rPr>
      <t>GLAB-FM-104,</t>
    </r>
    <r>
      <rPr>
        <sz val="12"/>
        <rFont val="Arial"/>
        <family val="2"/>
      </rPr>
      <t xml:space="preserve"> con el fin, de evitar errores de cálculos en los informes de ensayo. En caso de encontrar alguna desviación, el coordinador  técnico realizara las correcciones necesarias en el formato de informe de ensayo y la validación de las formulas nuevamente.</t>
    </r>
  </si>
  <si>
    <r>
      <t xml:space="preserve">Cada vez que va a ser instalado o reinstalado un equipamiento en el laboratorio, el auxiliar de equipos verifica que  cumpla con los requisitos especificados en la norma de ensayo revisando los resultados de verificaciones, comprobaciones intermedias  y/o calibración  según aplique, por medio de l formato liberación de los informes de verificaciones, comprobaciones intermedias y certificados de calibración </t>
    </r>
    <r>
      <rPr>
        <b/>
        <sz val="12"/>
        <rFont val="Arial"/>
        <family val="2"/>
      </rPr>
      <t>GLAB-FM-111.</t>
    </r>
    <r>
      <rPr>
        <sz val="12"/>
        <rFont val="Arial"/>
        <family val="2"/>
      </rPr>
      <t xml:space="preserve"> Si el equipamiento no cumple con los requisitos especificados, queda fuera de servicio, se solicita su mantenimiento (correctivo o ajuste según aplique) y se vuelve a verificar, si cumple las especificaciones técnicas se pone en servicio, de lo contario se reintegra al almacén general para su disposición final.</t>
    </r>
  </si>
  <si>
    <r>
      <t xml:space="preserve">Cada vez que se realiza un  actividad (mantenimiento correctivo, preventivo, inspecciones, verificación, comprobación intermedia y calibración) al equipamiento, el auxiliar de equipos verifica su correcto funcionamiento y lo registra en el formato inspección equipos del laboratorio UAERMV </t>
    </r>
    <r>
      <rPr>
        <b/>
        <sz val="12"/>
        <rFont val="Arial"/>
        <family val="2"/>
      </rPr>
      <t>GLAB-FM-112</t>
    </r>
    <r>
      <rPr>
        <sz val="12"/>
        <rFont val="Arial"/>
        <family val="2"/>
      </rPr>
      <t>. Si al realizar la verificación,  el equipamiento presenta fallas se pone fuera de servicio hasta que este se encuentre en buen estado.</t>
    </r>
  </si>
  <si>
    <r>
      <t xml:space="preserve">Cada vez que se solicita un equipamiento menor (tamices, diales, termómetros, pie de rey entre otros) para su uso, el auxiliar de equipos, revisa que este en buen estado cuando lo entrega y  recibe, lo registra en el formato control y seguimiento de equipos </t>
    </r>
    <r>
      <rPr>
        <b/>
        <sz val="12"/>
        <rFont val="Arial"/>
        <family val="2"/>
      </rPr>
      <t>GLAB-FM-115</t>
    </r>
    <r>
      <rPr>
        <sz val="12"/>
        <rFont val="Arial"/>
        <family val="2"/>
      </rPr>
      <t>. En caso de encontrar que el equipamiento esta en mal estado se pone fuera de servicio hasta  que se verifique el correcto funcionamiento de este.</t>
    </r>
  </si>
  <si>
    <r>
      <t xml:space="preserve">Cada vez que ingresa una persona nueva, el auxiliar de acreditación verifica que la persona cumpla con la competencia exigida para el rol a desempeñar, en el formato verificación de las competencias del personal del laboratorio UAERMV </t>
    </r>
    <r>
      <rPr>
        <b/>
        <sz val="12"/>
        <rFont val="Arial"/>
        <family val="2"/>
      </rPr>
      <t>GLAB-FM-137</t>
    </r>
    <r>
      <rPr>
        <sz val="12"/>
        <rFont val="Arial"/>
        <family val="2"/>
      </rPr>
      <t xml:space="preserve">, con el fin de garantizar que el personal tenga la competencia requerida para el rol a desempeñar. Si el personal no cumple con la competencia requerida se establece un plan de acción para dar cumplimiento a la o las competencia que no cumplen. </t>
    </r>
  </si>
  <si>
    <t>1. Insuficiente personal por ausentismo laboral por enfermedad, licencias, renuncias, falta de presupuesto y/o demoras en la contratación del personal.
2. Aumento en la demanda de los servicios.
3. Fallas en equipamiento.
4. Falta de claridad de las fechas de entrega de los informes.
5. Falta de la solicitud del servicio de manera explicita ( acta de reunión, correo electrónico, orden de trabajo y /o el acuerdo de servicio).</t>
  </si>
  <si>
    <r>
      <rPr>
        <b/>
        <sz val="12"/>
        <rFont val="Arial"/>
        <family val="2"/>
      </rPr>
      <t>QUÉ?</t>
    </r>
    <r>
      <rPr>
        <sz val="12"/>
        <rFont val="Arial"/>
        <family val="2"/>
      </rPr>
      <t xml:space="preserve"> Posibilidad afectación reputacional de la imagen del laboratorio, quejas de los clientes,  trabajos no conformes, aumento de carga operativa y retraso en la prestación de los servicios del laboratorio.
</t>
    </r>
    <r>
      <rPr>
        <b/>
        <sz val="12"/>
        <rFont val="Arial"/>
        <family val="2"/>
      </rPr>
      <t xml:space="preserve">CÓMO? </t>
    </r>
    <r>
      <rPr>
        <sz val="12"/>
        <rFont val="Arial"/>
        <family val="2"/>
      </rPr>
      <t xml:space="preserve"> Produce incumplimiento en la fecha de entrega de los informes de ensayo.
</t>
    </r>
    <r>
      <rPr>
        <b/>
        <sz val="12"/>
        <rFont val="Arial"/>
        <family val="2"/>
      </rPr>
      <t>POR QUÉ?</t>
    </r>
    <r>
      <rPr>
        <sz val="12"/>
        <rFont val="Arial"/>
        <family val="2"/>
      </rPr>
      <t xml:space="preserve"> Debido a insuficiente personal por ausentismo laboral por enfermedad, licencias, renuncias, falta de presupuesto y/o demoras en la contratación del personal, aumento en la demanda de los servicios, fallas en equipamiento, falta de claridad de las fechas de entrega de los informes, falta de la solicitud del servicio de manera explicita ( acta de reunión, correo electrónico, orden de trabajo y /o el acuerdo de servicio).
Posibilidad afectación reputacional de la imagen del laboratorio, quejas de los clientes, aumento de carga operativa y retraso en la prestación de los servicios del laboratorio. Produce incumplimiento en la fecha de entrega de los informes de ensayo. Debido a insuficiente personal por ausentismo laboral por enfermedad, licencias, renuncias, falta de presupuesto y/o demoras en la contratación del personal, aumento en la demanda de los servicios, fallas en equipamiento, falta de claridad de las fechas de entrega de los informes, falta de la solicitud del servicio de manera explicita ( acta de reunión, correo electrónico, orden de trabajo y /o el acuerdo de servicio).</t>
    </r>
  </si>
  <si>
    <t>• Programar los recursos necesarios para el desarrollo de las actividades de laboratorio.
• Establecer la capacidad del laboratorio, por medio de la firma de los acuerdos de servicio.
• Establecer el cronograma de aseguramiento del equipamiento del laboratorio.
• Programar el personal de acuerdo con los diferentes roles para la ejecución de los servicios.
• Verificar el cumplimiento de los acuerdos de servicios y órdenes de servicio (correos, actas de reunión, ordenes de trabajo entre otros).</t>
  </si>
  <si>
    <t xml:space="preserve">* Falta de comunicación para la prestación de servicios de transporte para actividades de campo del laboratorio en situaciones imprevistas.
* Insuficiencia de vehículos para el desarrollo de las actividades del laboratorio.
* Demora en la entrega de información de resultados de laboratorio, que se requieren para tomar planes inmediatas de contingencia y/o analisis de resultados por parte de los clientes internos. </t>
  </si>
  <si>
    <t>Quejas de los clientes, trabajos no conformes, aumento de carga operativa y retraso en la prestación de los servicios del laboratorio.</t>
  </si>
  <si>
    <t>7858 Conservación de la Malla Vial Distrital y Ciclo infraestructura de Bogotá</t>
  </si>
  <si>
    <t xml:space="preserve">QUÉ?  Posibilidad de perdida económica y reputacional por medio de reprocesos de actividades, trabajos no conformes, no conformidades y aumento de carga operativa, quejas de los clientes, perdida de credibilidad de los resultados y afectación de la imagen del laboratorio ante los clientes.
CÓMO? Debido a que, los resultados de los ensayos realizados en el laboratorio sean errados.
POR QUÉ?  A causa de desviaciones en la manipulación, preparación de los ítems de ensayo y/o el procedimiento de la norma de ensayo aplicable, uso de equipamiento que no cumple las especificaciones requeridas en la norma de ensayo, incumplimiento con las instalaciones y/o las condiciones ambientales especificadas en el norma de ensayo, falta de competencia del personal para realizar las actividades en las que esta autorizado, errores en el registro de datos primarios, en la digitación y/o en la emisión del informe.
Posibilidad de perdida económica y Reputacional por medio de reprocesos de actividades y aumento de carga operativa, quejas de los clientes, perdida de credibilidad de los resultados y afectación de la imagen del laboratorio ante los clientes. Debido a que, los resultados de los ensayos realizados en el laboratorio sean errados. A causa de desviaciones en la manipulación, preparación de los ítems de ensayo y/o el procedimiento de la norma de ensayo aplicable, uso de equipamiento que no cumple las especificaciones requeridas en el método de ensayo, incumplimiento con las instalaciones y/o las condiciones ambientales especificadas en el norma de ensayo, falta de competencia del personal para realizar las actividades en las que esta autorizado, errores en el registro de datos primarios, en la digitación y/o en la emisión del informe.
</t>
  </si>
  <si>
    <r>
      <t xml:space="preserve">Cada vez que se emite un informe, el auxiliar administrativo verifica que la solicitud de servicio se halla cumplido de acuerdo a lo solicitado por el cliente teniendo en cuenta el informe de resultados, este seguimiento se registra en el formato matriz de trazabilidad de ensayos </t>
    </r>
    <r>
      <rPr>
        <b/>
        <sz val="12"/>
        <rFont val="Arial"/>
        <family val="2"/>
      </rPr>
      <t>GLAB-FM-103</t>
    </r>
    <r>
      <rPr>
        <sz val="12"/>
        <rFont val="Arial"/>
        <family val="2"/>
      </rPr>
      <t>. Si hace falta algún ensayo o no se cumple con la solicitud el auxiliar administrativo reporta el trabajo no conforme.</t>
    </r>
  </si>
  <si>
    <t>*Presencia de gobernanza, gestión de personal, recursos compartidos, contratos o intereses particulares por parte de los clientes internos.</t>
  </si>
  <si>
    <t>* Falta de autonomía al  actúar bajo las normas nacionales y distritales para las entidades públicas.</t>
  </si>
  <si>
    <t>Retrasos en la prestación de servicio a los clientes internos, e incumplimiento del objetivo del laboratorio (por ejemplo, que el ensayo se realice con desviaciones al método de ensayo, reducciónes de tiempos de ejecución del ensayo).</t>
  </si>
  <si>
    <t>Cada vez que se genera una solicitud de servicio, el auxiliar administrativo verifica que exista un documento (acuerdo de servicio, acta o correo) entre las partes (cliente interno y laboratorio), en donde se establezcan los requisitos mínimos para la solitud (El material a ensayar, el o los ensayos a realizar, fecha de recepción de la muestra, fecha en la que se requiere el informe de ensayo, medio de envió de los resultados.).Si  hay solicitudes de servicios en donde no se especifique algún requisito, el servicio no se prestara hasta que el documento cuente con el o los requisitos faltantes.</t>
  </si>
  <si>
    <r>
      <t xml:space="preserve">Cada vez que se emite un informe de ensayo, el auxiliar administrativo,  valida por  medio  del formato  de matriz de trazabilidad  </t>
    </r>
    <r>
      <rPr>
        <b/>
        <sz val="12"/>
        <color theme="1"/>
        <rFont val="Arial"/>
        <family val="2"/>
      </rPr>
      <t>GLAB-FM-103,</t>
    </r>
    <r>
      <rPr>
        <sz val="12"/>
        <color theme="1"/>
        <rFont val="Arial"/>
        <family val="2"/>
      </rPr>
      <t xml:space="preserve"> que  los tiempos  establecidos en la  solicitud de servicio se cumpla, de encontrarse desviaciones en los  tiempos se le comunica al cliente justificando las razones de dicho cambio.</t>
    </r>
  </si>
  <si>
    <r>
      <t xml:space="preserve">Cada vez que ingresa una persona al laboratorio, el supervisor del contrato hace firmar el compromismo de confidencialidad e imparcialidad en el formato compromiso de confidencialidad e imparcialidad </t>
    </r>
    <r>
      <rPr>
        <b/>
        <sz val="12"/>
        <rFont val="Arial"/>
        <family val="2"/>
      </rPr>
      <t>GLAB-FM-126</t>
    </r>
    <r>
      <rPr>
        <sz val="12"/>
        <rFont val="Arial"/>
        <family val="2"/>
      </rPr>
      <t>, con el fin de garantizar la imparcialidad en la ejecucion de las actividades del laboratorio. Si no se ha firmado el compromiso no se da inicio para desarrollar las actividades en el laboratorio.</t>
    </r>
  </si>
  <si>
    <r>
      <t xml:space="preserve">Para la contratación de OPS se hace la verificación y se adjunta a la hoja de vida el formato debidamente diligenciado de declaración de aceptación de politica de regalos </t>
    </r>
    <r>
      <rPr>
        <b/>
        <sz val="12"/>
        <rFont val="Arial"/>
        <family val="2"/>
      </rPr>
      <t>GTHU-FM-033</t>
    </r>
    <r>
      <rPr>
        <sz val="12"/>
        <rFont val="Arial"/>
        <family val="2"/>
      </rPr>
      <t xml:space="preserve"> </t>
    </r>
  </si>
  <si>
    <t>Lider de acreditación y /o auxiliar de acreditación</t>
  </si>
  <si>
    <r>
      <t>El líder de acreditación, trimestralmente verifica que los permisos asignados en el repositorio para modificar, crear y visualizar los documentos del laboratorio estén de acuerdo al rol desempeñado por cada persona, deja como evidencia un acta de reunión en el formato</t>
    </r>
    <r>
      <rPr>
        <b/>
        <sz val="12"/>
        <color theme="1"/>
        <rFont val="Arial"/>
        <family val="2"/>
      </rPr>
      <t xml:space="preserve"> GDOC-FM-016 </t>
    </r>
    <r>
      <rPr>
        <sz val="12"/>
        <color theme="1"/>
        <rFont val="Arial"/>
        <family val="2"/>
      </rPr>
      <t>. Si se encuentra alguna diferencia en los permisos se pone una mesa de ayuda para solicitar  la modificación.</t>
    </r>
  </si>
  <si>
    <t>Cada  vez que se va a modificar un registro de toma de datos  de ensayo el laboratorista, pasa una línea DIAGONAL sobre el dato a modificar, de tal manera que el dato modificado sea legible, esto, con el fin de que el cambio sea trazable a la versión inmediatamente anterior y poder identificar el o los aspectos corregidos, firmar con las iniciales de los nombres y apellidos, para identificar el responsable del cambio, registrar la fecha del cambio. Dejandolos como evidencia en el registro de toma datos. Si no se cuenta con la evidencia de la modificación se devuelve el registro de toma de datos al laboratorista.</t>
  </si>
  <si>
    <t xml:space="preserve">Que los informes de ensayo no tengan registro o estén incompletos los datos con los cuales fueron generados   </t>
  </si>
  <si>
    <r>
      <rPr>
        <b/>
        <sz val="12"/>
        <rFont val="Arial"/>
        <family val="2"/>
      </rPr>
      <t xml:space="preserve">QUÉ? </t>
    </r>
    <r>
      <rPr>
        <sz val="12"/>
        <rFont val="Arial"/>
        <family val="2"/>
      </rPr>
      <t xml:space="preserve">Posibilidad de afectación economica y reputacional de la imagen del laboratorio por retrasos en la prestación de servicio a los clientes internos, e incumplimiento del objetivo del laboratorio (que el ensayo se realice con desviaciones al método).
</t>
    </r>
    <r>
      <rPr>
        <b/>
        <sz val="12"/>
        <rFont val="Arial"/>
        <family val="2"/>
      </rPr>
      <t xml:space="preserve">CÓMO? </t>
    </r>
    <r>
      <rPr>
        <sz val="12"/>
        <rFont val="Arial"/>
        <family val="2"/>
      </rPr>
      <t xml:space="preserve">Que los resultados de los ensayos y/o los tiempos de entrega de los informes de ensayo sean modificados
</t>
    </r>
    <r>
      <rPr>
        <b/>
        <sz val="12"/>
        <rFont val="Arial"/>
        <family val="2"/>
      </rPr>
      <t xml:space="preserve">
POR QUÉ?</t>
    </r>
    <r>
      <rPr>
        <sz val="12"/>
        <rFont val="Arial"/>
        <family val="2"/>
      </rPr>
      <t xml:space="preserve">  A causa de presiones indebidas por falta de propiedad, gobernanza  o indebida gestión de personal, recursos compartidos, contratos o intereses particulares por parte de los clientes internos.
 Posibilidad de afectación economica y reputacional de la imagen del laboratorio por retrasos en la prestación de servicio a los clientes internos, e incumplimiento del objetivo del laboratorio (que el ensayo se realice con desviaciones al método). Que los resultados de los ensayos y/o los tiempos de entrega de los informes de ensayo sean modificados, a causa de Presiones indebidas por falta de propiedad, gobernanza  o indebida gestión de personal, recursos compartidos, contratos o intereses particulares por parte de los clientes internos. </t>
    </r>
  </si>
  <si>
    <r>
      <rPr>
        <b/>
        <sz val="12"/>
        <rFont val="Arial"/>
        <family val="2"/>
      </rPr>
      <t>QUÉ?</t>
    </r>
    <r>
      <rPr>
        <sz val="12"/>
        <rFont val="Arial"/>
        <family val="2"/>
      </rPr>
      <t xml:space="preserve"> Posibilidad  de afectación reputacional de que los resultados de ensayo del laboratorio no tengan registro de toma de datos o del informe  o estén incompletos los datos con los cuales fueron generados. 
</t>
    </r>
    <r>
      <rPr>
        <b/>
        <sz val="12"/>
        <rFont val="Arial"/>
        <family val="2"/>
      </rPr>
      <t>CÓMO?</t>
    </r>
    <r>
      <rPr>
        <sz val="12"/>
        <rFont val="Arial"/>
        <family val="2"/>
      </rPr>
      <t xml:space="preserve"> Ocasionando que los datos primarios  y/o  los informes de los ensayos sean modificados o estén incompletos.
</t>
    </r>
    <r>
      <rPr>
        <b/>
        <sz val="12"/>
        <rFont val="Arial"/>
        <family val="2"/>
      </rPr>
      <t>POR QUÉ?</t>
    </r>
    <r>
      <rPr>
        <sz val="12"/>
        <rFont val="Arial"/>
        <family val="2"/>
      </rPr>
      <t xml:space="preserve">  Puede ocurrir debido a que estos no estén protegidos adecuadamente o a que sufran algún deterioro.
Posibilidad de que los informes de ensayo no tengan registro o estén incompletos los datos con los cuales fueron generados. Ocasionando que los datos primarios  y/o  los informes de los ensayos sean modificados o estén incompletos. Puede ocurrir debido a que estos no estén protegidos adecuadamente o a que sufran algún deterioro. </t>
    </r>
  </si>
  <si>
    <t>* Ubicación geografica del laboratorio que limita la comunicación ( telefonica, internet).</t>
  </si>
  <si>
    <t>* Desastres naturales.
*Cambios climáticos que dificulten atrasen la ejecución de los ensayos</t>
  </si>
  <si>
    <t>• Ejecutar los servicios del laboratorio por medio de la manipulación de las muestras, ítems  de ensayos, ejecución de los ensayos, realización de los informes, solicitudes de ensayos externos y envió de los informes de ensayo a los clientes internos.</t>
  </si>
  <si>
    <t>• Programar de los recursos necesarios para el desarrollo de las actividades de laboratorio.
• Ejecutar los servicios del laboratorio por medio de la manipulación de las muestras, ítems  de ensayos, ejecución de los ensayos, realización de los informes, solicitudes de ensayos externos y envió de los informes de ensayo a los clientes internos.
• Verificar el cumplimiento de los acuerdos de servicios y órdenes de servicio (correos, actas de reunión, ordenes de trabajo entre otros).</t>
  </si>
  <si>
    <t>Se solicitará la recuperación de la información almacenada en el repositori y se realizará la reconstrucción de los registros de toma de datos de acuerdo a la información recuperada.</t>
  </si>
  <si>
    <t>Los registros de toma de datos reconstruidos, los informes de ensayo e información recuperada</t>
  </si>
  <si>
    <t>Gestión de Laboratorio</t>
  </si>
  <si>
    <t>Se envia el informe a los clientes una vez sea emitido, con la justificación la cliente.</t>
  </si>
  <si>
    <t>Se anula el trabajo y/o el ensayo que se hallan realizado de manera errada, debido a que estas resultados no tendrían validez y se le notifica al cliente.</t>
  </si>
  <si>
    <t>Correo electronico donde se anula el trabajo y se notifica al cliente</t>
  </si>
  <si>
    <t>Correo electronico donde se envian los informes con la justificación a los clientes.</t>
  </si>
  <si>
    <t xml:space="preserve">
* Alteraciones de orden publico.
*Cambios climáticos que dificulten atrasen la ejecución de los ensayos.
* Interrupciones del servicio de internet.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</si>
</sst>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0.0%"/>
    <numFmt numFmtId="165" formatCode="_-&quot;$&quot;\ * #,##0_-;\-&quot;$&quot;\ * #,##0_-;_-&quot;$&quot;\ * &quot;-&quot;??_-;_-@_-"/>
    <numFmt numFmtId="166" formatCode="&quot;$&quot;\ #,##0.00"/>
  </numFmts>
  <fonts count="94"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sz val="16"/>
      <name val="Arial"/>
      <family val="2"/>
    </font>
    <font>
      <sz val="12"/>
      <color theme="1"/>
      <name val="Arial"/>
      <family val="2"/>
    </font>
    <font>
      <b/>
      <sz val="10"/>
      <color theme="0"/>
      <name val="Arial Narrow"/>
      <family val="2"/>
    </font>
    <font>
      <sz val="8"/>
      <name val="Calibri"/>
      <family val="2"/>
      <scheme val="minor"/>
    </font>
    <font>
      <b/>
      <sz val="16"/>
      <color theme="5" tint="-0.249977111117893"/>
      <name val="Arial"/>
      <family val="2"/>
    </font>
    <font>
      <b/>
      <sz val="24"/>
      <color theme="1"/>
      <name val="Arial Narrow"/>
      <family val="2"/>
    </font>
    <font>
      <sz val="13"/>
      <name val="Arial"/>
      <family val="2"/>
    </font>
    <font>
      <sz val="12"/>
      <color rgb="FF000000"/>
      <name val="Arial"/>
      <family val="2"/>
    </font>
    <font>
      <b/>
      <sz val="12"/>
      <color theme="1"/>
      <name val="Arial"/>
      <family val="2"/>
    </font>
  </fonts>
  <fills count="3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7"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3" tint="0.59999389629810485"/>
        <bgColor indexed="64"/>
      </patternFill>
    </fill>
  </fills>
  <borders count="141">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style="hair">
        <color theme="6" tint="-0.499984740745262"/>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medium">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medium">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right style="hair">
        <color theme="6" tint="-0.499984740745262"/>
      </right>
      <top style="medium">
        <color theme="6" tint="-0.499984740745262"/>
      </top>
      <bottom style="hair">
        <color theme="6" tint="-0.499984740745262"/>
      </bottom>
      <diagonal/>
    </border>
    <border>
      <left/>
      <right style="hair">
        <color theme="6" tint="-0.499984740745262"/>
      </right>
      <top style="hair">
        <color theme="6" tint="-0.499984740745262"/>
      </top>
      <bottom style="medium">
        <color theme="6" tint="-0.499984740745262"/>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hair">
        <color theme="6" tint="-0.499984740745262"/>
      </left>
      <right/>
      <top/>
      <bottom style="hair">
        <color theme="6" tint="-0.499984740745262"/>
      </bottom>
      <diagonal/>
    </border>
    <border>
      <left/>
      <right/>
      <top/>
      <bottom style="hair">
        <color theme="6" tint="-0.499984740745262"/>
      </bottom>
      <diagonal/>
    </border>
    <border>
      <left/>
      <right style="hair">
        <color theme="6" tint="-0.499984740745262"/>
      </right>
      <top/>
      <bottom style="hair">
        <color theme="6" tint="-0.4999847407452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theme="6" tint="-0.499984740745262"/>
      </left>
      <right/>
      <top/>
      <bottom/>
      <diagonal/>
    </border>
    <border>
      <left style="medium">
        <color theme="6" tint="-0.499984740745262"/>
      </left>
      <right/>
      <top style="medium">
        <color theme="6" tint="-0.499984740745262"/>
      </top>
      <bottom/>
      <diagonal/>
    </border>
    <border>
      <left/>
      <right/>
      <top style="medium">
        <color theme="6" tint="-0.499984740745262"/>
      </top>
      <bottom/>
      <diagonal/>
    </border>
    <border>
      <left/>
      <right style="hair">
        <color theme="6" tint="-0.499984740745262"/>
      </right>
      <top style="medium">
        <color theme="6" tint="-0.499984740745262"/>
      </top>
      <bottom/>
      <diagonal/>
    </border>
    <border>
      <left style="medium">
        <color theme="6" tint="-0.499984740745262"/>
      </left>
      <right/>
      <top/>
      <bottom style="medium">
        <color theme="6" tint="-0.499984740745262"/>
      </bottom>
      <diagonal/>
    </border>
    <border>
      <left/>
      <right/>
      <top/>
      <bottom style="medium">
        <color theme="6" tint="-0.499984740745262"/>
      </bottom>
      <diagonal/>
    </border>
    <border>
      <left/>
      <right style="hair">
        <color theme="6" tint="-0.499984740745262"/>
      </right>
      <top/>
      <bottom style="medium">
        <color theme="6" tint="-0.499984740745262"/>
      </bottom>
      <diagonal/>
    </border>
    <border>
      <left style="hair">
        <color theme="6" tint="-0.499984740745262"/>
      </left>
      <right/>
      <top style="medium">
        <color theme="6" tint="-0.499984740745262"/>
      </top>
      <bottom style="hair">
        <color theme="6" tint="-0.499984740745262"/>
      </bottom>
      <diagonal/>
    </border>
    <border>
      <left/>
      <right/>
      <top style="medium">
        <color theme="6" tint="-0.499984740745262"/>
      </top>
      <bottom style="hair">
        <color theme="6" tint="-0.499984740745262"/>
      </bottom>
      <diagonal/>
    </border>
    <border>
      <left style="medium">
        <color theme="6" tint="-0.499984740745262"/>
      </left>
      <right/>
      <top style="medium">
        <color theme="6" tint="-0.499984740745262"/>
      </top>
      <bottom style="hair">
        <color theme="6" tint="-0.499984740745262"/>
      </bottom>
      <diagonal/>
    </border>
    <border>
      <left/>
      <right/>
      <top style="hair">
        <color theme="6" tint="-0.499984740745262"/>
      </top>
      <bottom style="medium">
        <color theme="6" tint="-0.499984740745262"/>
      </bottom>
      <diagonal/>
    </border>
    <border>
      <left style="medium">
        <color theme="6" tint="-0.499984740745262"/>
      </left>
      <right/>
      <top style="hair">
        <color theme="6" tint="-0.499984740745262"/>
      </top>
      <bottom style="medium">
        <color theme="6" tint="-0.499984740745262"/>
      </bottom>
      <diagonal/>
    </border>
    <border>
      <left style="hair">
        <color theme="6" tint="-0.499984740745262"/>
      </left>
      <right/>
      <top style="hair">
        <color theme="6" tint="-0.499984740745262"/>
      </top>
      <bottom style="medium">
        <color theme="6" tint="-0.499984740745262"/>
      </bottom>
      <diagonal/>
    </border>
    <border>
      <left style="hair">
        <color theme="6" tint="-0.499984740745262"/>
      </left>
      <right/>
      <top style="hair">
        <color theme="6" tint="-0.499984740745262"/>
      </top>
      <bottom style="hair">
        <color theme="6" tint="-0.499984740745262"/>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7">
    <xf numFmtId="0" fontId="0" fillId="0" borderId="0"/>
    <xf numFmtId="9" fontId="12" fillId="0" borderId="0" applyFont="0" applyFill="0" applyBorder="0" applyAlignment="0" applyProtection="0"/>
    <xf numFmtId="0" fontId="42" fillId="0" borderId="0"/>
    <xf numFmtId="0" fontId="43" fillId="0" borderId="0"/>
    <xf numFmtId="0" fontId="4" fillId="0" borderId="0"/>
    <xf numFmtId="44" fontId="12" fillId="0" borderId="0" applyFont="0" applyFill="0" applyBorder="0" applyAlignment="0" applyProtection="0"/>
    <xf numFmtId="44" fontId="12" fillId="0" borderId="0" applyFont="0" applyFill="0" applyBorder="0" applyAlignment="0" applyProtection="0"/>
  </cellStyleXfs>
  <cellXfs count="627">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4" fillId="0" borderId="0" xfId="0" applyFont="1" applyAlignment="1">
      <alignment vertical="center"/>
    </xf>
    <xf numFmtId="0" fontId="25" fillId="0" borderId="0" xfId="0" applyFont="1"/>
    <xf numFmtId="0" fontId="23" fillId="0" borderId="0" xfId="0" applyFont="1"/>
    <xf numFmtId="0" fontId="0" fillId="0" borderId="0" xfId="0" pivotButton="1"/>
    <xf numFmtId="0" fontId="10" fillId="0" borderId="0" xfId="0" applyFont="1" applyAlignment="1">
      <alignment horizontal="justify" vertical="center" wrapText="1" readingOrder="1"/>
    </xf>
    <xf numFmtId="0" fontId="28" fillId="6" borderId="0" xfId="0" applyFont="1" applyFill="1" applyAlignment="1">
      <alignment horizontal="center" vertical="center" wrapText="1" readingOrder="1"/>
    </xf>
    <xf numFmtId="0" fontId="29" fillId="5" borderId="4" xfId="0" applyFont="1" applyFill="1" applyBorder="1" applyAlignment="1">
      <alignment horizontal="center" vertical="center" wrapText="1" readingOrder="1"/>
    </xf>
    <xf numFmtId="0" fontId="29" fillId="7" borderId="1" xfId="0" applyFont="1" applyFill="1" applyBorder="1" applyAlignment="1">
      <alignment horizontal="center" vertical="center" wrapText="1" readingOrder="1"/>
    </xf>
    <xf numFmtId="0" fontId="29" fillId="4" borderId="1" xfId="0" applyFont="1" applyFill="1" applyBorder="1" applyAlignment="1">
      <alignment horizontal="center" vertical="center" wrapText="1" readingOrder="1"/>
    </xf>
    <xf numFmtId="0" fontId="29" fillId="8" borderId="1" xfId="0" applyFont="1" applyFill="1" applyBorder="1" applyAlignment="1">
      <alignment horizontal="center" vertical="center" wrapText="1" readingOrder="1"/>
    </xf>
    <xf numFmtId="0" fontId="30" fillId="9" borderId="1" xfId="0" applyFont="1" applyFill="1" applyBorder="1" applyAlignment="1">
      <alignment horizontal="center" vertical="center" wrapText="1" readingOrder="1"/>
    </xf>
    <xf numFmtId="0" fontId="29" fillId="0" borderId="4" xfId="0" applyFont="1" applyBorder="1" applyAlignment="1">
      <alignment horizontal="center" vertical="center" wrapText="1" readingOrder="1"/>
    </xf>
    <xf numFmtId="0" fontId="29"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0" fillId="3" borderId="0" xfId="0" applyFill="1"/>
    <xf numFmtId="0" fontId="44" fillId="3" borderId="40" xfId="2" applyFont="1" applyFill="1" applyBorder="1"/>
    <xf numFmtId="0" fontId="44" fillId="3" borderId="41" xfId="2" applyFont="1" applyFill="1" applyBorder="1"/>
    <xf numFmtId="0" fontId="44" fillId="3" borderId="42" xfId="2" applyFont="1" applyFill="1" applyBorder="1"/>
    <xf numFmtId="0" fontId="14" fillId="3" borderId="0" xfId="0" applyFont="1" applyFill="1" applyAlignment="1">
      <alignment vertical="center"/>
    </xf>
    <xf numFmtId="0" fontId="4" fillId="3" borderId="0" xfId="0" applyFont="1" applyFill="1"/>
    <xf numFmtId="0" fontId="32" fillId="3" borderId="0" xfId="0" applyFont="1" applyFill="1"/>
    <xf numFmtId="0" fontId="33" fillId="3" borderId="23" xfId="0" applyFont="1" applyFill="1" applyBorder="1" applyAlignment="1">
      <alignment horizontal="center" vertical="center" wrapText="1" readingOrder="1"/>
    </xf>
    <xf numFmtId="0" fontId="34" fillId="3" borderId="23" xfId="0" applyFont="1" applyFill="1" applyBorder="1" applyAlignment="1">
      <alignment horizontal="justify" vertical="center" wrapText="1" readingOrder="1"/>
    </xf>
    <xf numFmtId="9" fontId="33" fillId="3" borderId="32" xfId="0" applyNumberFormat="1" applyFont="1" applyFill="1" applyBorder="1" applyAlignment="1">
      <alignment horizontal="center" vertical="center" wrapText="1" readingOrder="1"/>
    </xf>
    <xf numFmtId="0" fontId="33" fillId="3" borderId="22" xfId="0" applyFont="1" applyFill="1" applyBorder="1" applyAlignment="1">
      <alignment horizontal="center" vertical="center" wrapText="1" readingOrder="1"/>
    </xf>
    <xf numFmtId="0" fontId="34" fillId="3" borderId="22" xfId="0" applyFont="1" applyFill="1" applyBorder="1" applyAlignment="1">
      <alignment horizontal="justify" vertical="center" wrapText="1" readingOrder="1"/>
    </xf>
    <xf numFmtId="9" fontId="33" fillId="3" borderId="27" xfId="0" applyNumberFormat="1"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3" fillId="3" borderId="29" xfId="0" applyFont="1" applyFill="1" applyBorder="1" applyAlignment="1">
      <alignment horizontal="center" vertical="center" wrapText="1" readingOrder="1"/>
    </xf>
    <xf numFmtId="0" fontId="34" fillId="3" borderId="29" xfId="0" applyFont="1" applyFill="1" applyBorder="1" applyAlignment="1">
      <alignment horizontal="justify" vertical="center" wrapText="1" readingOrder="1"/>
    </xf>
    <xf numFmtId="0" fontId="34" fillId="3" borderId="30" xfId="0" applyFont="1" applyFill="1" applyBorder="1" applyAlignment="1">
      <alignment horizontal="center" vertical="center" wrapText="1" readingOrder="1"/>
    </xf>
    <xf numFmtId="0" fontId="41" fillId="3" borderId="0" xfId="0" applyFont="1" applyFill="1"/>
    <xf numFmtId="0" fontId="33" fillId="15" borderId="34" xfId="0" applyFont="1" applyFill="1" applyBorder="1" applyAlignment="1">
      <alignment horizontal="center" vertical="center" wrapText="1" readingOrder="1"/>
    </xf>
    <xf numFmtId="0" fontId="33"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4" fillId="3" borderId="7" xfId="2" applyFont="1" applyFill="1" applyBorder="1"/>
    <xf numFmtId="0" fontId="49" fillId="3" borderId="0" xfId="0" applyFont="1" applyFill="1" applyAlignment="1">
      <alignment horizontal="left" vertical="center" wrapText="1"/>
    </xf>
    <xf numFmtId="0" fontId="50" fillId="3" borderId="0" xfId="0" applyFont="1" applyFill="1" applyAlignment="1">
      <alignment horizontal="left" vertical="top" wrapText="1"/>
    </xf>
    <xf numFmtId="0" fontId="44" fillId="3" borderId="0" xfId="2" applyFont="1" applyFill="1"/>
    <xf numFmtId="0" fontId="44" fillId="3" borderId="8" xfId="2" applyFont="1" applyFill="1" applyBorder="1"/>
    <xf numFmtId="0" fontId="44" fillId="3" borderId="9" xfId="2" applyFont="1" applyFill="1" applyBorder="1"/>
    <xf numFmtId="0" fontId="44" fillId="3" borderId="11" xfId="2" applyFont="1" applyFill="1" applyBorder="1"/>
    <xf numFmtId="0" fontId="44" fillId="3" borderId="10" xfId="2" applyFont="1" applyFill="1" applyBorder="1"/>
    <xf numFmtId="0" fontId="48" fillId="3" borderId="0" xfId="2" applyFont="1" applyFill="1" applyAlignment="1">
      <alignment horizontal="left" vertical="center" wrapText="1"/>
    </xf>
    <xf numFmtId="0" fontId="44" fillId="3" borderId="0" xfId="2" applyFont="1" applyFill="1" applyAlignment="1">
      <alignment horizontal="left" vertical="center" wrapText="1"/>
    </xf>
    <xf numFmtId="0" fontId="44" fillId="3" borderId="0" xfId="2" quotePrefix="1" applyFont="1" applyFill="1" applyAlignment="1">
      <alignment horizontal="left" vertical="center" wrapText="1"/>
    </xf>
    <xf numFmtId="0" fontId="46" fillId="3" borderId="7" xfId="2" quotePrefix="1" applyFont="1" applyFill="1" applyBorder="1" applyAlignment="1">
      <alignment horizontal="left" vertical="top" wrapText="1"/>
    </xf>
    <xf numFmtId="0" fontId="47" fillId="3" borderId="0" xfId="2" quotePrefix="1" applyFont="1" applyFill="1" applyAlignment="1">
      <alignment horizontal="left" vertical="top" wrapText="1"/>
    </xf>
    <xf numFmtId="0" fontId="47" fillId="3" borderId="8" xfId="2" quotePrefix="1" applyFont="1" applyFill="1" applyBorder="1" applyAlignment="1">
      <alignment horizontal="left" vertical="top" wrapText="1"/>
    </xf>
    <xf numFmtId="0" fontId="29" fillId="0" borderId="64" xfId="0" applyFont="1" applyBorder="1" applyAlignment="1">
      <alignment horizontal="justify" vertical="center" wrapText="1" readingOrder="1"/>
    </xf>
    <xf numFmtId="0" fontId="29" fillId="0" borderId="65" xfId="0" applyFont="1" applyBorder="1" applyAlignment="1">
      <alignment horizontal="justify" vertical="center" wrapText="1" readingOrder="1"/>
    </xf>
    <xf numFmtId="165" fontId="27" fillId="3" borderId="0" xfId="5" applyNumberFormat="1" applyFont="1" applyFill="1" applyAlignment="1">
      <alignment horizontal="center" vertical="center" wrapText="1"/>
    </xf>
    <xf numFmtId="165" fontId="0" fillId="3" borderId="0" xfId="5" applyNumberFormat="1" applyFont="1" applyFill="1" applyAlignment="1">
      <alignment horizontal="center" vertical="center"/>
    </xf>
    <xf numFmtId="0" fontId="54" fillId="3" borderId="0" xfId="0" applyFont="1" applyFill="1"/>
    <xf numFmtId="0" fontId="55" fillId="3" borderId="0" xfId="0" applyFont="1" applyFill="1" applyAlignment="1">
      <alignment horizontal="justify" vertical="center" wrapText="1" readingOrder="1"/>
    </xf>
    <xf numFmtId="0" fontId="54" fillId="0" borderId="0" xfId="0" applyFont="1"/>
    <xf numFmtId="0" fontId="56" fillId="3" borderId="0" xfId="0" applyFont="1" applyFill="1" applyAlignment="1">
      <alignment vertical="center"/>
    </xf>
    <xf numFmtId="44" fontId="0" fillId="3" borderId="0" xfId="5" applyFont="1" applyFill="1" applyAlignment="1">
      <alignment horizontal="left" vertical="center"/>
    </xf>
    <xf numFmtId="44" fontId="54" fillId="3" borderId="0" xfId="5" applyFont="1" applyFill="1" applyAlignment="1">
      <alignment horizontal="left" vertical="center"/>
    </xf>
    <xf numFmtId="44" fontId="0" fillId="0" borderId="0" xfId="5" applyFont="1" applyAlignment="1">
      <alignment horizontal="left" vertical="center"/>
    </xf>
    <xf numFmtId="44" fontId="26" fillId="0" borderId="0" xfId="5" applyFont="1" applyAlignment="1">
      <alignment horizontal="left" vertical="center"/>
    </xf>
    <xf numFmtId="0" fontId="0" fillId="0" borderId="0" xfId="0" applyAlignment="1">
      <alignment wrapText="1"/>
    </xf>
    <xf numFmtId="0" fontId="25" fillId="0" borderId="0" xfId="0" applyFont="1" applyAlignment="1">
      <alignment wrapText="1"/>
    </xf>
    <xf numFmtId="0" fontId="0" fillId="0" borderId="0" xfId="0" applyAlignment="1">
      <alignment vertical="center" wrapText="1"/>
    </xf>
    <xf numFmtId="0" fontId="57" fillId="0" borderId="0" xfId="0" applyFont="1"/>
    <xf numFmtId="0" fontId="58" fillId="0" borderId="0" xfId="0" applyFont="1"/>
    <xf numFmtId="0" fontId="59" fillId="0" borderId="0" xfId="0" applyFont="1"/>
    <xf numFmtId="0" fontId="60" fillId="0" borderId="0" xfId="0" applyFont="1" applyAlignment="1">
      <alignment wrapText="1"/>
    </xf>
    <xf numFmtId="0" fontId="59" fillId="0" borderId="0" xfId="0" applyFont="1" applyAlignment="1">
      <alignment wrapText="1"/>
    </xf>
    <xf numFmtId="0" fontId="57" fillId="0" borderId="8" xfId="0" applyFont="1" applyBorder="1"/>
    <xf numFmtId="0" fontId="62" fillId="0" borderId="8" xfId="0" applyFont="1" applyBorder="1"/>
    <xf numFmtId="0" fontId="63" fillId="19" borderId="69" xfId="0" applyFont="1" applyFill="1" applyBorder="1" applyAlignment="1">
      <alignment horizontal="center" vertical="center" wrapText="1"/>
    </xf>
    <xf numFmtId="0" fontId="64" fillId="19" borderId="10" xfId="0" applyFont="1" applyFill="1" applyBorder="1" applyAlignment="1">
      <alignment horizontal="center" vertical="center" wrapText="1"/>
    </xf>
    <xf numFmtId="0" fontId="63" fillId="19" borderId="33" xfId="0" applyFont="1" applyFill="1" applyBorder="1" applyAlignment="1">
      <alignment horizontal="center" vertical="center" wrapText="1"/>
    </xf>
    <xf numFmtId="0" fontId="62" fillId="0" borderId="0" xfId="0" applyFont="1"/>
    <xf numFmtId="0" fontId="63" fillId="19" borderId="69" xfId="0" applyFont="1" applyFill="1" applyBorder="1" applyAlignment="1">
      <alignment horizontal="center" vertical="center" textRotation="90" wrapText="1"/>
    </xf>
    <xf numFmtId="0" fontId="60" fillId="0" borderId="6" xfId="0" applyFont="1" applyBorder="1" applyAlignment="1">
      <alignment horizontal="justify" vertical="center" wrapText="1"/>
    </xf>
    <xf numFmtId="0" fontId="63" fillId="19" borderId="68" xfId="0" applyFont="1" applyFill="1" applyBorder="1" applyAlignment="1">
      <alignment horizontal="center" vertical="center" textRotation="90" wrapText="1"/>
    </xf>
    <xf numFmtId="0" fontId="60" fillId="0" borderId="68" xfId="0" applyFont="1" applyBorder="1" applyAlignment="1">
      <alignment horizontal="left" vertical="center" wrapText="1"/>
    </xf>
    <xf numFmtId="0" fontId="63" fillId="19" borderId="71" xfId="0" applyFont="1" applyFill="1" applyBorder="1" applyAlignment="1">
      <alignment horizontal="center" vertical="center" textRotation="90" wrapText="1"/>
    </xf>
    <xf numFmtId="0" fontId="60" fillId="0" borderId="69" xfId="0" applyFont="1" applyBorder="1" applyAlignment="1">
      <alignment horizontal="left" vertical="center" wrapText="1"/>
    </xf>
    <xf numFmtId="0" fontId="63" fillId="19" borderId="6" xfId="0" applyFont="1" applyFill="1" applyBorder="1" applyAlignment="1">
      <alignment horizontal="center" vertical="center" textRotation="90" wrapText="1"/>
    </xf>
    <xf numFmtId="0" fontId="67" fillId="0" borderId="68" xfId="0" applyFont="1" applyBorder="1" applyAlignment="1">
      <alignment horizontal="left" vertical="center" wrapText="1"/>
    </xf>
    <xf numFmtId="0" fontId="63" fillId="19" borderId="36" xfId="0" applyFont="1" applyFill="1" applyBorder="1" applyAlignment="1">
      <alignment horizontal="center" vertical="center" textRotation="90" wrapText="1"/>
    </xf>
    <xf numFmtId="0" fontId="68" fillId="0" borderId="8" xfId="0" applyFont="1" applyBorder="1"/>
    <xf numFmtId="0" fontId="69" fillId="20" borderId="6" xfId="0" applyFont="1" applyFill="1" applyBorder="1" applyAlignment="1">
      <alignment horizontal="center" vertical="center" textRotation="90" wrapText="1"/>
    </xf>
    <xf numFmtId="0" fontId="68" fillId="0" borderId="0" xfId="0" applyFont="1"/>
    <xf numFmtId="0" fontId="68" fillId="20" borderId="36" xfId="0" applyFont="1" applyFill="1" applyBorder="1"/>
    <xf numFmtId="0" fontId="70" fillId="20" borderId="69" xfId="0" applyFont="1" applyFill="1" applyBorder="1" applyAlignment="1">
      <alignment horizontal="center" vertical="center" wrapText="1"/>
    </xf>
    <xf numFmtId="0" fontId="69" fillId="20" borderId="69" xfId="0" applyFont="1" applyFill="1" applyBorder="1" applyAlignment="1">
      <alignment horizontal="center" vertical="center" wrapText="1"/>
    </xf>
    <xf numFmtId="0" fontId="64" fillId="0" borderId="0" xfId="0" applyFont="1" applyAlignment="1">
      <alignment horizontal="center" vertical="center"/>
    </xf>
    <xf numFmtId="0" fontId="63" fillId="0" borderId="0" xfId="0" applyFont="1" applyAlignment="1">
      <alignment horizontal="center" vertical="center"/>
    </xf>
    <xf numFmtId="0" fontId="60" fillId="0" borderId="0" xfId="0" applyFont="1"/>
    <xf numFmtId="0" fontId="71" fillId="0" borderId="0" xfId="0" applyFont="1" applyAlignment="1">
      <alignment vertical="center" wrapText="1"/>
    </xf>
    <xf numFmtId="0" fontId="71" fillId="0" borderId="73" xfId="0" applyFont="1" applyBorder="1" applyAlignment="1">
      <alignment horizontal="center" vertical="center" wrapText="1"/>
    </xf>
    <xf numFmtId="0" fontId="71" fillId="0" borderId="26" xfId="0" applyFont="1" applyBorder="1" applyAlignment="1">
      <alignment horizontal="center" vertical="center" wrapText="1"/>
    </xf>
    <xf numFmtId="0" fontId="71" fillId="0" borderId="22" xfId="0" applyFont="1" applyBorder="1" applyAlignment="1">
      <alignment vertical="center" wrapText="1"/>
    </xf>
    <xf numFmtId="0" fontId="71" fillId="0" borderId="27" xfId="0" applyFont="1" applyBorder="1" applyAlignment="1">
      <alignment vertical="center" wrapText="1"/>
    </xf>
    <xf numFmtId="0" fontId="76" fillId="0" borderId="77" xfId="0" applyFont="1" applyBorder="1" applyAlignment="1">
      <alignment horizontal="justify" vertical="center" wrapText="1"/>
    </xf>
    <xf numFmtId="0" fontId="76" fillId="0" borderId="79" xfId="0" applyFont="1" applyBorder="1" applyAlignment="1">
      <alignment horizontal="justify" vertical="center" wrapText="1"/>
    </xf>
    <xf numFmtId="0" fontId="75" fillId="16" borderId="77" xfId="0" applyFont="1" applyFill="1" applyBorder="1" applyAlignment="1">
      <alignment horizontal="center" vertical="center" wrapText="1"/>
    </xf>
    <xf numFmtId="0" fontId="75" fillId="16" borderId="79" xfId="0" applyFont="1" applyFill="1" applyBorder="1" applyAlignment="1">
      <alignment horizontal="center" vertical="center" wrapText="1"/>
    </xf>
    <xf numFmtId="0" fontId="75" fillId="16" borderId="81" xfId="0" applyFont="1" applyFill="1" applyBorder="1" applyAlignment="1">
      <alignment horizontal="center" vertical="center" wrapText="1"/>
    </xf>
    <xf numFmtId="0" fontId="73" fillId="16" borderId="29" xfId="0" applyFont="1" applyFill="1" applyBorder="1" applyAlignment="1">
      <alignment horizontal="center" vertical="center" wrapText="1"/>
    </xf>
    <xf numFmtId="0" fontId="73" fillId="16" borderId="30" xfId="0" applyFont="1" applyFill="1" applyBorder="1" applyAlignment="1">
      <alignment horizontal="center" vertical="center" wrapText="1"/>
    </xf>
    <xf numFmtId="0" fontId="75" fillId="19" borderId="69" xfId="0" applyFont="1" applyFill="1" applyBorder="1" applyAlignment="1">
      <alignment horizontal="center" vertical="center" wrapText="1"/>
    </xf>
    <xf numFmtId="0" fontId="75" fillId="19" borderId="36" xfId="0" applyFont="1" applyFill="1" applyBorder="1" applyAlignment="1">
      <alignment horizontal="center" vertical="center" wrapText="1"/>
    </xf>
    <xf numFmtId="0" fontId="76" fillId="0" borderId="10" xfId="0" applyFont="1" applyBorder="1" applyAlignment="1">
      <alignment horizontal="justify" vertical="center" wrapText="1"/>
    </xf>
    <xf numFmtId="0" fontId="60" fillId="0" borderId="5" xfId="0" applyFont="1" applyBorder="1" applyAlignment="1">
      <alignment horizontal="justify" vertical="center" wrapText="1"/>
    </xf>
    <xf numFmtId="0" fontId="60" fillId="0" borderId="5" xfId="0" applyFont="1" applyBorder="1" applyAlignment="1">
      <alignment horizontal="left" vertical="center" wrapText="1"/>
    </xf>
    <xf numFmtId="0" fontId="59" fillId="0" borderId="24" xfId="0" applyFont="1" applyBorder="1" applyAlignment="1">
      <alignment horizontal="left" vertical="center" wrapText="1"/>
    </xf>
    <xf numFmtId="0" fontId="59" fillId="0" borderId="5" xfId="0" applyFont="1" applyBorder="1" applyAlignment="1">
      <alignment horizontal="justify" vertical="center" wrapText="1"/>
    </xf>
    <xf numFmtId="0" fontId="62" fillId="0" borderId="85" xfId="0" applyFont="1" applyBorder="1" applyAlignment="1">
      <alignment horizontal="center" vertical="center"/>
    </xf>
    <xf numFmtId="0" fontId="62" fillId="0" borderId="84" xfId="0" applyFont="1" applyBorder="1" applyAlignment="1">
      <alignment horizontal="center" vertical="center"/>
    </xf>
    <xf numFmtId="0" fontId="68" fillId="0" borderId="86" xfId="0" applyFont="1" applyBorder="1" applyAlignment="1">
      <alignment horizontal="center" vertical="center"/>
    </xf>
    <xf numFmtId="0" fontId="78" fillId="24" borderId="89" xfId="0" applyFont="1" applyFill="1" applyBorder="1" applyAlignment="1">
      <alignment horizontal="left" vertical="center" wrapText="1" readingOrder="1"/>
    </xf>
    <xf numFmtId="0" fontId="78" fillId="25" borderId="89" xfId="0" applyFont="1" applyFill="1" applyBorder="1" applyAlignment="1">
      <alignment horizontal="left" vertical="center" wrapText="1" readingOrder="1"/>
    </xf>
    <xf numFmtId="0" fontId="84" fillId="0" borderId="84" xfId="0" applyFont="1" applyBorder="1" applyAlignment="1">
      <alignment vertical="center" wrapText="1"/>
    </xf>
    <xf numFmtId="0" fontId="83" fillId="0" borderId="84" xfId="0" applyFont="1" applyBorder="1" applyAlignment="1">
      <alignment vertical="center"/>
    </xf>
    <xf numFmtId="0" fontId="83" fillId="0" borderId="84" xfId="0" applyFont="1" applyBorder="1" applyAlignment="1">
      <alignment vertical="center" wrapText="1"/>
    </xf>
    <xf numFmtId="0" fontId="83" fillId="26" borderId="0" xfId="0" applyFont="1" applyFill="1" applyAlignment="1">
      <alignment horizontal="center" vertical="center"/>
    </xf>
    <xf numFmtId="0" fontId="75" fillId="26" borderId="69" xfId="0" applyFont="1" applyFill="1" applyBorder="1" applyAlignment="1">
      <alignment horizontal="center" vertical="center" wrapText="1"/>
    </xf>
    <xf numFmtId="0" fontId="75" fillId="26" borderId="36" xfId="0" applyFont="1" applyFill="1" applyBorder="1" applyAlignment="1">
      <alignment horizontal="center" vertical="center" wrapText="1"/>
    </xf>
    <xf numFmtId="0" fontId="71" fillId="0" borderId="74" xfId="0" applyFont="1" applyBorder="1" applyAlignment="1">
      <alignment horizontal="center" vertical="center" wrapText="1"/>
    </xf>
    <xf numFmtId="0" fontId="71" fillId="0" borderId="75" xfId="0" applyFont="1" applyBorder="1" applyAlignment="1">
      <alignment horizontal="center" vertical="center" wrapText="1"/>
    </xf>
    <xf numFmtId="0" fontId="71" fillId="0" borderId="22" xfId="0" applyFont="1" applyBorder="1" applyAlignment="1">
      <alignment horizontal="center" vertical="center" wrapText="1"/>
    </xf>
    <xf numFmtId="0" fontId="71" fillId="0" borderId="27" xfId="0" applyFont="1" applyBorder="1" applyAlignment="1">
      <alignment horizontal="center" vertical="center" wrapText="1"/>
    </xf>
    <xf numFmtId="0" fontId="0" fillId="3" borderId="0" xfId="0" applyFill="1" applyAlignment="1">
      <alignment vertical="top"/>
    </xf>
    <xf numFmtId="44" fontId="0" fillId="3" borderId="0" xfId="5" applyFont="1" applyFill="1" applyAlignment="1">
      <alignment horizontal="left" vertical="top"/>
    </xf>
    <xf numFmtId="0" fontId="0" fillId="0" borderId="0" xfId="0" applyAlignment="1">
      <alignment vertical="top"/>
    </xf>
    <xf numFmtId="44" fontId="53" fillId="3" borderId="0" xfId="5" applyFont="1" applyFill="1" applyAlignment="1">
      <alignment vertical="top"/>
    </xf>
    <xf numFmtId="0" fontId="80" fillId="0" borderId="90" xfId="0" applyFont="1" applyBorder="1" applyAlignment="1" applyProtection="1">
      <alignment horizontal="center" vertical="center" wrapText="1"/>
      <protection locked="0"/>
    </xf>
    <xf numFmtId="0" fontId="80" fillId="0" borderId="90" xfId="0" applyFont="1" applyBorder="1" applyAlignment="1" applyProtection="1">
      <alignment horizontal="justify" vertical="center" wrapText="1"/>
      <protection locked="0"/>
    </xf>
    <xf numFmtId="0" fontId="80" fillId="0" borderId="90" xfId="0" applyFont="1" applyBorder="1" applyAlignment="1" applyProtection="1">
      <alignment horizontal="justify" vertical="center"/>
      <protection locked="0"/>
    </xf>
    <xf numFmtId="0" fontId="80" fillId="0" borderId="90" xfId="0" applyFont="1" applyBorder="1" applyAlignment="1" applyProtection="1">
      <alignment horizontal="center" vertical="center"/>
      <protection hidden="1"/>
    </xf>
    <xf numFmtId="0" fontId="80" fillId="0" borderId="90" xfId="0" applyFont="1" applyBorder="1" applyAlignment="1" applyProtection="1">
      <alignment horizontal="center" vertical="center" textRotation="90"/>
      <protection locked="0"/>
    </xf>
    <xf numFmtId="9" fontId="80" fillId="0" borderId="90" xfId="0" applyNumberFormat="1" applyFont="1" applyBorder="1" applyAlignment="1" applyProtection="1">
      <alignment horizontal="center" vertical="center"/>
      <protection hidden="1"/>
    </xf>
    <xf numFmtId="164" fontId="80" fillId="0" borderId="90" xfId="1" applyNumberFormat="1" applyFont="1" applyFill="1" applyBorder="1" applyAlignment="1">
      <alignment horizontal="center" vertical="center"/>
    </xf>
    <xf numFmtId="0" fontId="81" fillId="0" borderId="90" xfId="0" applyFont="1" applyBorder="1" applyAlignment="1" applyProtection="1">
      <alignment horizontal="center" vertical="center" textRotation="90" wrapText="1"/>
      <protection hidden="1"/>
    </xf>
    <xf numFmtId="0" fontId="81" fillId="0" borderId="90" xfId="0" applyFont="1" applyBorder="1" applyAlignment="1" applyProtection="1">
      <alignment horizontal="center" vertical="center" textRotation="90"/>
      <protection hidden="1"/>
    </xf>
    <xf numFmtId="0" fontId="80" fillId="0" borderId="90" xfId="0" applyFont="1" applyBorder="1" applyAlignment="1" applyProtection="1">
      <alignment horizontal="center" vertical="center" textRotation="90" wrapText="1"/>
      <protection locked="0"/>
    </xf>
    <xf numFmtId="0" fontId="80" fillId="0" borderId="90" xfId="0" applyFont="1" applyBorder="1" applyAlignment="1" applyProtection="1">
      <alignment horizontal="center" vertical="center"/>
      <protection locked="0"/>
    </xf>
    <xf numFmtId="14" fontId="80" fillId="0" borderId="90" xfId="0" applyNumberFormat="1" applyFont="1" applyBorder="1" applyAlignment="1" applyProtection="1">
      <alignment horizontal="center" vertical="center"/>
      <protection locked="0"/>
    </xf>
    <xf numFmtId="0" fontId="80" fillId="0" borderId="0" xfId="0" applyFont="1"/>
    <xf numFmtId="0" fontId="80" fillId="0" borderId="90" xfId="0" applyFont="1" applyBorder="1" applyAlignment="1" applyProtection="1">
      <alignment horizontal="justify" vertical="top" wrapText="1"/>
      <protection locked="0"/>
    </xf>
    <xf numFmtId="0" fontId="85" fillId="3" borderId="0" xfId="0" applyFont="1" applyFill="1"/>
    <xf numFmtId="0" fontId="85" fillId="0" borderId="0" xfId="0" applyFont="1"/>
    <xf numFmtId="0" fontId="80" fillId="3" borderId="0" xfId="0" applyFont="1" applyFill="1" applyAlignment="1">
      <alignment horizontal="center" vertical="center"/>
    </xf>
    <xf numFmtId="0" fontId="80" fillId="3" borderId="0" xfId="0" applyFont="1" applyFill="1" applyAlignment="1">
      <alignment horizontal="left" vertical="center"/>
    </xf>
    <xf numFmtId="0" fontId="80" fillId="3" borderId="0" xfId="0" applyFont="1" applyFill="1"/>
    <xf numFmtId="0" fontId="80" fillId="3" borderId="0" xfId="0" applyFont="1" applyFill="1" applyAlignment="1">
      <alignment horizontal="center"/>
    </xf>
    <xf numFmtId="0" fontId="81" fillId="0" borderId="0" xfId="0" applyFont="1" applyAlignment="1">
      <alignment horizontal="left" vertical="center"/>
    </xf>
    <xf numFmtId="0" fontId="80" fillId="0" borderId="0" xfId="0" applyFont="1" applyAlignment="1" applyProtection="1">
      <alignment horizontal="left" vertical="center" wrapText="1"/>
      <protection locked="0"/>
    </xf>
    <xf numFmtId="0" fontId="81" fillId="0" borderId="0" xfId="0" applyFont="1"/>
    <xf numFmtId="0" fontId="80" fillId="0" borderId="0" xfId="0" applyFont="1" applyAlignment="1">
      <alignment horizontal="left" wrapText="1"/>
    </xf>
    <xf numFmtId="0" fontId="81" fillId="16" borderId="90" xfId="0" applyFont="1" applyFill="1" applyBorder="1" applyAlignment="1">
      <alignment horizontal="center" vertical="center" textRotation="90"/>
    </xf>
    <xf numFmtId="0" fontId="81" fillId="3" borderId="0" xfId="0" applyFont="1" applyFill="1" applyAlignment="1">
      <alignment horizontal="center" vertical="center"/>
    </xf>
    <xf numFmtId="0" fontId="81" fillId="0" borderId="0" xfId="0" applyFont="1" applyAlignment="1">
      <alignment horizontal="center" vertical="center"/>
    </xf>
    <xf numFmtId="0" fontId="81" fillId="2" borderId="0" xfId="0" applyFont="1" applyFill="1" applyAlignment="1">
      <alignment horizontal="center" vertical="center"/>
    </xf>
    <xf numFmtId="0" fontId="80" fillId="0" borderId="90" xfId="0" applyFont="1" applyBorder="1" applyAlignment="1">
      <alignment horizontal="center" vertical="center"/>
    </xf>
    <xf numFmtId="0" fontId="80" fillId="0" borderId="0" xfId="0" applyFont="1" applyAlignment="1">
      <alignment vertical="center"/>
    </xf>
    <xf numFmtId="0" fontId="80" fillId="0" borderId="3" xfId="0" applyFont="1" applyBorder="1" applyAlignment="1">
      <alignment horizontal="center" vertical="center"/>
    </xf>
    <xf numFmtId="0" fontId="80" fillId="0" borderId="0" xfId="0" applyFont="1" applyAlignment="1">
      <alignment wrapText="1"/>
    </xf>
    <xf numFmtId="0" fontId="80" fillId="0" borderId="0" xfId="0" applyFont="1" applyAlignment="1">
      <alignment horizontal="center" vertical="center"/>
    </xf>
    <xf numFmtId="0" fontId="80" fillId="0" borderId="0" xfId="0" applyFont="1" applyAlignment="1">
      <alignment horizontal="center"/>
    </xf>
    <xf numFmtId="166" fontId="29" fillId="0" borderId="64" xfId="0" applyNumberFormat="1" applyFont="1" applyBorder="1" applyAlignment="1">
      <alignment horizontal="center" vertical="center" wrapText="1" readingOrder="1"/>
    </xf>
    <xf numFmtId="0" fontId="80" fillId="0" borderId="91" xfId="0" applyFont="1" applyBorder="1" applyAlignment="1" applyProtection="1">
      <alignment horizontal="center" vertical="center" wrapText="1"/>
      <protection locked="0"/>
    </xf>
    <xf numFmtId="0" fontId="80" fillId="0" borderId="103" xfId="0" applyFont="1" applyBorder="1" applyAlignment="1" applyProtection="1">
      <alignment horizontal="center" vertical="center" wrapText="1"/>
      <protection locked="0"/>
    </xf>
    <xf numFmtId="0" fontId="80" fillId="0" borderId="92" xfId="0" applyFont="1" applyBorder="1" applyAlignment="1" applyProtection="1">
      <alignment horizontal="center" vertical="center" wrapText="1"/>
      <protection locked="0"/>
    </xf>
    <xf numFmtId="0" fontId="81" fillId="16" borderId="92" xfId="0" applyFont="1" applyFill="1" applyBorder="1" applyAlignment="1">
      <alignment vertical="center"/>
    </xf>
    <xf numFmtId="0" fontId="0" fillId="21" borderId="7" xfId="0" applyFill="1" applyBorder="1"/>
    <xf numFmtId="0" fontId="0" fillId="21" borderId="0" xfId="0" applyFill="1"/>
    <xf numFmtId="0" fontId="0" fillId="0" borderId="8" xfId="0" applyBorder="1"/>
    <xf numFmtId="0" fontId="0" fillId="8" borderId="7" xfId="0" applyFill="1" applyBorder="1"/>
    <xf numFmtId="0" fontId="0" fillId="8" borderId="0" xfId="0" applyFill="1"/>
    <xf numFmtId="0" fontId="0" fillId="27" borderId="7" xfId="0" applyFill="1" applyBorder="1"/>
    <xf numFmtId="0" fontId="0" fillId="27" borderId="0" xfId="0" applyFill="1"/>
    <xf numFmtId="0" fontId="0" fillId="27" borderId="9" xfId="0" applyFill="1" applyBorder="1"/>
    <xf numFmtId="0" fontId="0" fillId="27" borderId="11" xfId="0" applyFill="1" applyBorder="1"/>
    <xf numFmtId="0" fontId="0" fillId="0" borderId="11" xfId="0" applyBorder="1"/>
    <xf numFmtId="0" fontId="0" fillId="0" borderId="10" xfId="0" applyBorder="1"/>
    <xf numFmtId="0" fontId="83" fillId="0" borderId="24" xfId="0" applyFont="1" applyBorder="1"/>
    <xf numFmtId="0" fontId="83" fillId="0" borderId="25" xfId="0" applyFont="1" applyBorder="1"/>
    <xf numFmtId="0" fontId="0" fillId="0" borderId="25" xfId="0" applyBorder="1"/>
    <xf numFmtId="0" fontId="0" fillId="0" borderId="36" xfId="0" applyBorder="1"/>
    <xf numFmtId="0" fontId="86" fillId="0" borderId="90" xfId="0" applyFont="1" applyBorder="1" applyAlignment="1" applyProtection="1">
      <alignment horizontal="justify" vertical="center" wrapText="1"/>
      <protection locked="0"/>
    </xf>
    <xf numFmtId="0" fontId="87" fillId="28" borderId="115" xfId="0" applyFont="1" applyFill="1" applyBorder="1" applyAlignment="1" applyProtection="1">
      <alignment horizontal="center" vertical="center" wrapText="1"/>
      <protection hidden="1"/>
    </xf>
    <xf numFmtId="0" fontId="87" fillId="28" borderId="116" xfId="0" applyFont="1" applyFill="1" applyBorder="1" applyAlignment="1" applyProtection="1">
      <alignment horizontal="center" vertical="center" wrapText="1"/>
      <protection hidden="1"/>
    </xf>
    <xf numFmtId="0" fontId="87" fillId="28" borderId="117" xfId="0" applyFont="1" applyFill="1" applyBorder="1" applyAlignment="1" applyProtection="1">
      <alignment horizontal="center" vertical="center" wrapText="1"/>
      <protection hidden="1"/>
    </xf>
    <xf numFmtId="0" fontId="0" fillId="3" borderId="0" xfId="0" applyFill="1" applyAlignment="1">
      <alignment horizontal="center" vertical="center"/>
    </xf>
    <xf numFmtId="14" fontId="0" fillId="3" borderId="0" xfId="0" applyNumberFormat="1" applyFill="1" applyAlignment="1">
      <alignment horizontal="center" vertical="center"/>
    </xf>
    <xf numFmtId="0" fontId="0" fillId="3" borderId="0" xfId="0" applyFill="1" applyAlignment="1">
      <alignment horizontal="center" vertical="center" wrapText="1"/>
    </xf>
    <xf numFmtId="0" fontId="71" fillId="0" borderId="0" xfId="0" applyFont="1" applyAlignment="1">
      <alignment vertical="center"/>
    </xf>
    <xf numFmtId="0" fontId="83" fillId="0" borderId="70" xfId="0" applyFont="1" applyBorder="1" applyAlignment="1">
      <alignment vertical="center"/>
    </xf>
    <xf numFmtId="0" fontId="83" fillId="3" borderId="0" xfId="0" applyFont="1" applyFill="1"/>
    <xf numFmtId="0" fontId="81" fillId="21" borderId="92" xfId="0" applyFont="1" applyFill="1" applyBorder="1" applyAlignment="1">
      <alignment horizontal="center" vertical="center" wrapText="1"/>
    </xf>
    <xf numFmtId="0" fontId="81" fillId="21" borderId="91" xfId="0" applyFont="1" applyFill="1" applyBorder="1" applyAlignment="1">
      <alignment horizontal="center" vertical="center" wrapText="1"/>
    </xf>
    <xf numFmtId="0" fontId="79" fillId="0" borderId="125" xfId="0" applyFont="1" applyBorder="1" applyAlignment="1">
      <alignment vertical="center"/>
    </xf>
    <xf numFmtId="0" fontId="79" fillId="0" borderId="0" xfId="0" applyFont="1" applyBorder="1" applyAlignment="1">
      <alignment vertical="center"/>
    </xf>
    <xf numFmtId="0" fontId="89" fillId="0" borderId="0" xfId="0" applyFont="1" applyBorder="1" applyAlignment="1">
      <alignment vertical="center"/>
    </xf>
    <xf numFmtId="0" fontId="80" fillId="3" borderId="0" xfId="0" applyFont="1" applyFill="1" applyBorder="1"/>
    <xf numFmtId="0" fontId="80" fillId="3" borderId="0" xfId="0" applyFont="1" applyFill="1" applyBorder="1" applyAlignment="1">
      <alignment horizontal="center"/>
    </xf>
    <xf numFmtId="0" fontId="80" fillId="3" borderId="0" xfId="0" applyFont="1" applyFill="1" applyBorder="1" applyAlignment="1">
      <alignment wrapText="1"/>
    </xf>
    <xf numFmtId="0" fontId="80" fillId="0" borderId="0" xfId="0" applyFont="1" applyFill="1" applyBorder="1" applyAlignment="1" applyProtection="1">
      <alignment vertical="center"/>
      <protection locked="0"/>
    </xf>
    <xf numFmtId="0" fontId="80" fillId="3" borderId="0" xfId="0" applyFont="1" applyFill="1" applyBorder="1" applyAlignment="1" applyProtection="1">
      <alignment vertical="center" wrapText="1"/>
      <protection locked="0"/>
    </xf>
    <xf numFmtId="0" fontId="81" fillId="3" borderId="0" xfId="0" applyFont="1" applyFill="1" applyBorder="1"/>
    <xf numFmtId="0" fontId="79" fillId="0" borderId="130" xfId="0" applyFont="1" applyBorder="1" applyAlignment="1">
      <alignment vertical="center"/>
    </xf>
    <xf numFmtId="0" fontId="89" fillId="0" borderId="118" xfId="0" applyFont="1" applyBorder="1" applyAlignment="1">
      <alignment vertical="center"/>
    </xf>
    <xf numFmtId="0" fontId="80" fillId="3" borderId="0" xfId="0" applyFont="1" applyFill="1" applyBorder="1" applyAlignment="1" applyProtection="1">
      <alignment vertical="center"/>
      <protection locked="0"/>
    </xf>
    <xf numFmtId="0" fontId="80" fillId="0" borderId="90" xfId="0" applyFont="1" applyBorder="1" applyAlignment="1" applyProtection="1">
      <alignment horizontal="center" vertical="center" wrapText="1"/>
      <protection locked="0"/>
    </xf>
    <xf numFmtId="0" fontId="80" fillId="0" borderId="90" xfId="0" applyFont="1" applyBorder="1" applyAlignment="1" applyProtection="1">
      <alignment horizontal="center" vertical="center"/>
      <protection locked="0"/>
    </xf>
    <xf numFmtId="0" fontId="80" fillId="0" borderId="90" xfId="0" applyFont="1" applyBorder="1" applyAlignment="1" applyProtection="1">
      <alignment horizontal="justify" vertical="center" wrapText="1"/>
      <protection locked="0"/>
    </xf>
    <xf numFmtId="0" fontId="80" fillId="0" borderId="90" xfId="0" applyFont="1" applyBorder="1" applyAlignment="1" applyProtection="1">
      <alignment horizontal="center" vertical="center" wrapText="1"/>
      <protection locked="0"/>
    </xf>
    <xf numFmtId="0" fontId="80" fillId="0" borderId="90" xfId="0" applyFont="1" applyBorder="1" applyAlignment="1" applyProtection="1">
      <alignment horizontal="center" vertical="center"/>
      <protection locked="0"/>
    </xf>
    <xf numFmtId="0" fontId="80" fillId="0" borderId="91" xfId="0" applyFont="1" applyBorder="1" applyAlignment="1" applyProtection="1">
      <alignment vertical="center" wrapText="1"/>
      <protection locked="0"/>
    </xf>
    <xf numFmtId="0" fontId="80" fillId="0" borderId="90" xfId="0" applyFont="1" applyBorder="1" applyAlignment="1" applyProtection="1">
      <alignment vertical="center" wrapText="1"/>
      <protection locked="0"/>
    </xf>
    <xf numFmtId="0" fontId="80" fillId="0" borderId="103" xfId="0" applyFont="1" applyBorder="1" applyAlignment="1" applyProtection="1">
      <alignment vertical="center" wrapText="1"/>
      <protection locked="0"/>
    </xf>
    <xf numFmtId="0" fontId="80" fillId="0" borderId="92" xfId="0" applyFont="1" applyBorder="1" applyAlignment="1" applyProtection="1">
      <alignment vertical="center" wrapText="1"/>
      <protection locked="0"/>
    </xf>
    <xf numFmtId="0" fontId="45" fillId="23" borderId="37" xfId="2" applyFont="1" applyFill="1" applyBorder="1" applyAlignment="1">
      <alignment horizontal="center" vertical="center" wrapText="1"/>
    </xf>
    <xf numFmtId="0" fontId="45" fillId="23" borderId="38" xfId="2" applyFont="1" applyFill="1" applyBorder="1" applyAlignment="1">
      <alignment horizontal="center" vertical="center" wrapText="1"/>
    </xf>
    <xf numFmtId="0" fontId="45" fillId="23" borderId="39" xfId="2" applyFont="1" applyFill="1" applyBorder="1" applyAlignment="1">
      <alignment horizontal="center" vertical="center" wrapText="1"/>
    </xf>
    <xf numFmtId="0" fontId="44" fillId="0" borderId="7" xfId="2" quotePrefix="1" applyFont="1" applyBorder="1" applyAlignment="1">
      <alignment horizontal="left" vertical="center" wrapText="1"/>
    </xf>
    <xf numFmtId="0" fontId="44" fillId="0" borderId="0" xfId="2" quotePrefix="1" applyFont="1" applyAlignment="1">
      <alignment horizontal="left" vertical="center" wrapText="1"/>
    </xf>
    <xf numFmtId="0" fontId="44" fillId="0" borderId="8" xfId="2" quotePrefix="1" applyFont="1" applyBorder="1" applyAlignment="1">
      <alignment horizontal="left" vertical="center" wrapText="1"/>
    </xf>
    <xf numFmtId="0" fontId="44" fillId="0" borderId="57" xfId="2" quotePrefix="1" applyFont="1" applyBorder="1" applyAlignment="1">
      <alignment horizontal="left" vertical="center" wrapText="1"/>
    </xf>
    <xf numFmtId="0" fontId="44" fillId="0" borderId="58" xfId="2" quotePrefix="1" applyFont="1" applyBorder="1" applyAlignment="1">
      <alignment horizontal="left" vertical="center" wrapText="1"/>
    </xf>
    <xf numFmtId="0" fontId="44" fillId="0" borderId="59" xfId="2" quotePrefix="1" applyFont="1" applyBorder="1" applyAlignment="1">
      <alignment horizontal="left" vertical="center" wrapText="1"/>
    </xf>
    <xf numFmtId="0" fontId="46" fillId="3" borderId="40" xfId="2" quotePrefix="1" applyFont="1" applyFill="1" applyBorder="1" applyAlignment="1">
      <alignment horizontal="left" vertical="top" wrapText="1"/>
    </xf>
    <xf numFmtId="0" fontId="47" fillId="3" borderId="41" xfId="2" quotePrefix="1" applyFont="1" applyFill="1" applyBorder="1" applyAlignment="1">
      <alignment horizontal="left" vertical="top" wrapText="1"/>
    </xf>
    <xf numFmtId="0" fontId="47" fillId="3" borderId="42" xfId="2" quotePrefix="1" applyFont="1" applyFill="1" applyBorder="1" applyAlignment="1">
      <alignment horizontal="left" vertical="top" wrapText="1"/>
    </xf>
    <xf numFmtId="0" fontId="44" fillId="0" borderId="7" xfId="2" quotePrefix="1" applyFont="1" applyBorder="1" applyAlignment="1">
      <alignment horizontal="left" vertical="top" wrapText="1"/>
    </xf>
    <xf numFmtId="0" fontId="44" fillId="0" borderId="0" xfId="2" quotePrefix="1" applyFont="1" applyAlignment="1">
      <alignment horizontal="left" vertical="top" wrapText="1"/>
    </xf>
    <xf numFmtId="0" fontId="44" fillId="0" borderId="8" xfId="2" quotePrefix="1" applyFont="1" applyBorder="1" applyAlignment="1">
      <alignment horizontal="left" vertical="top" wrapText="1"/>
    </xf>
    <xf numFmtId="0" fontId="49" fillId="14" borderId="43" xfId="3" applyFont="1" applyFill="1" applyBorder="1" applyAlignment="1">
      <alignment horizontal="center" vertical="center" wrapText="1"/>
    </xf>
    <xf numFmtId="0" fontId="49" fillId="14" borderId="44" xfId="3" applyFont="1" applyFill="1" applyBorder="1" applyAlignment="1">
      <alignment horizontal="center" vertical="center" wrapText="1"/>
    </xf>
    <xf numFmtId="0" fontId="49" fillId="14" borderId="45" xfId="2" applyFont="1" applyFill="1" applyBorder="1" applyAlignment="1">
      <alignment horizontal="center" vertical="center"/>
    </xf>
    <xf numFmtId="0" fontId="49"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49" fillId="3" borderId="47" xfId="3" applyFont="1" applyFill="1" applyBorder="1" applyAlignment="1">
      <alignment horizontal="left" vertical="top" wrapText="1" readingOrder="1"/>
    </xf>
    <xf numFmtId="0" fontId="49" fillId="3" borderId="48" xfId="3" applyFont="1" applyFill="1" applyBorder="1" applyAlignment="1">
      <alignment horizontal="left" vertical="top" wrapText="1" readingOrder="1"/>
    </xf>
    <xf numFmtId="0" fontId="50" fillId="3" borderId="49" xfId="2" applyFont="1" applyFill="1" applyBorder="1" applyAlignment="1">
      <alignment horizontal="justify" vertical="center" wrapText="1"/>
    </xf>
    <xf numFmtId="0" fontId="50" fillId="3" borderId="50" xfId="2" applyFont="1" applyFill="1" applyBorder="1" applyAlignment="1">
      <alignment horizontal="justify" vertical="center" wrapText="1"/>
    </xf>
    <xf numFmtId="0" fontId="49" fillId="3" borderId="51" xfId="0" applyFont="1" applyFill="1" applyBorder="1" applyAlignment="1">
      <alignment horizontal="left" vertical="center" wrapText="1"/>
    </xf>
    <xf numFmtId="0" fontId="49" fillId="3" borderId="52" xfId="0" applyFont="1" applyFill="1" applyBorder="1" applyAlignment="1">
      <alignment horizontal="left" vertical="center" wrapText="1"/>
    </xf>
    <xf numFmtId="0" fontId="50" fillId="3" borderId="53" xfId="2" applyFont="1" applyFill="1" applyBorder="1" applyAlignment="1">
      <alignment horizontal="justify" vertical="center" wrapText="1"/>
    </xf>
    <xf numFmtId="0" fontId="50" fillId="3" borderId="54" xfId="2" applyFont="1" applyFill="1" applyBorder="1" applyAlignment="1">
      <alignment horizontal="justify" vertical="center" wrapText="1"/>
    </xf>
    <xf numFmtId="0" fontId="44" fillId="3" borderId="7" xfId="2" applyFont="1" applyFill="1" applyBorder="1" applyAlignment="1">
      <alignment horizontal="left" vertical="top" wrapText="1"/>
    </xf>
    <xf numFmtId="0" fontId="44" fillId="3" borderId="0" xfId="2" applyFont="1" applyFill="1" applyAlignment="1">
      <alignment horizontal="left" vertical="top" wrapText="1"/>
    </xf>
    <xf numFmtId="0" fontId="44" fillId="3" borderId="8" xfId="2" applyFont="1" applyFill="1" applyBorder="1" applyAlignment="1">
      <alignment horizontal="left" vertical="top" wrapText="1"/>
    </xf>
    <xf numFmtId="0" fontId="49" fillId="3" borderId="60" xfId="0" applyFont="1" applyFill="1" applyBorder="1" applyAlignment="1">
      <alignment horizontal="left" vertical="center" wrapText="1"/>
    </xf>
    <xf numFmtId="0" fontId="49" fillId="3" borderId="61" xfId="0" applyFont="1" applyFill="1" applyBorder="1" applyAlignment="1">
      <alignment horizontal="left" vertical="center" wrapText="1"/>
    </xf>
    <xf numFmtId="0" fontId="49" fillId="3" borderId="62" xfId="0" applyFont="1" applyFill="1" applyBorder="1" applyAlignment="1">
      <alignment horizontal="left" vertical="center" wrapText="1"/>
    </xf>
    <xf numFmtId="0" fontId="49" fillId="3" borderId="63" xfId="0" applyFont="1" applyFill="1" applyBorder="1" applyAlignment="1">
      <alignment horizontal="left" vertical="center" wrapText="1"/>
    </xf>
    <xf numFmtId="0" fontId="50" fillId="3" borderId="55" xfId="0" applyFont="1" applyFill="1" applyBorder="1" applyAlignment="1">
      <alignment horizontal="justify" vertical="center" wrapText="1"/>
    </xf>
    <xf numFmtId="0" fontId="50" fillId="3" borderId="56" xfId="0" applyFont="1" applyFill="1" applyBorder="1" applyAlignment="1">
      <alignment horizontal="justify" vertical="center" wrapText="1"/>
    </xf>
    <xf numFmtId="0" fontId="61" fillId="17" borderId="66" xfId="0" applyFont="1" applyFill="1" applyBorder="1" applyAlignment="1">
      <alignment horizontal="center" vertical="center" wrapText="1"/>
    </xf>
    <xf numFmtId="0" fontId="61" fillId="17" borderId="67" xfId="0" applyFont="1" applyFill="1" applyBorder="1" applyAlignment="1">
      <alignment horizontal="center" vertical="center" wrapText="1"/>
    </xf>
    <xf numFmtId="0" fontId="61" fillId="18" borderId="68" xfId="0" applyFont="1" applyFill="1" applyBorder="1" applyAlignment="1">
      <alignment horizontal="center" vertical="center" textRotation="90"/>
    </xf>
    <xf numFmtId="0" fontId="61" fillId="18" borderId="70" xfId="0" applyFont="1" applyFill="1" applyBorder="1" applyAlignment="1">
      <alignment horizontal="center" vertical="center" textRotation="90"/>
    </xf>
    <xf numFmtId="0" fontId="61" fillId="18" borderId="72" xfId="0" applyFont="1" applyFill="1" applyBorder="1" applyAlignment="1">
      <alignment horizontal="center" vertical="center" textRotation="90"/>
    </xf>
    <xf numFmtId="0" fontId="77" fillId="22" borderId="87" xfId="0" applyFont="1" applyFill="1" applyBorder="1" applyAlignment="1">
      <alignment horizontal="center" vertical="center"/>
    </xf>
    <xf numFmtId="0" fontId="77" fillId="22" borderId="88" xfId="0" applyFont="1" applyFill="1" applyBorder="1" applyAlignment="1">
      <alignment horizontal="center" vertical="center"/>
    </xf>
    <xf numFmtId="0" fontId="75" fillId="0" borderId="71" xfId="0" applyFont="1" applyBorder="1" applyAlignment="1">
      <alignment horizontal="center" vertical="center" wrapText="1"/>
    </xf>
    <xf numFmtId="0" fontId="75" fillId="0" borderId="70" xfId="0" applyFont="1" applyBorder="1" applyAlignment="1">
      <alignment horizontal="center" vertical="center" wrapText="1"/>
    </xf>
    <xf numFmtId="0" fontId="75" fillId="0" borderId="83" xfId="0" applyFont="1" applyBorder="1" applyAlignment="1">
      <alignment horizontal="center" vertical="center" wrapText="1"/>
    </xf>
    <xf numFmtId="0" fontId="75" fillId="0" borderId="68" xfId="0" applyFont="1" applyBorder="1" applyAlignment="1">
      <alignment horizontal="center" vertical="center" wrapText="1"/>
    </xf>
    <xf numFmtId="0" fontId="81" fillId="16" borderId="90" xfId="0" applyFont="1" applyFill="1" applyBorder="1" applyAlignment="1">
      <alignment horizontal="center" vertical="center" wrapText="1"/>
    </xf>
    <xf numFmtId="9" fontId="80" fillId="0" borderId="90" xfId="0" applyNumberFormat="1" applyFont="1" applyBorder="1" applyAlignment="1" applyProtection="1">
      <alignment horizontal="center" vertical="center" wrapText="1"/>
      <protection locked="0"/>
    </xf>
    <xf numFmtId="0" fontId="81" fillId="21" borderId="118" xfId="0" applyFont="1" applyFill="1" applyBorder="1" applyAlignment="1">
      <alignment horizontal="center" vertical="center" wrapText="1"/>
    </xf>
    <xf numFmtId="0" fontId="81" fillId="21" borderId="94" xfId="0" applyFont="1" applyFill="1" applyBorder="1" applyAlignment="1">
      <alignment horizontal="center" vertical="center" wrapText="1"/>
    </xf>
    <xf numFmtId="0" fontId="81" fillId="16" borderId="112" xfId="0" applyFont="1" applyFill="1" applyBorder="1" applyAlignment="1">
      <alignment horizontal="center" vertical="center"/>
    </xf>
    <xf numFmtId="0" fontId="81" fillId="16" borderId="113" xfId="0" applyFont="1" applyFill="1" applyBorder="1" applyAlignment="1">
      <alignment horizontal="center" vertical="center"/>
    </xf>
    <xf numFmtId="0" fontId="81" fillId="16" borderId="114" xfId="0" applyFont="1" applyFill="1" applyBorder="1" applyAlignment="1">
      <alignment horizontal="center" vertical="center"/>
    </xf>
    <xf numFmtId="0" fontId="80" fillId="3" borderId="91" xfId="0" applyFont="1" applyFill="1" applyBorder="1" applyAlignment="1" applyProtection="1">
      <alignment horizontal="center" vertical="center" wrapText="1"/>
      <protection locked="0"/>
    </xf>
    <xf numFmtId="0" fontId="80" fillId="3" borderId="103" xfId="0" applyFont="1" applyFill="1" applyBorder="1" applyAlignment="1" applyProtection="1">
      <alignment horizontal="center" vertical="center" wrapText="1"/>
      <protection locked="0"/>
    </xf>
    <xf numFmtId="0" fontId="80" fillId="3" borderId="92" xfId="0" applyFont="1" applyFill="1" applyBorder="1" applyAlignment="1" applyProtection="1">
      <alignment horizontal="center" vertical="center" wrapText="1"/>
      <protection locked="0"/>
    </xf>
    <xf numFmtId="0" fontId="81" fillId="0" borderId="90" xfId="0" applyFont="1" applyBorder="1" applyAlignment="1" applyProtection="1">
      <alignment horizontal="center" vertical="center"/>
      <protection hidden="1"/>
    </xf>
    <xf numFmtId="9" fontId="80" fillId="0" borderId="90" xfId="0" applyNumberFormat="1" applyFont="1" applyBorder="1" applyAlignment="1" applyProtection="1">
      <alignment horizontal="center" vertical="center" wrapText="1"/>
      <protection hidden="1"/>
    </xf>
    <xf numFmtId="0" fontId="81" fillId="0" borderId="90" xfId="0" applyFont="1" applyBorder="1" applyAlignment="1" applyProtection="1">
      <alignment horizontal="center" vertical="center" wrapText="1"/>
      <protection hidden="1"/>
    </xf>
    <xf numFmtId="0" fontId="81" fillId="16" borderId="90" xfId="0" applyFont="1" applyFill="1" applyBorder="1" applyAlignment="1">
      <alignment horizontal="center" vertical="center" textRotation="90" wrapText="1"/>
    </xf>
    <xf numFmtId="0" fontId="80" fillId="0" borderId="91" xfId="0" applyFont="1" applyBorder="1" applyAlignment="1" applyProtection="1">
      <alignment horizontal="center" vertical="center" wrapText="1"/>
      <protection locked="0"/>
    </xf>
    <xf numFmtId="0" fontId="80" fillId="0" borderId="103" xfId="0" applyFont="1" applyBorder="1" applyAlignment="1" applyProtection="1">
      <alignment horizontal="center" vertical="center" wrapText="1"/>
      <protection locked="0"/>
    </xf>
    <xf numFmtId="0" fontId="80" fillId="0" borderId="92" xfId="0" applyFont="1" applyBorder="1" applyAlignment="1" applyProtection="1">
      <alignment horizontal="center" vertical="center" wrapText="1"/>
      <protection locked="0"/>
    </xf>
    <xf numFmtId="0" fontId="81" fillId="16" borderId="92" xfId="0" applyFont="1" applyFill="1" applyBorder="1" applyAlignment="1">
      <alignment horizontal="center" vertical="center"/>
    </xf>
    <xf numFmtId="0" fontId="80" fillId="0" borderId="90" xfId="0" applyFont="1" applyBorder="1" applyAlignment="1" applyProtection="1">
      <alignment horizontal="center" vertical="center"/>
      <protection locked="0"/>
    </xf>
    <xf numFmtId="0" fontId="81" fillId="29" borderId="112" xfId="0" applyFont="1" applyFill="1" applyBorder="1" applyAlignment="1">
      <alignment horizontal="center" vertical="center"/>
    </xf>
    <xf numFmtId="0" fontId="81" fillId="29" borderId="113" xfId="0" applyFont="1" applyFill="1" applyBorder="1" applyAlignment="1">
      <alignment horizontal="center" vertical="center"/>
    </xf>
    <xf numFmtId="0" fontId="81" fillId="29" borderId="114" xfId="0" applyFont="1" applyFill="1" applyBorder="1" applyAlignment="1">
      <alignment horizontal="center" vertical="center"/>
    </xf>
    <xf numFmtId="0" fontId="80" fillId="0" borderId="90" xfId="0" applyFont="1" applyBorder="1" applyAlignment="1" applyProtection="1">
      <alignment horizontal="center" vertical="center" wrapText="1"/>
      <protection locked="0"/>
    </xf>
    <xf numFmtId="0" fontId="80" fillId="0" borderId="90" xfId="0" applyFont="1" applyBorder="1" applyAlignment="1" applyProtection="1">
      <alignment horizontal="justify" vertical="center" wrapText="1"/>
      <protection locked="0"/>
    </xf>
    <xf numFmtId="0" fontId="81" fillId="16" borderId="112" xfId="0" applyFont="1" applyFill="1" applyBorder="1" applyAlignment="1">
      <alignment horizontal="center" vertical="center" wrapText="1"/>
    </xf>
    <xf numFmtId="0" fontId="81" fillId="16" borderId="113" xfId="0" applyFont="1" applyFill="1" applyBorder="1" applyAlignment="1">
      <alignment horizontal="center" vertical="center" wrapText="1"/>
    </xf>
    <xf numFmtId="0" fontId="81" fillId="16" borderId="114" xfId="0" applyFont="1" applyFill="1" applyBorder="1" applyAlignment="1">
      <alignment horizontal="center" vertical="center" wrapText="1"/>
    </xf>
    <xf numFmtId="0" fontId="81" fillId="16" borderId="90" xfId="0" applyFont="1" applyFill="1" applyBorder="1" applyAlignment="1">
      <alignment horizontal="center" vertical="center"/>
    </xf>
    <xf numFmtId="0" fontId="80" fillId="3" borderId="91" xfId="0" applyFont="1" applyFill="1" applyBorder="1" applyAlignment="1" applyProtection="1">
      <alignment horizontal="justify" vertical="center" wrapText="1"/>
      <protection locked="0"/>
    </xf>
    <xf numFmtId="0" fontId="80" fillId="3" borderId="103" xfId="0" applyFont="1" applyFill="1" applyBorder="1" applyAlignment="1" applyProtection="1">
      <alignment horizontal="justify" vertical="center" wrapText="1"/>
      <protection locked="0"/>
    </xf>
    <xf numFmtId="0" fontId="80" fillId="3" borderId="92" xfId="0" applyFont="1" applyFill="1" applyBorder="1" applyAlignment="1" applyProtection="1">
      <alignment horizontal="justify" vertical="center" wrapText="1"/>
      <protection locked="0"/>
    </xf>
    <xf numFmtId="14" fontId="80" fillId="0" borderId="90" xfId="0" applyNumberFormat="1" applyFont="1" applyBorder="1" applyAlignment="1" applyProtection="1">
      <alignment horizontal="center" vertical="center" wrapText="1"/>
      <protection locked="0"/>
    </xf>
    <xf numFmtId="0" fontId="81" fillId="0" borderId="91" xfId="0" applyFont="1" applyBorder="1" applyAlignment="1">
      <alignment horizontal="center" vertical="center"/>
    </xf>
    <xf numFmtId="0" fontId="81" fillId="0" borderId="103" xfId="0" applyFont="1" applyBorder="1" applyAlignment="1">
      <alignment horizontal="center" vertical="center"/>
    </xf>
    <xf numFmtId="0" fontId="81" fillId="0" borderId="92" xfId="0" applyFont="1" applyBorder="1" applyAlignment="1">
      <alignment horizontal="center" vertical="center"/>
    </xf>
    <xf numFmtId="0" fontId="81" fillId="27" borderId="90" xfId="0" applyFont="1" applyFill="1" applyBorder="1" applyAlignment="1">
      <alignment horizontal="center" vertical="center" textRotation="90"/>
    </xf>
    <xf numFmtId="0" fontId="81" fillId="27" borderId="90" xfId="0" applyFont="1" applyFill="1" applyBorder="1" applyAlignment="1">
      <alignment horizontal="center" vertical="center"/>
    </xf>
    <xf numFmtId="0" fontId="81" fillId="27" borderId="90" xfId="0" applyFont="1" applyFill="1" applyBorder="1" applyAlignment="1">
      <alignment horizontal="center" vertical="center" wrapText="1"/>
    </xf>
    <xf numFmtId="0" fontId="81" fillId="29" borderId="91" xfId="0" applyFont="1" applyFill="1" applyBorder="1" applyAlignment="1">
      <alignment horizontal="center" vertical="center" wrapText="1"/>
    </xf>
    <xf numFmtId="0" fontId="81" fillId="29" borderId="92" xfId="0" applyFont="1" applyFill="1" applyBorder="1" applyAlignment="1">
      <alignment horizontal="center" vertical="center" wrapText="1"/>
    </xf>
    <xf numFmtId="0" fontId="81" fillId="0" borderId="90" xfId="0" applyFont="1" applyBorder="1" applyAlignment="1">
      <alignment horizontal="center" vertical="center"/>
    </xf>
    <xf numFmtId="0" fontId="92" fillId="0" borderId="90" xfId="0" applyFont="1" applyBorder="1" applyAlignment="1" applyProtection="1">
      <alignment horizontal="center" vertical="top" wrapText="1"/>
      <protection locked="0"/>
    </xf>
    <xf numFmtId="0" fontId="80" fillId="0" borderId="90" xfId="0" applyFont="1" applyBorder="1" applyAlignment="1" applyProtection="1">
      <alignment horizontal="center" vertical="top" wrapText="1"/>
      <protection locked="0"/>
    </xf>
    <xf numFmtId="0" fontId="80" fillId="0" borderId="90" xfId="0" applyFont="1" applyBorder="1" applyAlignment="1" applyProtection="1">
      <alignment horizontal="left" vertical="center" wrapText="1"/>
      <protection locked="0"/>
    </xf>
    <xf numFmtId="0" fontId="80" fillId="0" borderId="2" xfId="0" applyFont="1" applyBorder="1" applyAlignment="1">
      <alignment horizontal="left" vertical="center" wrapText="1"/>
    </xf>
    <xf numFmtId="0" fontId="80" fillId="0" borderId="21" xfId="0" applyFont="1" applyBorder="1" applyAlignment="1">
      <alignment horizontal="left" vertical="center" wrapText="1"/>
    </xf>
    <xf numFmtId="0" fontId="80" fillId="3" borderId="0" xfId="0" applyFont="1" applyFill="1" applyBorder="1" applyAlignment="1">
      <alignment horizontal="left" wrapText="1"/>
    </xf>
    <xf numFmtId="0" fontId="79" fillId="0" borderId="0" xfId="0" applyFont="1" applyBorder="1" applyAlignment="1">
      <alignment horizontal="center" vertical="center"/>
    </xf>
    <xf numFmtId="0" fontId="79" fillId="0" borderId="0" xfId="0" applyFont="1" applyBorder="1" applyAlignment="1">
      <alignment horizontal="left" vertical="center"/>
    </xf>
    <xf numFmtId="0" fontId="81" fillId="21" borderId="106" xfId="0" applyFont="1" applyFill="1" applyBorder="1" applyAlignment="1">
      <alignment horizontal="left" vertical="center"/>
    </xf>
    <xf numFmtId="0" fontId="81" fillId="21" borderId="107" xfId="0" applyFont="1" applyFill="1" applyBorder="1" applyAlignment="1">
      <alignment horizontal="left" vertical="center"/>
    </xf>
    <xf numFmtId="0" fontId="81" fillId="21" borderId="108" xfId="0" applyFont="1" applyFill="1" applyBorder="1" applyAlignment="1">
      <alignment horizontal="left" vertical="center"/>
    </xf>
    <xf numFmtId="0" fontId="81" fillId="21" borderId="109" xfId="0" applyFont="1" applyFill="1" applyBorder="1" applyAlignment="1">
      <alignment horizontal="left" vertical="center"/>
    </xf>
    <xf numFmtId="0" fontId="81" fillId="21" borderId="110" xfId="0" applyFont="1" applyFill="1" applyBorder="1" applyAlignment="1">
      <alignment horizontal="left" vertical="center"/>
    </xf>
    <xf numFmtId="0" fontId="81" fillId="21" borderId="111" xfId="0" applyFont="1" applyFill="1" applyBorder="1" applyAlignment="1">
      <alignment horizontal="left" vertical="center"/>
    </xf>
    <xf numFmtId="0" fontId="81" fillId="3" borderId="0" xfId="0" applyFont="1" applyFill="1" applyBorder="1" applyAlignment="1">
      <alignment horizontal="left" vertical="center"/>
    </xf>
    <xf numFmtId="0" fontId="91" fillId="0" borderId="132" xfId="0" applyFont="1" applyFill="1" applyBorder="1" applyAlignment="1" applyProtection="1">
      <alignment horizontal="left" vertical="center"/>
      <protection locked="0"/>
    </xf>
    <xf numFmtId="0" fontId="91" fillId="0" borderId="133" xfId="0" applyFont="1" applyFill="1" applyBorder="1" applyAlignment="1" applyProtection="1">
      <alignment horizontal="left" vertical="center"/>
      <protection locked="0"/>
    </xf>
    <xf numFmtId="0" fontId="91" fillId="0" borderId="134" xfId="0" applyFont="1" applyFill="1" applyBorder="1" applyAlignment="1" applyProtection="1">
      <alignment horizontal="left" vertical="center"/>
      <protection locked="0"/>
    </xf>
    <xf numFmtId="0" fontId="80" fillId="3" borderId="135" xfId="0" applyFont="1" applyFill="1" applyBorder="1" applyAlignment="1" applyProtection="1">
      <alignment horizontal="left" vertical="center" wrapText="1"/>
      <protection locked="0"/>
    </xf>
    <xf numFmtId="0" fontId="80" fillId="3" borderId="136" xfId="0" applyFont="1" applyFill="1" applyBorder="1" applyAlignment="1" applyProtection="1">
      <alignment horizontal="left" vertical="center" wrapText="1"/>
      <protection locked="0"/>
    </xf>
    <xf numFmtId="0" fontId="80" fillId="3" borderId="137" xfId="0" applyFont="1" applyFill="1" applyBorder="1" applyAlignment="1" applyProtection="1">
      <alignment horizontal="left" vertical="center" wrapText="1"/>
      <protection locked="0"/>
    </xf>
    <xf numFmtId="0" fontId="81" fillId="27" borderId="112" xfId="0" applyFont="1" applyFill="1" applyBorder="1" applyAlignment="1">
      <alignment horizontal="center" vertical="center"/>
    </xf>
    <xf numFmtId="0" fontId="81" fillId="27" borderId="113" xfId="0" applyFont="1" applyFill="1" applyBorder="1" applyAlignment="1">
      <alignment horizontal="center" vertical="center"/>
    </xf>
    <xf numFmtId="0" fontId="81" fillId="27" borderId="114" xfId="0" applyFont="1" applyFill="1" applyBorder="1" applyAlignment="1">
      <alignment horizontal="center" vertical="center"/>
    </xf>
    <xf numFmtId="14" fontId="80" fillId="0" borderId="91" xfId="0" applyNumberFormat="1" applyFont="1" applyBorder="1" applyAlignment="1" applyProtection="1">
      <alignment horizontal="center" vertical="center" wrapText="1"/>
      <protection locked="0"/>
    </xf>
    <xf numFmtId="0" fontId="80" fillId="3" borderId="138" xfId="0" applyFont="1" applyFill="1" applyBorder="1" applyAlignment="1" applyProtection="1">
      <alignment horizontal="left" vertical="center" wrapText="1"/>
      <protection locked="0"/>
    </xf>
    <xf numFmtId="0" fontId="80" fillId="3" borderId="139" xfId="0" applyFont="1" applyFill="1" applyBorder="1" applyAlignment="1" applyProtection="1">
      <alignment horizontal="left" vertical="center" wrapText="1"/>
      <protection locked="0"/>
    </xf>
    <xf numFmtId="0" fontId="80" fillId="3" borderId="140" xfId="0" applyFont="1" applyFill="1" applyBorder="1" applyAlignment="1" applyProtection="1">
      <alignment horizontal="left" vertical="center" wrapText="1"/>
      <protection locked="0"/>
    </xf>
    <xf numFmtId="0" fontId="79" fillId="0" borderId="5" xfId="0" applyFont="1" applyBorder="1" applyAlignment="1">
      <alignment horizontal="center" vertical="center"/>
    </xf>
    <xf numFmtId="0" fontId="79" fillId="0" borderId="12" xfId="0" applyFont="1" applyBorder="1" applyAlignment="1">
      <alignment horizontal="center" vertical="center"/>
    </xf>
    <xf numFmtId="0" fontId="79" fillId="0" borderId="6" xfId="0" applyFont="1" applyBorder="1" applyAlignment="1">
      <alignment horizontal="center" vertical="center"/>
    </xf>
    <xf numFmtId="0" fontId="79" fillId="0" borderId="9" xfId="0" applyFont="1" applyBorder="1" applyAlignment="1">
      <alignment horizontal="center" vertical="center"/>
    </xf>
    <xf numFmtId="0" fontId="79" fillId="0" borderId="11" xfId="0" applyFont="1" applyBorder="1" applyAlignment="1">
      <alignment horizontal="center" vertical="center"/>
    </xf>
    <xf numFmtId="0" fontId="79" fillId="0" borderId="10" xfId="0" applyFont="1" applyBorder="1" applyAlignment="1">
      <alignment horizontal="center" vertical="center"/>
    </xf>
    <xf numFmtId="0" fontId="79" fillId="0" borderId="24" xfId="0" applyFont="1" applyBorder="1" applyAlignment="1">
      <alignment horizontal="left" vertical="center"/>
    </xf>
    <xf numFmtId="0" fontId="79" fillId="0" borderId="25" xfId="0" applyFont="1" applyBorder="1" applyAlignment="1">
      <alignment horizontal="left" vertical="center"/>
    </xf>
    <xf numFmtId="0" fontId="79" fillId="0" borderId="36" xfId="0" applyFont="1" applyBorder="1" applyAlignment="1">
      <alignment horizontal="left" vertical="center"/>
    </xf>
    <xf numFmtId="0" fontId="85" fillId="0" borderId="95" xfId="0" applyFont="1" applyBorder="1" applyAlignment="1">
      <alignment horizontal="center" vertical="center"/>
    </xf>
    <xf numFmtId="0" fontId="85" fillId="0" borderId="96" xfId="0" applyFont="1" applyBorder="1" applyAlignment="1">
      <alignment horizontal="center" vertical="center"/>
    </xf>
    <xf numFmtId="0" fontId="85" fillId="0" borderId="125" xfId="0" applyFont="1" applyBorder="1" applyAlignment="1">
      <alignment horizontal="center" vertical="center"/>
    </xf>
    <xf numFmtId="0" fontId="85" fillId="0" borderId="98" xfId="0" applyFont="1" applyBorder="1" applyAlignment="1">
      <alignment horizontal="center" vertical="center"/>
    </xf>
    <xf numFmtId="0" fontId="85" fillId="0" borderId="90" xfId="0" applyFont="1" applyBorder="1" applyAlignment="1">
      <alignment horizontal="center" vertical="center"/>
    </xf>
    <xf numFmtId="0" fontId="85" fillId="0" borderId="131" xfId="0" applyFont="1" applyBorder="1" applyAlignment="1">
      <alignment horizontal="center" vertical="center"/>
    </xf>
    <xf numFmtId="0" fontId="85" fillId="0" borderId="100" xfId="0" applyFont="1" applyBorder="1" applyAlignment="1">
      <alignment horizontal="center" vertical="center"/>
    </xf>
    <xf numFmtId="0" fontId="85" fillId="0" borderId="101" xfId="0" applyFont="1" applyBorder="1" applyAlignment="1">
      <alignment horizontal="center" vertical="center"/>
    </xf>
    <xf numFmtId="0" fontId="85" fillId="0" borderId="130" xfId="0" applyFont="1" applyBorder="1" applyAlignment="1">
      <alignment horizontal="center" vertical="center"/>
    </xf>
    <xf numFmtId="0" fontId="22" fillId="26" borderId="0" xfId="0" applyFont="1" applyFill="1" applyAlignment="1">
      <alignment horizontal="center" vertical="center" wrapText="1"/>
    </xf>
    <xf numFmtId="0" fontId="18" fillId="5" borderId="7"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38" fillId="0" borderId="5" xfId="0" applyFont="1" applyBorder="1" applyAlignment="1">
      <alignment horizontal="center" vertical="center" wrapText="1"/>
    </xf>
    <xf numFmtId="0" fontId="38" fillId="0" borderId="12"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8" fillId="0" borderId="0" xfId="0" applyFont="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8" fillId="0" borderId="11" xfId="0" applyFont="1" applyBorder="1" applyAlignment="1">
      <alignment horizontal="center" vertical="center"/>
    </xf>
    <xf numFmtId="0" fontId="38" fillId="0" borderId="10" xfId="0" applyFont="1" applyBorder="1" applyAlignment="1">
      <alignment horizontal="center" vertical="center"/>
    </xf>
    <xf numFmtId="0" fontId="38" fillId="0" borderId="12" xfId="0" applyFont="1" applyBorder="1" applyAlignment="1">
      <alignment horizontal="center" vertical="center" wrapText="1"/>
    </xf>
    <xf numFmtId="0" fontId="37" fillId="11" borderId="13" xfId="0" applyFont="1" applyFill="1" applyBorder="1" applyAlignment="1">
      <alignment horizontal="center" vertical="center" wrapText="1" readingOrder="1"/>
    </xf>
    <xf numFmtId="0" fontId="37" fillId="11" borderId="14" xfId="0" applyFont="1" applyFill="1" applyBorder="1" applyAlignment="1">
      <alignment horizontal="center" vertical="center" wrapText="1" readingOrder="1"/>
    </xf>
    <xf numFmtId="0" fontId="37" fillId="11" borderId="15" xfId="0" applyFont="1" applyFill="1" applyBorder="1" applyAlignment="1">
      <alignment horizontal="center" vertical="center" wrapText="1" readingOrder="1"/>
    </xf>
    <xf numFmtId="0" fontId="37" fillId="11" borderId="16" xfId="0" applyFont="1" applyFill="1" applyBorder="1" applyAlignment="1">
      <alignment horizontal="center" vertical="center" wrapText="1" readingOrder="1"/>
    </xf>
    <xf numFmtId="0" fontId="37" fillId="11" borderId="0" xfId="0" applyFont="1" applyFill="1" applyAlignment="1">
      <alignment horizontal="center" vertical="center" wrapText="1" readingOrder="1"/>
    </xf>
    <xf numFmtId="0" fontId="37" fillId="11" borderId="17" xfId="0" applyFont="1" applyFill="1" applyBorder="1" applyAlignment="1">
      <alignment horizontal="center" vertical="center" wrapText="1" readingOrder="1"/>
    </xf>
    <xf numFmtId="0" fontId="37" fillId="11" borderId="18" xfId="0" applyFont="1" applyFill="1" applyBorder="1" applyAlignment="1">
      <alignment horizontal="center" vertical="center" wrapText="1" readingOrder="1"/>
    </xf>
    <xf numFmtId="0" fontId="37" fillId="11" borderId="19" xfId="0" applyFont="1" applyFill="1" applyBorder="1" applyAlignment="1">
      <alignment horizontal="center" vertical="center" wrapText="1" readingOrder="1"/>
    </xf>
    <xf numFmtId="0" fontId="37" fillId="11" borderId="20" xfId="0" applyFont="1" applyFill="1" applyBorder="1" applyAlignment="1">
      <alignment horizontal="center" vertical="center" wrapText="1" readingOrder="1"/>
    </xf>
    <xf numFmtId="0" fontId="38" fillId="0" borderId="7" xfId="0" applyFont="1" applyBorder="1" applyAlignment="1">
      <alignment horizontal="center" vertical="center" wrapText="1"/>
    </xf>
    <xf numFmtId="0" fontId="37" fillId="12" borderId="13" xfId="0" applyFont="1" applyFill="1" applyBorder="1" applyAlignment="1">
      <alignment horizontal="center" vertical="center" wrapText="1" readingOrder="1"/>
    </xf>
    <xf numFmtId="0" fontId="37" fillId="12" borderId="14" xfId="0" applyFont="1" applyFill="1" applyBorder="1" applyAlignment="1">
      <alignment horizontal="center" vertical="center" wrapText="1" readingOrder="1"/>
    </xf>
    <xf numFmtId="0" fontId="37" fillId="12" borderId="15" xfId="0" applyFont="1" applyFill="1" applyBorder="1" applyAlignment="1">
      <alignment horizontal="center" vertical="center" wrapText="1" readingOrder="1"/>
    </xf>
    <xf numFmtId="0" fontId="37" fillId="12" borderId="16" xfId="0" applyFont="1" applyFill="1" applyBorder="1" applyAlignment="1">
      <alignment horizontal="center" vertical="center" wrapText="1" readingOrder="1"/>
    </xf>
    <xf numFmtId="0" fontId="37" fillId="12" borderId="0" xfId="0" applyFont="1" applyFill="1" applyAlignment="1">
      <alignment horizontal="center" vertical="center" wrapText="1" readingOrder="1"/>
    </xf>
    <xf numFmtId="0" fontId="37" fillId="12" borderId="17" xfId="0" applyFont="1" applyFill="1" applyBorder="1" applyAlignment="1">
      <alignment horizontal="center" vertical="center" wrapText="1" readingOrder="1"/>
    </xf>
    <xf numFmtId="0" fontId="37" fillId="12" borderId="18" xfId="0" applyFont="1" applyFill="1" applyBorder="1" applyAlignment="1">
      <alignment horizontal="center" vertical="center" wrapText="1" readingOrder="1"/>
    </xf>
    <xf numFmtId="0" fontId="37" fillId="12" borderId="19" xfId="0" applyFont="1" applyFill="1" applyBorder="1" applyAlignment="1">
      <alignment horizontal="center" vertical="center" wrapText="1" readingOrder="1"/>
    </xf>
    <xf numFmtId="0" fontId="37" fillId="12" borderId="20" xfId="0" applyFont="1" applyFill="1" applyBorder="1" applyAlignment="1">
      <alignment horizontal="center" vertical="center" wrapText="1" readingOrder="1"/>
    </xf>
    <xf numFmtId="0" fontId="90" fillId="26" borderId="0" xfId="0" applyFont="1" applyFill="1" applyAlignment="1">
      <alignment horizontal="center" vertical="center" wrapText="1"/>
    </xf>
    <xf numFmtId="0" fontId="21" fillId="26" borderId="0" xfId="0" applyFont="1" applyFill="1" applyAlignment="1">
      <alignment horizontal="center" vertical="center" wrapText="1"/>
    </xf>
    <xf numFmtId="0" fontId="37" fillId="5" borderId="13" xfId="0" applyFont="1" applyFill="1" applyBorder="1" applyAlignment="1">
      <alignment horizontal="center" vertical="center" wrapText="1" readingOrder="1"/>
    </xf>
    <xf numFmtId="0" fontId="37" fillId="5" borderId="14" xfId="0" applyFont="1" applyFill="1" applyBorder="1" applyAlignment="1">
      <alignment horizontal="center" vertical="center" wrapText="1" readingOrder="1"/>
    </xf>
    <xf numFmtId="0" fontId="37" fillId="5" borderId="15" xfId="0" applyFont="1" applyFill="1" applyBorder="1" applyAlignment="1">
      <alignment horizontal="center" vertical="center" wrapText="1" readingOrder="1"/>
    </xf>
    <xf numFmtId="0" fontId="37" fillId="5" borderId="16" xfId="0" applyFont="1" applyFill="1" applyBorder="1" applyAlignment="1">
      <alignment horizontal="center" vertical="center" wrapText="1" readingOrder="1"/>
    </xf>
    <xf numFmtId="0" fontId="37" fillId="5" borderId="0" xfId="0" applyFont="1" applyFill="1" applyAlignment="1">
      <alignment horizontal="center" vertical="center" wrapText="1" readingOrder="1"/>
    </xf>
    <xf numFmtId="0" fontId="37" fillId="5" borderId="17" xfId="0" applyFont="1" applyFill="1" applyBorder="1" applyAlignment="1">
      <alignment horizontal="center" vertical="center" wrapText="1" readingOrder="1"/>
    </xf>
    <xf numFmtId="0" fontId="37" fillId="5" borderId="18" xfId="0" applyFont="1" applyFill="1" applyBorder="1" applyAlignment="1">
      <alignment horizontal="center" vertical="center" wrapText="1" readingOrder="1"/>
    </xf>
    <xf numFmtId="0" fontId="37" fillId="5" borderId="19" xfId="0" applyFont="1" applyFill="1" applyBorder="1" applyAlignment="1">
      <alignment horizontal="center" vertical="center" wrapText="1" readingOrder="1"/>
    </xf>
    <xf numFmtId="0" fontId="37" fillId="5" borderId="20" xfId="0" applyFont="1" applyFill="1" applyBorder="1" applyAlignment="1">
      <alignment horizontal="center" vertical="center" wrapText="1" readingOrder="1"/>
    </xf>
    <xf numFmtId="0" fontId="37" fillId="13" borderId="13" xfId="0" applyFont="1" applyFill="1" applyBorder="1" applyAlignment="1">
      <alignment horizontal="center" vertical="center" wrapText="1" readingOrder="1"/>
    </xf>
    <xf numFmtId="0" fontId="37" fillId="13" borderId="14" xfId="0" applyFont="1" applyFill="1" applyBorder="1" applyAlignment="1">
      <alignment horizontal="center" vertical="center" wrapText="1" readingOrder="1"/>
    </xf>
    <xf numFmtId="0" fontId="37" fillId="13" borderId="15" xfId="0" applyFont="1" applyFill="1" applyBorder="1" applyAlignment="1">
      <alignment horizontal="center" vertical="center" wrapText="1" readingOrder="1"/>
    </xf>
    <xf numFmtId="0" fontId="37" fillId="13" borderId="16" xfId="0" applyFont="1" applyFill="1" applyBorder="1" applyAlignment="1">
      <alignment horizontal="center" vertical="center" wrapText="1" readingOrder="1"/>
    </xf>
    <xf numFmtId="0" fontId="37" fillId="13" borderId="0" xfId="0" applyFont="1" applyFill="1" applyAlignment="1">
      <alignment horizontal="center" vertical="center" wrapText="1" readingOrder="1"/>
    </xf>
    <xf numFmtId="0" fontId="37" fillId="13" borderId="17" xfId="0" applyFont="1" applyFill="1" applyBorder="1" applyAlignment="1">
      <alignment horizontal="center" vertical="center" wrapText="1" readingOrder="1"/>
    </xf>
    <xf numFmtId="0" fontId="37" fillId="13" borderId="18" xfId="0" applyFont="1" applyFill="1" applyBorder="1" applyAlignment="1">
      <alignment horizontal="center" vertical="center" wrapText="1" readingOrder="1"/>
    </xf>
    <xf numFmtId="0" fontId="37" fillId="13" borderId="19" xfId="0" applyFont="1" applyFill="1" applyBorder="1" applyAlignment="1">
      <alignment horizontal="center" vertical="center" wrapText="1" readingOrder="1"/>
    </xf>
    <xf numFmtId="0" fontId="37" fillId="13" borderId="20" xfId="0" applyFont="1" applyFill="1" applyBorder="1" applyAlignment="1">
      <alignment horizontal="center" vertical="center" wrapText="1" readingOrder="1"/>
    </xf>
    <xf numFmtId="0" fontId="85" fillId="0" borderId="97" xfId="0" applyFont="1" applyBorder="1" applyAlignment="1">
      <alignment horizontal="center" vertical="center"/>
    </xf>
    <xf numFmtId="0" fontId="85" fillId="0" borderId="99" xfId="0" applyFont="1" applyBorder="1" applyAlignment="1">
      <alignment horizontal="center" vertical="center"/>
    </xf>
    <xf numFmtId="0" fontId="85" fillId="0" borderId="102" xfId="0" applyFont="1" applyBorder="1" applyAlignment="1">
      <alignment horizontal="center" vertical="center"/>
    </xf>
    <xf numFmtId="0" fontId="79" fillId="0" borderId="119" xfId="0" applyFont="1" applyBorder="1" applyAlignment="1">
      <alignment horizontal="center" vertical="center"/>
    </xf>
    <xf numFmtId="0" fontId="79" fillId="0" borderId="120" xfId="0" applyFont="1" applyBorder="1" applyAlignment="1">
      <alignment horizontal="center" vertical="center"/>
    </xf>
    <xf numFmtId="0" fontId="79" fillId="0" borderId="121" xfId="0" applyFont="1" applyBorder="1" applyAlignment="1">
      <alignment horizontal="center" vertical="center"/>
    </xf>
    <xf numFmtId="0" fontId="79" fillId="0" borderId="122" xfId="0" applyFont="1" applyBorder="1" applyAlignment="1">
      <alignment horizontal="center" vertical="center"/>
    </xf>
    <xf numFmtId="0" fontId="79" fillId="0" borderId="123" xfId="0" applyFont="1" applyBorder="1" applyAlignment="1">
      <alignment horizontal="center" vertical="center"/>
    </xf>
    <xf numFmtId="0" fontId="79" fillId="0" borderId="124" xfId="0" applyFont="1" applyBorder="1" applyAlignment="1">
      <alignment horizontal="center" vertical="center"/>
    </xf>
    <xf numFmtId="0" fontId="79" fillId="0" borderId="127" xfId="0" applyFont="1" applyBorder="1" applyAlignment="1">
      <alignment horizontal="left" vertical="center"/>
    </xf>
    <xf numFmtId="0" fontId="79" fillId="0" borderId="126" xfId="0" applyFont="1" applyBorder="1" applyAlignment="1">
      <alignment horizontal="left" vertical="center"/>
    </xf>
    <xf numFmtId="0" fontId="79" fillId="0" borderId="104" xfId="0" applyFont="1" applyBorder="1" applyAlignment="1">
      <alignment horizontal="left" vertical="center"/>
    </xf>
    <xf numFmtId="0" fontId="89" fillId="0" borderId="125" xfId="0" applyFont="1" applyBorder="1" applyAlignment="1">
      <alignment horizontal="left" vertical="center"/>
    </xf>
    <xf numFmtId="0" fontId="89" fillId="0" borderId="126" xfId="0" applyFont="1" applyBorder="1" applyAlignment="1">
      <alignment horizontal="left" vertical="center"/>
    </xf>
    <xf numFmtId="0" fontId="89" fillId="0" borderId="104" xfId="0" applyFont="1" applyBorder="1" applyAlignment="1">
      <alignment horizontal="left" vertical="center"/>
    </xf>
    <xf numFmtId="0" fontId="79" fillId="0" borderId="129" xfId="0" applyFont="1" applyBorder="1" applyAlignment="1">
      <alignment horizontal="left" vertical="center"/>
    </xf>
    <xf numFmtId="0" fontId="79" fillId="0" borderId="128" xfId="0" applyFont="1" applyBorder="1" applyAlignment="1">
      <alignment horizontal="left" vertical="center"/>
    </xf>
    <xf numFmtId="0" fontId="79" fillId="0" borderId="105" xfId="0" applyFont="1" applyBorder="1" applyAlignment="1">
      <alignment horizontal="left" vertical="center"/>
    </xf>
    <xf numFmtId="14" fontId="80" fillId="0" borderId="91" xfId="0" applyNumberFormat="1" applyFont="1" applyBorder="1" applyAlignment="1" applyProtection="1">
      <alignment horizontal="center" vertical="center"/>
      <protection locked="0"/>
    </xf>
    <xf numFmtId="14" fontId="80" fillId="0" borderId="103" xfId="0" applyNumberFormat="1" applyFont="1" applyBorder="1" applyAlignment="1" applyProtection="1">
      <alignment horizontal="center" vertical="center"/>
      <protection locked="0"/>
    </xf>
    <xf numFmtId="14" fontId="80" fillId="0" borderId="92" xfId="0" applyNumberFormat="1" applyFont="1" applyBorder="1" applyAlignment="1" applyProtection="1">
      <alignment horizontal="center" vertical="center"/>
      <protection locked="0"/>
    </xf>
    <xf numFmtId="0" fontId="71" fillId="0" borderId="22" xfId="0" applyFont="1" applyBorder="1" applyAlignment="1">
      <alignment horizontal="left" vertical="center" wrapText="1"/>
    </xf>
    <xf numFmtId="0" fontId="72" fillId="16" borderId="24" xfId="0" applyFont="1" applyFill="1" applyBorder="1" applyAlignment="1">
      <alignment horizontal="center" vertical="center" wrapText="1"/>
    </xf>
    <xf numFmtId="0" fontId="72" fillId="16" borderId="25" xfId="0" applyFont="1" applyFill="1" applyBorder="1" applyAlignment="1">
      <alignment horizontal="center" vertical="center" wrapText="1"/>
    </xf>
    <xf numFmtId="0" fontId="72" fillId="16" borderId="36" xfId="0" applyFont="1" applyFill="1" applyBorder="1" applyAlignment="1">
      <alignment horizontal="center" vertical="center" wrapText="1"/>
    </xf>
    <xf numFmtId="0" fontId="73" fillId="16" borderId="73" xfId="0" applyFont="1" applyFill="1" applyBorder="1" applyAlignment="1">
      <alignment horizontal="center" vertical="center" wrapText="1"/>
    </xf>
    <xf numFmtId="0" fontId="73" fillId="16" borderId="28" xfId="0" applyFont="1" applyFill="1" applyBorder="1" applyAlignment="1">
      <alignment horizontal="center" vertical="center" wrapText="1"/>
    </xf>
    <xf numFmtId="0" fontId="73" fillId="16" borderId="74" xfId="0" applyFont="1" applyFill="1" applyBorder="1" applyAlignment="1">
      <alignment horizontal="center" vertical="center" wrapText="1"/>
    </xf>
    <xf numFmtId="0" fontId="73" fillId="16" borderId="29" xfId="0" applyFont="1" applyFill="1" applyBorder="1" applyAlignment="1">
      <alignment horizontal="center" vertical="center" wrapText="1"/>
    </xf>
    <xf numFmtId="0" fontId="73" fillId="16" borderId="75" xfId="0" applyFont="1" applyFill="1" applyBorder="1" applyAlignment="1">
      <alignment horizontal="center" vertical="center" wrapText="1"/>
    </xf>
    <xf numFmtId="0" fontId="71" fillId="0" borderId="74" xfId="0" applyFont="1" applyBorder="1" applyAlignment="1">
      <alignment horizontal="left" vertical="center" wrapText="1"/>
    </xf>
    <xf numFmtId="0" fontId="74" fillId="21" borderId="34" xfId="0" applyFont="1" applyFill="1" applyBorder="1" applyAlignment="1">
      <alignment horizontal="center" vertical="center" wrapText="1"/>
    </xf>
    <xf numFmtId="0" fontId="74" fillId="21" borderId="35" xfId="0" applyFont="1" applyFill="1" applyBorder="1" applyAlignment="1">
      <alignment horizontal="center" vertical="center" wrapText="1"/>
    </xf>
    <xf numFmtId="0" fontId="71" fillId="0" borderId="0" xfId="0" applyFont="1" applyAlignment="1">
      <alignment horizontal="left" vertical="center" wrapText="1"/>
    </xf>
    <xf numFmtId="0" fontId="71" fillId="0" borderId="0" xfId="0" applyFont="1" applyAlignment="1">
      <alignment horizontal="center" vertical="center" wrapText="1"/>
    </xf>
    <xf numFmtId="0" fontId="71" fillId="0" borderId="76" xfId="0" applyFont="1" applyBorder="1" applyAlignment="1">
      <alignment horizontal="left" vertical="center" wrapText="1"/>
    </xf>
    <xf numFmtId="0" fontId="74" fillId="21" borderId="33" xfId="0" applyFont="1" applyFill="1" applyBorder="1" applyAlignment="1">
      <alignment horizontal="center" vertical="center" wrapText="1"/>
    </xf>
    <xf numFmtId="0" fontId="81" fillId="17" borderId="91" xfId="0" applyFont="1" applyFill="1" applyBorder="1" applyAlignment="1">
      <alignment horizontal="center" vertical="center" wrapText="1"/>
    </xf>
    <xf numFmtId="0" fontId="81" fillId="17" borderId="92" xfId="0" applyFont="1" applyFill="1" applyBorder="1" applyAlignment="1">
      <alignment horizontal="center" vertical="center" wrapText="1"/>
    </xf>
    <xf numFmtId="0" fontId="81" fillId="17" borderId="90" xfId="0" applyFont="1" applyFill="1" applyBorder="1" applyAlignment="1">
      <alignment horizontal="center" vertical="center" wrapText="1"/>
    </xf>
    <xf numFmtId="0" fontId="80" fillId="3" borderId="105" xfId="0" applyFont="1" applyFill="1" applyBorder="1" applyAlignment="1" applyProtection="1">
      <alignment horizontal="left" vertical="center" wrapText="1"/>
      <protection locked="0"/>
    </xf>
    <xf numFmtId="0" fontId="80" fillId="3" borderId="101" xfId="0" applyFont="1" applyFill="1" applyBorder="1" applyAlignment="1" applyProtection="1">
      <alignment horizontal="left" vertical="center" wrapText="1"/>
      <protection locked="0"/>
    </xf>
    <xf numFmtId="0" fontId="80" fillId="3" borderId="130" xfId="0" applyFont="1" applyFill="1" applyBorder="1" applyAlignment="1" applyProtection="1">
      <alignment horizontal="left" vertical="center" wrapText="1"/>
      <protection locked="0"/>
    </xf>
    <xf numFmtId="0" fontId="81" fillId="21" borderId="112" xfId="0" applyFont="1" applyFill="1" applyBorder="1" applyAlignment="1">
      <alignment horizontal="center" vertical="center" wrapText="1"/>
    </xf>
    <xf numFmtId="0" fontId="81" fillId="21" borderId="114" xfId="0" applyFont="1" applyFill="1" applyBorder="1" applyAlignment="1">
      <alignment horizontal="center" vertical="center" wrapText="1"/>
    </xf>
    <xf numFmtId="0" fontId="80" fillId="3" borderId="104" xfId="0" applyFont="1" applyFill="1" applyBorder="1" applyAlignment="1" applyProtection="1">
      <alignment horizontal="left" vertical="center"/>
      <protection locked="0"/>
    </xf>
    <xf numFmtId="0" fontId="80" fillId="3" borderId="96" xfId="0" applyFont="1" applyFill="1" applyBorder="1" applyAlignment="1" applyProtection="1">
      <alignment horizontal="left" vertical="center"/>
      <protection locked="0"/>
    </xf>
    <xf numFmtId="0" fontId="80" fillId="3" borderId="125" xfId="0" applyFont="1" applyFill="1" applyBorder="1" applyAlignment="1" applyProtection="1">
      <alignment horizontal="left" vertical="center"/>
      <protection locked="0"/>
    </xf>
    <xf numFmtId="0" fontId="80" fillId="3" borderId="93" xfId="0" applyFont="1" applyFill="1" applyBorder="1" applyAlignment="1" applyProtection="1">
      <alignment horizontal="left" vertical="center" wrapText="1"/>
      <protection locked="0"/>
    </xf>
    <xf numFmtId="0" fontId="80" fillId="3" borderId="90" xfId="0" applyFont="1" applyFill="1" applyBorder="1" applyAlignment="1" applyProtection="1">
      <alignment horizontal="left" vertical="center" wrapText="1"/>
      <protection locked="0"/>
    </xf>
    <xf numFmtId="0" fontId="80" fillId="3" borderId="131" xfId="0" applyFont="1" applyFill="1" applyBorder="1" applyAlignment="1" applyProtection="1">
      <alignment horizontal="left" vertical="center" wrapText="1"/>
      <protection locked="0"/>
    </xf>
    <xf numFmtId="0" fontId="79" fillId="0" borderId="104" xfId="0" applyFont="1" applyBorder="1" applyAlignment="1">
      <alignment horizontal="center" vertical="center"/>
    </xf>
    <xf numFmtId="0" fontId="79" fillId="0" borderId="96" xfId="0" applyFont="1" applyBorder="1" applyAlignment="1">
      <alignment horizontal="center" vertical="center"/>
    </xf>
    <xf numFmtId="0" fontId="79" fillId="0" borderId="125" xfId="0" applyFont="1" applyBorder="1" applyAlignment="1">
      <alignment horizontal="center" vertical="center"/>
    </xf>
    <xf numFmtId="0" fontId="79" fillId="0" borderId="105" xfId="0" applyFont="1" applyBorder="1" applyAlignment="1">
      <alignment horizontal="center" vertical="center"/>
    </xf>
    <xf numFmtId="0" fontId="79" fillId="0" borderId="101" xfId="0" applyFont="1" applyBorder="1" applyAlignment="1">
      <alignment horizontal="center" vertical="center"/>
    </xf>
    <xf numFmtId="0" fontId="79" fillId="0" borderId="130" xfId="0" applyFont="1" applyBorder="1" applyAlignment="1">
      <alignment horizontal="center" vertical="center"/>
    </xf>
    <xf numFmtId="0" fontId="79" fillId="0" borderId="94" xfId="0" applyFont="1" applyBorder="1" applyAlignment="1">
      <alignment horizontal="left" vertical="center"/>
    </xf>
    <xf numFmtId="0" fontId="79" fillId="0" borderId="103" xfId="0" applyFont="1" applyBorder="1" applyAlignment="1">
      <alignment horizontal="left" vertical="center"/>
    </xf>
    <xf numFmtId="0" fontId="79" fillId="0" borderId="118" xfId="0" applyFont="1" applyBorder="1" applyAlignment="1">
      <alignment horizontal="left" vertical="center"/>
    </xf>
    <xf numFmtId="0" fontId="79" fillId="0" borderId="101" xfId="0" applyFont="1" applyBorder="1" applyAlignment="1">
      <alignment horizontal="left" vertical="center"/>
    </xf>
    <xf numFmtId="0" fontId="79" fillId="0" borderId="130" xfId="0" applyFont="1" applyBorder="1" applyAlignment="1">
      <alignment horizontal="left" vertical="center"/>
    </xf>
    <xf numFmtId="0" fontId="21" fillId="0" borderId="0" xfId="0" applyFont="1" applyAlignment="1">
      <alignment horizontal="center" vertical="center"/>
    </xf>
    <xf numFmtId="0" fontId="40" fillId="0" borderId="0" xfId="0" applyFont="1" applyAlignment="1">
      <alignment horizontal="center" vertical="center"/>
    </xf>
    <xf numFmtId="0" fontId="75" fillId="16" borderId="82" xfId="0" applyFont="1" applyFill="1" applyBorder="1" applyAlignment="1">
      <alignment horizontal="center" vertical="center" wrapText="1"/>
    </xf>
    <xf numFmtId="0" fontId="75" fillId="16" borderId="80" xfId="0" applyFont="1" applyFill="1" applyBorder="1" applyAlignment="1">
      <alignment horizontal="center" vertical="center" wrapText="1"/>
    </xf>
    <xf numFmtId="0" fontId="75" fillId="16" borderId="78" xfId="0" applyFont="1" applyFill="1" applyBorder="1" applyAlignment="1">
      <alignment horizontal="center" vertical="center" wrapText="1"/>
    </xf>
    <xf numFmtId="0" fontId="76" fillId="0" borderId="82" xfId="0" applyFont="1" applyBorder="1" applyAlignment="1">
      <alignment horizontal="justify" vertical="center" wrapText="1"/>
    </xf>
    <xf numFmtId="0" fontId="76" fillId="0" borderId="80" xfId="0" applyFont="1" applyBorder="1" applyAlignment="1">
      <alignment horizontal="justify" vertical="center" wrapText="1"/>
    </xf>
    <xf numFmtId="0" fontId="76" fillId="0" borderId="78" xfId="0" applyFont="1" applyBorder="1" applyAlignment="1">
      <alignment horizontal="justify" vertical="center" wrapText="1"/>
    </xf>
    <xf numFmtId="0" fontId="36" fillId="15" borderId="24" xfId="0" applyFont="1" applyFill="1" applyBorder="1" applyAlignment="1">
      <alignment horizontal="center" vertical="center" wrapText="1" readingOrder="1"/>
    </xf>
    <xf numFmtId="0" fontId="36" fillId="15" borderId="25" xfId="0" applyFont="1" applyFill="1" applyBorder="1" applyAlignment="1">
      <alignment horizontal="center" vertical="center" wrapText="1" readingOrder="1"/>
    </xf>
    <xf numFmtId="0" fontId="36" fillId="15" borderId="36" xfId="0" applyFont="1" applyFill="1" applyBorder="1" applyAlignment="1">
      <alignment horizontal="center" vertical="center" wrapText="1" readingOrder="1"/>
    </xf>
    <xf numFmtId="0" fontId="31" fillId="3" borderId="0" xfId="0" applyFont="1" applyFill="1" applyAlignment="1">
      <alignment horizontal="justify" vertical="center" wrapText="1"/>
    </xf>
    <xf numFmtId="0" fontId="33" fillId="15" borderId="33" xfId="0" applyFont="1" applyFill="1" applyBorder="1" applyAlignment="1">
      <alignment horizontal="center" vertical="center" wrapText="1" readingOrder="1"/>
    </xf>
    <xf numFmtId="0" fontId="33" fillId="15" borderId="34" xfId="0" applyFont="1" applyFill="1" applyBorder="1" applyAlignment="1">
      <alignment horizontal="center" vertical="center" wrapText="1" readingOrder="1"/>
    </xf>
    <xf numFmtId="0" fontId="33" fillId="3" borderId="31" xfId="0" applyFont="1" applyFill="1" applyBorder="1" applyAlignment="1">
      <alignment horizontal="center" vertical="center" wrapText="1" readingOrder="1"/>
    </xf>
    <xf numFmtId="0" fontId="33" fillId="3" borderId="26" xfId="0" applyFont="1" applyFill="1" applyBorder="1" applyAlignment="1">
      <alignment horizontal="center" vertical="center" wrapText="1" readingOrder="1"/>
    </xf>
    <xf numFmtId="0" fontId="33" fillId="3" borderId="23" xfId="0" applyFont="1" applyFill="1" applyBorder="1" applyAlignment="1">
      <alignment horizontal="center" vertical="center" wrapText="1" readingOrder="1"/>
    </xf>
    <xf numFmtId="0" fontId="33" fillId="3" borderId="22" xfId="0" applyFont="1" applyFill="1" applyBorder="1" applyAlignment="1">
      <alignment horizontal="center" vertical="center" wrapText="1" readingOrder="1"/>
    </xf>
    <xf numFmtId="0" fontId="33" fillId="3" borderId="28" xfId="0" applyFont="1" applyFill="1" applyBorder="1" applyAlignment="1">
      <alignment horizontal="center" vertical="center" wrapText="1" readingOrder="1"/>
    </xf>
    <xf numFmtId="0" fontId="33" fillId="3" borderId="29" xfId="0" applyFont="1" applyFill="1" applyBorder="1" applyAlignment="1">
      <alignment horizontal="center" vertical="center" wrapText="1" readingOrder="1"/>
    </xf>
  </cellXfs>
  <cellStyles count="7">
    <cellStyle name="Moneda" xfId="5" builtinId="4"/>
    <cellStyle name="Moneda 2" xfId="6" xr:uid="{00000000-0005-0000-0000-000001000000}"/>
    <cellStyle name="Normal" xfId="0" builtinId="0"/>
    <cellStyle name="Normal - Style1 2" xfId="2" xr:uid="{00000000-0005-0000-0000-000003000000}"/>
    <cellStyle name="Normal 2" xfId="4" xr:uid="{00000000-0005-0000-0000-000004000000}"/>
    <cellStyle name="Normal 2 2" xfId="3" xr:uid="{00000000-0005-0000-0000-000005000000}"/>
    <cellStyle name="Porcentaje" xfId="1" builtinId="5"/>
  </cellStyles>
  <dxfs count="702">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190500</xdr:colOff>
      <xdr:row>0</xdr:row>
      <xdr:rowOff>133350</xdr:rowOff>
    </xdr:from>
    <xdr:ext cx="1403803" cy="1058636"/>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33350"/>
          <a:ext cx="1403803" cy="1058636"/>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CC31457F-ECBC-4BF6-A295-D24C77BD34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4B130650-B5A7-4455-A04D-93F040AFD7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angela.cifuentes/Downloads/DESI-FM-018-V9_Formato_Mapa_de_Riesgos_de_Proces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ercy.rivera\Downloads\DESI-FM-018-V11%20Mapa%20de%20Riesgos%20de%20Proceso%20act%2012-202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Revisión DOFA"/>
      <sheetName val="Listas"/>
      <sheetName val="Riesgos de Gestión"/>
      <sheetName val="Matriz Calor Inherente"/>
      <sheetName val="Matriz Calor Residual"/>
      <sheetName val="Riesgos de Corrupción"/>
      <sheetName val="Impacto Corrupción "/>
      <sheetName val="Riesgos de Seguridad"/>
      <sheetName val="Tabla probabilidad"/>
      <sheetName val="Tabla Impacto"/>
      <sheetName val="Tipo de riesgos"/>
      <sheetName val="Amenazas"/>
      <sheetName val="Ejemplos de riesgos"/>
      <sheetName val="Tabla Valoración controle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Norato Mora" refreshedDate="44522.492354513888" createdVersion="6" refreshedVersion="6" minRefreshableVersion="3" recordCount="10" xr:uid="{00000000-000A-0000-FFFF-FFFF03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TablaDinámica1" cacheId="15"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7">
      <pivotArea dataOnly="0" labelOnly="1" outline="0" fieldPosition="0">
        <references count="1">
          <reference field="0" count="1">
            <x v="1"/>
          </reference>
        </references>
      </pivotArea>
    </format>
    <format dxfId="6">
      <pivotArea dataOnly="0" labelOnly="1" outline="0" fieldPosition="0">
        <references count="2">
          <reference field="0" count="1" selected="0">
            <x v="1"/>
          </reference>
          <reference field="1" count="5">
            <x v="1"/>
            <x v="2"/>
            <x v="3"/>
            <x v="4"/>
            <x v="5"/>
          </reference>
        </references>
      </pivotArea>
    </format>
    <format dxfId="5">
      <pivotArea dataOnly="0" labelOnly="1" outline="0" fieldPosition="0">
        <references count="2">
          <reference field="0" count="1" selected="0">
            <x v="1"/>
          </reference>
          <reference field="1" count="5">
            <x v="1"/>
            <x v="2"/>
            <x v="3"/>
            <x v="4"/>
            <x v="5"/>
          </reference>
        </references>
      </pivotArea>
    </format>
    <format dxfId="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0:C220" totalsRowShown="0" headerRowDxfId="3" dataDxfId="2">
  <autoFilter ref="B210:C220"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0.bin"/><Relationship Id="rId1" Type="http://schemas.openxmlformats.org/officeDocument/2006/relationships/pivotTable" Target="../pivotTables/pivotTable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16"/>
  <sheetViews>
    <sheetView zoomScale="110" zoomScaleNormal="110" workbookViewId="0">
      <selection activeCell="B4" sqref="B4:H5"/>
    </sheetView>
  </sheetViews>
  <sheetFormatPr baseColWidth="10" defaultColWidth="11.42578125" defaultRowHeight="15" x14ac:dyDescent="0.25"/>
  <cols>
    <col min="1" max="1" width="2.85546875" style="66" customWidth="1"/>
    <col min="2" max="3" width="24.7109375" style="66" customWidth="1"/>
    <col min="4" max="4" width="16" style="66" customWidth="1"/>
    <col min="5" max="5" width="24.7109375" style="66" customWidth="1"/>
    <col min="6" max="6" width="27.7109375" style="66" customWidth="1"/>
    <col min="7" max="8" width="24.7109375" style="66" customWidth="1"/>
    <col min="9" max="16384" width="11.42578125" style="66"/>
  </cols>
  <sheetData>
    <row r="1" spans="2:8" ht="15.75" thickBot="1" x14ac:dyDescent="0.3"/>
    <row r="2" spans="2:8" ht="18" x14ac:dyDescent="0.25">
      <c r="B2" s="273" t="s">
        <v>0</v>
      </c>
      <c r="C2" s="274"/>
      <c r="D2" s="274"/>
      <c r="E2" s="274"/>
      <c r="F2" s="274"/>
      <c r="G2" s="274"/>
      <c r="H2" s="275"/>
    </row>
    <row r="3" spans="2:8" x14ac:dyDescent="0.25">
      <c r="B3" s="67"/>
      <c r="C3" s="68"/>
      <c r="D3" s="68"/>
      <c r="E3" s="68"/>
      <c r="F3" s="68"/>
      <c r="G3" s="68"/>
      <c r="H3" s="69"/>
    </row>
    <row r="4" spans="2:8" ht="63" customHeight="1" x14ac:dyDescent="0.25">
      <c r="B4" s="276" t="s">
        <v>1</v>
      </c>
      <c r="C4" s="277"/>
      <c r="D4" s="277"/>
      <c r="E4" s="277"/>
      <c r="F4" s="277"/>
      <c r="G4" s="277"/>
      <c r="H4" s="278"/>
    </row>
    <row r="5" spans="2:8" ht="63" customHeight="1" x14ac:dyDescent="0.25">
      <c r="B5" s="279"/>
      <c r="C5" s="280"/>
      <c r="D5" s="280"/>
      <c r="E5" s="280"/>
      <c r="F5" s="280"/>
      <c r="G5" s="280"/>
      <c r="H5" s="281"/>
    </row>
    <row r="6" spans="2:8" ht="16.5" x14ac:dyDescent="0.25">
      <c r="B6" s="282" t="s">
        <v>2</v>
      </c>
      <c r="C6" s="283"/>
      <c r="D6" s="283"/>
      <c r="E6" s="283"/>
      <c r="F6" s="283"/>
      <c r="G6" s="283"/>
      <c r="H6" s="284"/>
    </row>
    <row r="7" spans="2:8" ht="95.25" customHeight="1" x14ac:dyDescent="0.25">
      <c r="B7" s="292" t="s">
        <v>3</v>
      </c>
      <c r="C7" s="293"/>
      <c r="D7" s="293"/>
      <c r="E7" s="293"/>
      <c r="F7" s="293"/>
      <c r="G7" s="293"/>
      <c r="H7" s="294"/>
    </row>
    <row r="8" spans="2:8" ht="16.5" x14ac:dyDescent="0.25">
      <c r="B8" s="101"/>
      <c r="C8" s="102"/>
      <c r="D8" s="102"/>
      <c r="E8" s="102"/>
      <c r="F8" s="102"/>
      <c r="G8" s="102"/>
      <c r="H8" s="103"/>
    </row>
    <row r="9" spans="2:8" ht="16.5" customHeight="1" x14ac:dyDescent="0.25">
      <c r="B9" s="285" t="s">
        <v>4</v>
      </c>
      <c r="C9" s="286"/>
      <c r="D9" s="286"/>
      <c r="E9" s="286"/>
      <c r="F9" s="286"/>
      <c r="G9" s="286"/>
      <c r="H9" s="287"/>
    </row>
    <row r="10" spans="2:8" ht="44.25" customHeight="1" x14ac:dyDescent="0.25">
      <c r="B10" s="285"/>
      <c r="C10" s="286"/>
      <c r="D10" s="286"/>
      <c r="E10" s="286"/>
      <c r="F10" s="286"/>
      <c r="G10" s="286"/>
      <c r="H10" s="287"/>
    </row>
    <row r="11" spans="2:8" ht="15.75" thickBot="1" x14ac:dyDescent="0.3">
      <c r="B11" s="90"/>
      <c r="C11" s="93"/>
      <c r="D11" s="98"/>
      <c r="E11" s="99"/>
      <c r="F11" s="99"/>
      <c r="G11" s="100"/>
      <c r="H11" s="94"/>
    </row>
    <row r="12" spans="2:8" ht="15.75" thickTop="1" x14ac:dyDescent="0.25">
      <c r="B12" s="90"/>
      <c r="C12" s="288" t="s">
        <v>5</v>
      </c>
      <c r="D12" s="289"/>
      <c r="E12" s="290" t="s">
        <v>6</v>
      </c>
      <c r="F12" s="291"/>
      <c r="G12" s="93"/>
      <c r="H12" s="94"/>
    </row>
    <row r="13" spans="2:8" ht="35.25" customHeight="1" x14ac:dyDescent="0.25">
      <c r="B13" s="90"/>
      <c r="C13" s="295" t="s">
        <v>7</v>
      </c>
      <c r="D13" s="296"/>
      <c r="E13" s="297" t="s">
        <v>8</v>
      </c>
      <c r="F13" s="298"/>
      <c r="G13" s="93"/>
      <c r="H13" s="94"/>
    </row>
    <row r="14" spans="2:8" ht="17.25" customHeight="1" x14ac:dyDescent="0.25">
      <c r="B14" s="90"/>
      <c r="C14" s="295" t="s">
        <v>9</v>
      </c>
      <c r="D14" s="296"/>
      <c r="E14" s="297" t="s">
        <v>10</v>
      </c>
      <c r="F14" s="298"/>
      <c r="G14" s="93"/>
      <c r="H14" s="94"/>
    </row>
    <row r="15" spans="2:8" ht="19.5" customHeight="1" x14ac:dyDescent="0.25">
      <c r="B15" s="90"/>
      <c r="C15" s="295" t="s">
        <v>11</v>
      </c>
      <c r="D15" s="296"/>
      <c r="E15" s="297" t="s">
        <v>12</v>
      </c>
      <c r="F15" s="298"/>
      <c r="G15" s="93"/>
      <c r="H15" s="94"/>
    </row>
    <row r="16" spans="2:8" ht="69.75" customHeight="1" x14ac:dyDescent="0.25">
      <c r="B16" s="90"/>
      <c r="C16" s="295" t="s">
        <v>13</v>
      </c>
      <c r="D16" s="296"/>
      <c r="E16" s="297" t="s">
        <v>14</v>
      </c>
      <c r="F16" s="298"/>
      <c r="G16" s="93"/>
      <c r="H16" s="94"/>
    </row>
    <row r="17" spans="2:8" ht="34.5" customHeight="1" x14ac:dyDescent="0.25">
      <c r="B17" s="90"/>
      <c r="C17" s="299" t="s">
        <v>15</v>
      </c>
      <c r="D17" s="300"/>
      <c r="E17" s="301" t="s">
        <v>16</v>
      </c>
      <c r="F17" s="302"/>
      <c r="G17" s="93"/>
      <c r="H17" s="94"/>
    </row>
    <row r="18" spans="2:8" ht="27.75" customHeight="1" x14ac:dyDescent="0.25">
      <c r="B18" s="90"/>
      <c r="C18" s="299" t="s">
        <v>17</v>
      </c>
      <c r="D18" s="300"/>
      <c r="E18" s="301" t="s">
        <v>18</v>
      </c>
      <c r="F18" s="302"/>
      <c r="G18" s="93"/>
      <c r="H18" s="94"/>
    </row>
    <row r="19" spans="2:8" ht="28.5" customHeight="1" x14ac:dyDescent="0.25">
      <c r="B19" s="90"/>
      <c r="C19" s="299" t="s">
        <v>19</v>
      </c>
      <c r="D19" s="300"/>
      <c r="E19" s="301" t="s">
        <v>20</v>
      </c>
      <c r="F19" s="302"/>
      <c r="G19" s="93"/>
      <c r="H19" s="94"/>
    </row>
    <row r="20" spans="2:8" ht="72.75" customHeight="1" x14ac:dyDescent="0.25">
      <c r="B20" s="90"/>
      <c r="C20" s="299" t="s">
        <v>21</v>
      </c>
      <c r="D20" s="300"/>
      <c r="E20" s="301" t="s">
        <v>22</v>
      </c>
      <c r="F20" s="302"/>
      <c r="G20" s="93"/>
      <c r="H20" s="94"/>
    </row>
    <row r="21" spans="2:8" ht="64.5" customHeight="1" x14ac:dyDescent="0.25">
      <c r="B21" s="90"/>
      <c r="C21" s="299" t="s">
        <v>23</v>
      </c>
      <c r="D21" s="300"/>
      <c r="E21" s="301" t="s">
        <v>24</v>
      </c>
      <c r="F21" s="302"/>
      <c r="G21" s="93"/>
      <c r="H21" s="94"/>
    </row>
    <row r="22" spans="2:8" ht="71.25" customHeight="1" x14ac:dyDescent="0.25">
      <c r="B22" s="90"/>
      <c r="C22" s="299" t="s">
        <v>25</v>
      </c>
      <c r="D22" s="300"/>
      <c r="E22" s="301" t="s">
        <v>26</v>
      </c>
      <c r="F22" s="302"/>
      <c r="G22" s="93"/>
      <c r="H22" s="94"/>
    </row>
    <row r="23" spans="2:8" ht="55.5" customHeight="1" x14ac:dyDescent="0.25">
      <c r="B23" s="90"/>
      <c r="C23" s="306" t="s">
        <v>27</v>
      </c>
      <c r="D23" s="307"/>
      <c r="E23" s="301" t="s">
        <v>28</v>
      </c>
      <c r="F23" s="302"/>
      <c r="G23" s="93"/>
      <c r="H23" s="94"/>
    </row>
    <row r="24" spans="2:8" ht="42" customHeight="1" x14ac:dyDescent="0.25">
      <c r="B24" s="90"/>
      <c r="C24" s="306" t="s">
        <v>29</v>
      </c>
      <c r="D24" s="307"/>
      <c r="E24" s="301" t="s">
        <v>30</v>
      </c>
      <c r="F24" s="302"/>
      <c r="G24" s="93"/>
      <c r="H24" s="94"/>
    </row>
    <row r="25" spans="2:8" ht="59.25" customHeight="1" x14ac:dyDescent="0.25">
      <c r="B25" s="90"/>
      <c r="C25" s="306" t="s">
        <v>31</v>
      </c>
      <c r="D25" s="307"/>
      <c r="E25" s="301" t="s">
        <v>32</v>
      </c>
      <c r="F25" s="302"/>
      <c r="G25" s="93"/>
      <c r="H25" s="94"/>
    </row>
    <row r="26" spans="2:8" ht="23.25" customHeight="1" x14ac:dyDescent="0.25">
      <c r="B26" s="90"/>
      <c r="C26" s="306" t="s">
        <v>33</v>
      </c>
      <c r="D26" s="307"/>
      <c r="E26" s="301" t="s">
        <v>34</v>
      </c>
      <c r="F26" s="302"/>
      <c r="G26" s="93"/>
      <c r="H26" s="94"/>
    </row>
    <row r="27" spans="2:8" ht="30.75" customHeight="1" x14ac:dyDescent="0.25">
      <c r="B27" s="90"/>
      <c r="C27" s="306" t="s">
        <v>35</v>
      </c>
      <c r="D27" s="307"/>
      <c r="E27" s="301" t="s">
        <v>36</v>
      </c>
      <c r="F27" s="302"/>
      <c r="G27" s="93"/>
      <c r="H27" s="94"/>
    </row>
    <row r="28" spans="2:8" ht="35.25" customHeight="1" x14ac:dyDescent="0.25">
      <c r="B28" s="90"/>
      <c r="C28" s="306" t="s">
        <v>37</v>
      </c>
      <c r="D28" s="307"/>
      <c r="E28" s="301" t="s">
        <v>38</v>
      </c>
      <c r="F28" s="302"/>
      <c r="G28" s="93"/>
      <c r="H28" s="94"/>
    </row>
    <row r="29" spans="2:8" ht="33" customHeight="1" x14ac:dyDescent="0.25">
      <c r="B29" s="90"/>
      <c r="C29" s="306" t="s">
        <v>37</v>
      </c>
      <c r="D29" s="307"/>
      <c r="E29" s="301" t="s">
        <v>38</v>
      </c>
      <c r="F29" s="302"/>
      <c r="G29" s="93"/>
      <c r="H29" s="94"/>
    </row>
    <row r="30" spans="2:8" ht="30" customHeight="1" x14ac:dyDescent="0.25">
      <c r="B30" s="90"/>
      <c r="C30" s="306" t="s">
        <v>39</v>
      </c>
      <c r="D30" s="307"/>
      <c r="E30" s="301" t="s">
        <v>40</v>
      </c>
      <c r="F30" s="302"/>
      <c r="G30" s="93"/>
      <c r="H30" s="94"/>
    </row>
    <row r="31" spans="2:8" ht="35.25" customHeight="1" x14ac:dyDescent="0.25">
      <c r="B31" s="90"/>
      <c r="C31" s="306" t="s">
        <v>41</v>
      </c>
      <c r="D31" s="307"/>
      <c r="E31" s="301" t="s">
        <v>42</v>
      </c>
      <c r="F31" s="302"/>
      <c r="G31" s="93"/>
      <c r="H31" s="94"/>
    </row>
    <row r="32" spans="2:8" ht="31.5" customHeight="1" x14ac:dyDescent="0.25">
      <c r="B32" s="90"/>
      <c r="C32" s="306" t="s">
        <v>43</v>
      </c>
      <c r="D32" s="307"/>
      <c r="E32" s="301" t="s">
        <v>44</v>
      </c>
      <c r="F32" s="302"/>
      <c r="G32" s="93"/>
      <c r="H32" s="94"/>
    </row>
    <row r="33" spans="2:8" ht="35.25" customHeight="1" x14ac:dyDescent="0.25">
      <c r="B33" s="90"/>
      <c r="C33" s="306" t="s">
        <v>45</v>
      </c>
      <c r="D33" s="307"/>
      <c r="E33" s="301" t="s">
        <v>46</v>
      </c>
      <c r="F33" s="302"/>
      <c r="G33" s="93"/>
      <c r="H33" s="94"/>
    </row>
    <row r="34" spans="2:8" ht="59.25" customHeight="1" x14ac:dyDescent="0.25">
      <c r="B34" s="90"/>
      <c r="C34" s="306" t="s">
        <v>47</v>
      </c>
      <c r="D34" s="307"/>
      <c r="E34" s="301" t="s">
        <v>48</v>
      </c>
      <c r="F34" s="302"/>
      <c r="G34" s="93"/>
      <c r="H34" s="94"/>
    </row>
    <row r="35" spans="2:8" ht="29.25" customHeight="1" x14ac:dyDescent="0.25">
      <c r="B35" s="90"/>
      <c r="C35" s="306" t="s">
        <v>49</v>
      </c>
      <c r="D35" s="307"/>
      <c r="E35" s="301" t="s">
        <v>50</v>
      </c>
      <c r="F35" s="302"/>
      <c r="G35" s="93"/>
      <c r="H35" s="94"/>
    </row>
    <row r="36" spans="2:8" ht="82.5" customHeight="1" x14ac:dyDescent="0.25">
      <c r="B36" s="90"/>
      <c r="C36" s="306" t="s">
        <v>51</v>
      </c>
      <c r="D36" s="307"/>
      <c r="E36" s="301" t="s">
        <v>52</v>
      </c>
      <c r="F36" s="302"/>
      <c r="G36" s="93"/>
      <c r="H36" s="94"/>
    </row>
    <row r="37" spans="2:8" ht="46.5" customHeight="1" x14ac:dyDescent="0.25">
      <c r="B37" s="90"/>
      <c r="C37" s="306" t="s">
        <v>53</v>
      </c>
      <c r="D37" s="307"/>
      <c r="E37" s="301" t="s">
        <v>54</v>
      </c>
      <c r="F37" s="302"/>
      <c r="G37" s="93"/>
      <c r="H37" s="94"/>
    </row>
    <row r="38" spans="2:8" ht="6.75" customHeight="1" thickBot="1" x14ac:dyDescent="0.3">
      <c r="B38" s="90"/>
      <c r="C38" s="308"/>
      <c r="D38" s="309"/>
      <c r="E38" s="310"/>
      <c r="F38" s="311"/>
      <c r="G38" s="93"/>
      <c r="H38" s="94"/>
    </row>
    <row r="39" spans="2:8" ht="15.75" thickTop="1" x14ac:dyDescent="0.25">
      <c r="B39" s="90"/>
      <c r="C39" s="91"/>
      <c r="D39" s="91"/>
      <c r="E39" s="92"/>
      <c r="F39" s="92"/>
      <c r="G39" s="93"/>
      <c r="H39" s="94"/>
    </row>
    <row r="40" spans="2:8" ht="21" customHeight="1" x14ac:dyDescent="0.25">
      <c r="B40" s="303" t="s">
        <v>55</v>
      </c>
      <c r="C40" s="304"/>
      <c r="D40" s="304"/>
      <c r="E40" s="304"/>
      <c r="F40" s="304"/>
      <c r="G40" s="304"/>
      <c r="H40" s="305"/>
    </row>
    <row r="41" spans="2:8" ht="20.25" customHeight="1" x14ac:dyDescent="0.25">
      <c r="B41" s="303" t="s">
        <v>56</v>
      </c>
      <c r="C41" s="304"/>
      <c r="D41" s="304"/>
      <c r="E41" s="304"/>
      <c r="F41" s="304"/>
      <c r="G41" s="304"/>
      <c r="H41" s="305"/>
    </row>
    <row r="42" spans="2:8" ht="20.25" customHeight="1" x14ac:dyDescent="0.25">
      <c r="B42" s="303" t="s">
        <v>57</v>
      </c>
      <c r="C42" s="304"/>
      <c r="D42" s="304"/>
      <c r="E42" s="304"/>
      <c r="F42" s="304"/>
      <c r="G42" s="304"/>
      <c r="H42" s="305"/>
    </row>
    <row r="43" spans="2:8" ht="20.25" customHeight="1" x14ac:dyDescent="0.25">
      <c r="B43" s="303" t="s">
        <v>58</v>
      </c>
      <c r="C43" s="304"/>
      <c r="D43" s="304"/>
      <c r="E43" s="304"/>
      <c r="F43" s="304"/>
      <c r="G43" s="304"/>
      <c r="H43" s="305"/>
    </row>
    <row r="44" spans="2:8" x14ac:dyDescent="0.25">
      <c r="B44" s="303" t="s">
        <v>59</v>
      </c>
      <c r="C44" s="304"/>
      <c r="D44" s="304"/>
      <c r="E44" s="304"/>
      <c r="F44" s="304"/>
      <c r="G44" s="304"/>
      <c r="H44" s="305"/>
    </row>
    <row r="45" spans="2:8" ht="15.75" thickBot="1" x14ac:dyDescent="0.3">
      <c r="B45" s="95"/>
      <c r="C45" s="96"/>
      <c r="D45" s="96"/>
      <c r="E45" s="96"/>
      <c r="F45" s="96"/>
      <c r="G45" s="96"/>
      <c r="H45" s="97"/>
    </row>
    <row r="47" spans="2:8" x14ac:dyDescent="0.25">
      <c r="B47" s="249" t="s">
        <v>60</v>
      </c>
    </row>
    <row r="48" spans="2:8" x14ac:dyDescent="0.25">
      <c r="B48" s="66" t="s">
        <v>61</v>
      </c>
    </row>
    <row r="49" spans="2:6" ht="25.5" x14ac:dyDescent="0.25">
      <c r="B49" s="241" t="s">
        <v>62</v>
      </c>
      <c r="C49" s="241" t="s">
        <v>63</v>
      </c>
      <c r="D49" s="241" t="s">
        <v>64</v>
      </c>
      <c r="E49" s="242" t="s">
        <v>65</v>
      </c>
      <c r="F49" s="243" t="s">
        <v>66</v>
      </c>
    </row>
    <row r="50" spans="2:6" x14ac:dyDescent="0.25">
      <c r="B50" s="244" t="s">
        <v>67</v>
      </c>
      <c r="C50" s="244" t="s">
        <v>68</v>
      </c>
      <c r="D50" s="245">
        <v>44957</v>
      </c>
      <c r="E50" s="244" t="s">
        <v>68</v>
      </c>
      <c r="F50" s="244" t="s">
        <v>68</v>
      </c>
    </row>
    <row r="51" spans="2:6" ht="30" x14ac:dyDescent="0.25">
      <c r="B51" s="244" t="s">
        <v>69</v>
      </c>
      <c r="C51" s="244" t="s">
        <v>70</v>
      </c>
      <c r="D51" s="245">
        <v>45016</v>
      </c>
      <c r="E51" s="244" t="s">
        <v>71</v>
      </c>
      <c r="F51" s="246" t="s">
        <v>72</v>
      </c>
    </row>
    <row r="300" spans="3:3" ht="31.5" x14ac:dyDescent="0.25">
      <c r="C300" s="170" t="s">
        <v>73</v>
      </c>
    </row>
    <row r="301" spans="3:3" ht="47.25" x14ac:dyDescent="0.25">
      <c r="C301" s="170" t="s">
        <v>74</v>
      </c>
    </row>
    <row r="302" spans="3:3" ht="31.5" x14ac:dyDescent="0.25">
      <c r="C302" s="171" t="s">
        <v>75</v>
      </c>
    </row>
    <row r="303" spans="3:3" ht="31.5" x14ac:dyDescent="0.25">
      <c r="C303" s="170" t="s">
        <v>76</v>
      </c>
    </row>
    <row r="304" spans="3:3" ht="47.25" x14ac:dyDescent="0.25">
      <c r="C304" s="170" t="s">
        <v>77</v>
      </c>
    </row>
    <row r="305" spans="3:3" ht="31.5" x14ac:dyDescent="0.25">
      <c r="C305" s="170" t="s">
        <v>78</v>
      </c>
    </row>
    <row r="306" spans="3:3" ht="47.25" x14ac:dyDescent="0.25">
      <c r="C306" s="171" t="s">
        <v>79</v>
      </c>
    </row>
    <row r="307" spans="3:3" ht="31.5" x14ac:dyDescent="0.25">
      <c r="C307" s="170" t="s">
        <v>80</v>
      </c>
    </row>
    <row r="308" spans="3:3" ht="15.75" x14ac:dyDescent="0.25">
      <c r="C308" s="170" t="s">
        <v>81</v>
      </c>
    </row>
    <row r="309" spans="3:3" ht="15.75" x14ac:dyDescent="0.25">
      <c r="C309" s="170" t="s">
        <v>82</v>
      </c>
    </row>
    <row r="310" spans="3:3" ht="31.5" x14ac:dyDescent="0.25">
      <c r="C310" s="170" t="s">
        <v>83</v>
      </c>
    </row>
    <row r="311" spans="3:3" ht="31.5" x14ac:dyDescent="0.25">
      <c r="C311" s="170" t="s">
        <v>84</v>
      </c>
    </row>
    <row r="312" spans="3:3" ht="15.75" x14ac:dyDescent="0.25">
      <c r="C312" s="170" t="s">
        <v>85</v>
      </c>
    </row>
    <row r="313" spans="3:3" ht="15.75" x14ac:dyDescent="0.25">
      <c r="C313" s="170" t="s">
        <v>86</v>
      </c>
    </row>
    <row r="314" spans="3:3" ht="15.75" x14ac:dyDescent="0.25">
      <c r="C314" s="170" t="s">
        <v>87</v>
      </c>
    </row>
    <row r="315" spans="3:3" ht="31.5" x14ac:dyDescent="0.25">
      <c r="C315" s="170" t="s">
        <v>88</v>
      </c>
    </row>
    <row r="316" spans="3:3" ht="31.5" x14ac:dyDescent="0.25">
      <c r="C316" s="170" t="s">
        <v>89</v>
      </c>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honeticPr fontId="88"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55"/>
  <sheetViews>
    <sheetView zoomScale="90" zoomScaleNormal="90" workbookViewId="0">
      <selection activeCell="B7" sqref="B7"/>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66"/>
      <c r="B1" s="607" t="s">
        <v>313</v>
      </c>
      <c r="C1" s="607"/>
      <c r="D1" s="607"/>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5" x14ac:dyDescent="0.25">
      <c r="A3" s="66"/>
      <c r="B3" s="3"/>
      <c r="C3" s="4" t="s">
        <v>314</v>
      </c>
      <c r="D3" s="4" t="s">
        <v>264</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1" x14ac:dyDescent="0.25">
      <c r="A4" s="66"/>
      <c r="B4" s="5" t="s">
        <v>315</v>
      </c>
      <c r="C4" s="6" t="s">
        <v>316</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1" x14ac:dyDescent="0.25">
      <c r="A5" s="66"/>
      <c r="B5" s="8" t="s">
        <v>317</v>
      </c>
      <c r="C5" s="9" t="s">
        <v>318</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1" x14ac:dyDescent="0.25">
      <c r="A6" s="66"/>
      <c r="B6" s="11" t="s">
        <v>319</v>
      </c>
      <c r="C6" s="9" t="s">
        <v>320</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6.5" x14ac:dyDescent="0.25">
      <c r="A7" s="66"/>
      <c r="B7" s="12" t="s">
        <v>321</v>
      </c>
      <c r="C7" s="9" t="s">
        <v>322</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1" x14ac:dyDescent="0.25">
      <c r="A8" s="66"/>
      <c r="B8" s="13" t="s">
        <v>323</v>
      </c>
      <c r="C8" s="9" t="s">
        <v>324</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25">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ht="16.5" x14ac:dyDescent="0.25">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25">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25">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25">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25">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25">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25">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25">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25">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25">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25">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25">
      <c r="A35" s="66"/>
    </row>
    <row r="36" spans="1:31" x14ac:dyDescent="0.25">
      <c r="A36" s="66"/>
    </row>
    <row r="37" spans="1:31" x14ac:dyDescent="0.25">
      <c r="A37" s="66"/>
    </row>
    <row r="38" spans="1:31" x14ac:dyDescent="0.25">
      <c r="A38" s="66"/>
    </row>
    <row r="39" spans="1:31" x14ac:dyDescent="0.25">
      <c r="A39" s="66"/>
    </row>
    <row r="40" spans="1:31" x14ac:dyDescent="0.25">
      <c r="A40" s="66"/>
    </row>
    <row r="41" spans="1:31" x14ac:dyDescent="0.25">
      <c r="A41" s="66"/>
    </row>
    <row r="42" spans="1:31" x14ac:dyDescent="0.25">
      <c r="A42" s="66"/>
    </row>
    <row r="43" spans="1:31" x14ac:dyDescent="0.25">
      <c r="A43" s="66"/>
    </row>
    <row r="44" spans="1:31" x14ac:dyDescent="0.25">
      <c r="A44" s="66"/>
    </row>
    <row r="45" spans="1:31" x14ac:dyDescent="0.25">
      <c r="A45" s="66"/>
    </row>
    <row r="46" spans="1:31" x14ac:dyDescent="0.25">
      <c r="A46" s="66"/>
    </row>
    <row r="47" spans="1:31" x14ac:dyDescent="0.25">
      <c r="A47" s="66"/>
    </row>
    <row r="48" spans="1:31" x14ac:dyDescent="0.25">
      <c r="A48" s="66"/>
    </row>
    <row r="49" spans="1:1" x14ac:dyDescent="0.25">
      <c r="A49" s="66"/>
    </row>
    <row r="50" spans="1:1" x14ac:dyDescent="0.25">
      <c r="A50" s="66"/>
    </row>
    <row r="51" spans="1:1" x14ac:dyDescent="0.25">
      <c r="A51" s="66"/>
    </row>
    <row r="52" spans="1:1" x14ac:dyDescent="0.25">
      <c r="A52" s="66"/>
    </row>
    <row r="53" spans="1:1" x14ac:dyDescent="0.25">
      <c r="A53" s="66"/>
    </row>
    <row r="54" spans="1:1" x14ac:dyDescent="0.25">
      <c r="A54" s="66"/>
    </row>
    <row r="55" spans="1:1" x14ac:dyDescent="0.25">
      <c r="A55" s="66"/>
    </row>
  </sheetData>
  <mergeCells count="1">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U233"/>
  <sheetViews>
    <sheetView topLeftCell="A207" zoomScale="50" zoomScaleNormal="50" workbookViewId="0">
      <selection activeCell="F218" sqref="F218:F222"/>
    </sheetView>
  </sheetViews>
  <sheetFormatPr baseColWidth="10" defaultColWidth="11.42578125" defaultRowHeight="15" x14ac:dyDescent="0.25"/>
  <cols>
    <col min="1" max="1" width="5.28515625" customWidth="1"/>
    <col min="2" max="2" width="56.85546875" customWidth="1"/>
    <col min="3" max="3" width="75.140625" customWidth="1"/>
    <col min="4" max="4" width="87.5703125" customWidth="1"/>
    <col min="5" max="5" width="46.42578125" customWidth="1"/>
    <col min="6" max="6" width="23.42578125" style="114" customWidth="1"/>
    <col min="7" max="7" width="26.85546875" customWidth="1"/>
  </cols>
  <sheetData>
    <row r="2" spans="1:21" s="184" customFormat="1" ht="45.75" customHeight="1" x14ac:dyDescent="0.25">
      <c r="A2" s="182"/>
      <c r="B2" s="608" t="s">
        <v>325</v>
      </c>
      <c r="C2" s="608"/>
      <c r="D2" s="608"/>
      <c r="E2" s="608"/>
      <c r="F2" s="183"/>
      <c r="G2" s="182"/>
      <c r="H2" s="182"/>
      <c r="I2" s="182"/>
      <c r="J2" s="182"/>
      <c r="K2" s="182"/>
      <c r="L2" s="182"/>
      <c r="M2" s="182"/>
      <c r="N2" s="182"/>
      <c r="O2" s="182"/>
      <c r="P2" s="182"/>
      <c r="Q2" s="182"/>
      <c r="R2" s="182"/>
      <c r="S2" s="182"/>
      <c r="T2" s="182"/>
      <c r="U2" s="182"/>
    </row>
    <row r="3" spans="1:21" s="184" customFormat="1" ht="18.75" customHeight="1" x14ac:dyDescent="0.25">
      <c r="A3" s="182"/>
      <c r="B3" s="185"/>
      <c r="C3" s="182"/>
      <c r="D3" s="182"/>
      <c r="E3" s="182"/>
      <c r="F3" s="183"/>
      <c r="G3" s="182"/>
      <c r="H3" s="182"/>
      <c r="I3" s="182"/>
      <c r="J3" s="182"/>
      <c r="K3" s="182"/>
      <c r="L3" s="182"/>
      <c r="M3" s="182"/>
      <c r="N3" s="182"/>
      <c r="O3" s="182"/>
      <c r="P3" s="182"/>
      <c r="Q3" s="182"/>
      <c r="R3" s="182"/>
      <c r="S3" s="182"/>
      <c r="T3" s="182"/>
      <c r="U3" s="182"/>
    </row>
    <row r="4" spans="1:21" ht="67.5" customHeight="1" x14ac:dyDescent="0.25">
      <c r="A4" s="66"/>
      <c r="B4" s="106"/>
      <c r="C4" s="21" t="s">
        <v>326</v>
      </c>
      <c r="D4" s="21" t="s">
        <v>327</v>
      </c>
      <c r="E4" s="21" t="s">
        <v>328</v>
      </c>
      <c r="F4" s="112"/>
      <c r="G4" s="66"/>
      <c r="H4" s="66"/>
      <c r="I4" s="66"/>
      <c r="J4" s="66"/>
      <c r="K4" s="66"/>
      <c r="L4" s="66"/>
      <c r="M4" s="66"/>
      <c r="N4" s="66"/>
      <c r="O4" s="66"/>
      <c r="P4" s="66"/>
      <c r="Q4" s="66"/>
      <c r="R4" s="66"/>
      <c r="S4" s="66"/>
      <c r="T4" s="66"/>
      <c r="U4" s="66"/>
    </row>
    <row r="5" spans="1:21" ht="67.5" customHeight="1" x14ac:dyDescent="0.25">
      <c r="A5" s="86" t="s">
        <v>329</v>
      </c>
      <c r="B5" s="22" t="s">
        <v>330</v>
      </c>
      <c r="C5" s="27" t="s">
        <v>331</v>
      </c>
      <c r="D5" s="104" t="s">
        <v>332</v>
      </c>
      <c r="E5" s="220">
        <f>908526*130</f>
        <v>118108380</v>
      </c>
      <c r="F5" s="66"/>
      <c r="G5" s="66"/>
      <c r="H5" s="66"/>
      <c r="I5" s="66"/>
      <c r="J5" s="66"/>
      <c r="K5" s="66"/>
      <c r="L5" s="66"/>
      <c r="M5" s="66"/>
      <c r="N5" s="66"/>
      <c r="O5" s="66"/>
      <c r="P5" s="66"/>
      <c r="Q5" s="66"/>
      <c r="R5" s="66"/>
      <c r="S5" s="66"/>
      <c r="T5" s="66"/>
      <c r="U5" s="66"/>
    </row>
    <row r="6" spans="1:21" ht="129" customHeight="1" x14ac:dyDescent="0.25">
      <c r="A6" s="86" t="s">
        <v>333</v>
      </c>
      <c r="B6" s="23" t="s">
        <v>334</v>
      </c>
      <c r="C6" s="28" t="s">
        <v>335</v>
      </c>
      <c r="D6" s="105" t="s">
        <v>336</v>
      </c>
      <c r="E6" s="220">
        <f>908526*650</f>
        <v>590541900</v>
      </c>
      <c r="F6" s="66"/>
      <c r="G6" s="66"/>
      <c r="H6" s="66"/>
      <c r="I6" s="66"/>
      <c r="J6" s="66"/>
      <c r="K6" s="66"/>
      <c r="L6" s="66"/>
      <c r="M6" s="66"/>
      <c r="N6" s="66"/>
      <c r="O6" s="66"/>
      <c r="P6" s="66"/>
      <c r="Q6" s="66"/>
      <c r="R6" s="66"/>
      <c r="S6" s="66"/>
      <c r="T6" s="66"/>
      <c r="U6" s="66"/>
    </row>
    <row r="7" spans="1:21" ht="101.25" x14ac:dyDescent="0.25">
      <c r="A7" s="86" t="s">
        <v>270</v>
      </c>
      <c r="B7" s="24" t="s">
        <v>337</v>
      </c>
      <c r="C7" s="28" t="s">
        <v>338</v>
      </c>
      <c r="D7" s="105" t="s">
        <v>339</v>
      </c>
      <c r="E7" s="220">
        <f>908526*1300</f>
        <v>1181083800</v>
      </c>
      <c r="F7" s="66"/>
      <c r="G7" s="66"/>
      <c r="H7" s="66"/>
      <c r="I7" s="66"/>
      <c r="J7" s="66"/>
      <c r="K7" s="66"/>
      <c r="L7" s="66"/>
      <c r="M7" s="66"/>
      <c r="N7" s="66"/>
      <c r="O7" s="66"/>
      <c r="P7" s="66"/>
      <c r="Q7" s="66"/>
      <c r="R7" s="66"/>
      <c r="S7" s="66"/>
      <c r="T7" s="66"/>
      <c r="U7" s="66"/>
    </row>
    <row r="8" spans="1:21" ht="135" x14ac:dyDescent="0.25">
      <c r="A8" s="86" t="s">
        <v>340</v>
      </c>
      <c r="B8" s="25" t="s">
        <v>341</v>
      </c>
      <c r="C8" s="28" t="s">
        <v>342</v>
      </c>
      <c r="D8" s="105" t="s">
        <v>343</v>
      </c>
      <c r="E8" s="220">
        <f>908526*6500</f>
        <v>5905419000</v>
      </c>
      <c r="F8" s="66"/>
      <c r="G8" s="66"/>
      <c r="H8" s="66"/>
      <c r="I8" s="66"/>
      <c r="J8" s="66"/>
      <c r="K8" s="66"/>
      <c r="L8" s="66"/>
      <c r="M8" s="66"/>
      <c r="N8" s="66"/>
      <c r="O8" s="66"/>
      <c r="P8" s="66"/>
      <c r="Q8" s="66"/>
      <c r="R8" s="66"/>
      <c r="S8" s="66"/>
      <c r="T8" s="66"/>
      <c r="U8" s="66"/>
    </row>
    <row r="9" spans="1:21" ht="101.25" x14ac:dyDescent="0.25">
      <c r="A9" s="86" t="s">
        <v>344</v>
      </c>
      <c r="B9" s="26" t="s">
        <v>345</v>
      </c>
      <c r="C9" s="28" t="s">
        <v>346</v>
      </c>
      <c r="D9" s="105" t="s">
        <v>347</v>
      </c>
      <c r="E9" s="220"/>
      <c r="F9" s="107"/>
      <c r="G9" s="107"/>
      <c r="H9" s="66"/>
      <c r="I9" s="66"/>
      <c r="J9" s="66"/>
      <c r="K9" s="66"/>
      <c r="L9" s="66"/>
      <c r="M9" s="66"/>
      <c r="N9" s="66"/>
      <c r="O9" s="66"/>
      <c r="P9" s="66"/>
      <c r="Q9" s="66"/>
      <c r="R9" s="66"/>
      <c r="S9" s="66"/>
      <c r="T9" s="66"/>
      <c r="U9" s="66"/>
    </row>
    <row r="10" spans="1:21" s="110" customFormat="1" ht="20.25" hidden="1" x14ac:dyDescent="0.25">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t="16.5" hidden="1" x14ac:dyDescent="0.25">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25">
      <c r="A12" s="108"/>
      <c r="B12" s="108" t="s">
        <v>348</v>
      </c>
      <c r="C12" s="108" t="s">
        <v>349</v>
      </c>
      <c r="D12" s="108" t="s">
        <v>350</v>
      </c>
      <c r="E12" s="108"/>
      <c r="F12" s="108"/>
      <c r="G12" s="108"/>
      <c r="H12" s="108"/>
      <c r="I12" s="108"/>
      <c r="J12" s="108"/>
      <c r="K12" s="108"/>
      <c r="L12" s="108"/>
      <c r="M12" s="108"/>
      <c r="N12" s="108"/>
      <c r="O12" s="108"/>
      <c r="P12" s="108"/>
      <c r="Q12" s="108"/>
      <c r="R12" s="108"/>
      <c r="S12" s="108"/>
      <c r="T12" s="108"/>
      <c r="U12" s="108"/>
    </row>
    <row r="13" spans="1:21" s="110" customFormat="1" hidden="1" x14ac:dyDescent="0.25">
      <c r="A13" s="108"/>
      <c r="B13" s="108" t="s">
        <v>351</v>
      </c>
      <c r="C13" s="108" t="s">
        <v>352</v>
      </c>
      <c r="D13" s="108" t="s">
        <v>353</v>
      </c>
      <c r="E13" s="108"/>
      <c r="F13" s="108"/>
      <c r="G13" s="108"/>
      <c r="H13" s="108"/>
      <c r="I13" s="108"/>
      <c r="J13" s="108"/>
      <c r="K13" s="108"/>
      <c r="L13" s="108"/>
      <c r="M13" s="108"/>
      <c r="N13" s="108"/>
      <c r="O13" s="108"/>
      <c r="P13" s="108"/>
      <c r="Q13" s="108"/>
      <c r="R13" s="108"/>
      <c r="S13" s="108"/>
      <c r="T13" s="108"/>
      <c r="U13" s="108"/>
    </row>
    <row r="14" spans="1:21" s="110" customFormat="1" hidden="1" x14ac:dyDescent="0.25">
      <c r="A14" s="108"/>
      <c r="B14" s="108"/>
      <c r="C14" s="108" t="s">
        <v>354</v>
      </c>
      <c r="D14" s="108" t="s">
        <v>253</v>
      </c>
      <c r="E14" s="108"/>
      <c r="F14" s="108"/>
      <c r="G14" s="108"/>
      <c r="H14" s="108"/>
      <c r="I14" s="108"/>
      <c r="J14" s="108"/>
      <c r="K14" s="108"/>
      <c r="L14" s="108"/>
      <c r="M14" s="108"/>
      <c r="N14" s="108"/>
      <c r="O14" s="108"/>
      <c r="P14" s="108"/>
      <c r="Q14" s="108"/>
      <c r="R14" s="108"/>
      <c r="S14" s="108"/>
      <c r="T14" s="108"/>
      <c r="U14" s="108"/>
    </row>
    <row r="15" spans="1:21" s="110" customFormat="1" hidden="1" x14ac:dyDescent="0.25">
      <c r="A15" s="108"/>
      <c r="B15" s="108"/>
      <c r="C15" s="108" t="s">
        <v>355</v>
      </c>
      <c r="D15" s="108" t="s">
        <v>356</v>
      </c>
      <c r="E15" s="108"/>
      <c r="F15" s="108"/>
      <c r="G15" s="108"/>
      <c r="H15" s="108"/>
      <c r="I15" s="108"/>
      <c r="J15" s="108"/>
      <c r="K15" s="108"/>
      <c r="L15" s="108"/>
      <c r="M15" s="108"/>
      <c r="N15" s="108"/>
      <c r="O15" s="108"/>
      <c r="P15" s="108"/>
      <c r="Q15" s="108"/>
      <c r="R15" s="108"/>
      <c r="S15" s="108"/>
      <c r="T15" s="108"/>
      <c r="U15" s="108"/>
    </row>
    <row r="16" spans="1:21" s="110" customFormat="1" hidden="1" x14ac:dyDescent="0.25">
      <c r="A16" s="108"/>
      <c r="B16" s="108"/>
      <c r="C16" s="108" t="s">
        <v>357</v>
      </c>
      <c r="D16" s="108" t="s">
        <v>358</v>
      </c>
      <c r="E16" s="108"/>
      <c r="F16" s="108"/>
      <c r="G16" s="108"/>
      <c r="H16" s="108"/>
      <c r="I16" s="108"/>
      <c r="J16" s="108"/>
      <c r="K16" s="108"/>
      <c r="L16" s="108"/>
      <c r="M16" s="108"/>
      <c r="N16" s="108"/>
      <c r="O16" s="108"/>
      <c r="P16" s="108"/>
      <c r="Q16" s="108"/>
      <c r="R16" s="108"/>
      <c r="S16" s="108"/>
      <c r="T16" s="108"/>
      <c r="U16" s="108"/>
    </row>
    <row r="17" spans="1:15" s="110" customFormat="1" hidden="1" x14ac:dyDescent="0.25">
      <c r="A17" s="108"/>
      <c r="B17" s="108"/>
      <c r="C17" s="108"/>
      <c r="D17" s="108"/>
      <c r="E17" s="108"/>
      <c r="F17" s="108"/>
      <c r="G17" s="108"/>
      <c r="H17" s="108"/>
      <c r="I17" s="108"/>
      <c r="J17" s="108"/>
      <c r="K17" s="108"/>
      <c r="L17" s="108"/>
      <c r="M17" s="108"/>
      <c r="N17" s="108"/>
      <c r="O17" s="108"/>
    </row>
    <row r="18" spans="1:15" s="110" customFormat="1" x14ac:dyDescent="0.25">
      <c r="A18" s="108"/>
      <c r="B18" s="108"/>
      <c r="C18" s="108"/>
      <c r="D18" s="108"/>
      <c r="E18" s="108"/>
      <c r="F18" s="108"/>
      <c r="G18" s="108"/>
      <c r="H18" s="108"/>
      <c r="I18" s="108"/>
      <c r="J18" s="108"/>
      <c r="K18" s="108"/>
      <c r="L18" s="108"/>
      <c r="M18" s="108"/>
      <c r="N18" s="108"/>
      <c r="O18" s="108"/>
    </row>
    <row r="19" spans="1:15" s="110" customFormat="1" x14ac:dyDescent="0.25">
      <c r="A19" s="108"/>
      <c r="B19" s="108"/>
      <c r="C19" s="108"/>
      <c r="D19" s="108"/>
      <c r="E19" s="108"/>
      <c r="F19" s="108"/>
      <c r="G19" s="108"/>
      <c r="H19" s="108"/>
      <c r="I19" s="108"/>
      <c r="J19" s="108"/>
      <c r="K19" s="108"/>
      <c r="L19" s="108"/>
      <c r="M19" s="108"/>
      <c r="N19" s="108"/>
      <c r="O19" s="108"/>
    </row>
    <row r="20" spans="1:15" s="110" customFormat="1" x14ac:dyDescent="0.25">
      <c r="A20" s="108"/>
      <c r="B20" s="108"/>
      <c r="C20" s="108"/>
      <c r="D20" s="108"/>
      <c r="E20" s="108"/>
      <c r="F20" s="108"/>
      <c r="G20" s="108"/>
      <c r="H20" s="108"/>
      <c r="I20" s="108"/>
      <c r="J20" s="108"/>
      <c r="K20" s="108"/>
      <c r="L20" s="108"/>
      <c r="M20" s="108"/>
      <c r="N20" s="108"/>
      <c r="O20" s="108"/>
    </row>
    <row r="21" spans="1:15" s="110" customFormat="1" x14ac:dyDescent="0.25">
      <c r="A21" s="108"/>
      <c r="B21" s="108"/>
      <c r="C21" s="108"/>
      <c r="D21" s="108"/>
      <c r="E21" s="108"/>
      <c r="F21" s="113"/>
      <c r="G21" s="108"/>
      <c r="H21" s="108"/>
      <c r="I21" s="108"/>
      <c r="J21" s="108"/>
      <c r="K21" s="108"/>
      <c r="L21" s="108"/>
      <c r="M21" s="108"/>
      <c r="N21" s="108"/>
      <c r="O21" s="108"/>
    </row>
    <row r="22" spans="1:15" s="110" customFormat="1" x14ac:dyDescent="0.25">
      <c r="A22" s="108"/>
      <c r="B22" s="108"/>
      <c r="C22" s="108"/>
      <c r="D22" s="108"/>
      <c r="E22" s="108"/>
      <c r="F22" s="113"/>
      <c r="G22" s="108"/>
      <c r="H22" s="108"/>
      <c r="I22" s="108"/>
      <c r="J22" s="108"/>
      <c r="K22" s="108"/>
      <c r="L22" s="108"/>
      <c r="M22" s="108"/>
      <c r="N22" s="108"/>
      <c r="O22" s="108"/>
    </row>
    <row r="23" spans="1:15" s="110" customFormat="1" ht="20.25" x14ac:dyDescent="0.25">
      <c r="A23" s="108"/>
      <c r="B23" s="108"/>
      <c r="C23" s="109"/>
      <c r="D23" s="109"/>
      <c r="E23" s="108"/>
      <c r="F23" s="113"/>
      <c r="G23" s="108"/>
      <c r="H23" s="108"/>
      <c r="I23" s="108"/>
      <c r="J23" s="108"/>
      <c r="K23" s="108"/>
      <c r="L23" s="108"/>
      <c r="M23" s="108"/>
      <c r="N23" s="108"/>
      <c r="O23" s="108"/>
    </row>
    <row r="24" spans="1:15" s="110" customFormat="1" ht="20.25" x14ac:dyDescent="0.25">
      <c r="A24" s="108"/>
      <c r="B24" s="108"/>
      <c r="C24" s="109"/>
      <c r="D24" s="109"/>
      <c r="E24" s="108"/>
      <c r="F24" s="113"/>
      <c r="G24" s="108"/>
      <c r="H24" s="108"/>
      <c r="I24" s="108"/>
      <c r="J24" s="108"/>
      <c r="K24" s="108"/>
      <c r="L24" s="108"/>
      <c r="M24" s="108"/>
      <c r="N24" s="108"/>
      <c r="O24" s="108"/>
    </row>
    <row r="25" spans="1:15" s="110" customFormat="1" ht="20.25" x14ac:dyDescent="0.25">
      <c r="A25" s="108"/>
      <c r="B25" s="108"/>
      <c r="C25" s="109"/>
      <c r="D25" s="109"/>
      <c r="E25" s="108"/>
      <c r="F25" s="113"/>
      <c r="G25" s="108"/>
      <c r="H25" s="108"/>
      <c r="I25" s="108"/>
      <c r="J25" s="108"/>
      <c r="K25" s="108"/>
      <c r="L25" s="108"/>
      <c r="M25" s="108"/>
      <c r="N25" s="108"/>
      <c r="O25" s="108"/>
    </row>
    <row r="26" spans="1:15" s="110" customFormat="1" ht="20.25" x14ac:dyDescent="0.25">
      <c r="A26" s="108"/>
      <c r="B26" s="108"/>
      <c r="C26" s="109"/>
      <c r="D26" s="109"/>
      <c r="E26" s="108"/>
      <c r="F26" s="113"/>
      <c r="G26" s="108"/>
      <c r="H26" s="108"/>
      <c r="I26" s="108"/>
      <c r="J26" s="108"/>
      <c r="K26" s="108"/>
      <c r="L26" s="108"/>
      <c r="M26" s="108"/>
      <c r="N26" s="108"/>
      <c r="O26" s="108"/>
    </row>
    <row r="27" spans="1:15" s="110" customFormat="1" ht="20.25" x14ac:dyDescent="0.25">
      <c r="A27" s="108"/>
      <c r="B27" s="108"/>
      <c r="C27" s="109"/>
      <c r="D27" s="109"/>
      <c r="E27" s="108"/>
      <c r="F27" s="113"/>
      <c r="G27" s="108"/>
      <c r="H27" s="108"/>
      <c r="I27" s="108"/>
      <c r="J27" s="108"/>
      <c r="K27" s="108"/>
      <c r="L27" s="108"/>
      <c r="M27" s="108"/>
      <c r="N27" s="108"/>
      <c r="O27" s="108"/>
    </row>
    <row r="28" spans="1:15" s="110" customFormat="1" ht="20.25" x14ac:dyDescent="0.25">
      <c r="A28" s="108"/>
      <c r="B28" s="108"/>
      <c r="C28" s="109"/>
      <c r="D28" s="109"/>
      <c r="E28" s="108"/>
      <c r="F28" s="113"/>
      <c r="G28" s="108"/>
      <c r="H28" s="108"/>
      <c r="I28" s="108"/>
      <c r="J28" s="108"/>
      <c r="K28" s="108"/>
      <c r="L28" s="108"/>
      <c r="M28" s="108"/>
      <c r="N28" s="108"/>
      <c r="O28" s="108"/>
    </row>
    <row r="29" spans="1:15" s="110" customFormat="1" ht="20.25" x14ac:dyDescent="0.25">
      <c r="A29" s="108"/>
      <c r="B29" s="108"/>
      <c r="C29" s="109"/>
      <c r="D29" s="109"/>
      <c r="E29" s="108"/>
      <c r="F29" s="113"/>
      <c r="G29" s="108"/>
      <c r="H29" s="108"/>
      <c r="I29" s="108"/>
      <c r="J29" s="108"/>
      <c r="K29" s="108"/>
      <c r="L29" s="108"/>
      <c r="M29" s="108"/>
      <c r="N29" s="108"/>
      <c r="O29" s="108"/>
    </row>
    <row r="30" spans="1:15" s="110" customFormat="1" ht="20.25" x14ac:dyDescent="0.25">
      <c r="A30" s="108"/>
      <c r="B30" s="108"/>
      <c r="C30" s="109"/>
      <c r="D30" s="109"/>
      <c r="E30" s="108"/>
      <c r="F30" s="113"/>
      <c r="G30" s="108"/>
      <c r="H30" s="108"/>
      <c r="I30" s="108"/>
      <c r="J30" s="108"/>
      <c r="K30" s="108"/>
      <c r="L30" s="108"/>
      <c r="M30" s="108"/>
      <c r="N30" s="108"/>
      <c r="O30" s="108"/>
    </row>
    <row r="31" spans="1:15" s="110" customFormat="1" ht="20.25" x14ac:dyDescent="0.25">
      <c r="A31" s="108"/>
      <c r="B31" s="108"/>
      <c r="C31" s="109"/>
      <c r="D31" s="109"/>
      <c r="E31" s="108"/>
      <c r="F31" s="113"/>
      <c r="G31" s="108"/>
      <c r="H31" s="108"/>
      <c r="I31" s="108"/>
      <c r="J31" s="108"/>
      <c r="K31" s="108"/>
      <c r="L31" s="108"/>
      <c r="M31" s="108"/>
      <c r="N31" s="108"/>
      <c r="O31" s="108"/>
    </row>
    <row r="32" spans="1:15" s="110" customFormat="1" ht="20.25" x14ac:dyDescent="0.25">
      <c r="A32" s="108"/>
      <c r="B32" s="108"/>
      <c r="C32" s="109"/>
      <c r="D32" s="109"/>
      <c r="E32" s="108"/>
      <c r="F32" s="113"/>
      <c r="G32" s="108"/>
      <c r="H32" s="108"/>
      <c r="I32" s="108"/>
      <c r="J32" s="108"/>
      <c r="K32" s="108"/>
      <c r="L32" s="108"/>
      <c r="M32" s="108"/>
      <c r="N32" s="108"/>
      <c r="O32" s="108"/>
    </row>
    <row r="33" spans="1:15" s="110" customFormat="1" ht="20.25" x14ac:dyDescent="0.25">
      <c r="A33" s="108"/>
      <c r="B33" s="108"/>
      <c r="C33" s="109"/>
      <c r="D33" s="109"/>
      <c r="E33" s="108"/>
      <c r="F33" s="113"/>
      <c r="G33" s="108"/>
      <c r="H33" s="108"/>
      <c r="I33" s="108"/>
      <c r="J33" s="108"/>
      <c r="K33" s="108"/>
      <c r="L33" s="108"/>
      <c r="M33" s="108"/>
      <c r="N33" s="108"/>
      <c r="O33" s="108"/>
    </row>
    <row r="34" spans="1:15" s="110" customFormat="1" ht="20.25" x14ac:dyDescent="0.25">
      <c r="A34" s="108"/>
      <c r="B34" s="108"/>
      <c r="C34" s="109"/>
      <c r="D34" s="109"/>
      <c r="E34" s="108"/>
      <c r="F34" s="113"/>
      <c r="G34" s="108"/>
      <c r="H34" s="108"/>
      <c r="I34" s="108"/>
      <c r="J34" s="108"/>
      <c r="K34" s="108"/>
      <c r="L34" s="108"/>
      <c r="M34" s="108"/>
      <c r="N34" s="108"/>
      <c r="O34" s="108"/>
    </row>
    <row r="35" spans="1:15" s="110" customFormat="1" ht="20.25" x14ac:dyDescent="0.25">
      <c r="A35" s="108"/>
      <c r="B35" s="108"/>
      <c r="C35" s="109"/>
      <c r="D35" s="109"/>
      <c r="E35" s="108"/>
      <c r="F35" s="113"/>
      <c r="G35" s="108"/>
      <c r="H35" s="108"/>
      <c r="I35" s="108"/>
      <c r="J35" s="108"/>
      <c r="K35" s="108"/>
      <c r="L35" s="108"/>
      <c r="M35" s="108"/>
      <c r="N35" s="108"/>
      <c r="O35" s="108"/>
    </row>
    <row r="36" spans="1:15" s="110" customFormat="1" ht="20.25" x14ac:dyDescent="0.25">
      <c r="A36" s="108"/>
      <c r="B36" s="108"/>
      <c r="C36" s="109"/>
      <c r="D36" s="109"/>
      <c r="E36" s="108"/>
      <c r="F36" s="113"/>
      <c r="G36" s="108"/>
      <c r="H36" s="108"/>
      <c r="I36" s="108"/>
      <c r="J36" s="108"/>
      <c r="K36" s="108"/>
      <c r="L36" s="108"/>
      <c r="M36" s="108"/>
      <c r="N36" s="108"/>
      <c r="O36" s="108"/>
    </row>
    <row r="37" spans="1:15" s="110" customFormat="1" ht="20.25" x14ac:dyDescent="0.25">
      <c r="A37" s="108"/>
      <c r="B37" s="108"/>
      <c r="C37" s="109"/>
      <c r="D37" s="109"/>
      <c r="E37" s="108"/>
      <c r="F37" s="113"/>
      <c r="G37" s="108"/>
      <c r="H37" s="108"/>
      <c r="I37" s="108"/>
      <c r="J37" s="108"/>
      <c r="K37" s="108"/>
      <c r="L37" s="108"/>
      <c r="M37" s="108"/>
      <c r="N37" s="108"/>
      <c r="O37" s="108"/>
    </row>
    <row r="38" spans="1:15" s="110" customFormat="1" ht="20.25" x14ac:dyDescent="0.25">
      <c r="A38" s="108"/>
      <c r="B38" s="108"/>
      <c r="C38" s="109"/>
      <c r="D38" s="109"/>
      <c r="E38" s="108"/>
      <c r="F38" s="113"/>
      <c r="G38" s="108"/>
      <c r="H38" s="108"/>
      <c r="I38" s="108"/>
      <c r="J38" s="108"/>
      <c r="K38" s="108"/>
      <c r="L38" s="108"/>
      <c r="M38" s="108"/>
      <c r="N38" s="108"/>
      <c r="O38" s="108"/>
    </row>
    <row r="39" spans="1:15" s="110" customFormat="1" ht="20.25" x14ac:dyDescent="0.25">
      <c r="A39" s="108"/>
      <c r="B39" s="108"/>
      <c r="C39" s="109"/>
      <c r="D39" s="109"/>
      <c r="E39" s="108"/>
      <c r="F39" s="113"/>
      <c r="G39" s="108"/>
      <c r="H39" s="108"/>
      <c r="I39" s="108"/>
      <c r="J39" s="108"/>
      <c r="K39" s="108"/>
      <c r="L39" s="108"/>
      <c r="M39" s="108"/>
      <c r="N39" s="108"/>
      <c r="O39" s="108"/>
    </row>
    <row r="40" spans="1:15" s="110" customFormat="1" ht="20.25" x14ac:dyDescent="0.25">
      <c r="A40" s="108"/>
      <c r="B40" s="108"/>
      <c r="C40" s="109"/>
      <c r="D40" s="109"/>
      <c r="E40" s="108"/>
      <c r="F40" s="113"/>
      <c r="G40" s="108"/>
      <c r="H40" s="108"/>
      <c r="I40" s="108"/>
      <c r="J40" s="108"/>
      <c r="K40" s="108"/>
      <c r="L40" s="108"/>
      <c r="M40" s="108"/>
      <c r="N40" s="108"/>
      <c r="O40" s="108"/>
    </row>
    <row r="41" spans="1:15" s="110" customFormat="1" ht="20.25" x14ac:dyDescent="0.25">
      <c r="A41" s="108"/>
      <c r="B41" s="108"/>
      <c r="C41" s="109"/>
      <c r="D41" s="109"/>
      <c r="E41" s="108"/>
      <c r="F41" s="113"/>
      <c r="G41" s="108"/>
      <c r="H41" s="108"/>
      <c r="I41" s="108"/>
      <c r="J41" s="108"/>
      <c r="K41" s="108"/>
      <c r="L41" s="108"/>
      <c r="M41" s="108"/>
      <c r="N41" s="108"/>
      <c r="O41" s="108"/>
    </row>
    <row r="42" spans="1:15" s="110" customFormat="1" ht="20.25" x14ac:dyDescent="0.25">
      <c r="A42" s="108"/>
      <c r="B42" s="108"/>
      <c r="C42" s="109"/>
      <c r="D42" s="109"/>
      <c r="E42" s="108"/>
      <c r="F42" s="113"/>
      <c r="G42" s="108"/>
      <c r="H42" s="108"/>
      <c r="I42" s="108"/>
      <c r="J42" s="108"/>
      <c r="K42" s="108"/>
      <c r="L42" s="108"/>
      <c r="M42" s="108"/>
      <c r="N42" s="108"/>
      <c r="O42" s="108"/>
    </row>
    <row r="43" spans="1:15" s="110" customFormat="1" ht="20.25" x14ac:dyDescent="0.25">
      <c r="A43" s="108"/>
      <c r="B43" s="108"/>
      <c r="C43" s="109"/>
      <c r="D43" s="109"/>
      <c r="E43" s="108"/>
      <c r="F43" s="113"/>
      <c r="G43" s="108"/>
      <c r="H43" s="108"/>
      <c r="I43" s="108"/>
      <c r="J43" s="108"/>
      <c r="K43" s="108"/>
      <c r="L43" s="108"/>
      <c r="M43" s="108"/>
      <c r="N43" s="108"/>
      <c r="O43" s="108"/>
    </row>
    <row r="44" spans="1:15" s="110" customFormat="1" ht="20.25" x14ac:dyDescent="0.25">
      <c r="A44" s="108"/>
      <c r="B44" s="108"/>
      <c r="C44" s="109"/>
      <c r="D44" s="109"/>
      <c r="E44" s="108"/>
      <c r="F44" s="113"/>
      <c r="G44" s="108"/>
      <c r="H44" s="108"/>
      <c r="I44" s="108"/>
      <c r="J44" s="108"/>
      <c r="K44" s="108"/>
      <c r="L44" s="108"/>
      <c r="M44" s="108"/>
      <c r="N44" s="108"/>
      <c r="O44" s="108"/>
    </row>
    <row r="45" spans="1:15" s="110" customFormat="1" ht="20.25" x14ac:dyDescent="0.25">
      <c r="A45" s="108"/>
      <c r="B45" s="108"/>
      <c r="C45" s="109"/>
      <c r="D45" s="109"/>
      <c r="E45" s="108"/>
      <c r="F45" s="113"/>
      <c r="G45" s="108"/>
      <c r="H45" s="108"/>
      <c r="I45" s="108"/>
      <c r="J45" s="108"/>
      <c r="K45" s="108"/>
      <c r="L45" s="108"/>
      <c r="M45" s="108"/>
      <c r="N45" s="108"/>
      <c r="O45" s="108"/>
    </row>
    <row r="46" spans="1:15" s="110" customFormat="1" ht="20.25" x14ac:dyDescent="0.25">
      <c r="A46" s="108"/>
      <c r="B46" s="108"/>
      <c r="C46" s="109"/>
      <c r="D46" s="109"/>
      <c r="E46" s="108"/>
      <c r="F46" s="113"/>
      <c r="G46" s="108"/>
      <c r="H46" s="108"/>
      <c r="I46" s="108"/>
      <c r="J46" s="108"/>
      <c r="K46" s="108"/>
      <c r="L46" s="108"/>
      <c r="M46" s="108"/>
      <c r="N46" s="108"/>
      <c r="O46" s="108"/>
    </row>
    <row r="47" spans="1:15" ht="20.25" x14ac:dyDescent="0.25">
      <c r="A47" s="86"/>
      <c r="B47" s="86"/>
      <c r="C47" s="87"/>
      <c r="D47" s="87"/>
      <c r="E47" s="66"/>
      <c r="F47" s="112"/>
      <c r="G47" s="66"/>
      <c r="H47" s="66"/>
      <c r="I47" s="66"/>
      <c r="J47" s="66"/>
      <c r="K47" s="66"/>
      <c r="L47" s="66"/>
      <c r="M47" s="66"/>
      <c r="N47" s="66"/>
      <c r="O47" s="66"/>
    </row>
    <row r="48" spans="1:15" ht="20.25" x14ac:dyDescent="0.25">
      <c r="A48" s="86"/>
      <c r="B48" s="86"/>
      <c r="C48" s="87"/>
      <c r="D48" s="87"/>
      <c r="E48" s="66"/>
      <c r="F48" s="112"/>
      <c r="G48" s="66"/>
      <c r="H48" s="66"/>
      <c r="I48" s="66"/>
      <c r="J48" s="66"/>
      <c r="K48" s="66"/>
      <c r="L48" s="66"/>
      <c r="M48" s="66"/>
      <c r="N48" s="66"/>
      <c r="O48" s="66"/>
    </row>
    <row r="49" spans="1:15" ht="20.25" x14ac:dyDescent="0.25">
      <c r="A49" s="86"/>
      <c r="B49" s="86"/>
      <c r="C49" s="87"/>
      <c r="D49" s="87"/>
      <c r="E49" s="66"/>
      <c r="F49" s="112"/>
      <c r="G49" s="66"/>
      <c r="H49" s="66"/>
      <c r="I49" s="66"/>
      <c r="J49" s="66"/>
      <c r="K49" s="66"/>
      <c r="L49" s="66"/>
      <c r="M49" s="66"/>
      <c r="N49" s="66"/>
      <c r="O49" s="66"/>
    </row>
    <row r="50" spans="1:15" ht="20.25" x14ac:dyDescent="0.25">
      <c r="A50" s="86"/>
      <c r="B50" s="86"/>
      <c r="C50" s="87"/>
      <c r="D50" s="87"/>
      <c r="E50" s="66"/>
      <c r="F50" s="112"/>
      <c r="G50" s="66"/>
      <c r="H50" s="66"/>
      <c r="I50" s="66"/>
      <c r="J50" s="66"/>
      <c r="K50" s="66"/>
      <c r="L50" s="66"/>
      <c r="M50" s="66"/>
      <c r="N50" s="66"/>
      <c r="O50" s="66"/>
    </row>
    <row r="51" spans="1:15" ht="20.25" x14ac:dyDescent="0.25">
      <c r="A51" s="86"/>
      <c r="B51" s="86"/>
      <c r="C51" s="87"/>
      <c r="D51" s="87"/>
      <c r="E51" s="66"/>
      <c r="F51" s="112"/>
      <c r="G51" s="66"/>
      <c r="H51" s="66"/>
      <c r="I51" s="66"/>
      <c r="J51" s="66"/>
      <c r="K51" s="66"/>
      <c r="L51" s="66"/>
      <c r="M51" s="66"/>
      <c r="N51" s="66"/>
      <c r="O51" s="66"/>
    </row>
    <row r="52" spans="1:15" ht="20.25" x14ac:dyDescent="0.25">
      <c r="A52" s="86"/>
      <c r="B52" s="86"/>
      <c r="C52" s="87"/>
      <c r="D52" s="87"/>
      <c r="E52" s="66"/>
      <c r="F52" s="112"/>
      <c r="G52" s="66"/>
      <c r="H52" s="66"/>
      <c r="I52" s="66"/>
      <c r="J52" s="66"/>
      <c r="K52" s="66"/>
      <c r="L52" s="66"/>
      <c r="M52" s="66"/>
      <c r="N52" s="66"/>
      <c r="O52" s="66"/>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6" ht="20.25" x14ac:dyDescent="0.25">
      <c r="A193" s="86"/>
      <c r="B193" s="15"/>
      <c r="C193" s="20"/>
      <c r="D193" s="20"/>
    </row>
    <row r="194" spans="1:6" ht="20.25" x14ac:dyDescent="0.25">
      <c r="A194" s="86"/>
      <c r="B194" s="15"/>
      <c r="C194" s="20"/>
      <c r="D194" s="20"/>
    </row>
    <row r="195" spans="1:6" ht="20.25" x14ac:dyDescent="0.25">
      <c r="A195" s="86"/>
      <c r="B195" s="15"/>
      <c r="C195" s="20"/>
      <c r="D195" s="20"/>
    </row>
    <row r="196" spans="1:6" ht="20.25" x14ac:dyDescent="0.25">
      <c r="A196" s="86"/>
      <c r="B196" s="15"/>
      <c r="C196" s="20"/>
      <c r="D196" s="20"/>
    </row>
    <row r="197" spans="1:6" ht="20.25" x14ac:dyDescent="0.25">
      <c r="A197" s="86"/>
      <c r="B197" s="15"/>
      <c r="C197" s="20"/>
      <c r="D197" s="20"/>
    </row>
    <row r="198" spans="1:6" ht="20.25" x14ac:dyDescent="0.25">
      <c r="A198" s="86"/>
      <c r="B198" s="15"/>
      <c r="C198" s="20"/>
      <c r="D198" s="20"/>
    </row>
    <row r="199" spans="1:6" ht="20.25" x14ac:dyDescent="0.25">
      <c r="A199" s="86"/>
      <c r="B199" s="15"/>
      <c r="C199" s="20"/>
      <c r="D199" s="20"/>
    </row>
    <row r="200" spans="1:6" ht="20.25" x14ac:dyDescent="0.25">
      <c r="A200" s="86"/>
      <c r="B200" s="15"/>
      <c r="C200" s="20"/>
      <c r="D200" s="20"/>
    </row>
    <row r="201" spans="1:6" ht="20.25" x14ac:dyDescent="0.25">
      <c r="A201" s="86"/>
      <c r="B201" s="15"/>
      <c r="C201" s="20"/>
      <c r="D201" s="20"/>
    </row>
    <row r="202" spans="1:6" ht="20.25" x14ac:dyDescent="0.25">
      <c r="A202" s="86"/>
      <c r="B202" s="15"/>
      <c r="C202" s="20"/>
      <c r="D202" s="20"/>
    </row>
    <row r="203" spans="1:6" ht="20.25" x14ac:dyDescent="0.25">
      <c r="A203" s="86"/>
      <c r="B203" s="15"/>
      <c r="C203" s="20"/>
      <c r="D203" s="20"/>
    </row>
    <row r="204" spans="1:6" ht="20.25" x14ac:dyDescent="0.25">
      <c r="A204" s="86"/>
      <c r="B204" s="15"/>
      <c r="C204" s="20"/>
      <c r="D204" s="20"/>
    </row>
    <row r="205" spans="1:6" ht="20.25" x14ac:dyDescent="0.25">
      <c r="A205" s="86"/>
      <c r="B205" s="15"/>
      <c r="C205" s="20"/>
      <c r="D205" s="20"/>
    </row>
    <row r="206" spans="1:6" ht="20.25" x14ac:dyDescent="0.25">
      <c r="A206" s="86"/>
      <c r="B206" s="15"/>
      <c r="C206" s="20"/>
      <c r="D206" s="20"/>
    </row>
    <row r="207" spans="1:6" ht="20.25" x14ac:dyDescent="0.25">
      <c r="A207" s="86"/>
      <c r="B207" s="15"/>
      <c r="C207" s="20"/>
      <c r="D207" s="20"/>
    </row>
    <row r="208" spans="1:6" ht="20.25" x14ac:dyDescent="0.25">
      <c r="A208" s="86"/>
      <c r="B208" s="15"/>
      <c r="C208" s="20"/>
      <c r="D208" s="20"/>
      <c r="F208" s="114" t="s">
        <v>270</v>
      </c>
    </row>
    <row r="209" spans="1:8" x14ac:dyDescent="0.25">
      <c r="A209" s="66"/>
      <c r="B209" s="15"/>
      <c r="C209" s="15"/>
      <c r="D209" s="15"/>
      <c r="F209" s="114" t="s">
        <v>340</v>
      </c>
    </row>
    <row r="210" spans="1:8" ht="20.25" x14ac:dyDescent="0.25">
      <c r="A210" s="66"/>
      <c r="B210" s="16" t="s">
        <v>359</v>
      </c>
      <c r="C210" s="16" t="s">
        <v>360</v>
      </c>
      <c r="D210" s="19" t="s">
        <v>359</v>
      </c>
      <c r="E210" s="19" t="s">
        <v>360</v>
      </c>
      <c r="F210" s="114" t="s">
        <v>361</v>
      </c>
    </row>
    <row r="211" spans="1:8" ht="21" x14ac:dyDescent="0.35">
      <c r="A211" s="66"/>
      <c r="B211" s="17" t="s">
        <v>362</v>
      </c>
      <c r="C211" s="117" t="s">
        <v>363</v>
      </c>
      <c r="D211" s="116" t="s">
        <v>362</v>
      </c>
      <c r="F211" s="114" t="str">
        <f>IF(NOT(ISBLANK(D211)),D211,IF(NOT(ISBLANK(E211)),"     "&amp;E211,FALSE))</f>
        <v>Afectación Económica o presupuestal</v>
      </c>
      <c r="G211" t="s">
        <v>362</v>
      </c>
      <c r="H211" t="str">
        <f>IF(NOT(ISERROR(MATCH(G211,_xlfn.ANCHORARRAY(B222),0))),F224&amp;"Por favor no seleccionar los criterios de impacto",G211)</f>
        <v>❌Por favor no seleccionar los criterios de impacto</v>
      </c>
    </row>
    <row r="212" spans="1:8" ht="21" x14ac:dyDescent="0.35">
      <c r="A212" s="66"/>
      <c r="B212" s="17" t="s">
        <v>362</v>
      </c>
      <c r="C212" s="117" t="s">
        <v>335</v>
      </c>
      <c r="E212" t="s">
        <v>363</v>
      </c>
      <c r="F212" s="114" t="str">
        <f t="shared" ref="F212:F222" si="0">IF(NOT(ISBLANK(D212)),D212,IF(NOT(ISBLANK(E212)),"     "&amp;E212,FALSE))</f>
        <v xml:space="preserve">     Afectación menor a 130 SMLMV .</v>
      </c>
    </row>
    <row r="213" spans="1:8" ht="21" x14ac:dyDescent="0.35">
      <c r="A213" s="66"/>
      <c r="B213" s="17" t="s">
        <v>362</v>
      </c>
      <c r="C213" s="117" t="s">
        <v>338</v>
      </c>
      <c r="E213" t="s">
        <v>335</v>
      </c>
      <c r="F213" s="114" t="str">
        <f t="shared" si="0"/>
        <v xml:space="preserve">     Entre 130 y 650 SMLMV </v>
      </c>
    </row>
    <row r="214" spans="1:8" ht="21" x14ac:dyDescent="0.35">
      <c r="A214" s="66"/>
      <c r="B214" s="17" t="s">
        <v>362</v>
      </c>
      <c r="C214" s="117" t="s">
        <v>342</v>
      </c>
      <c r="E214" t="s">
        <v>338</v>
      </c>
      <c r="F214" s="114" t="str">
        <f t="shared" si="0"/>
        <v xml:space="preserve">     Entre 650 y 1300 SMLMV </v>
      </c>
    </row>
    <row r="215" spans="1:8" ht="21" x14ac:dyDescent="0.35">
      <c r="A215" s="66"/>
      <c r="B215" s="17" t="s">
        <v>362</v>
      </c>
      <c r="C215" s="117" t="s">
        <v>346</v>
      </c>
      <c r="E215" t="s">
        <v>342</v>
      </c>
      <c r="F215" s="114" t="str">
        <f t="shared" si="0"/>
        <v xml:space="preserve">     Entre 1300 y 6500 SMLMV </v>
      </c>
    </row>
    <row r="216" spans="1:8" ht="21" x14ac:dyDescent="0.35">
      <c r="A216" s="66"/>
      <c r="B216" s="17" t="s">
        <v>327</v>
      </c>
      <c r="C216" s="117" t="s">
        <v>332</v>
      </c>
      <c r="E216" t="s">
        <v>346</v>
      </c>
      <c r="F216" s="114" t="str">
        <f t="shared" si="0"/>
        <v xml:space="preserve">     Mayor a 6500 SMLMV </v>
      </c>
    </row>
    <row r="217" spans="1:8" ht="63" x14ac:dyDescent="0.35">
      <c r="A217" s="66"/>
      <c r="B217" s="17" t="s">
        <v>327</v>
      </c>
      <c r="C217" s="117" t="s">
        <v>336</v>
      </c>
      <c r="D217" s="116" t="s">
        <v>327</v>
      </c>
      <c r="F217" s="114" t="str">
        <f t="shared" si="0"/>
        <v>Pérdida Reputacional</v>
      </c>
    </row>
    <row r="218" spans="1:8" ht="42" x14ac:dyDescent="0.35">
      <c r="A218" s="66"/>
      <c r="B218" s="17" t="s">
        <v>327</v>
      </c>
      <c r="C218" s="117" t="s">
        <v>339</v>
      </c>
      <c r="D218" s="116"/>
      <c r="E218" s="118" t="s">
        <v>332</v>
      </c>
      <c r="F218" s="114" t="str">
        <f t="shared" si="0"/>
        <v xml:space="preserve">     El riesgo afecta la imagen de alguna área de la organización</v>
      </c>
    </row>
    <row r="219" spans="1:8" ht="63" x14ac:dyDescent="0.35">
      <c r="A219" s="66"/>
      <c r="B219" s="17" t="s">
        <v>327</v>
      </c>
      <c r="C219" s="117" t="s">
        <v>364</v>
      </c>
      <c r="D219" s="116"/>
      <c r="E219" s="118" t="s">
        <v>336</v>
      </c>
      <c r="F219" s="114" t="str">
        <f t="shared" si="0"/>
        <v xml:space="preserve">     El riesgo afecta la imagen de la entidad internamente, de conocimiento general, nivel interno, de junta dircetiva y accionistas y/o de provedores</v>
      </c>
    </row>
    <row r="220" spans="1:8" ht="45" x14ac:dyDescent="0.35">
      <c r="A220" s="66"/>
      <c r="B220" s="17" t="s">
        <v>327</v>
      </c>
      <c r="C220" s="117" t="s">
        <v>347</v>
      </c>
      <c r="D220" s="116"/>
      <c r="E220" s="118" t="s">
        <v>339</v>
      </c>
      <c r="F220" s="114" t="str">
        <f t="shared" si="0"/>
        <v xml:space="preserve">     El riesgo afecta la imagen de la entidad con algunos usuarios de relevancia frente al logro de los objetivos</v>
      </c>
    </row>
    <row r="221" spans="1:8" ht="45" x14ac:dyDescent="0.25">
      <c r="A221" s="66"/>
      <c r="B221" s="18"/>
      <c r="C221" s="18"/>
      <c r="D221" s="116"/>
      <c r="E221" s="118" t="s">
        <v>364</v>
      </c>
      <c r="F221" s="114" t="str">
        <f t="shared" si="0"/>
        <v xml:space="preserve">     El riesgo afecta la imagen de de la entidad con efecto publicitario sostenido a nivel de sector administrativo, nivel departamental o municipal</v>
      </c>
    </row>
    <row r="222" spans="1:8" ht="58.5" customHeight="1" x14ac:dyDescent="0.25">
      <c r="A222" s="66"/>
      <c r="B222" s="18" t="str" cm="1">
        <f t="array" ref="B222:B224">_xlfn.UNIQUE(Tabla1[[#All],[Criterios]])</f>
        <v>Criterios</v>
      </c>
      <c r="C222" s="18"/>
      <c r="D222" s="116"/>
      <c r="E222" s="118" t="s">
        <v>347</v>
      </c>
      <c r="F222" s="114" t="str">
        <f t="shared" si="0"/>
        <v xml:space="preserve">     El riesgo afecta la imagen de la entidad a nivel nacional, con efecto publicitarios sostenible a nivel país</v>
      </c>
    </row>
    <row r="223" spans="1:8" x14ac:dyDescent="0.25">
      <c r="A223" s="66"/>
      <c r="B223" s="18" t="str">
        <v>Afectación Económica o presupuestal</v>
      </c>
      <c r="C223" s="18"/>
    </row>
    <row r="224" spans="1:8" x14ac:dyDescent="0.25">
      <c r="B224" s="18" t="str">
        <v>Pérdida Reputacional</v>
      </c>
      <c r="C224" s="18"/>
      <c r="F224" s="115" t="s">
        <v>365</v>
      </c>
    </row>
    <row r="225" spans="2:6" x14ac:dyDescent="0.25">
      <c r="B225" s="14"/>
      <c r="C225" s="14"/>
      <c r="F225" s="115" t="s">
        <v>366</v>
      </c>
    </row>
    <row r="226" spans="2:6" x14ac:dyDescent="0.25">
      <c r="B226" s="14"/>
      <c r="C226" s="14"/>
    </row>
    <row r="227" spans="2:6" x14ac:dyDescent="0.25">
      <c r="B227" s="14"/>
      <c r="C227" s="14"/>
    </row>
    <row r="228" spans="2:6" x14ac:dyDescent="0.25">
      <c r="B228" s="14"/>
      <c r="C228" s="14"/>
      <c r="D228" s="14"/>
    </row>
    <row r="229" spans="2:6" x14ac:dyDescent="0.25">
      <c r="B229" s="14"/>
      <c r="C229" s="14"/>
      <c r="D229" s="14"/>
    </row>
    <row r="230" spans="2:6" x14ac:dyDescent="0.25">
      <c r="B230" s="14"/>
      <c r="C230" s="14"/>
      <c r="D230" s="14"/>
    </row>
    <row r="231" spans="2:6" x14ac:dyDescent="0.25">
      <c r="B231" s="14"/>
      <c r="C231" s="14"/>
      <c r="D231" s="14"/>
    </row>
    <row r="232" spans="2:6" x14ac:dyDescent="0.25">
      <c r="B232" s="14"/>
      <c r="C232" s="14"/>
      <c r="D232" s="14"/>
    </row>
    <row r="233" spans="2:6" x14ac:dyDescent="0.25">
      <c r="B233" s="14"/>
      <c r="C233" s="14"/>
      <c r="D233" s="14"/>
    </row>
  </sheetData>
  <mergeCells count="1">
    <mergeCell ref="B2:E2"/>
  </mergeCells>
  <dataValidations disablePrompts="1" count="1">
    <dataValidation type="list" allowBlank="1" showInputMessage="1" showErrorMessage="1" sqref="G211" xr:uid="{00000000-0002-0000-0A00-000000000000}">
      <formula1>$F$211:$F$222</formula1>
    </dataValidation>
  </dataValidations>
  <pageMargins left="0.7" right="0.7" top="0.75" bottom="0.75" header="0.3" footer="0.3"/>
  <pageSetup orientation="portrait"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X18"/>
  <sheetViews>
    <sheetView zoomScale="140" zoomScaleNormal="140" workbookViewId="0">
      <pane xSplit="4" ySplit="2" topLeftCell="E3" activePane="bottomRight" state="frozen"/>
      <selection pane="topRight" activeCell="E1" sqref="E1"/>
      <selection pane="bottomLeft" activeCell="A3" sqref="A3"/>
      <selection pane="bottomRight" activeCell="C3" sqref="C3:D3"/>
    </sheetView>
  </sheetViews>
  <sheetFormatPr baseColWidth="10" defaultColWidth="11.42578125" defaultRowHeight="15" x14ac:dyDescent="0.25"/>
  <cols>
    <col min="2" max="2" width="18" customWidth="1"/>
    <col min="3" max="3" width="26.5703125" customWidth="1"/>
    <col min="4" max="4" width="41.85546875" customWidth="1"/>
    <col min="50" max="50" width="15.42578125" customWidth="1"/>
  </cols>
  <sheetData>
    <row r="2" spans="2:50" ht="15.75" thickBot="1" x14ac:dyDescent="0.3"/>
    <row r="3" spans="2:50" ht="33.75" customHeight="1" thickBot="1" x14ac:dyDescent="0.3">
      <c r="B3" s="609" t="s">
        <v>367</v>
      </c>
      <c r="C3" s="155" t="s">
        <v>368</v>
      </c>
      <c r="D3" s="153" t="s">
        <v>369</v>
      </c>
      <c r="AX3" t="s">
        <v>367</v>
      </c>
    </row>
    <row r="4" spans="2:50" ht="48.75" thickBot="1" x14ac:dyDescent="0.3">
      <c r="B4" s="610"/>
      <c r="C4" s="156" t="s">
        <v>370</v>
      </c>
      <c r="D4" s="154" t="s">
        <v>371</v>
      </c>
      <c r="AX4" t="s">
        <v>146</v>
      </c>
    </row>
    <row r="5" spans="2:50" ht="48.75" thickBot="1" x14ac:dyDescent="0.3">
      <c r="B5" s="610"/>
      <c r="C5" s="156" t="s">
        <v>372</v>
      </c>
      <c r="D5" s="154" t="s">
        <v>373</v>
      </c>
      <c r="AX5" t="s">
        <v>374</v>
      </c>
    </row>
    <row r="6" spans="2:50" ht="36.75" thickBot="1" x14ac:dyDescent="0.3">
      <c r="B6" s="611"/>
      <c r="C6" s="156" t="s">
        <v>375</v>
      </c>
      <c r="D6" s="154" t="s">
        <v>376</v>
      </c>
    </row>
    <row r="7" spans="2:50" ht="36.75" thickBot="1" x14ac:dyDescent="0.3">
      <c r="B7" s="609" t="s">
        <v>146</v>
      </c>
      <c r="C7" s="156" t="s">
        <v>377</v>
      </c>
      <c r="D7" s="154" t="s">
        <v>378</v>
      </c>
    </row>
    <row r="8" spans="2:50" ht="108.75" thickBot="1" x14ac:dyDescent="0.3">
      <c r="B8" s="610"/>
      <c r="C8" s="156" t="s">
        <v>379</v>
      </c>
      <c r="D8" s="154" t="s">
        <v>380</v>
      </c>
    </row>
    <row r="9" spans="2:50" ht="48.75" thickBot="1" x14ac:dyDescent="0.3">
      <c r="B9" s="611"/>
      <c r="C9" s="156" t="s">
        <v>150</v>
      </c>
      <c r="D9" s="154" t="s">
        <v>381</v>
      </c>
    </row>
    <row r="10" spans="2:50" x14ac:dyDescent="0.25">
      <c r="B10" s="609" t="s">
        <v>374</v>
      </c>
      <c r="C10" s="157"/>
      <c r="D10" s="612" t="s">
        <v>382</v>
      </c>
    </row>
    <row r="11" spans="2:50" x14ac:dyDescent="0.25">
      <c r="B11" s="610"/>
      <c r="C11" s="157" t="s">
        <v>153</v>
      </c>
      <c r="D11" s="613"/>
    </row>
    <row r="12" spans="2:50" ht="15.75" thickBot="1" x14ac:dyDescent="0.3">
      <c r="B12" s="610"/>
      <c r="C12" s="156"/>
      <c r="D12" s="614"/>
    </row>
    <row r="13" spans="2:50" ht="22.5" customHeight="1" x14ac:dyDescent="0.25">
      <c r="B13" s="610"/>
      <c r="C13" s="157"/>
      <c r="D13" s="612" t="s">
        <v>383</v>
      </c>
    </row>
    <row r="14" spans="2:50" ht="22.5" customHeight="1" x14ac:dyDescent="0.25">
      <c r="B14" s="610"/>
      <c r="C14" s="157" t="s">
        <v>152</v>
      </c>
      <c r="D14" s="613"/>
    </row>
    <row r="15" spans="2:50" ht="22.5" customHeight="1" thickBot="1" x14ac:dyDescent="0.3">
      <c r="B15" s="610"/>
      <c r="C15" s="156"/>
      <c r="D15" s="614"/>
    </row>
    <row r="16" spans="2:50" ht="25.5" customHeight="1" x14ac:dyDescent="0.25">
      <c r="B16" s="610"/>
      <c r="C16" s="157"/>
      <c r="D16" s="612" t="s">
        <v>384</v>
      </c>
    </row>
    <row r="17" spans="2:4" ht="25.5" customHeight="1" x14ac:dyDescent="0.25">
      <c r="B17" s="610"/>
      <c r="C17" s="157" t="s">
        <v>154</v>
      </c>
      <c r="D17" s="613"/>
    </row>
    <row r="18" spans="2:4" ht="25.5" customHeight="1" thickBot="1" x14ac:dyDescent="0.3">
      <c r="B18" s="611"/>
      <c r="C18" s="156"/>
      <c r="D18" s="614"/>
    </row>
  </sheetData>
  <mergeCells count="6">
    <mergeCell ref="B3:B6"/>
    <mergeCell ref="B7:B9"/>
    <mergeCell ref="B10:B18"/>
    <mergeCell ref="D10:D12"/>
    <mergeCell ref="D13:D15"/>
    <mergeCell ref="D16:D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1:F48"/>
  <sheetViews>
    <sheetView topLeftCell="A3" zoomScale="110" zoomScaleNormal="110" workbookViewId="0">
      <selection activeCell="C14" sqref="C14"/>
    </sheetView>
  </sheetViews>
  <sheetFormatPr baseColWidth="10" defaultColWidth="11.42578125" defaultRowHeight="15" x14ac:dyDescent="0.25"/>
  <cols>
    <col min="1" max="1" width="3.7109375" customWidth="1"/>
    <col min="2" max="2" width="8.28515625" customWidth="1"/>
    <col min="3" max="3" width="27" customWidth="1"/>
    <col min="5" max="5" width="15" customWidth="1"/>
    <col min="6" max="6" width="33.42578125" customWidth="1"/>
  </cols>
  <sheetData>
    <row r="1" spans="3:6" ht="15.75" thickBot="1" x14ac:dyDescent="0.3">
      <c r="C1" s="175" t="s">
        <v>385</v>
      </c>
    </row>
    <row r="2" spans="3:6" ht="15.75" thickBot="1" x14ac:dyDescent="0.3">
      <c r="C2" s="173" t="s">
        <v>386</v>
      </c>
      <c r="E2" s="176" t="s">
        <v>159</v>
      </c>
      <c r="F2" s="177" t="s">
        <v>160</v>
      </c>
    </row>
    <row r="3" spans="3:6" ht="15.75" thickBot="1" x14ac:dyDescent="0.3">
      <c r="C3" s="173" t="s">
        <v>387</v>
      </c>
      <c r="E3" s="322" t="s">
        <v>158</v>
      </c>
      <c r="F3" s="162" t="s">
        <v>162</v>
      </c>
    </row>
    <row r="4" spans="3:6" ht="15.75" thickBot="1" x14ac:dyDescent="0.3">
      <c r="C4" s="173" t="s">
        <v>388</v>
      </c>
      <c r="E4" s="320"/>
      <c r="F4" s="162" t="s">
        <v>164</v>
      </c>
    </row>
    <row r="5" spans="3:6" ht="15.75" thickBot="1" x14ac:dyDescent="0.3">
      <c r="C5" s="173" t="s">
        <v>389</v>
      </c>
      <c r="E5" s="320"/>
      <c r="F5" s="162" t="s">
        <v>166</v>
      </c>
    </row>
    <row r="6" spans="3:6" ht="15.75" thickBot="1" x14ac:dyDescent="0.3">
      <c r="C6" s="173" t="s">
        <v>390</v>
      </c>
      <c r="E6" s="320"/>
      <c r="F6" s="162" t="s">
        <v>168</v>
      </c>
    </row>
    <row r="7" spans="3:6" ht="15.75" thickBot="1" x14ac:dyDescent="0.3">
      <c r="C7" s="174" t="s">
        <v>391</v>
      </c>
      <c r="E7" s="320"/>
      <c r="F7" s="162" t="s">
        <v>169</v>
      </c>
    </row>
    <row r="8" spans="3:6" ht="15.75" thickBot="1" x14ac:dyDescent="0.3">
      <c r="C8" s="173" t="s">
        <v>392</v>
      </c>
      <c r="E8" s="321"/>
      <c r="F8" s="162" t="s">
        <v>170</v>
      </c>
    </row>
    <row r="9" spans="3:6" ht="15.75" thickBot="1" x14ac:dyDescent="0.3">
      <c r="C9" s="173" t="s">
        <v>393</v>
      </c>
      <c r="E9" s="319" t="s">
        <v>167</v>
      </c>
      <c r="F9" s="162" t="s">
        <v>171</v>
      </c>
    </row>
    <row r="10" spans="3:6" ht="15.75" thickBot="1" x14ac:dyDescent="0.3">
      <c r="C10" s="172" t="s">
        <v>394</v>
      </c>
      <c r="E10" s="320"/>
      <c r="F10" s="162" t="s">
        <v>172</v>
      </c>
    </row>
    <row r="11" spans="3:6" ht="15.75" thickBot="1" x14ac:dyDescent="0.3">
      <c r="C11" s="248" t="s">
        <v>395</v>
      </c>
      <c r="E11" s="320"/>
      <c r="F11" s="162" t="s">
        <v>173</v>
      </c>
    </row>
    <row r="12" spans="3:6" ht="15.75" thickBot="1" x14ac:dyDescent="0.3">
      <c r="E12" s="320"/>
      <c r="F12" s="162" t="s">
        <v>174</v>
      </c>
    </row>
    <row r="13" spans="3:6" ht="15.75" thickBot="1" x14ac:dyDescent="0.3">
      <c r="E13" s="321"/>
      <c r="F13" s="162" t="s">
        <v>175</v>
      </c>
    </row>
    <row r="14" spans="3:6" ht="24.75" thickBot="1" x14ac:dyDescent="0.3">
      <c r="E14" s="319" t="s">
        <v>163</v>
      </c>
      <c r="F14" s="162" t="s">
        <v>176</v>
      </c>
    </row>
    <row r="15" spans="3:6" ht="15.75" thickBot="1" x14ac:dyDescent="0.3">
      <c r="E15" s="320"/>
      <c r="F15" s="162" t="s">
        <v>177</v>
      </c>
    </row>
    <row r="16" spans="3:6" ht="15.75" thickBot="1" x14ac:dyDescent="0.3">
      <c r="E16" s="321"/>
      <c r="F16" s="162" t="s">
        <v>178</v>
      </c>
    </row>
    <row r="17" spans="5:6" ht="15.75" thickBot="1" x14ac:dyDescent="0.3">
      <c r="E17" s="319" t="s">
        <v>165</v>
      </c>
      <c r="F17" s="162" t="s">
        <v>179</v>
      </c>
    </row>
    <row r="18" spans="5:6" ht="15.75" thickBot="1" x14ac:dyDescent="0.3">
      <c r="E18" s="320"/>
      <c r="F18" s="162" t="s">
        <v>180</v>
      </c>
    </row>
    <row r="19" spans="5:6" ht="15.75" thickBot="1" x14ac:dyDescent="0.3">
      <c r="E19" s="321"/>
      <c r="F19" s="162" t="s">
        <v>181</v>
      </c>
    </row>
    <row r="20" spans="5:6" ht="24.75" thickBot="1" x14ac:dyDescent="0.3">
      <c r="E20" s="319" t="s">
        <v>156</v>
      </c>
      <c r="F20" s="162" t="s">
        <v>182</v>
      </c>
    </row>
    <row r="21" spans="5:6" ht="15.75" thickBot="1" x14ac:dyDescent="0.3">
      <c r="E21" s="320"/>
      <c r="F21" s="162" t="s">
        <v>183</v>
      </c>
    </row>
    <row r="22" spans="5:6" ht="15.75" thickBot="1" x14ac:dyDescent="0.3">
      <c r="E22" s="320"/>
      <c r="F22" s="162" t="s">
        <v>184</v>
      </c>
    </row>
    <row r="23" spans="5:6" ht="15.75" thickBot="1" x14ac:dyDescent="0.3">
      <c r="E23" s="320"/>
      <c r="F23" s="162" t="s">
        <v>185</v>
      </c>
    </row>
    <row r="24" spans="5:6" ht="15.75" thickBot="1" x14ac:dyDescent="0.3">
      <c r="E24" s="320"/>
      <c r="F24" s="162" t="s">
        <v>186</v>
      </c>
    </row>
    <row r="25" spans="5:6" ht="24.75" thickBot="1" x14ac:dyDescent="0.3">
      <c r="E25" s="320"/>
      <c r="F25" s="162" t="s">
        <v>187</v>
      </c>
    </row>
    <row r="26" spans="5:6" ht="15.75" thickBot="1" x14ac:dyDescent="0.3">
      <c r="E26" s="320"/>
      <c r="F26" s="162" t="s">
        <v>188</v>
      </c>
    </row>
    <row r="27" spans="5:6" ht="24.75" thickBot="1" x14ac:dyDescent="0.3">
      <c r="E27" s="320"/>
      <c r="F27" s="162" t="s">
        <v>189</v>
      </c>
    </row>
    <row r="28" spans="5:6" ht="15.75" thickBot="1" x14ac:dyDescent="0.3">
      <c r="E28" s="320"/>
      <c r="F28" s="162" t="s">
        <v>190</v>
      </c>
    </row>
    <row r="29" spans="5:6" ht="15.75" thickBot="1" x14ac:dyDescent="0.3">
      <c r="E29" s="320"/>
      <c r="F29" s="162" t="s">
        <v>191</v>
      </c>
    </row>
    <row r="30" spans="5:6" ht="15.75" thickBot="1" x14ac:dyDescent="0.3">
      <c r="E30" s="321"/>
      <c r="F30" s="162" t="s">
        <v>192</v>
      </c>
    </row>
    <row r="31" spans="5:6" ht="15.75" thickBot="1" x14ac:dyDescent="0.3">
      <c r="E31" s="319" t="s">
        <v>161</v>
      </c>
      <c r="F31" s="162" t="s">
        <v>193</v>
      </c>
    </row>
    <row r="32" spans="5:6" ht="15.75" thickBot="1" x14ac:dyDescent="0.3">
      <c r="E32" s="320"/>
      <c r="F32" s="162" t="s">
        <v>194</v>
      </c>
    </row>
    <row r="33" spans="5:6" ht="15.75" thickBot="1" x14ac:dyDescent="0.3">
      <c r="E33" s="320"/>
      <c r="F33" s="162" t="s">
        <v>195</v>
      </c>
    </row>
    <row r="34" spans="5:6" ht="15.75" thickBot="1" x14ac:dyDescent="0.3">
      <c r="E34" s="320"/>
      <c r="F34" s="162" t="s">
        <v>196</v>
      </c>
    </row>
    <row r="35" spans="5:6" ht="24.75" thickBot="1" x14ac:dyDescent="0.3">
      <c r="E35" s="321"/>
      <c r="F35" s="162" t="s">
        <v>197</v>
      </c>
    </row>
    <row r="36" spans="5:6" ht="15.75" thickBot="1" x14ac:dyDescent="0.3">
      <c r="E36" s="319" t="s">
        <v>155</v>
      </c>
      <c r="F36" s="162" t="s">
        <v>198</v>
      </c>
    </row>
    <row r="37" spans="5:6" ht="15.75" thickBot="1" x14ac:dyDescent="0.3">
      <c r="E37" s="320"/>
      <c r="F37" s="162" t="s">
        <v>199</v>
      </c>
    </row>
    <row r="38" spans="5:6" ht="15.75" thickBot="1" x14ac:dyDescent="0.3">
      <c r="E38" s="320"/>
      <c r="F38" s="162" t="s">
        <v>200</v>
      </c>
    </row>
    <row r="39" spans="5:6" ht="15.75" thickBot="1" x14ac:dyDescent="0.3">
      <c r="E39" s="320"/>
      <c r="F39" s="162" t="s">
        <v>201</v>
      </c>
    </row>
    <row r="40" spans="5:6" ht="15.75" thickBot="1" x14ac:dyDescent="0.3">
      <c r="E40" s="321"/>
      <c r="F40" s="162" t="s">
        <v>202</v>
      </c>
    </row>
    <row r="41" spans="5:6" ht="15.75" thickBot="1" x14ac:dyDescent="0.3">
      <c r="E41" s="319" t="s">
        <v>157</v>
      </c>
      <c r="F41" s="162" t="s">
        <v>203</v>
      </c>
    </row>
    <row r="42" spans="5:6" ht="15.75" thickBot="1" x14ac:dyDescent="0.3">
      <c r="E42" s="320"/>
      <c r="F42" s="162" t="s">
        <v>204</v>
      </c>
    </row>
    <row r="43" spans="5:6" ht="15.75" thickBot="1" x14ac:dyDescent="0.3">
      <c r="E43" s="320"/>
      <c r="F43" s="162" t="s">
        <v>205</v>
      </c>
    </row>
    <row r="44" spans="5:6" ht="15.75" thickBot="1" x14ac:dyDescent="0.3">
      <c r="E44" s="320"/>
      <c r="F44" s="162" t="s">
        <v>206</v>
      </c>
    </row>
    <row r="45" spans="5:6" ht="24.75" thickBot="1" x14ac:dyDescent="0.3">
      <c r="E45" s="321"/>
      <c r="F45" s="162" t="s">
        <v>207</v>
      </c>
    </row>
    <row r="48" spans="5:6" ht="15" customHeight="1" x14ac:dyDescent="0.25"/>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topLeftCell="A32" workbookViewId="0">
      <selection activeCell="AA44" sqref="AA44"/>
    </sheetView>
  </sheetViews>
  <sheetFormatPr baseColWidth="10" defaultColWidth="11.42578125" defaultRowHeight="15" x14ac:dyDescent="0.25"/>
  <cols>
    <col min="27" max="27" width="36" customWidth="1"/>
  </cols>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615" t="s">
        <v>396</v>
      </c>
      <c r="C1" s="616"/>
      <c r="D1" s="616"/>
      <c r="E1" s="616"/>
      <c r="F1" s="617"/>
    </row>
    <row r="2" spans="2:6" ht="16.5" thickBot="1" x14ac:dyDescent="0.3">
      <c r="B2" s="72"/>
      <c r="C2" s="72"/>
      <c r="D2" s="72"/>
      <c r="E2" s="72"/>
      <c r="F2" s="72"/>
    </row>
    <row r="3" spans="2:6" ht="16.5" thickBot="1" x14ac:dyDescent="0.25">
      <c r="B3" s="619" t="s">
        <v>397</v>
      </c>
      <c r="C3" s="620"/>
      <c r="D3" s="620"/>
      <c r="E3" s="84" t="s">
        <v>398</v>
      </c>
      <c r="F3" s="85" t="s">
        <v>399</v>
      </c>
    </row>
    <row r="4" spans="2:6" ht="31.5" x14ac:dyDescent="0.2">
      <c r="B4" s="621" t="s">
        <v>400</v>
      </c>
      <c r="C4" s="623" t="s">
        <v>247</v>
      </c>
      <c r="D4" s="73" t="s">
        <v>254</v>
      </c>
      <c r="E4" s="74" t="s">
        <v>401</v>
      </c>
      <c r="F4" s="75">
        <v>0.25</v>
      </c>
    </row>
    <row r="5" spans="2:6" ht="47.25" x14ac:dyDescent="0.2">
      <c r="B5" s="622"/>
      <c r="C5" s="624"/>
      <c r="D5" s="76" t="s">
        <v>259</v>
      </c>
      <c r="E5" s="77" t="s">
        <v>402</v>
      </c>
      <c r="F5" s="78">
        <v>0.15</v>
      </c>
    </row>
    <row r="6" spans="2:6" ht="47.25" x14ac:dyDescent="0.2">
      <c r="B6" s="622"/>
      <c r="C6" s="624"/>
      <c r="D6" s="76" t="s">
        <v>281</v>
      </c>
      <c r="E6" s="77" t="s">
        <v>403</v>
      </c>
      <c r="F6" s="78">
        <v>0.1</v>
      </c>
    </row>
    <row r="7" spans="2:6" ht="63" x14ac:dyDescent="0.2">
      <c r="B7" s="622"/>
      <c r="C7" s="624" t="s">
        <v>248</v>
      </c>
      <c r="D7" s="76" t="s">
        <v>404</v>
      </c>
      <c r="E7" s="77" t="s">
        <v>405</v>
      </c>
      <c r="F7" s="78">
        <v>0.25</v>
      </c>
    </row>
    <row r="8" spans="2:6" ht="31.5" x14ac:dyDescent="0.2">
      <c r="B8" s="622"/>
      <c r="C8" s="624"/>
      <c r="D8" s="76" t="s">
        <v>255</v>
      </c>
      <c r="E8" s="77" t="s">
        <v>406</v>
      </c>
      <c r="F8" s="78">
        <v>0.15</v>
      </c>
    </row>
    <row r="9" spans="2:6" ht="47.25" x14ac:dyDescent="0.2">
      <c r="B9" s="622" t="s">
        <v>407</v>
      </c>
      <c r="C9" s="624" t="s">
        <v>250</v>
      </c>
      <c r="D9" s="76" t="s">
        <v>256</v>
      </c>
      <c r="E9" s="77" t="s">
        <v>408</v>
      </c>
      <c r="F9" s="79" t="s">
        <v>409</v>
      </c>
    </row>
    <row r="10" spans="2:6" ht="63" x14ac:dyDescent="0.2">
      <c r="B10" s="622"/>
      <c r="C10" s="624"/>
      <c r="D10" s="76" t="s">
        <v>260</v>
      </c>
      <c r="E10" s="77" t="s">
        <v>410</v>
      </c>
      <c r="F10" s="79" t="s">
        <v>409</v>
      </c>
    </row>
    <row r="11" spans="2:6" ht="47.25" x14ac:dyDescent="0.2">
      <c r="B11" s="622"/>
      <c r="C11" s="624" t="s">
        <v>251</v>
      </c>
      <c r="D11" s="76" t="s">
        <v>257</v>
      </c>
      <c r="E11" s="77" t="s">
        <v>411</v>
      </c>
      <c r="F11" s="79" t="s">
        <v>409</v>
      </c>
    </row>
    <row r="12" spans="2:6" ht="47.25" x14ac:dyDescent="0.2">
      <c r="B12" s="622"/>
      <c r="C12" s="624"/>
      <c r="D12" s="76" t="s">
        <v>412</v>
      </c>
      <c r="E12" s="77" t="s">
        <v>413</v>
      </c>
      <c r="F12" s="79" t="s">
        <v>409</v>
      </c>
    </row>
    <row r="13" spans="2:6" ht="31.5" x14ac:dyDescent="0.2">
      <c r="B13" s="622"/>
      <c r="C13" s="624" t="s">
        <v>252</v>
      </c>
      <c r="D13" s="76" t="s">
        <v>258</v>
      </c>
      <c r="E13" s="77" t="s">
        <v>414</v>
      </c>
      <c r="F13" s="79" t="s">
        <v>409</v>
      </c>
    </row>
    <row r="14" spans="2:6" ht="32.25" thickBot="1" x14ac:dyDescent="0.25">
      <c r="B14" s="625"/>
      <c r="C14" s="626"/>
      <c r="D14" s="80" t="s">
        <v>415</v>
      </c>
      <c r="E14" s="81" t="s">
        <v>416</v>
      </c>
      <c r="F14" s="82" t="s">
        <v>409</v>
      </c>
    </row>
    <row r="15" spans="2:6" ht="49.5" customHeight="1" x14ac:dyDescent="0.2">
      <c r="B15" s="618" t="s">
        <v>417</v>
      </c>
      <c r="C15" s="618"/>
      <c r="D15" s="618"/>
      <c r="E15" s="618"/>
      <c r="F15" s="618"/>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254</v>
      </c>
    </row>
    <row r="4" spans="1:1" x14ac:dyDescent="0.2">
      <c r="A4" s="2" t="s">
        <v>259</v>
      </c>
    </row>
    <row r="5" spans="1:1" x14ac:dyDescent="0.2">
      <c r="A5" s="2" t="s">
        <v>281</v>
      </c>
    </row>
    <row r="6" spans="1:1" x14ac:dyDescent="0.2">
      <c r="A6" s="2" t="s">
        <v>404</v>
      </c>
    </row>
    <row r="7" spans="1:1" x14ac:dyDescent="0.2">
      <c r="A7" s="2" t="s">
        <v>255</v>
      </c>
    </row>
    <row r="8" spans="1:1" x14ac:dyDescent="0.2">
      <c r="A8" s="2" t="s">
        <v>256</v>
      </c>
    </row>
    <row r="9" spans="1:1" x14ac:dyDescent="0.2">
      <c r="A9" s="2" t="s">
        <v>260</v>
      </c>
    </row>
    <row r="10" spans="1:1" x14ac:dyDescent="0.2">
      <c r="A10" s="2" t="s">
        <v>257</v>
      </c>
    </row>
    <row r="11" spans="1:1" x14ac:dyDescent="0.2">
      <c r="A11" s="2" t="s">
        <v>412</v>
      </c>
    </row>
    <row r="12" spans="1:1" x14ac:dyDescent="0.2">
      <c r="A12" s="2" t="s">
        <v>418</v>
      </c>
    </row>
    <row r="13" spans="1:1" x14ac:dyDescent="0.2">
      <c r="A13" s="2" t="s">
        <v>419</v>
      </c>
    </row>
    <row r="14" spans="1:1" x14ac:dyDescent="0.2">
      <c r="A14" s="2" t="s">
        <v>420</v>
      </c>
    </row>
    <row r="16" spans="1:1" x14ac:dyDescent="0.2">
      <c r="A16" s="2" t="s">
        <v>421</v>
      </c>
    </row>
    <row r="17" spans="1:1" x14ac:dyDescent="0.2">
      <c r="A17" s="2" t="s">
        <v>117</v>
      </c>
    </row>
    <row r="18" spans="1:1" x14ac:dyDescent="0.2">
      <c r="A18" s="2" t="s">
        <v>119</v>
      </c>
    </row>
    <row r="20" spans="1:1" x14ac:dyDescent="0.2">
      <c r="A20" s="2" t="s">
        <v>129</v>
      </c>
    </row>
    <row r="21" spans="1:1" x14ac:dyDescent="0.2">
      <c r="A21" s="2" t="s">
        <v>132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topLeftCell="B1" zoomScale="50" zoomScaleNormal="50" workbookViewId="0">
      <selection activeCell="I4" sqref="I4"/>
    </sheetView>
  </sheetViews>
  <sheetFormatPr baseColWidth="10" defaultColWidth="11.42578125" defaultRowHeight="26.25" x14ac:dyDescent="0.35"/>
  <cols>
    <col min="1" max="1" width="11.85546875" style="119" customWidth="1"/>
    <col min="2" max="2" width="7.42578125" style="120" customWidth="1"/>
    <col min="3" max="3" width="36.85546875" style="121" customWidth="1"/>
    <col min="4" max="4" width="150" style="147" customWidth="1"/>
    <col min="5" max="5" width="168" style="121" customWidth="1"/>
    <col min="6" max="6" width="51.7109375" style="119" customWidth="1"/>
    <col min="7" max="16384" width="11.42578125" style="119"/>
  </cols>
  <sheetData>
    <row r="1" spans="1:6" x14ac:dyDescent="0.35">
      <c r="D1" s="122"/>
      <c r="E1" s="123"/>
    </row>
    <row r="2" spans="1:6" ht="40.5" customHeight="1" thickBot="1" x14ac:dyDescent="0.3">
      <c r="A2" s="124"/>
      <c r="B2" s="312" t="s">
        <v>90</v>
      </c>
      <c r="C2" s="312"/>
      <c r="D2" s="312"/>
      <c r="E2" s="313"/>
      <c r="F2" s="317" t="s">
        <v>91</v>
      </c>
    </row>
    <row r="3" spans="1:6" s="129" customFormat="1" ht="40.5" customHeight="1" thickBot="1" x14ac:dyDescent="0.4">
      <c r="A3" s="125"/>
      <c r="B3" s="314" t="s">
        <v>92</v>
      </c>
      <c r="C3" s="126" t="s">
        <v>93</v>
      </c>
      <c r="D3" s="127" t="s">
        <v>94</v>
      </c>
      <c r="E3" s="128" t="s">
        <v>95</v>
      </c>
      <c r="F3" s="318"/>
    </row>
    <row r="4" spans="1:6" s="129" customFormat="1" ht="228.75" customHeight="1" thickBot="1" x14ac:dyDescent="0.4">
      <c r="A4" s="125"/>
      <c r="B4" s="315"/>
      <c r="C4" s="130" t="s">
        <v>96</v>
      </c>
      <c r="D4" s="131" t="s">
        <v>97</v>
      </c>
      <c r="E4" s="163" t="s">
        <v>98</v>
      </c>
      <c r="F4" s="168" t="s">
        <v>99</v>
      </c>
    </row>
    <row r="5" spans="1:6" s="129" customFormat="1" ht="289.5" thickBot="1" x14ac:dyDescent="0.4">
      <c r="A5" s="125"/>
      <c r="B5" s="315"/>
      <c r="C5" s="132" t="s">
        <v>100</v>
      </c>
      <c r="D5" s="133" t="s">
        <v>101</v>
      </c>
      <c r="E5" s="164" t="s">
        <v>102</v>
      </c>
      <c r="F5" s="167" t="s">
        <v>103</v>
      </c>
    </row>
    <row r="6" spans="1:6" s="129" customFormat="1" ht="237" thickBot="1" x14ac:dyDescent="0.4">
      <c r="A6" s="125"/>
      <c r="B6" s="315"/>
      <c r="C6" s="134" t="s">
        <v>104</v>
      </c>
      <c r="D6" s="135" t="s">
        <v>105</v>
      </c>
      <c r="E6" s="165" t="s">
        <v>106</v>
      </c>
      <c r="F6" s="167"/>
    </row>
    <row r="7" spans="1:6" s="129" customFormat="1" ht="154.5" customHeight="1" thickBot="1" x14ac:dyDescent="0.4">
      <c r="A7" s="125"/>
      <c r="B7" s="315"/>
      <c r="C7" s="136" t="s">
        <v>107</v>
      </c>
      <c r="D7" s="137"/>
      <c r="E7" s="164"/>
      <c r="F7" s="167"/>
    </row>
    <row r="8" spans="1:6" s="129" customFormat="1" ht="183.75" thickBot="1" x14ac:dyDescent="0.4">
      <c r="A8" s="125"/>
      <c r="B8" s="315"/>
      <c r="C8" s="138" t="s">
        <v>108</v>
      </c>
      <c r="D8" s="135" t="s">
        <v>109</v>
      </c>
      <c r="E8" s="166" t="s">
        <v>110</v>
      </c>
      <c r="F8" s="167"/>
    </row>
    <row r="9" spans="1:6" s="129" customFormat="1" ht="179.25" thickBot="1" x14ac:dyDescent="0.4">
      <c r="A9" s="125"/>
      <c r="B9" s="315"/>
      <c r="C9" s="136" t="s">
        <v>111</v>
      </c>
      <c r="D9" s="133" t="s">
        <v>112</v>
      </c>
      <c r="E9" s="166" t="s">
        <v>113</v>
      </c>
      <c r="F9" s="167"/>
    </row>
    <row r="10" spans="1:6" s="141" customFormat="1" ht="263.25" thickBot="1" x14ac:dyDescent="0.4">
      <c r="A10" s="139"/>
      <c r="B10" s="315"/>
      <c r="C10" s="140" t="s">
        <v>114</v>
      </c>
      <c r="D10" s="133" t="s">
        <v>115</v>
      </c>
      <c r="E10" s="165" t="s">
        <v>116</v>
      </c>
      <c r="F10" s="169"/>
    </row>
    <row r="11" spans="1:6" s="141" customFormat="1" ht="28.5" thickBot="1" x14ac:dyDescent="0.4">
      <c r="A11" s="139"/>
      <c r="B11" s="316"/>
      <c r="C11" s="142"/>
      <c r="D11" s="143"/>
      <c r="E11" s="144"/>
    </row>
    <row r="12" spans="1:6" ht="27" x14ac:dyDescent="0.35">
      <c r="D12" s="145"/>
      <c r="E12" s="146"/>
    </row>
    <row r="17" spans="4:4" x14ac:dyDescent="0.35">
      <c r="D17" s="122"/>
    </row>
    <row r="18" spans="4:4" x14ac:dyDescent="0.35">
      <c r="D18" s="122"/>
    </row>
    <row r="19" spans="4:4" x14ac:dyDescent="0.35">
      <c r="D19" s="122"/>
    </row>
  </sheetData>
  <mergeCells count="3">
    <mergeCell ref="B2:E2"/>
    <mergeCell ref="B3:B11"/>
    <mergeCell ref="F2:F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71"/>
  <sheetViews>
    <sheetView topLeftCell="A21" workbookViewId="0">
      <selection activeCell="B35" sqref="B35"/>
    </sheetView>
  </sheetViews>
  <sheetFormatPr baseColWidth="10" defaultColWidth="11.42578125" defaultRowHeight="15" x14ac:dyDescent="0.25"/>
  <cols>
    <col min="2" max="2" width="22.85546875" customWidth="1"/>
    <col min="6" max="6" width="17.140625" customWidth="1"/>
    <col min="7" max="7" width="29.28515625" customWidth="1"/>
  </cols>
  <sheetData>
    <row r="2" spans="1:8" x14ac:dyDescent="0.25">
      <c r="B2" t="s">
        <v>117</v>
      </c>
      <c r="E2" t="s">
        <v>118</v>
      </c>
    </row>
    <row r="3" spans="1:8" x14ac:dyDescent="0.25">
      <c r="B3" t="s">
        <v>119</v>
      </c>
      <c r="E3" t="s">
        <v>120</v>
      </c>
    </row>
    <row r="4" spans="1:8" x14ac:dyDescent="0.25">
      <c r="B4" t="s">
        <v>121</v>
      </c>
      <c r="E4" t="s">
        <v>122</v>
      </c>
    </row>
    <row r="5" spans="1:8" x14ac:dyDescent="0.25">
      <c r="B5" t="s">
        <v>123</v>
      </c>
    </row>
    <row r="7" spans="1:8" x14ac:dyDescent="0.25">
      <c r="F7" t="s">
        <v>124</v>
      </c>
      <c r="H7" t="s">
        <v>125</v>
      </c>
    </row>
    <row r="8" spans="1:8" x14ac:dyDescent="0.25">
      <c r="B8" t="s">
        <v>126</v>
      </c>
      <c r="F8" t="s">
        <v>127</v>
      </c>
      <c r="H8" t="s">
        <v>128</v>
      </c>
    </row>
    <row r="9" spans="1:8" x14ac:dyDescent="0.25">
      <c r="B9" t="s">
        <v>129</v>
      </c>
      <c r="F9" t="s">
        <v>130</v>
      </c>
      <c r="H9" t="s">
        <v>131</v>
      </c>
    </row>
    <row r="10" spans="1:8" ht="15.75" thickBot="1" x14ac:dyDescent="0.3">
      <c r="B10" t="s">
        <v>132</v>
      </c>
      <c r="H10" t="s">
        <v>133</v>
      </c>
    </row>
    <row r="11" spans="1:8" ht="15.75" thickBot="1" x14ac:dyDescent="0.3">
      <c r="A11" s="236" t="s">
        <v>23</v>
      </c>
      <c r="B11" s="237"/>
      <c r="C11" s="238"/>
      <c r="D11" s="239"/>
      <c r="H11" t="s">
        <v>134</v>
      </c>
    </row>
    <row r="12" spans="1:8" x14ac:dyDescent="0.25">
      <c r="A12" s="225" t="s">
        <v>135</v>
      </c>
      <c r="B12" s="226" t="s">
        <v>136</v>
      </c>
      <c r="D12" s="227"/>
      <c r="H12" t="s">
        <v>137</v>
      </c>
    </row>
    <row r="13" spans="1:8" x14ac:dyDescent="0.25">
      <c r="A13" s="225"/>
      <c r="B13" s="226" t="s">
        <v>138</v>
      </c>
      <c r="D13" s="227"/>
      <c r="H13" t="s">
        <v>139</v>
      </c>
    </row>
    <row r="14" spans="1:8" x14ac:dyDescent="0.25">
      <c r="A14" s="225"/>
      <c r="B14" s="226" t="s">
        <v>140</v>
      </c>
      <c r="D14" s="227"/>
      <c r="H14" t="s">
        <v>141</v>
      </c>
    </row>
    <row r="15" spans="1:8" x14ac:dyDescent="0.25">
      <c r="A15" s="225"/>
      <c r="B15" s="226" t="s">
        <v>142</v>
      </c>
      <c r="D15" s="227"/>
      <c r="H15" t="s">
        <v>143</v>
      </c>
    </row>
    <row r="16" spans="1:8" x14ac:dyDescent="0.25">
      <c r="A16" s="225"/>
      <c r="B16" s="226" t="s">
        <v>144</v>
      </c>
      <c r="D16" s="227"/>
      <c r="H16" t="s">
        <v>145</v>
      </c>
    </row>
    <row r="17" spans="1:8" x14ac:dyDescent="0.25">
      <c r="A17" s="228" t="s">
        <v>146</v>
      </c>
      <c r="B17" s="229" t="s">
        <v>147</v>
      </c>
      <c r="D17" s="227"/>
      <c r="H17" t="s">
        <v>148</v>
      </c>
    </row>
    <row r="18" spans="1:8" x14ac:dyDescent="0.25">
      <c r="A18" s="228"/>
      <c r="B18" s="229" t="s">
        <v>149</v>
      </c>
      <c r="D18" s="227"/>
      <c r="H18" t="s">
        <v>137</v>
      </c>
    </row>
    <row r="19" spans="1:8" x14ac:dyDescent="0.25">
      <c r="A19" s="228"/>
      <c r="B19" s="229" t="s">
        <v>150</v>
      </c>
      <c r="D19" s="227"/>
    </row>
    <row r="20" spans="1:8" x14ac:dyDescent="0.25">
      <c r="A20" s="230" t="s">
        <v>151</v>
      </c>
      <c r="B20" s="231" t="s">
        <v>152</v>
      </c>
      <c r="D20" s="227"/>
    </row>
    <row r="21" spans="1:8" x14ac:dyDescent="0.25">
      <c r="A21" s="230"/>
      <c r="B21" s="231" t="s">
        <v>153</v>
      </c>
      <c r="D21" s="227"/>
    </row>
    <row r="22" spans="1:8" ht="15.75" thickBot="1" x14ac:dyDescent="0.3">
      <c r="A22" s="232"/>
      <c r="B22" s="233" t="s">
        <v>154</v>
      </c>
      <c r="C22" s="234"/>
      <c r="D22" s="235"/>
    </row>
    <row r="25" spans="1:8" x14ac:dyDescent="0.25">
      <c r="B25" t="s">
        <v>155</v>
      </c>
    </row>
    <row r="26" spans="1:8" x14ac:dyDescent="0.25">
      <c r="B26" t="s">
        <v>156</v>
      </c>
    </row>
    <row r="27" spans="1:8" ht="15.75" thickBot="1" x14ac:dyDescent="0.3">
      <c r="B27" t="s">
        <v>157</v>
      </c>
    </row>
    <row r="28" spans="1:8" ht="15.75" thickBot="1" x14ac:dyDescent="0.3">
      <c r="B28" t="s">
        <v>158</v>
      </c>
      <c r="F28" s="160" t="s">
        <v>159</v>
      </c>
      <c r="G28" s="161" t="s">
        <v>160</v>
      </c>
    </row>
    <row r="29" spans="1:8" ht="15.75" thickBot="1" x14ac:dyDescent="0.3">
      <c r="B29" t="s">
        <v>161</v>
      </c>
      <c r="F29" s="322" t="s">
        <v>158</v>
      </c>
      <c r="G29" s="162" t="s">
        <v>162</v>
      </c>
    </row>
    <row r="30" spans="1:8" ht="15.75" thickBot="1" x14ac:dyDescent="0.3">
      <c r="B30" t="s">
        <v>163</v>
      </c>
      <c r="F30" s="320"/>
      <c r="G30" s="162" t="s">
        <v>164</v>
      </c>
    </row>
    <row r="31" spans="1:8" ht="15.75" thickBot="1" x14ac:dyDescent="0.3">
      <c r="B31" t="s">
        <v>165</v>
      </c>
      <c r="F31" s="320"/>
      <c r="G31" s="162" t="s">
        <v>166</v>
      </c>
    </row>
    <row r="32" spans="1:8" ht="15.75" thickBot="1" x14ac:dyDescent="0.3">
      <c r="B32" t="s">
        <v>167</v>
      </c>
      <c r="F32" s="320"/>
      <c r="G32" s="162" t="s">
        <v>168</v>
      </c>
    </row>
    <row r="33" spans="6:7" ht="15.75" thickBot="1" x14ac:dyDescent="0.3">
      <c r="F33" s="320"/>
      <c r="G33" s="162" t="s">
        <v>169</v>
      </c>
    </row>
    <row r="34" spans="6:7" ht="15.75" thickBot="1" x14ac:dyDescent="0.3">
      <c r="F34" s="321"/>
      <c r="G34" s="162" t="s">
        <v>170</v>
      </c>
    </row>
    <row r="35" spans="6:7" ht="15.75" thickBot="1" x14ac:dyDescent="0.3">
      <c r="F35" s="319" t="s">
        <v>167</v>
      </c>
      <c r="G35" s="162" t="s">
        <v>171</v>
      </c>
    </row>
    <row r="36" spans="6:7" ht="15.75" thickBot="1" x14ac:dyDescent="0.3">
      <c r="F36" s="320"/>
      <c r="G36" s="162" t="s">
        <v>172</v>
      </c>
    </row>
    <row r="37" spans="6:7" ht="15.75" thickBot="1" x14ac:dyDescent="0.3">
      <c r="F37" s="320"/>
      <c r="G37" s="162" t="s">
        <v>173</v>
      </c>
    </row>
    <row r="38" spans="6:7" ht="21.75" customHeight="1" thickBot="1" x14ac:dyDescent="0.3">
      <c r="F38" s="320"/>
      <c r="G38" s="162" t="s">
        <v>174</v>
      </c>
    </row>
    <row r="39" spans="6:7" ht="15.75" thickBot="1" x14ac:dyDescent="0.3">
      <c r="F39" s="321"/>
      <c r="G39" s="162" t="s">
        <v>175</v>
      </c>
    </row>
    <row r="40" spans="6:7" ht="45.75" customHeight="1" thickBot="1" x14ac:dyDescent="0.3">
      <c r="F40" s="319" t="s">
        <v>163</v>
      </c>
      <c r="G40" s="162" t="s">
        <v>176</v>
      </c>
    </row>
    <row r="41" spans="6:7" ht="15.75" thickBot="1" x14ac:dyDescent="0.3">
      <c r="F41" s="320"/>
      <c r="G41" s="162" t="s">
        <v>177</v>
      </c>
    </row>
    <row r="42" spans="6:7" ht="30" customHeight="1" thickBot="1" x14ac:dyDescent="0.3">
      <c r="F42" s="321"/>
      <c r="G42" s="162" t="s">
        <v>178</v>
      </c>
    </row>
    <row r="43" spans="6:7" ht="15.75" thickBot="1" x14ac:dyDescent="0.3">
      <c r="F43" s="319" t="s">
        <v>165</v>
      </c>
      <c r="G43" s="162" t="s">
        <v>179</v>
      </c>
    </row>
    <row r="44" spans="6:7" ht="15.75" thickBot="1" x14ac:dyDescent="0.3">
      <c r="F44" s="320"/>
      <c r="G44" s="162" t="s">
        <v>180</v>
      </c>
    </row>
    <row r="45" spans="6:7" ht="15.75" thickBot="1" x14ac:dyDescent="0.3">
      <c r="F45" s="321"/>
      <c r="G45" s="162" t="s">
        <v>181</v>
      </c>
    </row>
    <row r="46" spans="6:7" ht="24.75" thickBot="1" x14ac:dyDescent="0.3">
      <c r="F46" s="319" t="s">
        <v>156</v>
      </c>
      <c r="G46" s="162" t="s">
        <v>182</v>
      </c>
    </row>
    <row r="47" spans="6:7" ht="15.75" thickBot="1" x14ac:dyDescent="0.3">
      <c r="F47" s="320"/>
      <c r="G47" s="162" t="s">
        <v>183</v>
      </c>
    </row>
    <row r="48" spans="6:7" ht="15.75" thickBot="1" x14ac:dyDescent="0.3">
      <c r="F48" s="320"/>
      <c r="G48" s="162" t="s">
        <v>184</v>
      </c>
    </row>
    <row r="49" spans="6:7" ht="15.75" thickBot="1" x14ac:dyDescent="0.3">
      <c r="F49" s="320"/>
      <c r="G49" s="162" t="s">
        <v>185</v>
      </c>
    </row>
    <row r="50" spans="6:7" ht="15.75" thickBot="1" x14ac:dyDescent="0.3">
      <c r="F50" s="320"/>
      <c r="G50" s="162" t="s">
        <v>186</v>
      </c>
    </row>
    <row r="51" spans="6:7" ht="24.75" thickBot="1" x14ac:dyDescent="0.3">
      <c r="F51" s="320"/>
      <c r="G51" s="162" t="s">
        <v>187</v>
      </c>
    </row>
    <row r="52" spans="6:7" ht="15.75" thickBot="1" x14ac:dyDescent="0.3">
      <c r="F52" s="320"/>
      <c r="G52" s="162" t="s">
        <v>188</v>
      </c>
    </row>
    <row r="53" spans="6:7" ht="24.75" thickBot="1" x14ac:dyDescent="0.3">
      <c r="F53" s="320"/>
      <c r="G53" s="162" t="s">
        <v>189</v>
      </c>
    </row>
    <row r="54" spans="6:7" ht="15.75" thickBot="1" x14ac:dyDescent="0.3">
      <c r="F54" s="320"/>
      <c r="G54" s="162" t="s">
        <v>190</v>
      </c>
    </row>
    <row r="55" spans="6:7" ht="15.75" thickBot="1" x14ac:dyDescent="0.3">
      <c r="F55" s="320"/>
      <c r="G55" s="162" t="s">
        <v>191</v>
      </c>
    </row>
    <row r="56" spans="6:7" ht="15.75" thickBot="1" x14ac:dyDescent="0.3">
      <c r="F56" s="321"/>
      <c r="G56" s="162" t="s">
        <v>192</v>
      </c>
    </row>
    <row r="57" spans="6:7" ht="15.75" thickBot="1" x14ac:dyDescent="0.3">
      <c r="F57" s="319" t="s">
        <v>161</v>
      </c>
      <c r="G57" s="162" t="s">
        <v>193</v>
      </c>
    </row>
    <row r="58" spans="6:7" ht="15.75" thickBot="1" x14ac:dyDescent="0.3">
      <c r="F58" s="320"/>
      <c r="G58" s="162" t="s">
        <v>194</v>
      </c>
    </row>
    <row r="59" spans="6:7" ht="24.75" thickBot="1" x14ac:dyDescent="0.3">
      <c r="F59" s="320"/>
      <c r="G59" s="162" t="s">
        <v>195</v>
      </c>
    </row>
    <row r="60" spans="6:7" ht="15.75" thickBot="1" x14ac:dyDescent="0.3">
      <c r="F60" s="320"/>
      <c r="G60" s="162" t="s">
        <v>196</v>
      </c>
    </row>
    <row r="61" spans="6:7" ht="36.75" thickBot="1" x14ac:dyDescent="0.3">
      <c r="F61" s="321"/>
      <c r="G61" s="162" t="s">
        <v>197</v>
      </c>
    </row>
    <row r="62" spans="6:7" ht="15.75" thickBot="1" x14ac:dyDescent="0.3">
      <c r="F62" s="319" t="s">
        <v>155</v>
      </c>
      <c r="G62" s="162" t="s">
        <v>198</v>
      </c>
    </row>
    <row r="63" spans="6:7" ht="15.75" thickBot="1" x14ac:dyDescent="0.3">
      <c r="F63" s="320"/>
      <c r="G63" s="162" t="s">
        <v>199</v>
      </c>
    </row>
    <row r="64" spans="6:7" ht="15.75" thickBot="1" x14ac:dyDescent="0.3">
      <c r="F64" s="320"/>
      <c r="G64" s="162" t="s">
        <v>200</v>
      </c>
    </row>
    <row r="65" spans="6:7" ht="15.75" thickBot="1" x14ac:dyDescent="0.3">
      <c r="F65" s="320"/>
      <c r="G65" s="162" t="s">
        <v>201</v>
      </c>
    </row>
    <row r="66" spans="6:7" ht="15.75" thickBot="1" x14ac:dyDescent="0.3">
      <c r="F66" s="321"/>
      <c r="G66" s="162" t="s">
        <v>202</v>
      </c>
    </row>
    <row r="67" spans="6:7" ht="15.75" thickBot="1" x14ac:dyDescent="0.3">
      <c r="F67" s="319" t="s">
        <v>157</v>
      </c>
      <c r="G67" s="162" t="s">
        <v>203</v>
      </c>
    </row>
    <row r="68" spans="6:7" ht="15.75" thickBot="1" x14ac:dyDescent="0.3">
      <c r="F68" s="320"/>
      <c r="G68" s="162" t="s">
        <v>204</v>
      </c>
    </row>
    <row r="69" spans="6:7" ht="15.75" thickBot="1" x14ac:dyDescent="0.3">
      <c r="F69" s="320"/>
      <c r="G69" s="162" t="s">
        <v>205</v>
      </c>
    </row>
    <row r="70" spans="6:7" ht="15.75" thickBot="1" x14ac:dyDescent="0.3">
      <c r="F70" s="320"/>
      <c r="G70" s="162" t="s">
        <v>206</v>
      </c>
    </row>
    <row r="71" spans="6:7" ht="24.75" thickBot="1" x14ac:dyDescent="0.3">
      <c r="F71" s="321"/>
      <c r="G71" s="162" t="s">
        <v>207</v>
      </c>
    </row>
  </sheetData>
  <sortState xmlns:xlrd2="http://schemas.microsoft.com/office/spreadsheetml/2017/richdata2"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L77"/>
  <sheetViews>
    <sheetView tabSelected="1" topLeftCell="M9" zoomScale="40" zoomScaleNormal="40" zoomScaleSheetLayoutView="50" zoomScalePageLayoutView="60" workbookViewId="0">
      <selection activeCell="U21" sqref="U21:U26"/>
    </sheetView>
  </sheetViews>
  <sheetFormatPr baseColWidth="10" defaultColWidth="11.42578125" defaultRowHeight="15" x14ac:dyDescent="0.2"/>
  <cols>
    <col min="1" max="1" width="5.28515625" style="218" customWidth="1"/>
    <col min="2" max="2" width="16" style="218" customWidth="1"/>
    <col min="3" max="3" width="19.140625" style="218" customWidth="1"/>
    <col min="4" max="4" width="31.140625" style="218" customWidth="1"/>
    <col min="5" max="5" width="68.85546875" style="218" customWidth="1"/>
    <col min="6" max="6" width="21" style="198" customWidth="1"/>
    <col min="7" max="7" width="15.42578125" style="198" customWidth="1"/>
    <col min="8" max="8" width="28.7109375" style="198" customWidth="1"/>
    <col min="9" max="10" width="29.42578125" style="198" customWidth="1"/>
    <col min="11" max="11" width="24.28515625" style="198" customWidth="1"/>
    <col min="12" max="12" width="19.42578125" style="198" customWidth="1"/>
    <col min="13" max="13" width="20.5703125" style="198" customWidth="1"/>
    <col min="14" max="14" width="16.7109375" style="219" customWidth="1"/>
    <col min="15" max="15" width="16.7109375" style="198" customWidth="1"/>
    <col min="16" max="16" width="20.42578125" style="198" hidden="1" customWidth="1"/>
    <col min="17" max="17" width="22.28515625" style="198" customWidth="1"/>
    <col min="18" max="18" width="35.85546875" style="198" hidden="1" customWidth="1"/>
    <col min="19" max="19" width="19" style="198" customWidth="1"/>
    <col min="20" max="20" width="17.5703125" style="198" hidden="1" customWidth="1"/>
    <col min="21" max="21" width="15" style="198" customWidth="1"/>
    <col min="22" max="22" width="16" style="198" customWidth="1"/>
    <col min="23" max="23" width="71.28515625" style="198" customWidth="1"/>
    <col min="24" max="24" width="26.85546875" style="198" hidden="1" customWidth="1"/>
    <col min="25" max="25" width="5.85546875" style="198" customWidth="1"/>
    <col min="26" max="26" width="6.85546875" style="198" customWidth="1"/>
    <col min="27" max="27" width="5" style="198" hidden="1" customWidth="1"/>
    <col min="28" max="28" width="5.5703125" style="198" customWidth="1"/>
    <col min="29" max="29" width="7.140625" style="198" customWidth="1"/>
    <col min="30" max="30" width="6.7109375" style="198" customWidth="1"/>
    <col min="31" max="31" width="7.5703125" style="198" hidden="1" customWidth="1"/>
    <col min="32" max="32" width="8.5703125" style="198" customWidth="1"/>
    <col min="33" max="37" width="10.85546875" style="198" customWidth="1"/>
    <col min="38" max="38" width="28.140625" style="217" customWidth="1"/>
    <col min="39" max="39" width="23" style="198" customWidth="1"/>
    <col min="40" max="40" width="27.5703125" style="198" customWidth="1"/>
    <col min="41" max="41" width="23.7109375" style="198" customWidth="1"/>
    <col min="42" max="42" width="22.42578125" style="198" customWidth="1"/>
    <col min="43" max="43" width="16.42578125" style="198" customWidth="1"/>
    <col min="44" max="44" width="20.5703125" style="198" customWidth="1"/>
    <col min="45" max="16384" width="11.42578125" style="198"/>
  </cols>
  <sheetData>
    <row r="1" spans="1:272" s="201" customFormat="1" ht="20.25" x14ac:dyDescent="0.3">
      <c r="A1" s="401"/>
      <c r="B1" s="402"/>
      <c r="C1" s="403"/>
      <c r="D1" s="392" t="s">
        <v>208</v>
      </c>
      <c r="E1" s="393"/>
      <c r="F1" s="393"/>
      <c r="G1" s="393"/>
      <c r="H1" s="393"/>
      <c r="I1" s="393"/>
      <c r="J1" s="393"/>
      <c r="K1" s="393"/>
      <c r="L1" s="393"/>
      <c r="M1" s="393"/>
      <c r="N1" s="393"/>
      <c r="O1" s="393"/>
      <c r="P1" s="393"/>
      <c r="Q1" s="393"/>
      <c r="R1" s="393"/>
      <c r="S1" s="393"/>
      <c r="T1" s="394"/>
      <c r="U1" s="253"/>
      <c r="V1" s="253"/>
      <c r="W1" s="253"/>
      <c r="X1" s="370"/>
      <c r="Y1" s="370"/>
      <c r="Z1" s="370"/>
      <c r="AA1" s="370"/>
      <c r="AB1" s="370"/>
      <c r="AC1" s="370"/>
      <c r="AD1" s="370"/>
      <c r="AE1" s="370"/>
      <c r="AF1" s="370"/>
      <c r="AG1" s="370"/>
      <c r="AH1" s="370"/>
      <c r="AI1" s="370"/>
      <c r="AJ1" s="370"/>
      <c r="AK1" s="370"/>
      <c r="AL1" s="370"/>
      <c r="AM1" s="370"/>
      <c r="AN1" s="370"/>
      <c r="AO1" s="370"/>
      <c r="AP1" s="370"/>
      <c r="AQ1" s="370"/>
      <c r="AR1" s="370"/>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row>
    <row r="2" spans="1:272" s="201" customFormat="1" ht="21" thickBot="1" x14ac:dyDescent="0.35">
      <c r="A2" s="404"/>
      <c r="B2" s="405"/>
      <c r="C2" s="406"/>
      <c r="D2" s="395"/>
      <c r="E2" s="396"/>
      <c r="F2" s="396"/>
      <c r="G2" s="396"/>
      <c r="H2" s="396"/>
      <c r="I2" s="396"/>
      <c r="J2" s="396"/>
      <c r="K2" s="396"/>
      <c r="L2" s="396"/>
      <c r="M2" s="396"/>
      <c r="N2" s="396"/>
      <c r="O2" s="396"/>
      <c r="P2" s="396"/>
      <c r="Q2" s="396"/>
      <c r="R2" s="396"/>
      <c r="S2" s="396"/>
      <c r="T2" s="397"/>
      <c r="U2" s="253"/>
      <c r="V2" s="253"/>
      <c r="W2" s="253"/>
      <c r="X2" s="370"/>
      <c r="Y2" s="370"/>
      <c r="Z2" s="370"/>
      <c r="AA2" s="370"/>
      <c r="AB2" s="370"/>
      <c r="AC2" s="370"/>
      <c r="AD2" s="370"/>
      <c r="AE2" s="370"/>
      <c r="AF2" s="370"/>
      <c r="AG2" s="370"/>
      <c r="AH2" s="370"/>
      <c r="AI2" s="370"/>
      <c r="AJ2" s="370"/>
      <c r="AK2" s="370"/>
      <c r="AL2" s="370"/>
      <c r="AM2" s="370"/>
      <c r="AN2" s="370"/>
      <c r="AO2" s="370"/>
      <c r="AP2" s="370"/>
      <c r="AQ2" s="370"/>
      <c r="AR2" s="37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row>
    <row r="3" spans="1:272" s="201" customFormat="1" ht="27.75" customHeight="1" thickBot="1" x14ac:dyDescent="0.35">
      <c r="A3" s="404"/>
      <c r="B3" s="405"/>
      <c r="C3" s="406"/>
      <c r="D3" s="398" t="s">
        <v>209</v>
      </c>
      <c r="E3" s="399"/>
      <c r="F3" s="399"/>
      <c r="G3" s="399"/>
      <c r="H3" s="399"/>
      <c r="I3" s="400"/>
      <c r="J3" s="398" t="s">
        <v>210</v>
      </c>
      <c r="K3" s="399"/>
      <c r="L3" s="399"/>
      <c r="M3" s="399"/>
      <c r="N3" s="399"/>
      <c r="O3" s="399"/>
      <c r="P3" s="399"/>
      <c r="Q3" s="399"/>
      <c r="R3" s="399"/>
      <c r="S3" s="399"/>
      <c r="T3" s="400"/>
      <c r="U3" s="254"/>
      <c r="V3" s="254"/>
      <c r="W3" s="253"/>
      <c r="X3" s="371"/>
      <c r="Y3" s="371"/>
      <c r="Z3" s="371"/>
      <c r="AA3" s="371"/>
      <c r="AB3" s="371"/>
      <c r="AC3" s="371"/>
      <c r="AD3" s="371"/>
      <c r="AE3" s="371"/>
      <c r="AF3" s="371"/>
      <c r="AG3" s="371"/>
      <c r="AH3" s="371"/>
      <c r="AI3" s="371"/>
      <c r="AJ3" s="371"/>
      <c r="AK3" s="371"/>
      <c r="AL3" s="371"/>
      <c r="AM3" s="371"/>
      <c r="AN3" s="371"/>
      <c r="AO3" s="371"/>
      <c r="AP3" s="371"/>
      <c r="AQ3" s="371"/>
      <c r="AR3" s="371"/>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row>
    <row r="4" spans="1:272" s="201" customFormat="1" ht="27.75" customHeight="1" thickBot="1" x14ac:dyDescent="0.35">
      <c r="A4" s="407"/>
      <c r="B4" s="408"/>
      <c r="C4" s="409"/>
      <c r="D4" s="398" t="s">
        <v>422</v>
      </c>
      <c r="E4" s="399"/>
      <c r="F4" s="399"/>
      <c r="G4" s="399"/>
      <c r="H4" s="399"/>
      <c r="I4" s="399"/>
      <c r="J4" s="399"/>
      <c r="K4" s="399"/>
      <c r="L4" s="399"/>
      <c r="M4" s="399"/>
      <c r="N4" s="399"/>
      <c r="O4" s="399"/>
      <c r="P4" s="399"/>
      <c r="Q4" s="399"/>
      <c r="R4" s="399"/>
      <c r="S4" s="399"/>
      <c r="T4" s="400"/>
      <c r="U4" s="253"/>
      <c r="V4" s="253"/>
      <c r="W4" s="253"/>
      <c r="X4" s="371"/>
      <c r="Y4" s="371"/>
      <c r="Z4" s="371"/>
      <c r="AA4" s="371"/>
      <c r="AB4" s="371"/>
      <c r="AC4" s="371"/>
      <c r="AD4" s="371"/>
      <c r="AE4" s="371"/>
      <c r="AF4" s="371"/>
      <c r="AG4" s="371"/>
      <c r="AH4" s="371"/>
      <c r="AI4" s="371"/>
      <c r="AJ4" s="371"/>
      <c r="AK4" s="371"/>
      <c r="AL4" s="371"/>
      <c r="AM4" s="371"/>
      <c r="AN4" s="371"/>
      <c r="AO4" s="371"/>
      <c r="AP4" s="371"/>
      <c r="AQ4" s="371"/>
      <c r="AR4" s="371"/>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row>
    <row r="5" spans="1:272" ht="15.75" thickBot="1" x14ac:dyDescent="0.25">
      <c r="A5" s="202"/>
      <c r="B5" s="203"/>
      <c r="C5" s="202"/>
      <c r="D5" s="202"/>
      <c r="E5" s="202"/>
      <c r="F5" s="204"/>
      <c r="G5" s="204"/>
      <c r="H5" s="204"/>
      <c r="I5" s="204"/>
      <c r="J5" s="204"/>
      <c r="K5" s="204"/>
      <c r="L5" s="255"/>
      <c r="M5" s="255"/>
      <c r="N5" s="256"/>
      <c r="O5" s="255"/>
      <c r="P5" s="255"/>
      <c r="Q5" s="255"/>
      <c r="R5" s="255"/>
      <c r="S5" s="255"/>
      <c r="T5" s="255"/>
      <c r="U5" s="255"/>
      <c r="V5" s="255"/>
      <c r="W5" s="255"/>
      <c r="X5" s="255"/>
      <c r="Y5" s="255"/>
      <c r="Z5" s="255"/>
      <c r="AA5" s="255"/>
      <c r="AB5" s="255"/>
      <c r="AC5" s="255"/>
      <c r="AD5" s="255"/>
      <c r="AE5" s="255"/>
      <c r="AF5" s="255"/>
      <c r="AG5" s="255"/>
      <c r="AH5" s="255"/>
      <c r="AI5" s="255"/>
      <c r="AJ5" s="255"/>
      <c r="AK5" s="255"/>
      <c r="AL5" s="257"/>
      <c r="AM5" s="255"/>
      <c r="AN5" s="255"/>
      <c r="AO5" s="255"/>
      <c r="AP5" s="255"/>
      <c r="AQ5" s="255"/>
      <c r="AR5" s="255"/>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row>
    <row r="6" spans="1:272" ht="27" customHeight="1" x14ac:dyDescent="0.2">
      <c r="A6" s="372" t="s">
        <v>211</v>
      </c>
      <c r="B6" s="373"/>
      <c r="C6" s="379" t="s">
        <v>83</v>
      </c>
      <c r="D6" s="380"/>
      <c r="E6" s="380"/>
      <c r="F6" s="380"/>
      <c r="G6" s="380"/>
      <c r="H6" s="380"/>
      <c r="I6" s="380"/>
      <c r="J6" s="380"/>
      <c r="K6" s="380"/>
      <c r="L6" s="380"/>
      <c r="M6" s="380"/>
      <c r="N6" s="380"/>
      <c r="O6" s="380"/>
      <c r="P6" s="380"/>
      <c r="Q6" s="380"/>
      <c r="R6" s="380"/>
      <c r="S6" s="380"/>
      <c r="T6" s="381"/>
      <c r="U6" s="258"/>
      <c r="V6" s="258"/>
      <c r="W6" s="378"/>
      <c r="X6" s="378"/>
      <c r="Y6" s="378"/>
      <c r="Z6" s="369"/>
      <c r="AA6" s="369"/>
      <c r="AB6" s="369"/>
      <c r="AC6" s="369"/>
      <c r="AD6" s="369"/>
      <c r="AE6" s="369"/>
      <c r="AF6" s="369"/>
      <c r="AG6" s="369"/>
      <c r="AH6" s="369"/>
      <c r="AI6" s="369"/>
      <c r="AJ6" s="369"/>
      <c r="AK6" s="369"/>
      <c r="AL6" s="369"/>
      <c r="AM6" s="369"/>
      <c r="AN6" s="369"/>
      <c r="AO6" s="369"/>
      <c r="AP6" s="369"/>
      <c r="AQ6" s="369"/>
      <c r="AR6" s="369"/>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row>
    <row r="7" spans="1:272" ht="32.25" customHeight="1" x14ac:dyDescent="0.25">
      <c r="A7" s="374" t="s">
        <v>212</v>
      </c>
      <c r="B7" s="375"/>
      <c r="C7" s="382" t="s">
        <v>426</v>
      </c>
      <c r="D7" s="383"/>
      <c r="E7" s="383"/>
      <c r="F7" s="383"/>
      <c r="G7" s="383"/>
      <c r="H7" s="383"/>
      <c r="I7" s="383"/>
      <c r="J7" s="383"/>
      <c r="K7" s="383"/>
      <c r="L7" s="383"/>
      <c r="M7" s="383"/>
      <c r="N7" s="383"/>
      <c r="O7" s="383"/>
      <c r="P7" s="383"/>
      <c r="Q7" s="383"/>
      <c r="R7" s="383"/>
      <c r="S7" s="383"/>
      <c r="T7" s="384"/>
      <c r="U7" s="259"/>
      <c r="V7" s="259"/>
      <c r="W7" s="260"/>
      <c r="X7" s="260"/>
      <c r="Y7" s="260"/>
      <c r="Z7" s="369"/>
      <c r="AA7" s="369"/>
      <c r="AB7" s="369"/>
      <c r="AC7" s="369"/>
      <c r="AD7" s="369"/>
      <c r="AE7" s="369"/>
      <c r="AF7" s="369"/>
      <c r="AG7" s="369"/>
      <c r="AH7" s="369"/>
      <c r="AI7" s="369"/>
      <c r="AJ7" s="369"/>
      <c r="AK7" s="369"/>
      <c r="AL7" s="369"/>
      <c r="AM7" s="369"/>
      <c r="AN7" s="369"/>
      <c r="AO7" s="369"/>
      <c r="AP7" s="369"/>
      <c r="AQ7" s="369"/>
      <c r="AR7" s="369"/>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row>
    <row r="8" spans="1:272" ht="27" customHeight="1" thickBot="1" x14ac:dyDescent="0.3">
      <c r="A8" s="376" t="s">
        <v>213</v>
      </c>
      <c r="B8" s="377"/>
      <c r="C8" s="389" t="s">
        <v>427</v>
      </c>
      <c r="D8" s="390"/>
      <c r="E8" s="390"/>
      <c r="F8" s="390"/>
      <c r="G8" s="390"/>
      <c r="H8" s="390"/>
      <c r="I8" s="390"/>
      <c r="J8" s="390"/>
      <c r="K8" s="390"/>
      <c r="L8" s="390"/>
      <c r="M8" s="390"/>
      <c r="N8" s="390"/>
      <c r="O8" s="390"/>
      <c r="P8" s="390"/>
      <c r="Q8" s="390"/>
      <c r="R8" s="390"/>
      <c r="S8" s="390"/>
      <c r="T8" s="391"/>
      <c r="U8" s="259"/>
      <c r="V8" s="259"/>
      <c r="W8" s="260"/>
      <c r="X8" s="260"/>
      <c r="Y8" s="260"/>
      <c r="Z8" s="369"/>
      <c r="AA8" s="369"/>
      <c r="AB8" s="369"/>
      <c r="AC8" s="369"/>
      <c r="AD8" s="369"/>
      <c r="AE8" s="369"/>
      <c r="AF8" s="369"/>
      <c r="AG8" s="369"/>
      <c r="AH8" s="369"/>
      <c r="AI8" s="369"/>
      <c r="AJ8" s="369"/>
      <c r="AK8" s="369"/>
      <c r="AL8" s="369"/>
      <c r="AM8" s="369"/>
      <c r="AN8" s="369"/>
      <c r="AO8" s="369"/>
      <c r="AP8" s="369"/>
      <c r="AQ8" s="369"/>
      <c r="AR8" s="369"/>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row>
    <row r="9" spans="1:272" ht="15.75" x14ac:dyDescent="0.25">
      <c r="A9" s="206"/>
      <c r="B9" s="206"/>
      <c r="C9" s="207"/>
      <c r="D9" s="207"/>
      <c r="E9" s="207"/>
      <c r="F9" s="207"/>
      <c r="G9" s="207"/>
      <c r="H9" s="207"/>
      <c r="I9" s="207"/>
      <c r="J9" s="207"/>
      <c r="K9" s="207"/>
      <c r="L9" s="207"/>
      <c r="M9" s="207"/>
      <c r="N9" s="207"/>
      <c r="O9" s="207"/>
      <c r="P9" s="207"/>
      <c r="Q9" s="207"/>
      <c r="R9" s="207"/>
      <c r="S9" s="207"/>
      <c r="T9" s="207"/>
      <c r="U9" s="207"/>
      <c r="V9" s="207"/>
      <c r="W9" s="208"/>
      <c r="X9" s="208"/>
      <c r="Y9" s="208"/>
      <c r="Z9" s="209"/>
      <c r="AA9" s="209"/>
      <c r="AB9" s="209"/>
      <c r="AC9" s="209"/>
      <c r="AD9" s="209"/>
      <c r="AE9" s="209"/>
      <c r="AF9" s="209"/>
      <c r="AG9" s="209"/>
      <c r="AH9" s="209"/>
      <c r="AI9" s="209"/>
      <c r="AJ9" s="209"/>
      <c r="AK9" s="209"/>
      <c r="AL9" s="209"/>
      <c r="AM9" s="209"/>
      <c r="AN9" s="209"/>
      <c r="AO9" s="209"/>
      <c r="AP9" s="209"/>
      <c r="AQ9" s="209"/>
      <c r="AR9" s="209"/>
    </row>
    <row r="10" spans="1:272" ht="27.75" customHeight="1" x14ac:dyDescent="0.2">
      <c r="A10" s="385" t="s">
        <v>214</v>
      </c>
      <c r="B10" s="386"/>
      <c r="C10" s="386"/>
      <c r="D10" s="386"/>
      <c r="E10" s="386"/>
      <c r="F10" s="387"/>
      <c r="G10" s="342" t="s">
        <v>215</v>
      </c>
      <c r="H10" s="343"/>
      <c r="I10" s="343"/>
      <c r="J10" s="343"/>
      <c r="K10" s="344"/>
      <c r="L10" s="325" t="s">
        <v>216</v>
      </c>
      <c r="M10" s="326"/>
      <c r="N10" s="327" t="s">
        <v>217</v>
      </c>
      <c r="O10" s="328"/>
      <c r="P10" s="328"/>
      <c r="Q10" s="328"/>
      <c r="R10" s="328"/>
      <c r="S10" s="328"/>
      <c r="T10" s="328"/>
      <c r="U10" s="328"/>
      <c r="V10" s="329"/>
      <c r="W10" s="340" t="s">
        <v>218</v>
      </c>
      <c r="X10" s="340"/>
      <c r="Y10" s="340"/>
      <c r="Z10" s="340"/>
      <c r="AA10" s="340"/>
      <c r="AB10" s="340"/>
      <c r="AC10" s="340"/>
      <c r="AD10" s="340"/>
      <c r="AE10" s="340"/>
      <c r="AF10" s="347" t="s">
        <v>219</v>
      </c>
      <c r="AG10" s="348"/>
      <c r="AH10" s="348"/>
      <c r="AI10" s="348"/>
      <c r="AJ10" s="349"/>
      <c r="AK10" s="327" t="s">
        <v>423</v>
      </c>
      <c r="AL10" s="328"/>
      <c r="AM10" s="328"/>
      <c r="AN10" s="328"/>
      <c r="AO10" s="329"/>
      <c r="AP10" s="327" t="s">
        <v>424</v>
      </c>
      <c r="AQ10" s="328"/>
      <c r="AR10" s="329"/>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row>
    <row r="11" spans="1:272" ht="15.75" x14ac:dyDescent="0.2">
      <c r="A11" s="358" t="s">
        <v>222</v>
      </c>
      <c r="B11" s="359" t="s">
        <v>15</v>
      </c>
      <c r="C11" s="360" t="s">
        <v>17</v>
      </c>
      <c r="D11" s="360" t="s">
        <v>19</v>
      </c>
      <c r="E11" s="359" t="s">
        <v>21</v>
      </c>
      <c r="F11" s="360" t="s">
        <v>23</v>
      </c>
      <c r="G11" s="361" t="s">
        <v>124</v>
      </c>
      <c r="H11" s="361" t="s">
        <v>223</v>
      </c>
      <c r="I11" s="361" t="s">
        <v>224</v>
      </c>
      <c r="J11" s="361" t="s">
        <v>225</v>
      </c>
      <c r="K11" s="361" t="s">
        <v>226</v>
      </c>
      <c r="L11" s="325"/>
      <c r="M11" s="326"/>
      <c r="N11" s="323" t="s">
        <v>227</v>
      </c>
      <c r="O11" s="323" t="s">
        <v>228</v>
      </c>
      <c r="P11" s="350" t="s">
        <v>229</v>
      </c>
      <c r="Q11" s="323" t="s">
        <v>230</v>
      </c>
      <c r="R11" s="323" t="s">
        <v>231</v>
      </c>
      <c r="S11" s="323" t="s">
        <v>232</v>
      </c>
      <c r="T11" s="350" t="s">
        <v>229</v>
      </c>
      <c r="U11" s="323" t="s">
        <v>29</v>
      </c>
      <c r="V11" s="336" t="s">
        <v>233</v>
      </c>
      <c r="W11" s="323" t="s">
        <v>31</v>
      </c>
      <c r="X11" s="323" t="s">
        <v>33</v>
      </c>
      <c r="Y11" s="323" t="s">
        <v>234</v>
      </c>
      <c r="Z11" s="323"/>
      <c r="AA11" s="323"/>
      <c r="AB11" s="323"/>
      <c r="AC11" s="323"/>
      <c r="AD11" s="323"/>
      <c r="AE11" s="336" t="s">
        <v>235</v>
      </c>
      <c r="AF11" s="336" t="s">
        <v>236</v>
      </c>
      <c r="AG11" s="336" t="s">
        <v>229</v>
      </c>
      <c r="AH11" s="336" t="s">
        <v>237</v>
      </c>
      <c r="AI11" s="336" t="s">
        <v>229</v>
      </c>
      <c r="AJ11" s="336" t="s">
        <v>238</v>
      </c>
      <c r="AK11" s="336" t="s">
        <v>49</v>
      </c>
      <c r="AL11" s="323" t="s">
        <v>239</v>
      </c>
      <c r="AM11" s="323" t="s">
        <v>240</v>
      </c>
      <c r="AN11" s="323" t="s">
        <v>241</v>
      </c>
      <c r="AO11" s="323" t="s">
        <v>242</v>
      </c>
      <c r="AP11" s="323" t="s">
        <v>239</v>
      </c>
      <c r="AQ11" s="323" t="s">
        <v>241</v>
      </c>
      <c r="AR11" s="323" t="s">
        <v>240</v>
      </c>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row>
    <row r="12" spans="1:272" s="213" customFormat="1" ht="98.25" x14ac:dyDescent="0.25">
      <c r="A12" s="358"/>
      <c r="B12" s="359"/>
      <c r="C12" s="360"/>
      <c r="D12" s="360"/>
      <c r="E12" s="359"/>
      <c r="F12" s="360"/>
      <c r="G12" s="362"/>
      <c r="H12" s="362"/>
      <c r="I12" s="362"/>
      <c r="J12" s="362"/>
      <c r="K12" s="362"/>
      <c r="L12" s="250" t="s">
        <v>425</v>
      </c>
      <c r="M12" s="250" t="s">
        <v>246</v>
      </c>
      <c r="N12" s="323"/>
      <c r="O12" s="323"/>
      <c r="P12" s="350"/>
      <c r="Q12" s="323"/>
      <c r="R12" s="323"/>
      <c r="S12" s="350"/>
      <c r="T12" s="350"/>
      <c r="U12" s="323"/>
      <c r="V12" s="336"/>
      <c r="W12" s="323"/>
      <c r="X12" s="323"/>
      <c r="Y12" s="210" t="s">
        <v>247</v>
      </c>
      <c r="Z12" s="210" t="s">
        <v>248</v>
      </c>
      <c r="AA12" s="210" t="s">
        <v>249</v>
      </c>
      <c r="AB12" s="210" t="s">
        <v>250</v>
      </c>
      <c r="AC12" s="210" t="s">
        <v>251</v>
      </c>
      <c r="AD12" s="210" t="s">
        <v>252</v>
      </c>
      <c r="AE12" s="336"/>
      <c r="AF12" s="336"/>
      <c r="AG12" s="336"/>
      <c r="AH12" s="336"/>
      <c r="AI12" s="336"/>
      <c r="AJ12" s="336"/>
      <c r="AK12" s="336"/>
      <c r="AL12" s="323"/>
      <c r="AM12" s="323"/>
      <c r="AN12" s="323"/>
      <c r="AO12" s="323"/>
      <c r="AP12" s="323"/>
      <c r="AQ12" s="323"/>
      <c r="AR12" s="323"/>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c r="FU12" s="212"/>
      <c r="FV12" s="212"/>
      <c r="FW12" s="212"/>
      <c r="FX12" s="212"/>
      <c r="FY12" s="212"/>
      <c r="FZ12" s="212"/>
      <c r="GA12" s="212"/>
      <c r="GB12" s="212"/>
      <c r="GC12" s="212"/>
      <c r="GD12" s="212"/>
      <c r="GE12" s="212"/>
      <c r="GF12" s="212"/>
      <c r="GG12" s="212"/>
      <c r="GH12" s="212"/>
      <c r="GI12" s="212"/>
      <c r="GJ12" s="212"/>
      <c r="GK12" s="212"/>
      <c r="GL12" s="212"/>
      <c r="GM12" s="212"/>
      <c r="GN12" s="212"/>
      <c r="GO12" s="212"/>
      <c r="GP12" s="212"/>
      <c r="GQ12" s="212"/>
      <c r="GR12" s="212"/>
      <c r="GS12" s="212"/>
      <c r="GT12" s="212"/>
      <c r="GU12" s="212"/>
      <c r="GV12" s="212"/>
      <c r="GW12" s="212"/>
      <c r="GX12" s="212"/>
      <c r="GY12" s="212"/>
      <c r="GZ12" s="212"/>
      <c r="HA12" s="212"/>
      <c r="HB12" s="212"/>
      <c r="HC12" s="212"/>
      <c r="HD12" s="212"/>
      <c r="HE12" s="212"/>
      <c r="HF12" s="212"/>
      <c r="HG12" s="212"/>
      <c r="HH12" s="212"/>
      <c r="HI12" s="212"/>
      <c r="HJ12" s="212"/>
      <c r="HK12" s="212"/>
      <c r="HL12" s="212"/>
      <c r="HM12" s="212"/>
      <c r="HN12" s="212"/>
      <c r="HO12" s="212"/>
      <c r="HP12" s="212"/>
      <c r="HQ12" s="212"/>
      <c r="HR12" s="212"/>
      <c r="HS12" s="212"/>
      <c r="HT12" s="212"/>
      <c r="HU12" s="212"/>
      <c r="HV12" s="212"/>
      <c r="HW12" s="212"/>
      <c r="HX12" s="212"/>
      <c r="HY12" s="212"/>
      <c r="HZ12" s="212"/>
      <c r="IA12" s="212"/>
      <c r="IB12" s="212"/>
      <c r="IC12" s="212"/>
      <c r="ID12" s="212"/>
      <c r="IE12" s="212"/>
      <c r="IF12" s="212"/>
      <c r="IG12" s="212"/>
      <c r="IH12" s="212"/>
      <c r="II12" s="212"/>
      <c r="IJ12" s="212"/>
      <c r="IK12" s="212"/>
      <c r="IL12" s="212"/>
      <c r="IM12" s="212"/>
      <c r="IN12" s="212"/>
      <c r="IO12" s="212"/>
      <c r="IP12" s="212"/>
      <c r="IQ12" s="212"/>
      <c r="IR12" s="212"/>
      <c r="IS12" s="212"/>
      <c r="IT12" s="212"/>
      <c r="IU12" s="212"/>
      <c r="IV12" s="212"/>
      <c r="IW12" s="212"/>
      <c r="IX12" s="212"/>
      <c r="IY12" s="212"/>
      <c r="IZ12" s="212"/>
      <c r="JA12" s="212"/>
      <c r="JB12" s="212"/>
      <c r="JC12" s="212"/>
      <c r="JD12" s="212"/>
      <c r="JE12" s="212"/>
      <c r="JF12" s="212"/>
      <c r="JG12" s="212"/>
      <c r="JH12" s="212"/>
      <c r="JI12" s="212"/>
      <c r="JJ12" s="212"/>
      <c r="JK12" s="212"/>
      <c r="JL12" s="212"/>
    </row>
    <row r="13" spans="1:272" s="215" customFormat="1" ht="162.75" customHeight="1" x14ac:dyDescent="0.25">
      <c r="A13" s="355">
        <v>1</v>
      </c>
      <c r="B13" s="345" t="s">
        <v>122</v>
      </c>
      <c r="C13" s="345" t="s">
        <v>428</v>
      </c>
      <c r="D13" s="345" t="s">
        <v>445</v>
      </c>
      <c r="E13" s="346" t="s">
        <v>465</v>
      </c>
      <c r="F13" s="345" t="s">
        <v>446</v>
      </c>
      <c r="G13" s="330" t="s">
        <v>127</v>
      </c>
      <c r="H13" s="351" t="s">
        <v>447</v>
      </c>
      <c r="I13" s="351" t="s">
        <v>448</v>
      </c>
      <c r="J13" s="351" t="s">
        <v>449</v>
      </c>
      <c r="K13" s="351" t="s">
        <v>450</v>
      </c>
      <c r="L13" s="330" t="s">
        <v>133</v>
      </c>
      <c r="M13" s="330" t="s">
        <v>141</v>
      </c>
      <c r="N13" s="341">
        <f>12*3500</f>
        <v>42000</v>
      </c>
      <c r="O13" s="335" t="str">
        <f>IF(N13&lt;=0,"",IF(N13&lt;=2,"Muy Baja",IF(N13&lt;=24,"Baja",IF(N13&lt;=500,"Media",IF(N13&lt;=5000,"Alta","Muy Alta")))))</f>
        <v>Muy Alta</v>
      </c>
      <c r="P13" s="334">
        <f>IF(O13="","",IF(O13="Muy Baja",0.2,IF(O13="Baja",0.4,IF(O13="Media",0.6,IF(O13="Alta",0.8,IF(O13="Muy Alta",1,))))))</f>
        <v>1</v>
      </c>
      <c r="Q13" s="324" t="s">
        <v>353</v>
      </c>
      <c r="R13" s="334" t="str">
        <f>IF(NOT(ISERROR(MATCH(Q13,'Tabla Impacto'!$B$222:$B$224,0))),'Tabla Impacto'!$F$224&amp;"Por favor no seleccionar los criterios de impacto(Afectación Económica o presupuestal y Pérdida Reputacional)",Q13)</f>
        <v xml:space="preserve">     El riesgo afecta la imagen de la entidad internamente, de conocimiento general, nivel interno, de junta dircetiva y accionistas y/o de provedores</v>
      </c>
      <c r="S13" s="335" t="str">
        <f>IF(OR(R13='Tabla Impacto'!$C$12,R13='Tabla Impacto'!$D$12),"Leve",IF(OR(R13='Tabla Impacto'!$C$13,R13='Tabla Impacto'!$D$13),"Menor",IF(OR(R13='Tabla Impacto'!$C$14,R13='Tabla Impacto'!$D$14),"Moderado",IF(OR(R13='Tabla Impacto'!$C$15,R13='Tabla Impacto'!$D$15),"Mayor",IF(OR(R13='Tabla Impacto'!$C$16,R13='Tabla Impacto'!$D$16),"Catastrófico","")))))</f>
        <v>Menor</v>
      </c>
      <c r="T13" s="334">
        <f>IF(S13="","",IF(S13="Leve",0.2,IF(S13="Menor",0.4,IF(S13="Moderado",0.6,IF(S13="Mayor",0.8,IF(S13="Catastrófico",1,))))))</f>
        <v>0.4</v>
      </c>
      <c r="U13" s="333"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Alto</v>
      </c>
      <c r="V13" s="214">
        <v>1</v>
      </c>
      <c r="W13" s="240" t="s">
        <v>451</v>
      </c>
      <c r="X13" s="189" t="str">
        <f t="shared" ref="X13:X16" si="0">IF(OR(Y13="Preventivo",Y13="Detectivo"),"Probabilidad",IF(Y13="Correctivo","Impacto",""))</f>
        <v>Probabilidad</v>
      </c>
      <c r="Y13" s="190" t="s">
        <v>254</v>
      </c>
      <c r="Z13" s="190" t="s">
        <v>255</v>
      </c>
      <c r="AA13" s="191" t="str">
        <f>IF(AND(Y13="Preventivo",Z13="Automático"),"50%",IF(AND(Y13="Preventivo",Z13="Manual"),"40%",IF(AND(Y13="Detectivo",Z13="Automático"),"40%",IF(AND(Y13="Detectivo",Z13="Manual"),"30%",IF(AND(Y13="Correctivo",Z13="Automático"),"35%",IF(AND(Y13="Correctivo",Z13="Manual"),"25%",""))))))</f>
        <v>40%</v>
      </c>
      <c r="AB13" s="190" t="s">
        <v>256</v>
      </c>
      <c r="AC13" s="190" t="s">
        <v>257</v>
      </c>
      <c r="AD13" s="190" t="s">
        <v>258</v>
      </c>
      <c r="AE13" s="192">
        <f>IFERROR(IF(X13="Probabilidad",(P13-(+P13*AA13)),IF(X13="Impacto",P13,"")),"")</f>
        <v>0.6</v>
      </c>
      <c r="AF13" s="193" t="str">
        <f>IFERROR(IF(AE13="","",IF(AE13&lt;=0.2,"Muy Baja",IF(AE13&lt;=0.4,"Baja",IF(AE13&lt;=0.6,"Media",IF(AE13&lt;=0.8,"Alta","Muy Alta"))))),"")</f>
        <v>Media</v>
      </c>
      <c r="AG13" s="191">
        <f>+AE13</f>
        <v>0.6</v>
      </c>
      <c r="AH13" s="193" t="str">
        <f>IFERROR(IF(AI13="","",IF(AI13&lt;=0.2,"Leve",IF(AI13&lt;=0.4,"Menor",IF(AI13&lt;=0.6,"Moderado",IF(AI13&lt;=0.8,"Mayor","Catastrófico"))))),"")</f>
        <v>Menor</v>
      </c>
      <c r="AI13" s="191">
        <f>IFERROR(IF(X13="Impacto",(T13-(+T13*AA13)),IF(X13="Probabilidad",T13,"")),"")</f>
        <v>0.4</v>
      </c>
      <c r="AJ13" s="194" t="str">
        <f>IFERROR(IF(OR(AND(AF13="Muy Baja",AH13="Leve"),AND(AF13="Muy Baja",AH13="Menor"),AND(AF13="Baja",AH13="Leve")),"Bajo",IF(OR(AND(AF13="Muy baja",AH13="Moderado"),AND(AF13="Baja",AH13="Menor"),AND(AF13="Baja",AH13="Moderado"),AND(AF13="Media",AH13="Leve"),AND(AF13="Media",AH13="Menor"),AND(AF13="Media",AH13="Moderado"),AND(AF13="Alta",AH13="Leve"),AND(AF13="Alta",AH13="Menor")),"Moderado",IF(OR(AND(AF13="Muy Baja",AH13="Mayor"),AND(AF13="Baja",AH13="Mayor"),AND(AF13="Media",AH13="Mayor"),AND(AF13="Alta",AH13="Moderado"),AND(AF13="Alta",AH13="Mayor"),AND(AF13="Muy Alta",AH13="Leve"),AND(AF13="Muy Alta",AH13="Menor"),AND(AF13="Muy Alta",AH13="Moderado"),AND(AF13="Muy Alta",AH13="Mayor")),"Alto",IF(OR(AND(AF13="Muy Baja",AH13="Catastrófico"),AND(AF13="Baja",AH13="Catastrófico"),AND(AF13="Media",AH13="Catastrófico"),AND(AF13="Alta",AH13="Catastrófico"),AND(AF13="Muy Alta",AH13="Catastrófico")),"Extremo","")))),"")</f>
        <v>Moderado</v>
      </c>
      <c r="AK13" s="195" t="s">
        <v>123</v>
      </c>
      <c r="AL13" s="186"/>
      <c r="AM13" s="196"/>
      <c r="AN13" s="196"/>
      <c r="AO13" s="197"/>
      <c r="AP13" s="345" t="s">
        <v>488</v>
      </c>
      <c r="AQ13" s="354" t="s">
        <v>489</v>
      </c>
      <c r="AR13" s="345" t="s">
        <v>486</v>
      </c>
    </row>
    <row r="14" spans="1:272" ht="141" customHeight="1" x14ac:dyDescent="0.2">
      <c r="A14" s="356"/>
      <c r="B14" s="345"/>
      <c r="C14" s="345"/>
      <c r="D14" s="345"/>
      <c r="E14" s="346"/>
      <c r="F14" s="345"/>
      <c r="G14" s="331"/>
      <c r="H14" s="352"/>
      <c r="I14" s="352"/>
      <c r="J14" s="352"/>
      <c r="K14" s="352"/>
      <c r="L14" s="331"/>
      <c r="M14" s="331"/>
      <c r="N14" s="341"/>
      <c r="O14" s="335"/>
      <c r="P14" s="334"/>
      <c r="Q14" s="324"/>
      <c r="R14" s="334">
        <f>IF(NOT(ISERROR(MATCH(Q14,_xlfn.ANCHORARRAY(E27),0))),P29&amp;"Por favor no seleccionar los criterios de impacto",Q14)</f>
        <v>0</v>
      </c>
      <c r="S14" s="335"/>
      <c r="T14" s="334"/>
      <c r="U14" s="333"/>
      <c r="V14" s="214">
        <v>2</v>
      </c>
      <c r="W14" s="240" t="s">
        <v>452</v>
      </c>
      <c r="X14" s="189" t="str">
        <f t="shared" si="0"/>
        <v>Probabilidad</v>
      </c>
      <c r="Y14" s="190" t="s">
        <v>254</v>
      </c>
      <c r="Z14" s="190" t="s">
        <v>255</v>
      </c>
      <c r="AA14" s="191" t="str">
        <f t="shared" ref="AA14:AA16" si="1">IF(AND(Y14="Preventivo",Z14="Automático"),"50%",IF(AND(Y14="Preventivo",Z14="Manual"),"40%",IF(AND(Y14="Detectivo",Z14="Automático"),"40%",IF(AND(Y14="Detectivo",Z14="Manual"),"30%",IF(AND(Y14="Correctivo",Z14="Automático"),"35%",IF(AND(Y14="Correctivo",Z14="Manual"),"25%",""))))))</f>
        <v>40%</v>
      </c>
      <c r="AB14" s="190" t="s">
        <v>256</v>
      </c>
      <c r="AC14" s="190" t="s">
        <v>257</v>
      </c>
      <c r="AD14" s="190" t="s">
        <v>258</v>
      </c>
      <c r="AE14" s="192">
        <f>IFERROR(IF(AND(X13="Probabilidad",X14="Probabilidad"),(AG13-(+AG13*AA14)),IF(X14="Probabilidad",(P13-(+P13*AA14)),IF(X14="Impacto",AG13,""))),"")</f>
        <v>0.36</v>
      </c>
      <c r="AF14" s="193" t="str">
        <f t="shared" ref="AF14:AF74" si="2">IFERROR(IF(AE14="","",IF(AE14&lt;=0.2,"Muy Baja",IF(AE14&lt;=0.4,"Baja",IF(AE14&lt;=0.6,"Media",IF(AE14&lt;=0.8,"Alta","Muy Alta"))))),"")</f>
        <v>Baja</v>
      </c>
      <c r="AG14" s="191">
        <f t="shared" ref="AG14:AG17" si="3">+AE14</f>
        <v>0.36</v>
      </c>
      <c r="AH14" s="193" t="str">
        <f t="shared" ref="AH14:AH74" si="4">IFERROR(IF(AI14="","",IF(AI14&lt;=0.2,"Leve",IF(AI14&lt;=0.4,"Menor",IF(AI14&lt;=0.6,"Moderado",IF(AI14&lt;=0.8,"Mayor","Catastrófico"))))),"")</f>
        <v>Menor</v>
      </c>
      <c r="AI14" s="191">
        <f>IFERROR(IF(AND(X13="Impacto",X14="Impacto"),(AI13-(+AI13*AA14)),IF(X14="Impacto",($T$13-(+$T$13*AA14)),IF(X14="Probabilidad",AI13,""))),"")</f>
        <v>0.4</v>
      </c>
      <c r="AJ14" s="194" t="str">
        <f t="shared" ref="AJ14:AJ17" si="5">IFERROR(IF(OR(AND(AF14="Muy Baja",AH14="Leve"),AND(AF14="Muy Baja",AH14="Menor"),AND(AF14="Baja",AH14="Leve")),"Bajo",IF(OR(AND(AF14="Muy baja",AH14="Moderado"),AND(AF14="Baja",AH14="Menor"),AND(AF14="Baja",AH14="Moderado"),AND(AF14="Media",AH14="Leve"),AND(AF14="Media",AH14="Menor"),AND(AF14="Media",AH14="Moderado"),AND(AF14="Alta",AH14="Leve"),AND(AF14="Alta",AH14="Menor")),"Moderado",IF(OR(AND(AF14="Muy Baja",AH14="Mayor"),AND(AF14="Baja",AH14="Mayor"),AND(AF14="Media",AH14="Mayor"),AND(AF14="Alta",AH14="Moderado"),AND(AF14="Alta",AH14="Mayor"),AND(AF14="Muy Alta",AH14="Leve"),AND(AF14="Muy Alta",AH14="Menor"),AND(AF14="Muy Alta",AH14="Moderado"),AND(AF14="Muy Alta",AH14="Mayor")),"Alto",IF(OR(AND(AF14="Muy Baja",AH14="Catastrófico"),AND(AF14="Baja",AH14="Catastrófico"),AND(AF14="Media",AH14="Catastrófico"),AND(AF14="Alta",AH14="Catastrófico"),AND(AF14="Muy Alta",AH14="Catastrófico")),"Extremo","")))),"")</f>
        <v>Moderado</v>
      </c>
      <c r="AK14" s="195" t="s">
        <v>123</v>
      </c>
      <c r="AL14" s="186"/>
      <c r="AM14" s="196"/>
      <c r="AN14" s="186"/>
      <c r="AO14" s="197"/>
      <c r="AP14" s="345"/>
      <c r="AQ14" s="345"/>
      <c r="AR14" s="345"/>
    </row>
    <row r="15" spans="1:272" ht="112.5" customHeight="1" x14ac:dyDescent="0.2">
      <c r="A15" s="356"/>
      <c r="B15" s="345"/>
      <c r="C15" s="345"/>
      <c r="D15" s="345"/>
      <c r="E15" s="346"/>
      <c r="F15" s="345"/>
      <c r="G15" s="331"/>
      <c r="H15" s="352"/>
      <c r="I15" s="352"/>
      <c r="J15" s="352"/>
      <c r="K15" s="352"/>
      <c r="L15" s="331"/>
      <c r="M15" s="331"/>
      <c r="N15" s="341"/>
      <c r="O15" s="335"/>
      <c r="P15" s="334"/>
      <c r="Q15" s="324"/>
      <c r="R15" s="334">
        <f>IF(NOT(ISERROR(MATCH(Q15,_xlfn.ANCHORARRAY(E28),0))),P30&amp;"Por favor no seleccionar los criterios de impacto",Q15)</f>
        <v>0</v>
      </c>
      <c r="S15" s="335"/>
      <c r="T15" s="334"/>
      <c r="U15" s="333"/>
      <c r="V15" s="214">
        <v>3</v>
      </c>
      <c r="W15" s="188" t="s">
        <v>453</v>
      </c>
      <c r="X15" s="189" t="str">
        <f t="shared" si="0"/>
        <v>Probabilidad</v>
      </c>
      <c r="Y15" s="190" t="s">
        <v>259</v>
      </c>
      <c r="Z15" s="190" t="s">
        <v>255</v>
      </c>
      <c r="AA15" s="191" t="str">
        <f t="shared" si="1"/>
        <v>30%</v>
      </c>
      <c r="AB15" s="190" t="s">
        <v>256</v>
      </c>
      <c r="AC15" s="190" t="s">
        <v>257</v>
      </c>
      <c r="AD15" s="190" t="s">
        <v>258</v>
      </c>
      <c r="AE15" s="192">
        <f>IFERROR(IF(AND(X14="Probabilidad",X15="Probabilidad"),(AG14-(+AG14*AA15)),IF(AND(X14="Impacto",X15="Probabilidad"),(AG13-(+AG13*AA15)),IF(X15="Impacto",AG14,""))),"")</f>
        <v>0.252</v>
      </c>
      <c r="AF15" s="193" t="str">
        <f t="shared" si="2"/>
        <v>Baja</v>
      </c>
      <c r="AG15" s="191">
        <f t="shared" si="3"/>
        <v>0.252</v>
      </c>
      <c r="AH15" s="193" t="str">
        <f t="shared" si="4"/>
        <v>Menor</v>
      </c>
      <c r="AI15" s="191">
        <f>IFERROR(IF(AND(X14="Impacto",X15="Impacto"),(AI14-(+AI14*AA15)),IF(AND(X14="Probabilidad",X15="Impacto"),(AI13-(+AI13*AA15)),IF(X15="Probabilidad",AI14,""))),"")</f>
        <v>0.4</v>
      </c>
      <c r="AJ15" s="194" t="str">
        <f t="shared" si="5"/>
        <v>Moderado</v>
      </c>
      <c r="AK15" s="195" t="s">
        <v>123</v>
      </c>
      <c r="AL15" s="186"/>
      <c r="AM15" s="196"/>
      <c r="AN15" s="196"/>
      <c r="AO15" s="197"/>
      <c r="AP15" s="345"/>
      <c r="AQ15" s="345"/>
      <c r="AR15" s="345"/>
    </row>
    <row r="16" spans="1:272" ht="140.25" customHeight="1" x14ac:dyDescent="0.2">
      <c r="A16" s="356"/>
      <c r="B16" s="345"/>
      <c r="C16" s="345"/>
      <c r="D16" s="345"/>
      <c r="E16" s="346"/>
      <c r="F16" s="345"/>
      <c r="G16" s="331"/>
      <c r="H16" s="352"/>
      <c r="I16" s="352"/>
      <c r="J16" s="352"/>
      <c r="K16" s="352"/>
      <c r="L16" s="331"/>
      <c r="M16" s="331"/>
      <c r="N16" s="341"/>
      <c r="O16" s="335"/>
      <c r="P16" s="334"/>
      <c r="Q16" s="324"/>
      <c r="R16" s="334">
        <f>IF(NOT(ISERROR(MATCH(Q16,_xlfn.ANCHORARRAY(E29),0))),P31&amp;"Por favor no seleccionar los criterios de impacto",Q16)</f>
        <v>0</v>
      </c>
      <c r="S16" s="335"/>
      <c r="T16" s="334"/>
      <c r="U16" s="333"/>
      <c r="V16" s="214">
        <v>4</v>
      </c>
      <c r="W16" s="266" t="s">
        <v>454</v>
      </c>
      <c r="X16" s="189" t="str">
        <f t="shared" si="0"/>
        <v>Probabilidad</v>
      </c>
      <c r="Y16" s="190" t="s">
        <v>254</v>
      </c>
      <c r="Z16" s="190" t="s">
        <v>255</v>
      </c>
      <c r="AA16" s="191" t="str">
        <f t="shared" si="1"/>
        <v>40%</v>
      </c>
      <c r="AB16" s="190" t="s">
        <v>256</v>
      </c>
      <c r="AC16" s="190" t="s">
        <v>257</v>
      </c>
      <c r="AD16" s="190" t="s">
        <v>258</v>
      </c>
      <c r="AE16" s="192">
        <f t="shared" ref="AE16" si="6">IFERROR(IF(AND(X15="Probabilidad",X16="Probabilidad"),(AG15-(+AG15*AA16)),IF(AND(X15="Impacto",X16="Probabilidad"),(AG14-(+AG14*AA16)),IF(X16="Impacto",AG15,""))),"")</f>
        <v>0.1512</v>
      </c>
      <c r="AF16" s="193" t="str">
        <f t="shared" si="2"/>
        <v>Muy Baja</v>
      </c>
      <c r="AG16" s="191">
        <f t="shared" si="3"/>
        <v>0.1512</v>
      </c>
      <c r="AH16" s="193" t="str">
        <f t="shared" si="4"/>
        <v>Menor</v>
      </c>
      <c r="AI16" s="191">
        <f t="shared" ref="AI16:AI17" si="7">IFERROR(IF(AND(X15="Impacto",X16="Impacto"),(AI15-(+AI15*AA16)),IF(AND(X15="Probabilidad",X16="Impacto"),(AI14-(+AI14*AA16)),IF(X16="Probabilidad",AI15,""))),"")</f>
        <v>0.4</v>
      </c>
      <c r="AJ16" s="194" t="str">
        <f>IFERROR(IF(OR(AND(AF16="Muy Baja",AH16="Leve"),AND(AF16="Muy Baja",AH16="Menor"),AND(AF16="Baja",AH16="Leve")),"Bajo",IF(OR(AND(AF16="Muy baja",AH16="Moderado"),AND(AF16="Baja",AH16="Menor"),AND(AF16="Baja",AH16="Moderado"),AND(AF16="Media",AH16="Leve"),AND(AF16="Media",AH16="Menor"),AND(AF16="Media",AH16="Moderado"),AND(AF16="Alta",AH16="Leve"),AND(AF16="Alta",AH16="Menor")),"Moderado",IF(OR(AND(AF16="Muy Baja",AH16="Mayor"),AND(AF16="Baja",AH16="Mayor"),AND(AF16="Media",AH16="Mayor"),AND(AF16="Alta",AH16="Moderado"),AND(AF16="Alta",AH16="Mayor"),AND(AF16="Muy Alta",AH16="Leve"),AND(AF16="Muy Alta",AH16="Menor"),AND(AF16="Muy Alta",AH16="Moderado"),AND(AF16="Muy Alta",AH16="Mayor")),"Alto",IF(OR(AND(AF16="Muy Baja",AH16="Catastrófico"),AND(AF16="Baja",AH16="Catastrófico"),AND(AF16="Media",AH16="Catastrófico"),AND(AF16="Alta",AH16="Catastrófico"),AND(AF16="Muy Alta",AH16="Catastrófico")),"Extremo","")))),"")</f>
        <v>Bajo</v>
      </c>
      <c r="AK16" s="195" t="s">
        <v>123</v>
      </c>
      <c r="AL16" s="186"/>
      <c r="AM16" s="196"/>
      <c r="AN16" s="196"/>
      <c r="AO16" s="197"/>
      <c r="AP16" s="345"/>
      <c r="AQ16" s="345"/>
      <c r="AR16" s="345"/>
    </row>
    <row r="17" spans="1:44" ht="176.25" customHeight="1" x14ac:dyDescent="0.2">
      <c r="A17" s="356"/>
      <c r="B17" s="345"/>
      <c r="C17" s="345"/>
      <c r="D17" s="345"/>
      <c r="E17" s="346"/>
      <c r="F17" s="345"/>
      <c r="G17" s="331"/>
      <c r="H17" s="352"/>
      <c r="I17" s="352"/>
      <c r="J17" s="352"/>
      <c r="K17" s="352"/>
      <c r="L17" s="331"/>
      <c r="M17" s="331"/>
      <c r="N17" s="341"/>
      <c r="O17" s="335"/>
      <c r="P17" s="334"/>
      <c r="Q17" s="324"/>
      <c r="R17" s="334">
        <f>IF(NOT(ISERROR(MATCH(Q17,_xlfn.ANCHORARRAY(E30),0))),P32&amp;"Por favor no seleccionar los criterios de impacto",Q17)</f>
        <v>0</v>
      </c>
      <c r="S17" s="335"/>
      <c r="T17" s="334"/>
      <c r="U17" s="333"/>
      <c r="V17" s="214">
        <v>5</v>
      </c>
      <c r="W17" s="266" t="s">
        <v>455</v>
      </c>
      <c r="X17" s="189" t="str">
        <f t="shared" ref="X17:X20" si="8">IF(OR(Y17="Preventivo",Y17="Detectivo"),"Probabilidad",IF(Y17="Correctivo","Impacto",""))</f>
        <v>Probabilidad</v>
      </c>
      <c r="Y17" s="190" t="s">
        <v>254</v>
      </c>
      <c r="Z17" s="190" t="s">
        <v>255</v>
      </c>
      <c r="AA17" s="191" t="str">
        <f t="shared" ref="AA17:AA18" si="9">IF(AND(Y17="Preventivo",Z17="Automático"),"50%",IF(AND(Y17="Preventivo",Z17="Manual"),"40%",IF(AND(Y17="Detectivo",Z17="Automático"),"40%",IF(AND(Y17="Detectivo",Z17="Manual"),"30%",IF(AND(Y17="Correctivo",Z17="Automático"),"35%",IF(AND(Y17="Correctivo",Z17="Manual"),"25%",""))))))</f>
        <v>40%</v>
      </c>
      <c r="AB17" s="190" t="s">
        <v>256</v>
      </c>
      <c r="AC17" s="190" t="s">
        <v>257</v>
      </c>
      <c r="AD17" s="190" t="s">
        <v>258</v>
      </c>
      <c r="AE17" s="192">
        <f>IFERROR(IF(AND(X16="Probabilidad",X17="Probabilidad"),(AG16-(+AG16*AA17)),IF(AND(X16="Impacto",X17="Probabilidad"),(AG15-(+AG15*AA17)),IF(X17="Impacto",AG16,""))),"")</f>
        <v>9.0719999999999995E-2</v>
      </c>
      <c r="AF17" s="193" t="str">
        <f t="shared" si="2"/>
        <v>Muy Baja</v>
      </c>
      <c r="AG17" s="191">
        <f t="shared" si="3"/>
        <v>9.0719999999999995E-2</v>
      </c>
      <c r="AH17" s="193" t="str">
        <f t="shared" si="4"/>
        <v>Menor</v>
      </c>
      <c r="AI17" s="191">
        <f t="shared" si="7"/>
        <v>0.4</v>
      </c>
      <c r="AJ17" s="194" t="str">
        <f t="shared" si="5"/>
        <v>Bajo</v>
      </c>
      <c r="AK17" s="195" t="s">
        <v>123</v>
      </c>
      <c r="AL17" s="186"/>
      <c r="AM17" s="196"/>
      <c r="AN17" s="196"/>
      <c r="AO17" s="197"/>
      <c r="AP17" s="345"/>
      <c r="AQ17" s="345"/>
      <c r="AR17" s="345"/>
    </row>
    <row r="18" spans="1:44" ht="111" customHeight="1" x14ac:dyDescent="0.2">
      <c r="A18" s="356"/>
      <c r="B18" s="345"/>
      <c r="C18" s="345"/>
      <c r="D18" s="345"/>
      <c r="E18" s="346"/>
      <c r="F18" s="345"/>
      <c r="G18" s="331"/>
      <c r="H18" s="352"/>
      <c r="I18" s="352"/>
      <c r="J18" s="352"/>
      <c r="K18" s="352"/>
      <c r="L18" s="331"/>
      <c r="M18" s="331"/>
      <c r="N18" s="341"/>
      <c r="O18" s="335"/>
      <c r="P18" s="334"/>
      <c r="Q18" s="324"/>
      <c r="R18" s="334"/>
      <c r="S18" s="335"/>
      <c r="T18" s="334"/>
      <c r="U18" s="333"/>
      <c r="V18" s="214">
        <v>6</v>
      </c>
      <c r="W18" s="266" t="s">
        <v>456</v>
      </c>
      <c r="X18" s="189" t="str">
        <f t="shared" si="8"/>
        <v>Probabilidad</v>
      </c>
      <c r="Y18" s="190" t="s">
        <v>254</v>
      </c>
      <c r="Z18" s="190" t="s">
        <v>255</v>
      </c>
      <c r="AA18" s="191" t="str">
        <f t="shared" si="9"/>
        <v>40%</v>
      </c>
      <c r="AB18" s="190" t="s">
        <v>256</v>
      </c>
      <c r="AC18" s="190" t="s">
        <v>257</v>
      </c>
      <c r="AD18" s="190" t="s">
        <v>258</v>
      </c>
      <c r="AE18" s="192">
        <f>IFERROR(IF(AND(X17="Probabilidad",X18="Probabilidad"),(AG17-(+AG17*AA18)),IF(AND(X17="Impacto",X18="Probabilidad"),(AG16-(+AG16*AA18)),IF(X18="Impacto",AG17,""))),"")</f>
        <v>5.4431999999999994E-2</v>
      </c>
      <c r="AF18" s="193" t="str">
        <f t="shared" ref="AF18" si="10">IFERROR(IF(AE18="","",IF(AE18&lt;=0.2,"Muy Baja",IF(AE18&lt;=0.4,"Baja",IF(AE18&lt;=0.6,"Media",IF(AE18&lt;=0.8,"Alta","Muy Alta"))))),"")</f>
        <v>Muy Baja</v>
      </c>
      <c r="AG18" s="191">
        <f t="shared" ref="AG18" si="11">+AE18</f>
        <v>5.4431999999999994E-2</v>
      </c>
      <c r="AH18" s="193" t="str">
        <f t="shared" ref="AH18" si="12">IFERROR(IF(AI18="","",IF(AI18&lt;=0.2,"Leve",IF(AI18&lt;=0.4,"Menor",IF(AI18&lt;=0.6,"Moderado",IF(AI18&lt;=0.8,"Mayor","Catastrófico"))))),"")</f>
        <v>Menor</v>
      </c>
      <c r="AI18" s="191">
        <f t="shared" ref="AI18" si="13">IFERROR(IF(AND(X17="Impacto",X18="Impacto"),(AI17-(+AI17*AA18)),IF(AND(X17="Probabilidad",X18="Impacto"),(AI16-(+AI16*AA18)),IF(X18="Probabilidad",AI17,""))),"")</f>
        <v>0.4</v>
      </c>
      <c r="AJ18" s="194" t="str">
        <f t="shared" ref="AJ18" si="14">IFERROR(IF(OR(AND(AF18="Muy Baja",AH18="Leve"),AND(AF18="Muy Baja",AH18="Menor"),AND(AF18="Baja",AH18="Leve")),"Bajo",IF(OR(AND(AF18="Muy baja",AH18="Moderado"),AND(AF18="Baja",AH18="Menor"),AND(AF18="Baja",AH18="Moderado"),AND(AF18="Media",AH18="Leve"),AND(AF18="Media",AH18="Menor"),AND(AF18="Media",AH18="Moderado"),AND(AF18="Alta",AH18="Leve"),AND(AF18="Alta",AH18="Menor")),"Moderado",IF(OR(AND(AF18="Muy Baja",AH18="Mayor"),AND(AF18="Baja",AH18="Mayor"),AND(AF18="Media",AH18="Mayor"),AND(AF18="Alta",AH18="Moderado"),AND(AF18="Alta",AH18="Mayor"),AND(AF18="Muy Alta",AH18="Leve"),AND(AF18="Muy Alta",AH18="Menor"),AND(AF18="Muy Alta",AH18="Moderado"),AND(AF18="Muy Alta",AH18="Mayor")),"Alto",IF(OR(AND(AF18="Muy Baja",AH18="Catastrófico"),AND(AF18="Baja",AH18="Catastrófico"),AND(AF18="Media",AH18="Catastrófico"),AND(AF18="Alta",AH18="Catastrófico"),AND(AF18="Muy Alta",AH18="Catastrófico")),"Extremo","")))),"")</f>
        <v>Bajo</v>
      </c>
      <c r="AK18" s="195" t="s">
        <v>123</v>
      </c>
      <c r="AL18" s="264"/>
      <c r="AM18" s="265"/>
      <c r="AN18" s="265"/>
      <c r="AO18" s="197"/>
      <c r="AP18" s="345"/>
      <c r="AQ18" s="345"/>
      <c r="AR18" s="345"/>
    </row>
    <row r="19" spans="1:44" ht="114" customHeight="1" x14ac:dyDescent="0.2">
      <c r="A19" s="356"/>
      <c r="B19" s="345"/>
      <c r="C19" s="345"/>
      <c r="D19" s="345"/>
      <c r="E19" s="346"/>
      <c r="F19" s="345"/>
      <c r="G19" s="331"/>
      <c r="H19" s="352"/>
      <c r="I19" s="352"/>
      <c r="J19" s="352"/>
      <c r="K19" s="352"/>
      <c r="L19" s="331"/>
      <c r="M19" s="331"/>
      <c r="N19" s="341"/>
      <c r="O19" s="335"/>
      <c r="P19" s="334"/>
      <c r="Q19" s="324"/>
      <c r="R19" s="334"/>
      <c r="S19" s="335"/>
      <c r="T19" s="334"/>
      <c r="U19" s="333"/>
      <c r="V19" s="214">
        <v>7</v>
      </c>
      <c r="W19" s="266" t="s">
        <v>457</v>
      </c>
      <c r="X19" s="189" t="str">
        <f t="shared" si="8"/>
        <v>Probabilidad</v>
      </c>
      <c r="Y19" s="190" t="s">
        <v>254</v>
      </c>
      <c r="Z19" s="190" t="s">
        <v>255</v>
      </c>
      <c r="AA19" s="191" t="str">
        <f t="shared" ref="AA19:AA20" si="15">IF(AND(Y19="Preventivo",Z19="Automático"),"50%",IF(AND(Y19="Preventivo",Z19="Manual"),"40%",IF(AND(Y19="Detectivo",Z19="Automático"),"40%",IF(AND(Y19="Detectivo",Z19="Manual"),"30%",IF(AND(Y19="Correctivo",Z19="Automático"),"35%",IF(AND(Y19="Correctivo",Z19="Manual"),"25%",""))))))</f>
        <v>40%</v>
      </c>
      <c r="AB19" s="190" t="s">
        <v>256</v>
      </c>
      <c r="AC19" s="190" t="s">
        <v>257</v>
      </c>
      <c r="AD19" s="190" t="s">
        <v>258</v>
      </c>
      <c r="AE19" s="192">
        <f t="shared" ref="AE19:AE20" si="16">IFERROR(IF(AND(X18="Probabilidad",X19="Probabilidad"),(AG18-(+AG18*AA19)),IF(AND(X18="Impacto",X19="Probabilidad"),(AG17-(+AG17*AA19)),IF(X19="Impacto",AG18,""))),"")</f>
        <v>3.2659199999999999E-2</v>
      </c>
      <c r="AF19" s="193" t="str">
        <f t="shared" ref="AF19:AF20" si="17">IFERROR(IF(AE19="","",IF(AE19&lt;=0.2,"Muy Baja",IF(AE19&lt;=0.4,"Baja",IF(AE19&lt;=0.6,"Media",IF(AE19&lt;=0.8,"Alta","Muy Alta"))))),"")</f>
        <v>Muy Baja</v>
      </c>
      <c r="AG19" s="191">
        <f t="shared" ref="AG19:AG20" si="18">+AE19</f>
        <v>3.2659199999999999E-2</v>
      </c>
      <c r="AH19" s="193" t="str">
        <f t="shared" ref="AH19:AH20" si="19">IFERROR(IF(AI19="","",IF(AI19&lt;=0.2,"Leve",IF(AI19&lt;=0.4,"Menor",IF(AI19&lt;=0.6,"Moderado",IF(AI19&lt;=0.8,"Mayor","Catastrófico"))))),"")</f>
        <v>Menor</v>
      </c>
      <c r="AI19" s="191">
        <f t="shared" ref="AI19:AI20" si="20">IFERROR(IF(AND(X18="Impacto",X19="Impacto"),(AI18-(+AI18*AA19)),IF(AND(X18="Probabilidad",X19="Impacto"),(AI17-(+AI17*AA19)),IF(X19="Probabilidad",AI18,""))),"")</f>
        <v>0.4</v>
      </c>
      <c r="AJ19" s="194" t="str">
        <f t="shared" ref="AJ19:AJ20" si="21">IFERROR(IF(OR(AND(AF19="Muy Baja",AH19="Leve"),AND(AF19="Muy Baja",AH19="Menor"),AND(AF19="Baja",AH19="Leve")),"Bajo",IF(OR(AND(AF19="Muy baja",AH19="Moderado"),AND(AF19="Baja",AH19="Menor"),AND(AF19="Baja",AH19="Moderado"),AND(AF19="Media",AH19="Leve"),AND(AF19="Media",AH19="Menor"),AND(AF19="Media",AH19="Moderado"),AND(AF19="Alta",AH19="Leve"),AND(AF19="Alta",AH19="Menor")),"Moderado",IF(OR(AND(AF19="Muy Baja",AH19="Mayor"),AND(AF19="Baja",AH19="Mayor"),AND(AF19="Media",AH19="Mayor"),AND(AF19="Alta",AH19="Moderado"),AND(AF19="Alta",AH19="Mayor"),AND(AF19="Muy Alta",AH19="Leve"),AND(AF19="Muy Alta",AH19="Menor"),AND(AF19="Muy Alta",AH19="Moderado"),AND(AF19="Muy Alta",AH19="Mayor")),"Alto",IF(OR(AND(AF19="Muy Baja",AH19="Catastrófico"),AND(AF19="Baja",AH19="Catastrófico"),AND(AF19="Media",AH19="Catastrófico"),AND(AF19="Alta",AH19="Catastrófico"),AND(AF19="Muy Alta",AH19="Catastrófico")),"Extremo","")))),"")</f>
        <v>Bajo</v>
      </c>
      <c r="AK19" s="195" t="s">
        <v>123</v>
      </c>
      <c r="AL19" s="264"/>
      <c r="AM19" s="265"/>
      <c r="AN19" s="265"/>
      <c r="AO19" s="197"/>
      <c r="AP19" s="345"/>
      <c r="AQ19" s="345"/>
      <c r="AR19" s="345"/>
    </row>
    <row r="20" spans="1:44" ht="126.75" customHeight="1" x14ac:dyDescent="0.2">
      <c r="A20" s="357"/>
      <c r="B20" s="345"/>
      <c r="C20" s="345"/>
      <c r="D20" s="345"/>
      <c r="E20" s="346"/>
      <c r="F20" s="345"/>
      <c r="G20" s="332"/>
      <c r="H20" s="353"/>
      <c r="I20" s="353"/>
      <c r="J20" s="353"/>
      <c r="K20" s="353"/>
      <c r="L20" s="332"/>
      <c r="M20" s="332"/>
      <c r="N20" s="341"/>
      <c r="O20" s="335"/>
      <c r="P20" s="334"/>
      <c r="Q20" s="324"/>
      <c r="R20" s="334">
        <f>IF(NOT(ISERROR(MATCH(Q20,_xlfn.ANCHORARRAY(E31),0))),P33&amp;"Por favor no seleccionar los criterios de impacto",Q20)</f>
        <v>0</v>
      </c>
      <c r="S20" s="335"/>
      <c r="T20" s="334"/>
      <c r="U20" s="333"/>
      <c r="V20" s="214">
        <v>8</v>
      </c>
      <c r="W20" s="266" t="s">
        <v>458</v>
      </c>
      <c r="X20" s="189" t="str">
        <f t="shared" si="8"/>
        <v>Probabilidad</v>
      </c>
      <c r="Y20" s="190" t="s">
        <v>254</v>
      </c>
      <c r="Z20" s="190" t="s">
        <v>255</v>
      </c>
      <c r="AA20" s="191" t="str">
        <f t="shared" si="15"/>
        <v>40%</v>
      </c>
      <c r="AB20" s="190" t="s">
        <v>256</v>
      </c>
      <c r="AC20" s="190" t="s">
        <v>257</v>
      </c>
      <c r="AD20" s="190" t="s">
        <v>258</v>
      </c>
      <c r="AE20" s="192">
        <f t="shared" si="16"/>
        <v>1.9595519999999998E-2</v>
      </c>
      <c r="AF20" s="193" t="str">
        <f t="shared" si="17"/>
        <v>Muy Baja</v>
      </c>
      <c r="AG20" s="191">
        <f t="shared" si="18"/>
        <v>1.9595519999999998E-2</v>
      </c>
      <c r="AH20" s="193" t="str">
        <f t="shared" si="19"/>
        <v>Menor</v>
      </c>
      <c r="AI20" s="191">
        <f t="shared" si="20"/>
        <v>0.4</v>
      </c>
      <c r="AJ20" s="194" t="str">
        <f t="shared" si="21"/>
        <v>Bajo</v>
      </c>
      <c r="AK20" s="195" t="s">
        <v>117</v>
      </c>
      <c r="AL20" s="186"/>
      <c r="AM20" s="196"/>
      <c r="AN20" s="196"/>
      <c r="AO20" s="197"/>
      <c r="AP20" s="345"/>
      <c r="AQ20" s="345"/>
      <c r="AR20" s="345"/>
    </row>
    <row r="21" spans="1:44" ht="98.25" customHeight="1" x14ac:dyDescent="0.2">
      <c r="A21" s="363">
        <v>2</v>
      </c>
      <c r="B21" s="345" t="s">
        <v>120</v>
      </c>
      <c r="C21" s="345" t="s">
        <v>429</v>
      </c>
      <c r="D21" s="345" t="s">
        <v>459</v>
      </c>
      <c r="E21" s="346" t="s">
        <v>460</v>
      </c>
      <c r="F21" s="345" t="s">
        <v>446</v>
      </c>
      <c r="G21" s="330" t="s">
        <v>127</v>
      </c>
      <c r="H21" s="330" t="s">
        <v>461</v>
      </c>
      <c r="I21" s="330" t="s">
        <v>462</v>
      </c>
      <c r="J21" s="330" t="s">
        <v>491</v>
      </c>
      <c r="K21" s="330" t="s">
        <v>463</v>
      </c>
      <c r="L21" s="330" t="s">
        <v>133</v>
      </c>
      <c r="M21" s="330" t="s">
        <v>464</v>
      </c>
      <c r="N21" s="341">
        <v>365</v>
      </c>
      <c r="O21" s="335" t="str">
        <f>IF(N21&lt;=0,"",IF(N21&lt;=2,"Muy Baja",IF(N21&lt;=24,"Baja",IF(N21&lt;=500,"Media",IF(N21&lt;=5000,"Alta","Muy Alta")))))</f>
        <v>Media</v>
      </c>
      <c r="P21" s="334">
        <f>IF(O21="","",IF(O21="Muy Baja",0.2,IF(O21="Baja",0.4,IF(O21="Media",0.6,IF(O21="Alta",0.8,IF(O21="Muy Alta",1,))))))</f>
        <v>0.6</v>
      </c>
      <c r="Q21" s="324" t="s">
        <v>353</v>
      </c>
      <c r="R21" s="334" t="str">
        <f>IF(NOT(ISERROR(MATCH(Q21,'Tabla Impacto'!$B$222:$B$224,0))),'Tabla Impacto'!$F$224&amp;"Por favor no seleccionar los criterios de impacto(Afectación Económica o presupuestal y Pérdida Reputacional)",Q21)</f>
        <v xml:space="preserve">     El riesgo afecta la imagen de la entidad internamente, de conocimiento general, nivel interno, de junta dircetiva y accionistas y/o de provedores</v>
      </c>
      <c r="S21" s="335" t="str">
        <f>IF(OR(R21='Tabla Impacto'!$C$12,R21='Tabla Impacto'!$D$12),"Leve",IF(OR(R21='Tabla Impacto'!$C$13,R21='Tabla Impacto'!$D$13),"Menor",IF(OR(R21='Tabla Impacto'!$C$14,R21='Tabla Impacto'!$D$14),"Moderado",IF(OR(R21='Tabla Impacto'!$C$15,R21='Tabla Impacto'!$D$15),"Mayor",IF(OR(R21='Tabla Impacto'!$C$16,R21='Tabla Impacto'!$D$16),"Catastrófico","")))))</f>
        <v>Menor</v>
      </c>
      <c r="T21" s="334">
        <f>IF(S21="","",IF(S21="Leve",0.2,IF(S21="Menor",0.4,IF(S21="Moderado",0.6,IF(S21="Mayor",0.8,IF(S21="Catastrófico",1,))))))</f>
        <v>0.4</v>
      </c>
      <c r="U21" s="333" t="str">
        <f>IF(OR(AND(O21="Muy Baja",S21="Leve"),AND(O21="Muy Baja",S21="Menor"),AND(O21="Baja",S21="Leve")),"Bajo",IF(OR(AND(O21="Muy baja",S21="Moderado"),AND(O21="Baja",S21="Menor"),AND(O21="Baja",S21="Moderado"),AND(O21="Media",S21="Leve"),AND(O21="Media",S21="Menor"),AND(O21="Media",S21="Moderado"),AND(O21="Alta",S21="Leve"),AND(O21="Alta",S21="Menor")),"Moderado",IF(OR(AND(O21="Muy Baja",S21="Mayor"),AND(O21="Baja",S21="Mayor"),AND(O21="Media",S21="Mayor"),AND(O21="Alta",S21="Moderado"),AND(O21="Alta",S21="Mayor"),AND(O21="Muy Alta",S21="Leve"),AND(O21="Muy Alta",S21="Menor"),AND(O21="Muy Alta",S21="Moderado"),AND(O21="Muy Alta",S21="Mayor")),"Alto",IF(OR(AND(O21="Muy Baja",S21="Catastrófico"),AND(O21="Baja",S21="Catastrófico"),AND(O21="Media",S21="Catastrófico"),AND(O21="Alta",S21="Catastrófico"),AND(O21="Muy Alta",S21="Catastrófico")),"Extremo",""))))</f>
        <v>Moderado</v>
      </c>
      <c r="V21" s="214">
        <v>1</v>
      </c>
      <c r="W21" s="266" t="s">
        <v>430</v>
      </c>
      <c r="X21" s="189" t="str">
        <f>IF(OR(Y21="Preventivo",Y21="Detectivo"),"Probabilidad",IF(Y21="Correctivo","Impacto",""))</f>
        <v>Probabilidad</v>
      </c>
      <c r="Y21" s="190" t="s">
        <v>254</v>
      </c>
      <c r="Z21" s="190" t="s">
        <v>255</v>
      </c>
      <c r="AA21" s="191" t="str">
        <f>IF(AND(Y21="Preventivo",Z21="Automático"),"50%",IF(AND(Y21="Preventivo",Z21="Manual"),"40%",IF(AND(Y21="Detectivo",Z21="Automático"),"40%",IF(AND(Y21="Detectivo",Z21="Manual"),"30%",IF(AND(Y21="Correctivo",Z21="Automático"),"35%",IF(AND(Y21="Correctivo",Z21="Manual"),"25%",""))))))</f>
        <v>40%</v>
      </c>
      <c r="AB21" s="190" t="s">
        <v>256</v>
      </c>
      <c r="AC21" s="190" t="s">
        <v>257</v>
      </c>
      <c r="AD21" s="190" t="s">
        <v>258</v>
      </c>
      <c r="AE21" s="192">
        <f>IFERROR(IF(X21="Probabilidad",(P21-(+P21*AA21)),IF(X21="Impacto",P21,"")),"")</f>
        <v>0.36</v>
      </c>
      <c r="AF21" s="193" t="str">
        <f>IFERROR(IF(AE21="","",IF(AE21&lt;=0.2,"Muy Baja",IF(AE21&lt;=0.4,"Baja",IF(AE21&lt;=0.6,"Media",IF(AE21&lt;=0.8,"Alta","Muy Alta"))))),"")</f>
        <v>Baja</v>
      </c>
      <c r="AG21" s="191">
        <f>+AE21</f>
        <v>0.36</v>
      </c>
      <c r="AH21" s="193" t="str">
        <f>IFERROR(IF(AI21="","",IF(AI21&lt;=0.2,"Leve",IF(AI21&lt;=0.4,"Menor",IF(AI21&lt;=0.6,"Moderado",IF(AI21&lt;=0.8,"Mayor","Catastrófico"))))),"")</f>
        <v>Menor</v>
      </c>
      <c r="AI21" s="191">
        <f t="shared" ref="AI21" si="22">IFERROR(IF(X21="Impacto",(T21-(+T21*AA21)),IF(X21="Probabilidad",T21,"")),"")</f>
        <v>0.4</v>
      </c>
      <c r="AJ21" s="194" t="str">
        <f>IFERROR(IF(OR(AND(AF21="Muy Baja",AH21="Leve"),AND(AF21="Muy Baja",AH21="Menor"),AND(AF21="Baja",AH21="Leve")),"Bajo",IF(OR(AND(AF21="Muy baja",AH21="Moderado"),AND(AF21="Baja",AH21="Menor"),AND(AF21="Baja",AH21="Moderado"),AND(AF21="Media",AH21="Leve"),AND(AF21="Media",AH21="Menor"),AND(AF21="Media",AH21="Moderado"),AND(AF21="Alta",AH21="Leve"),AND(AF21="Alta",AH21="Menor")),"Moderado",IF(OR(AND(AF21="Muy Baja",AH21="Mayor"),AND(AF21="Baja",AH21="Mayor"),AND(AF21="Media",AH21="Mayor"),AND(AF21="Alta",AH21="Moderado"),AND(AF21="Alta",AH21="Mayor"),AND(AF21="Muy Alta",AH21="Leve"),AND(AF21="Muy Alta",AH21="Menor"),AND(AF21="Muy Alta",AH21="Moderado"),AND(AF21="Muy Alta",AH21="Mayor")),"Alto",IF(OR(AND(AF21="Muy Baja",AH21="Catastrófico"),AND(AF21="Baja",AH21="Catastrófico"),AND(AF21="Media",AH21="Catastrófico"),AND(AF21="Alta",AH21="Catastrófico"),AND(AF21="Muy Alta",AH21="Catastrófico")),"Extremo","")))),"")</f>
        <v>Moderado</v>
      </c>
      <c r="AK21" s="195" t="s">
        <v>123</v>
      </c>
      <c r="AL21" s="269"/>
      <c r="AM21" s="269"/>
      <c r="AN21" s="269"/>
      <c r="AO21" s="197"/>
      <c r="AP21" s="337" t="s">
        <v>487</v>
      </c>
      <c r="AQ21" s="388" t="s">
        <v>490</v>
      </c>
      <c r="AR21" s="337" t="s">
        <v>486</v>
      </c>
    </row>
    <row r="22" spans="1:44" ht="160.5" customHeight="1" x14ac:dyDescent="0.2">
      <c r="A22" s="363"/>
      <c r="B22" s="345"/>
      <c r="C22" s="345"/>
      <c r="D22" s="345"/>
      <c r="E22" s="346"/>
      <c r="F22" s="345"/>
      <c r="G22" s="331"/>
      <c r="H22" s="331"/>
      <c r="I22" s="331"/>
      <c r="J22" s="331"/>
      <c r="K22" s="331"/>
      <c r="L22" s="331"/>
      <c r="M22" s="331"/>
      <c r="N22" s="341"/>
      <c r="O22" s="335"/>
      <c r="P22" s="334"/>
      <c r="Q22" s="324"/>
      <c r="R22" s="334">
        <f>IF(NOT(ISERROR(MATCH(Q22,_xlfn.ANCHORARRAY(E33),0))),P35&amp;"Por favor no seleccionar los criterios de impacto",Q22)</f>
        <v>0</v>
      </c>
      <c r="S22" s="335"/>
      <c r="T22" s="334"/>
      <c r="U22" s="333"/>
      <c r="V22" s="214">
        <v>2</v>
      </c>
      <c r="W22" s="266" t="s">
        <v>431</v>
      </c>
      <c r="X22" s="189" t="str">
        <f>IF(OR(Y22="Preventivo",Y22="Detectivo"),"Probabilidad",IF(Y22="Correctivo","Impacto",""))</f>
        <v>Probabilidad</v>
      </c>
      <c r="Y22" s="190" t="s">
        <v>254</v>
      </c>
      <c r="Z22" s="190" t="s">
        <v>255</v>
      </c>
      <c r="AA22" s="191" t="str">
        <f t="shared" ref="AA22:AA24" si="23">IF(AND(Y22="Preventivo",Z22="Automático"),"50%",IF(AND(Y22="Preventivo",Z22="Manual"),"40%",IF(AND(Y22="Detectivo",Z22="Automático"),"40%",IF(AND(Y22="Detectivo",Z22="Manual"),"30%",IF(AND(Y22="Correctivo",Z22="Automático"),"35%",IF(AND(Y22="Correctivo",Z22="Manual"),"25%",""))))))</f>
        <v>40%</v>
      </c>
      <c r="AB22" s="190" t="s">
        <v>256</v>
      </c>
      <c r="AC22" s="190" t="s">
        <v>257</v>
      </c>
      <c r="AD22" s="190" t="s">
        <v>258</v>
      </c>
      <c r="AE22" s="192">
        <f>IFERROR(IF(AND(X21="Probabilidad",X22="Probabilidad"),(AG21-(+AG21*AA22)),IF(X22="Probabilidad",(P21-(+P21*AA22)),IF(X22="Impacto",AG21,""))),"")</f>
        <v>0.216</v>
      </c>
      <c r="AF22" s="193" t="str">
        <f t="shared" si="2"/>
        <v>Baja</v>
      </c>
      <c r="AG22" s="191">
        <f t="shared" ref="AG22:AG26" si="24">+AE22</f>
        <v>0.216</v>
      </c>
      <c r="AH22" s="193" t="str">
        <f t="shared" si="4"/>
        <v>Menor</v>
      </c>
      <c r="AI22" s="191">
        <f t="shared" ref="AI22" si="25">IFERROR(IF(AND(X21="Impacto",X22="Impacto"),(AI21-(+AI21*AA22)),IF(X22="Impacto",($T$13-(+$T$13*AA22)),IF(X22="Probabilidad",AI21,""))),"")</f>
        <v>0.4</v>
      </c>
      <c r="AJ22" s="194" t="str">
        <f t="shared" ref="AJ22:AJ23" si="26">IFERROR(IF(OR(AND(AF22="Muy Baja",AH22="Leve"),AND(AF22="Muy Baja",AH22="Menor"),AND(AF22="Baja",AH22="Leve")),"Bajo",IF(OR(AND(AF22="Muy baja",AH22="Moderado"),AND(AF22="Baja",AH22="Menor"),AND(AF22="Baja",AH22="Moderado"),AND(AF22="Media",AH22="Leve"),AND(AF22="Media",AH22="Menor"),AND(AF22="Media",AH22="Moderado"),AND(AF22="Alta",AH22="Leve"),AND(AF22="Alta",AH22="Menor")),"Moderado",IF(OR(AND(AF22="Muy Baja",AH22="Mayor"),AND(AF22="Baja",AH22="Mayor"),AND(AF22="Media",AH22="Mayor"),AND(AF22="Alta",AH22="Moderado"),AND(AF22="Alta",AH22="Mayor"),AND(AF22="Muy Alta",AH22="Leve"),AND(AF22="Muy Alta",AH22="Menor"),AND(AF22="Muy Alta",AH22="Moderado"),AND(AF22="Muy Alta",AH22="Mayor")),"Alto",IF(OR(AND(AF22="Muy Baja",AH22="Catastrófico"),AND(AF22="Baja",AH22="Catastrófico"),AND(AF22="Media",AH22="Catastrófico"),AND(AF22="Alta",AH22="Catastrófico"),AND(AF22="Muy Alta",AH22="Catastrófico")),"Extremo","")))),"")</f>
        <v>Moderado</v>
      </c>
      <c r="AK22" s="195" t="s">
        <v>123</v>
      </c>
      <c r="AL22" s="271"/>
      <c r="AM22" s="271"/>
      <c r="AN22" s="271"/>
      <c r="AO22" s="197"/>
      <c r="AP22" s="338"/>
      <c r="AQ22" s="338"/>
      <c r="AR22" s="338"/>
    </row>
    <row r="23" spans="1:44" ht="153.75" customHeight="1" x14ac:dyDescent="0.2">
      <c r="A23" s="363"/>
      <c r="B23" s="345"/>
      <c r="C23" s="345"/>
      <c r="D23" s="345"/>
      <c r="E23" s="346"/>
      <c r="F23" s="345"/>
      <c r="G23" s="331"/>
      <c r="H23" s="331"/>
      <c r="I23" s="331"/>
      <c r="J23" s="331"/>
      <c r="K23" s="331"/>
      <c r="L23" s="331"/>
      <c r="M23" s="331"/>
      <c r="N23" s="341"/>
      <c r="O23" s="335"/>
      <c r="P23" s="334"/>
      <c r="Q23" s="324"/>
      <c r="R23" s="334">
        <f>IF(NOT(ISERROR(MATCH(Q23,_xlfn.ANCHORARRAY(E34),0))),P36&amp;"Por favor no seleccionar los criterios de impacto",Q23)</f>
        <v>0</v>
      </c>
      <c r="S23" s="335"/>
      <c r="T23" s="334"/>
      <c r="U23" s="333"/>
      <c r="V23" s="214">
        <v>3</v>
      </c>
      <c r="W23" s="188" t="s">
        <v>432</v>
      </c>
      <c r="X23" s="189" t="str">
        <f>IF(OR(Y23="Preventivo",Y23="Detectivo"),"Probabilidad",IF(Y23="Correctivo","Impacto",""))</f>
        <v>Probabilidad</v>
      </c>
      <c r="Y23" s="190" t="s">
        <v>254</v>
      </c>
      <c r="Z23" s="190" t="s">
        <v>255</v>
      </c>
      <c r="AA23" s="191" t="str">
        <f t="shared" si="23"/>
        <v>40%</v>
      </c>
      <c r="AB23" s="190" t="s">
        <v>256</v>
      </c>
      <c r="AC23" s="190" t="s">
        <v>257</v>
      </c>
      <c r="AD23" s="190" t="s">
        <v>258</v>
      </c>
      <c r="AE23" s="192">
        <f>IFERROR(IF(AND(X22="Probabilidad",X23="Probabilidad"),(AG22-(+AG22*AA23)),IF(AND(X22="Impacto",X23="Probabilidad"),(AG21-(+AG21*AA23)),IF(X23="Impacto",AG22,""))),"")</f>
        <v>0.12959999999999999</v>
      </c>
      <c r="AF23" s="193" t="str">
        <f t="shared" si="2"/>
        <v>Muy Baja</v>
      </c>
      <c r="AG23" s="191">
        <f t="shared" si="24"/>
        <v>0.12959999999999999</v>
      </c>
      <c r="AH23" s="193" t="str">
        <f t="shared" si="4"/>
        <v>Menor</v>
      </c>
      <c r="AI23" s="191">
        <f t="shared" ref="AI23:AI74" si="27">IFERROR(IF(AND(X22="Impacto",X23="Impacto"),(AI22-(+AI22*AA23)),IF(AND(X22="Probabilidad",X23="Impacto"),(AI21-(+AI21*AA23)),IF(X23="Probabilidad",AI22,""))),"")</f>
        <v>0.4</v>
      </c>
      <c r="AJ23" s="194" t="str">
        <f t="shared" si="26"/>
        <v>Bajo</v>
      </c>
      <c r="AK23" s="195" t="s">
        <v>123</v>
      </c>
      <c r="AL23" s="272"/>
      <c r="AM23" s="272"/>
      <c r="AN23" s="272"/>
      <c r="AO23" s="197"/>
      <c r="AP23" s="338"/>
      <c r="AQ23" s="338"/>
      <c r="AR23" s="338"/>
    </row>
    <row r="24" spans="1:44" ht="99.75" customHeight="1" x14ac:dyDescent="0.2">
      <c r="A24" s="363"/>
      <c r="B24" s="345"/>
      <c r="C24" s="345"/>
      <c r="D24" s="345"/>
      <c r="E24" s="346"/>
      <c r="F24" s="345"/>
      <c r="G24" s="331"/>
      <c r="H24" s="331"/>
      <c r="I24" s="331"/>
      <c r="J24" s="331"/>
      <c r="K24" s="331"/>
      <c r="L24" s="331"/>
      <c r="M24" s="331"/>
      <c r="N24" s="341"/>
      <c r="O24" s="335"/>
      <c r="P24" s="334"/>
      <c r="Q24" s="324"/>
      <c r="R24" s="334">
        <f>IF(NOT(ISERROR(MATCH(Q24,_xlfn.ANCHORARRAY(E35),0))),P37&amp;"Por favor no seleccionar los criterios de impacto",Q24)</f>
        <v>0</v>
      </c>
      <c r="S24" s="335"/>
      <c r="T24" s="334"/>
      <c r="U24" s="333"/>
      <c r="V24" s="214">
        <v>4</v>
      </c>
      <c r="W24" s="187" t="s">
        <v>466</v>
      </c>
      <c r="X24" s="189" t="str">
        <f t="shared" ref="X24:X26" si="28">IF(OR(Y24="Preventivo",Y24="Detectivo"),"Probabilidad",IF(Y24="Correctivo","Impacto",""))</f>
        <v>Probabilidad</v>
      </c>
      <c r="Y24" s="190" t="s">
        <v>259</v>
      </c>
      <c r="Z24" s="190" t="s">
        <v>255</v>
      </c>
      <c r="AA24" s="191" t="str">
        <f t="shared" si="23"/>
        <v>30%</v>
      </c>
      <c r="AB24" s="190" t="s">
        <v>256</v>
      </c>
      <c r="AC24" s="190" t="s">
        <v>257</v>
      </c>
      <c r="AD24" s="190" t="s">
        <v>258</v>
      </c>
      <c r="AE24" s="192">
        <f t="shared" ref="AE24:AE26" si="29">IFERROR(IF(AND(X23="Probabilidad",X24="Probabilidad"),(AG23-(+AG23*AA24)),IF(AND(X23="Impacto",X24="Probabilidad"),(AG22-(+AG22*AA24)),IF(X24="Impacto",AG23,""))),"")</f>
        <v>9.0719999999999995E-2</v>
      </c>
      <c r="AF24" s="193" t="str">
        <f t="shared" si="2"/>
        <v>Muy Baja</v>
      </c>
      <c r="AG24" s="191">
        <f t="shared" si="24"/>
        <v>9.0719999999999995E-2</v>
      </c>
      <c r="AH24" s="193" t="str">
        <f t="shared" si="4"/>
        <v>Menor</v>
      </c>
      <c r="AI24" s="191">
        <f t="shared" si="27"/>
        <v>0.4</v>
      </c>
      <c r="AJ24" s="194" t="str">
        <f>IFERROR(IF(OR(AND(AF24="Muy Baja",AH24="Leve"),AND(AF24="Muy Baja",AH24="Menor"),AND(AF24="Baja",AH24="Leve")),"Bajo",IF(OR(AND(AF24="Muy baja",AH24="Moderado"),AND(AF24="Baja",AH24="Menor"),AND(AF24="Baja",AH24="Moderado"),AND(AF24="Media",AH24="Leve"),AND(AF24="Media",AH24="Menor"),AND(AF24="Media",AH24="Moderado"),AND(AF24="Alta",AH24="Leve"),AND(AF24="Alta",AH24="Menor")),"Moderado",IF(OR(AND(AF24="Muy Baja",AH24="Mayor"),AND(AF24="Baja",AH24="Mayor"),AND(AF24="Media",AH24="Mayor"),AND(AF24="Alta",AH24="Moderado"),AND(AF24="Alta",AH24="Mayor"),AND(AF24="Muy Alta",AH24="Leve"),AND(AF24="Muy Alta",AH24="Menor"),AND(AF24="Muy Alta",AH24="Moderado"),AND(AF24="Muy Alta",AH24="Mayor")),"Alto",IF(OR(AND(AF24="Muy Baja",AH24="Catastrófico"),AND(AF24="Baja",AH24="Catastrófico"),AND(AF24="Media",AH24="Catastrófico"),AND(AF24="Alta",AH24="Catastrófico"),AND(AF24="Muy Alta",AH24="Catastrófico")),"Extremo","")))),"")</f>
        <v>Bajo</v>
      </c>
      <c r="AK24" s="195" t="s">
        <v>117</v>
      </c>
      <c r="AL24" s="267"/>
      <c r="AM24" s="268"/>
      <c r="AN24" s="268"/>
      <c r="AO24" s="197"/>
      <c r="AP24" s="339"/>
      <c r="AQ24" s="339"/>
      <c r="AR24" s="339"/>
    </row>
    <row r="25" spans="1:44" ht="35.1" hidden="1" customHeight="1" x14ac:dyDescent="0.2">
      <c r="A25" s="363"/>
      <c r="B25" s="345"/>
      <c r="C25" s="345"/>
      <c r="D25" s="345"/>
      <c r="E25" s="346"/>
      <c r="F25" s="345"/>
      <c r="G25" s="331"/>
      <c r="H25" s="331"/>
      <c r="I25" s="331"/>
      <c r="J25" s="331"/>
      <c r="K25" s="331"/>
      <c r="L25" s="331"/>
      <c r="M25" s="331"/>
      <c r="N25" s="341"/>
      <c r="O25" s="335"/>
      <c r="P25" s="334"/>
      <c r="Q25" s="324"/>
      <c r="R25" s="334">
        <f>IF(NOT(ISERROR(MATCH(Q25,_xlfn.ANCHORARRAY(E36),0))),P38&amp;"Por favor no seleccionar los criterios de impacto",Q25)</f>
        <v>0</v>
      </c>
      <c r="S25" s="335"/>
      <c r="T25" s="334"/>
      <c r="U25" s="333"/>
      <c r="V25" s="214">
        <v>5</v>
      </c>
      <c r="W25" s="187"/>
      <c r="X25" s="189" t="str">
        <f t="shared" si="28"/>
        <v/>
      </c>
      <c r="Y25" s="190"/>
      <c r="Z25" s="190"/>
      <c r="AA25" s="191" t="str">
        <f t="shared" ref="AA25:AA26" si="30">IF(AND(Y25="Preventivo",Z25="Automático"),"50%",IF(AND(Y25="Preventivo",Z25="Manual"),"40%",IF(AND(Y25="Detectivo",Z25="Automático"),"40%",IF(AND(Y25="Detectivo",Z25="Manual"),"30%",IF(AND(Y25="Correctivo",Z25="Automático"),"35%",IF(AND(Y25="Correctivo",Z25="Manual"),"25%",""))))))</f>
        <v/>
      </c>
      <c r="AB25" s="190"/>
      <c r="AC25" s="190"/>
      <c r="AD25" s="190"/>
      <c r="AE25" s="192" t="str">
        <f t="shared" si="29"/>
        <v/>
      </c>
      <c r="AF25" s="193" t="str">
        <f t="shared" si="2"/>
        <v/>
      </c>
      <c r="AG25" s="191" t="str">
        <f t="shared" si="24"/>
        <v/>
      </c>
      <c r="AH25" s="193" t="str">
        <f t="shared" si="4"/>
        <v/>
      </c>
      <c r="AI25" s="191" t="str">
        <f t="shared" si="27"/>
        <v/>
      </c>
      <c r="AJ25" s="194" t="str">
        <f t="shared" ref="AJ25:AJ26" si="31">IFERROR(IF(OR(AND(AF25="Muy Baja",AH25="Leve"),AND(AF25="Muy Baja",AH25="Menor"),AND(AF25="Baja",AH25="Leve")),"Bajo",IF(OR(AND(AF25="Muy baja",AH25="Moderado"),AND(AF25="Baja",AH25="Menor"),AND(AF25="Baja",AH25="Moderado"),AND(AF25="Media",AH25="Leve"),AND(AF25="Media",AH25="Menor"),AND(AF25="Media",AH25="Moderado"),AND(AF25="Alta",AH25="Leve"),AND(AF25="Alta",AH25="Menor")),"Moderado",IF(OR(AND(AF25="Muy Baja",AH25="Mayor"),AND(AF25="Baja",AH25="Mayor"),AND(AF25="Media",AH25="Mayor"),AND(AF25="Alta",AH25="Moderado"),AND(AF25="Alta",AH25="Mayor"),AND(AF25="Muy Alta",AH25="Leve"),AND(AF25="Muy Alta",AH25="Menor"),AND(AF25="Muy Alta",AH25="Moderado"),AND(AF25="Muy Alta",AH25="Mayor")),"Alto",IF(OR(AND(AF25="Muy Baja",AH25="Catastrófico"),AND(AF25="Baja",AH25="Catastrófico"),AND(AF25="Media",AH25="Catastrófico"),AND(AF25="Alta",AH25="Catastrófico"),AND(AF25="Muy Alta",AH25="Catastrófico")),"Extremo","")))),"")</f>
        <v/>
      </c>
      <c r="AK25" s="195"/>
      <c r="AL25" s="267"/>
      <c r="AM25" s="268"/>
      <c r="AN25" s="268"/>
      <c r="AO25" s="197"/>
      <c r="AP25" s="270"/>
      <c r="AQ25" s="270"/>
      <c r="AR25" s="270"/>
    </row>
    <row r="26" spans="1:44" ht="35.1" hidden="1" customHeight="1" x14ac:dyDescent="0.2">
      <c r="A26" s="363"/>
      <c r="B26" s="345"/>
      <c r="C26" s="345"/>
      <c r="D26" s="345"/>
      <c r="E26" s="346"/>
      <c r="F26" s="345"/>
      <c r="G26" s="332"/>
      <c r="H26" s="332"/>
      <c r="I26" s="332"/>
      <c r="J26" s="332"/>
      <c r="K26" s="332"/>
      <c r="L26" s="332"/>
      <c r="M26" s="332"/>
      <c r="N26" s="341"/>
      <c r="O26" s="335"/>
      <c r="P26" s="334"/>
      <c r="Q26" s="324"/>
      <c r="R26" s="334">
        <f>IF(NOT(ISERROR(MATCH(Q26,_xlfn.ANCHORARRAY(E37),0))),P39&amp;"Por favor no seleccionar los criterios de impacto",Q26)</f>
        <v>0</v>
      </c>
      <c r="S26" s="335"/>
      <c r="T26" s="334"/>
      <c r="U26" s="333"/>
      <c r="V26" s="214">
        <v>6</v>
      </c>
      <c r="W26" s="187"/>
      <c r="X26" s="189" t="str">
        <f t="shared" si="28"/>
        <v/>
      </c>
      <c r="Y26" s="190"/>
      <c r="Z26" s="190"/>
      <c r="AA26" s="191" t="str">
        <f t="shared" si="30"/>
        <v/>
      </c>
      <c r="AB26" s="190"/>
      <c r="AC26" s="190"/>
      <c r="AD26" s="190"/>
      <c r="AE26" s="192" t="str">
        <f t="shared" si="29"/>
        <v/>
      </c>
      <c r="AF26" s="193" t="str">
        <f t="shared" si="2"/>
        <v/>
      </c>
      <c r="AG26" s="191" t="str">
        <f t="shared" si="24"/>
        <v/>
      </c>
      <c r="AH26" s="193" t="str">
        <f t="shared" si="4"/>
        <v/>
      </c>
      <c r="AI26" s="191" t="str">
        <f t="shared" si="27"/>
        <v/>
      </c>
      <c r="AJ26" s="194" t="str">
        <f t="shared" si="31"/>
        <v/>
      </c>
      <c r="AK26" s="195"/>
      <c r="AL26" s="267"/>
      <c r="AM26" s="268"/>
      <c r="AN26" s="268"/>
      <c r="AO26" s="197"/>
      <c r="AP26" s="270"/>
      <c r="AQ26" s="270"/>
      <c r="AR26" s="270"/>
    </row>
    <row r="27" spans="1:44" hidden="1" x14ac:dyDescent="0.2">
      <c r="A27" s="363">
        <v>3</v>
      </c>
      <c r="B27" s="345"/>
      <c r="C27" s="345"/>
      <c r="D27" s="345"/>
      <c r="E27" s="346"/>
      <c r="F27" s="345"/>
      <c r="G27" s="337"/>
      <c r="H27" s="337"/>
      <c r="I27" s="337"/>
      <c r="J27" s="337"/>
      <c r="K27" s="337"/>
      <c r="L27" s="337"/>
      <c r="M27" s="337"/>
      <c r="N27" s="341"/>
      <c r="O27" s="335" t="str">
        <f>IF(N27&lt;=0,"",IF(N27&lt;=2,"Muy Baja",IF(N27&lt;=24,"Baja",IF(N27&lt;=500,"Media",IF(N27&lt;=5000,"Alta","Muy Alta")))))</f>
        <v/>
      </c>
      <c r="P27" s="334" t="str">
        <f>IF(O27="","",IF(O27="Muy Baja",0.2,IF(O27="Baja",0.4,IF(O27="Media",0.6,IF(O27="Alta",0.8,IF(O27="Muy Alta",1,))))))</f>
        <v/>
      </c>
      <c r="Q27" s="324"/>
      <c r="R27" s="334">
        <f>IF(NOT(ISERROR(MATCH(Q27,'Tabla Impacto'!$B$222:$B$224,0))),'Tabla Impacto'!$F$224&amp;"Por favor no seleccionar los criterios de impacto(Afectación Económica o presupuestal y Pérdida Reputacional)",Q27)</f>
        <v>0</v>
      </c>
      <c r="S27" s="335" t="str">
        <f>IF(OR(R27='Tabla Impacto'!$C$12,R27='Tabla Impacto'!$D$12),"Leve",IF(OR(R27='Tabla Impacto'!$C$13,R27='Tabla Impacto'!$D$13),"Menor",IF(OR(R27='Tabla Impacto'!$C$14,R27='Tabla Impacto'!$D$14),"Moderado",IF(OR(R27='Tabla Impacto'!$C$15,R27='Tabla Impacto'!$D$15),"Mayor",IF(OR(R27='Tabla Impacto'!$C$16,R27='Tabla Impacto'!$D$16),"Catastrófico","")))))</f>
        <v/>
      </c>
      <c r="T27" s="334" t="str">
        <f>IF(S27="","",IF(S27="Leve",0.2,IF(S27="Menor",0.4,IF(S27="Moderado",0.6,IF(S27="Mayor",0.8,IF(S27="Catastrófico",1,))))))</f>
        <v/>
      </c>
      <c r="U27" s="333" t="str">
        <f>IF(OR(AND(O27="Muy Baja",S27="Leve"),AND(O27="Muy Baja",S27="Menor"),AND(O27="Baja",S27="Leve")),"Bajo",IF(OR(AND(O27="Muy baja",S27="Moderado"),AND(O27="Baja",S27="Menor"),AND(O27="Baja",S27="Moderado"),AND(O27="Media",S27="Leve"),AND(O27="Media",S27="Menor"),AND(O27="Media",S27="Moderado"),AND(O27="Alta",S27="Leve"),AND(O27="Alta",S27="Menor")),"Moderado",IF(OR(AND(O27="Muy Baja",S27="Mayor"),AND(O27="Baja",S27="Mayor"),AND(O27="Media",S27="Mayor"),AND(O27="Alta",S27="Moderado"),AND(O27="Alta",S27="Mayor"),AND(O27="Muy Alta",S27="Leve"),AND(O27="Muy Alta",S27="Menor"),AND(O27="Muy Alta",S27="Moderado"),AND(O27="Muy Alta",S27="Mayor")),"Alto",IF(OR(AND(O27="Muy Baja",S27="Catastrófico"),AND(O27="Baja",S27="Catastrófico"),AND(O27="Media",S27="Catastrófico"),AND(O27="Alta",S27="Catastrófico"),AND(O27="Muy Alta",S27="Catastrófico")),"Extremo",""))))</f>
        <v/>
      </c>
      <c r="V27" s="214">
        <v>1</v>
      </c>
      <c r="W27" s="187"/>
      <c r="X27" s="189" t="str">
        <f>IF(OR(Y27="Preventivo",Y27="Detectivo"),"Probabilidad",IF(Y27="Correctivo","Impacto",""))</f>
        <v/>
      </c>
      <c r="Y27" s="190"/>
      <c r="Z27" s="190"/>
      <c r="AA27" s="191" t="str">
        <f>IF(AND(Y27="Preventivo",Z27="Automático"),"50%",IF(AND(Y27="Preventivo",Z27="Manual"),"40%",IF(AND(Y27="Detectivo",Z27="Automático"),"40%",IF(AND(Y27="Detectivo",Z27="Manual"),"30%",IF(AND(Y27="Correctivo",Z27="Automático"),"35%",IF(AND(Y27="Correctivo",Z27="Manual"),"25%",""))))))</f>
        <v/>
      </c>
      <c r="AB27" s="190"/>
      <c r="AC27" s="190"/>
      <c r="AD27" s="190"/>
      <c r="AE27" s="192" t="str">
        <f>IFERROR(IF(X27="Probabilidad",(P27-(+P27*AA27)),IF(X27="Impacto",P27,"")),"")</f>
        <v/>
      </c>
      <c r="AF27" s="193" t="str">
        <f>IFERROR(IF(AE27="","",IF(AE27&lt;=0.2,"Muy Baja",IF(AE27&lt;=0.4,"Baja",IF(AE27&lt;=0.6,"Media",IF(AE27&lt;=0.8,"Alta","Muy Alta"))))),"")</f>
        <v/>
      </c>
      <c r="AG27" s="191" t="str">
        <f>+AE27</f>
        <v/>
      </c>
      <c r="AH27" s="193" t="str">
        <f>IFERROR(IF(AI27="","",IF(AI27&lt;=0.2,"Leve",IF(AI27&lt;=0.4,"Menor",IF(AI27&lt;=0.6,"Moderado",IF(AI27&lt;=0.8,"Mayor","Catastrófico"))))),"")</f>
        <v/>
      </c>
      <c r="AI27" s="191" t="str">
        <f t="shared" ref="AI27" si="32">IFERROR(IF(X27="Impacto",(T27-(+T27*AA27)),IF(X27="Probabilidad",T27,"")),"")</f>
        <v/>
      </c>
      <c r="AJ27" s="194" t="str">
        <f>IFERROR(IF(OR(AND(AF27="Muy Baja",AH27="Leve"),AND(AF27="Muy Baja",AH27="Menor"),AND(AF27="Baja",AH27="Leve")),"Bajo",IF(OR(AND(AF27="Muy baja",AH27="Moderado"),AND(AF27="Baja",AH27="Menor"),AND(AF27="Baja",AH27="Moderado"),AND(AF27="Media",AH27="Leve"),AND(AF27="Media",AH27="Menor"),AND(AF27="Media",AH27="Moderado"),AND(AF27="Alta",AH27="Leve"),AND(AF27="Alta",AH27="Menor")),"Moderado",IF(OR(AND(AF27="Muy Baja",AH27="Mayor"),AND(AF27="Baja",AH27="Mayor"),AND(AF27="Media",AH27="Mayor"),AND(AF27="Alta",AH27="Moderado"),AND(AF27="Alta",AH27="Mayor"),AND(AF27="Muy Alta",AH27="Leve"),AND(AF27="Muy Alta",AH27="Menor"),AND(AF27="Muy Alta",AH27="Moderado"),AND(AF27="Muy Alta",AH27="Mayor")),"Alto",IF(OR(AND(AF27="Muy Baja",AH27="Catastrófico"),AND(AF27="Baja",AH27="Catastrófico"),AND(AF27="Media",AH27="Catastrófico"),AND(AF27="Alta",AH27="Catastrófico"),AND(AF27="Muy Alta",AH27="Catastrófico")),"Extremo","")))),"")</f>
        <v/>
      </c>
      <c r="AK27" s="195"/>
      <c r="AL27" s="186"/>
      <c r="AM27" s="196"/>
      <c r="AN27" s="196"/>
      <c r="AO27" s="197"/>
      <c r="AP27" s="341"/>
      <c r="AQ27" s="341"/>
      <c r="AR27" s="341"/>
    </row>
    <row r="28" spans="1:44" hidden="1" x14ac:dyDescent="0.2">
      <c r="A28" s="363"/>
      <c r="B28" s="345"/>
      <c r="C28" s="345"/>
      <c r="D28" s="345"/>
      <c r="E28" s="346"/>
      <c r="F28" s="345"/>
      <c r="G28" s="338"/>
      <c r="H28" s="338"/>
      <c r="I28" s="338"/>
      <c r="J28" s="338"/>
      <c r="K28" s="338"/>
      <c r="L28" s="338"/>
      <c r="M28" s="338"/>
      <c r="N28" s="341"/>
      <c r="O28" s="335"/>
      <c r="P28" s="334"/>
      <c r="Q28" s="324"/>
      <c r="R28" s="334">
        <f>IF(NOT(ISERROR(MATCH(Q28,_xlfn.ANCHORARRAY(E39),0))),P41&amp;"Por favor no seleccionar los criterios de impacto",Q28)</f>
        <v>0</v>
      </c>
      <c r="S28" s="335"/>
      <c r="T28" s="334"/>
      <c r="U28" s="333"/>
      <c r="V28" s="214">
        <v>2</v>
      </c>
      <c r="W28" s="187"/>
      <c r="X28" s="189" t="str">
        <f>IF(OR(Y28="Preventivo",Y28="Detectivo"),"Probabilidad",IF(Y28="Correctivo","Impacto",""))</f>
        <v/>
      </c>
      <c r="Y28" s="190"/>
      <c r="Z28" s="190"/>
      <c r="AA28" s="191" t="str">
        <f t="shared" ref="AA28:AA32" si="33">IF(AND(Y28="Preventivo",Z28="Automático"),"50%",IF(AND(Y28="Preventivo",Z28="Manual"),"40%",IF(AND(Y28="Detectivo",Z28="Automático"),"40%",IF(AND(Y28="Detectivo",Z28="Manual"),"30%",IF(AND(Y28="Correctivo",Z28="Automático"),"35%",IF(AND(Y28="Correctivo",Z28="Manual"),"25%",""))))))</f>
        <v/>
      </c>
      <c r="AB28" s="190"/>
      <c r="AC28" s="190"/>
      <c r="AD28" s="190"/>
      <c r="AE28" s="192" t="str">
        <f>IFERROR(IF(AND(X27="Probabilidad",X28="Probabilidad"),(AG27-(+AG27*AA28)),IF(X28="Probabilidad",(P27-(+P27*AA28)),IF(X28="Impacto",AG27,""))),"")</f>
        <v/>
      </c>
      <c r="AF28" s="193" t="str">
        <f t="shared" si="2"/>
        <v/>
      </c>
      <c r="AG28" s="191" t="str">
        <f t="shared" ref="AG28:AG32" si="34">+AE28</f>
        <v/>
      </c>
      <c r="AH28" s="193" t="str">
        <f t="shared" si="4"/>
        <v/>
      </c>
      <c r="AI28" s="191" t="str">
        <f t="shared" ref="AI28" si="35">IFERROR(IF(AND(X27="Impacto",X28="Impacto"),(AI27-(+AI27*AA28)),IF(X28="Impacto",($T$13-(+$T$13*AA28)),IF(X28="Probabilidad",AI27,""))),"")</f>
        <v/>
      </c>
      <c r="AJ28" s="194" t="str">
        <f t="shared" ref="AJ28:AJ29" si="36">IFERROR(IF(OR(AND(AF28="Muy Baja",AH28="Leve"),AND(AF28="Muy Baja",AH28="Menor"),AND(AF28="Baja",AH28="Leve")),"Bajo",IF(OR(AND(AF28="Muy baja",AH28="Moderado"),AND(AF28="Baja",AH28="Menor"),AND(AF28="Baja",AH28="Moderado"),AND(AF28="Media",AH28="Leve"),AND(AF28="Media",AH28="Menor"),AND(AF28="Media",AH28="Moderado"),AND(AF28="Alta",AH28="Leve"),AND(AF28="Alta",AH28="Menor")),"Moderado",IF(OR(AND(AF28="Muy Baja",AH28="Mayor"),AND(AF28="Baja",AH28="Mayor"),AND(AF28="Media",AH28="Mayor"),AND(AF28="Alta",AH28="Moderado"),AND(AF28="Alta",AH28="Mayor"),AND(AF28="Muy Alta",AH28="Leve"),AND(AF28="Muy Alta",AH28="Menor"),AND(AF28="Muy Alta",AH28="Moderado"),AND(AF28="Muy Alta",AH28="Mayor")),"Alto",IF(OR(AND(AF28="Muy Baja",AH28="Catastrófico"),AND(AF28="Baja",AH28="Catastrófico"),AND(AF28="Media",AH28="Catastrófico"),AND(AF28="Alta",AH28="Catastrófico"),AND(AF28="Muy Alta",AH28="Catastrófico")),"Extremo","")))),"")</f>
        <v/>
      </c>
      <c r="AK28" s="195"/>
      <c r="AL28" s="186"/>
      <c r="AM28" s="196"/>
      <c r="AN28" s="196"/>
      <c r="AO28" s="197"/>
      <c r="AP28" s="341"/>
      <c r="AQ28" s="341"/>
      <c r="AR28" s="341"/>
    </row>
    <row r="29" spans="1:44" hidden="1" x14ac:dyDescent="0.2">
      <c r="A29" s="363"/>
      <c r="B29" s="345"/>
      <c r="C29" s="345"/>
      <c r="D29" s="345"/>
      <c r="E29" s="346"/>
      <c r="F29" s="345"/>
      <c r="G29" s="338"/>
      <c r="H29" s="338"/>
      <c r="I29" s="338"/>
      <c r="J29" s="338"/>
      <c r="K29" s="338"/>
      <c r="L29" s="338"/>
      <c r="M29" s="338"/>
      <c r="N29" s="341"/>
      <c r="O29" s="335"/>
      <c r="P29" s="334"/>
      <c r="Q29" s="324"/>
      <c r="R29" s="334">
        <f>IF(NOT(ISERROR(MATCH(Q29,_xlfn.ANCHORARRAY(E40),0))),P42&amp;"Por favor no seleccionar los criterios de impacto",Q29)</f>
        <v>0</v>
      </c>
      <c r="S29" s="335"/>
      <c r="T29" s="334"/>
      <c r="U29" s="333"/>
      <c r="V29" s="214">
        <v>3</v>
      </c>
      <c r="W29" s="187"/>
      <c r="X29" s="189" t="str">
        <f>IF(OR(Y29="Preventivo",Y29="Detectivo"),"Probabilidad",IF(Y29="Correctivo","Impacto",""))</f>
        <v/>
      </c>
      <c r="Y29" s="190"/>
      <c r="Z29" s="190"/>
      <c r="AA29" s="191" t="str">
        <f t="shared" si="33"/>
        <v/>
      </c>
      <c r="AB29" s="190"/>
      <c r="AC29" s="190"/>
      <c r="AD29" s="190"/>
      <c r="AE29" s="192" t="str">
        <f>IFERROR(IF(AND(X28="Probabilidad",X29="Probabilidad"),(AG28-(+AG28*AA29)),IF(AND(X28="Impacto",X29="Probabilidad"),(AG27-(+AG27*AA29)),IF(X29="Impacto",AG28,""))),"")</f>
        <v/>
      </c>
      <c r="AF29" s="193" t="str">
        <f t="shared" si="2"/>
        <v/>
      </c>
      <c r="AG29" s="191" t="str">
        <f t="shared" si="34"/>
        <v/>
      </c>
      <c r="AH29" s="193" t="str">
        <f t="shared" si="4"/>
        <v/>
      </c>
      <c r="AI29" s="191" t="str">
        <f t="shared" ref="AI29" si="37">IFERROR(IF(AND(X28="Impacto",X29="Impacto"),(AI28-(+AI28*AA29)),IF(AND(X28="Probabilidad",X29="Impacto"),(AI27-(+AI27*AA29)),IF(X29="Probabilidad",AI28,""))),"")</f>
        <v/>
      </c>
      <c r="AJ29" s="194" t="str">
        <f t="shared" si="36"/>
        <v/>
      </c>
      <c r="AK29" s="195"/>
      <c r="AL29" s="186"/>
      <c r="AM29" s="196"/>
      <c r="AN29" s="196"/>
      <c r="AO29" s="197"/>
      <c r="AP29" s="341"/>
      <c r="AQ29" s="341"/>
      <c r="AR29" s="341"/>
    </row>
    <row r="30" spans="1:44" hidden="1" x14ac:dyDescent="0.2">
      <c r="A30" s="363"/>
      <c r="B30" s="345"/>
      <c r="C30" s="345"/>
      <c r="D30" s="345"/>
      <c r="E30" s="346"/>
      <c r="F30" s="345"/>
      <c r="G30" s="338"/>
      <c r="H30" s="338"/>
      <c r="I30" s="338"/>
      <c r="J30" s="338"/>
      <c r="K30" s="338"/>
      <c r="L30" s="338"/>
      <c r="M30" s="338"/>
      <c r="N30" s="341"/>
      <c r="O30" s="335"/>
      <c r="P30" s="334"/>
      <c r="Q30" s="324"/>
      <c r="R30" s="334">
        <f>IF(NOT(ISERROR(MATCH(Q30,_xlfn.ANCHORARRAY(E41),0))),P43&amp;"Por favor no seleccionar los criterios de impacto",Q30)</f>
        <v>0</v>
      </c>
      <c r="S30" s="335"/>
      <c r="T30" s="334"/>
      <c r="U30" s="333"/>
      <c r="V30" s="214">
        <v>4</v>
      </c>
      <c r="W30" s="187"/>
      <c r="X30" s="189" t="str">
        <f t="shared" ref="X30:X32" si="38">IF(OR(Y30="Preventivo",Y30="Detectivo"),"Probabilidad",IF(Y30="Correctivo","Impacto",""))</f>
        <v/>
      </c>
      <c r="Y30" s="190"/>
      <c r="Z30" s="190"/>
      <c r="AA30" s="191" t="str">
        <f t="shared" si="33"/>
        <v/>
      </c>
      <c r="AB30" s="190"/>
      <c r="AC30" s="190"/>
      <c r="AD30" s="190"/>
      <c r="AE30" s="192" t="str">
        <f t="shared" ref="AE30:AE32" si="39">IFERROR(IF(AND(X29="Probabilidad",X30="Probabilidad"),(AG29-(+AG29*AA30)),IF(AND(X29="Impacto",X30="Probabilidad"),(AG28-(+AG28*AA30)),IF(X30="Impacto",AG29,""))),"")</f>
        <v/>
      </c>
      <c r="AF30" s="193" t="str">
        <f t="shared" si="2"/>
        <v/>
      </c>
      <c r="AG30" s="191" t="str">
        <f t="shared" si="34"/>
        <v/>
      </c>
      <c r="AH30" s="193" t="str">
        <f t="shared" si="4"/>
        <v/>
      </c>
      <c r="AI30" s="191" t="str">
        <f t="shared" si="27"/>
        <v/>
      </c>
      <c r="AJ30" s="194" t="str">
        <f>IFERROR(IF(OR(AND(AF30="Muy Baja",AH30="Leve"),AND(AF30="Muy Baja",AH30="Menor"),AND(AF30="Baja",AH30="Leve")),"Bajo",IF(OR(AND(AF30="Muy baja",AH30="Moderado"),AND(AF30="Baja",AH30="Menor"),AND(AF30="Baja",AH30="Moderado"),AND(AF30="Media",AH30="Leve"),AND(AF30="Media",AH30="Menor"),AND(AF30="Media",AH30="Moderado"),AND(AF30="Alta",AH30="Leve"),AND(AF30="Alta",AH30="Menor")),"Moderado",IF(OR(AND(AF30="Muy Baja",AH30="Mayor"),AND(AF30="Baja",AH30="Mayor"),AND(AF30="Media",AH30="Mayor"),AND(AF30="Alta",AH30="Moderado"),AND(AF30="Alta",AH30="Mayor"),AND(AF30="Muy Alta",AH30="Leve"),AND(AF30="Muy Alta",AH30="Menor"),AND(AF30="Muy Alta",AH30="Moderado"),AND(AF30="Muy Alta",AH30="Mayor")),"Alto",IF(OR(AND(AF30="Muy Baja",AH30="Catastrófico"),AND(AF30="Baja",AH30="Catastrófico"),AND(AF30="Media",AH30="Catastrófico"),AND(AF30="Alta",AH30="Catastrófico"),AND(AF30="Muy Alta",AH30="Catastrófico")),"Extremo","")))),"")</f>
        <v/>
      </c>
      <c r="AK30" s="195"/>
      <c r="AL30" s="186"/>
      <c r="AM30" s="196"/>
      <c r="AN30" s="196"/>
      <c r="AO30" s="197"/>
      <c r="AP30" s="341"/>
      <c r="AQ30" s="341"/>
      <c r="AR30" s="341"/>
    </row>
    <row r="31" spans="1:44" hidden="1" x14ac:dyDescent="0.2">
      <c r="A31" s="363"/>
      <c r="B31" s="345"/>
      <c r="C31" s="345"/>
      <c r="D31" s="345"/>
      <c r="E31" s="346"/>
      <c r="F31" s="345"/>
      <c r="G31" s="338"/>
      <c r="H31" s="338"/>
      <c r="I31" s="338"/>
      <c r="J31" s="338"/>
      <c r="K31" s="338"/>
      <c r="L31" s="338"/>
      <c r="M31" s="338"/>
      <c r="N31" s="341"/>
      <c r="O31" s="335"/>
      <c r="P31" s="334"/>
      <c r="Q31" s="324"/>
      <c r="R31" s="334">
        <f>IF(NOT(ISERROR(MATCH(Q31,_xlfn.ANCHORARRAY(E42),0))),P44&amp;"Por favor no seleccionar los criterios de impacto",Q31)</f>
        <v>0</v>
      </c>
      <c r="S31" s="335"/>
      <c r="T31" s="334"/>
      <c r="U31" s="333"/>
      <c r="V31" s="214">
        <v>5</v>
      </c>
      <c r="W31" s="187"/>
      <c r="X31" s="189" t="str">
        <f t="shared" si="38"/>
        <v/>
      </c>
      <c r="Y31" s="190"/>
      <c r="Z31" s="190"/>
      <c r="AA31" s="191" t="str">
        <f t="shared" si="33"/>
        <v/>
      </c>
      <c r="AB31" s="190"/>
      <c r="AC31" s="190"/>
      <c r="AD31" s="190"/>
      <c r="AE31" s="192" t="str">
        <f t="shared" si="39"/>
        <v/>
      </c>
      <c r="AF31" s="193" t="str">
        <f t="shared" si="2"/>
        <v/>
      </c>
      <c r="AG31" s="191" t="str">
        <f t="shared" si="34"/>
        <v/>
      </c>
      <c r="AH31" s="193" t="str">
        <f t="shared" si="4"/>
        <v/>
      </c>
      <c r="AI31" s="191" t="str">
        <f t="shared" si="27"/>
        <v/>
      </c>
      <c r="AJ31" s="194" t="str">
        <f t="shared" ref="AJ31:AJ32" si="40">IFERROR(IF(OR(AND(AF31="Muy Baja",AH31="Leve"),AND(AF31="Muy Baja",AH31="Menor"),AND(AF31="Baja",AH31="Leve")),"Bajo",IF(OR(AND(AF31="Muy baja",AH31="Moderado"),AND(AF31="Baja",AH31="Menor"),AND(AF31="Baja",AH31="Moderado"),AND(AF31="Media",AH31="Leve"),AND(AF31="Media",AH31="Menor"),AND(AF31="Media",AH31="Moderado"),AND(AF31="Alta",AH31="Leve"),AND(AF31="Alta",AH31="Menor")),"Moderado",IF(OR(AND(AF31="Muy Baja",AH31="Mayor"),AND(AF31="Baja",AH31="Mayor"),AND(AF31="Media",AH31="Mayor"),AND(AF31="Alta",AH31="Moderado"),AND(AF31="Alta",AH31="Mayor"),AND(AF31="Muy Alta",AH31="Leve"),AND(AF31="Muy Alta",AH31="Menor"),AND(AF31="Muy Alta",AH31="Moderado"),AND(AF31="Muy Alta",AH31="Mayor")),"Alto",IF(OR(AND(AF31="Muy Baja",AH31="Catastrófico"),AND(AF31="Baja",AH31="Catastrófico"),AND(AF31="Media",AH31="Catastrófico"),AND(AF31="Alta",AH31="Catastrófico"),AND(AF31="Muy Alta",AH31="Catastrófico")),"Extremo","")))),"")</f>
        <v/>
      </c>
      <c r="AK31" s="195"/>
      <c r="AL31" s="186"/>
      <c r="AM31" s="196"/>
      <c r="AN31" s="196"/>
      <c r="AO31" s="197"/>
      <c r="AP31" s="341"/>
      <c r="AQ31" s="341"/>
      <c r="AR31" s="341"/>
    </row>
    <row r="32" spans="1:44" hidden="1" x14ac:dyDescent="0.2">
      <c r="A32" s="363"/>
      <c r="B32" s="345"/>
      <c r="C32" s="345"/>
      <c r="D32" s="345"/>
      <c r="E32" s="346"/>
      <c r="F32" s="345"/>
      <c r="G32" s="339"/>
      <c r="H32" s="339"/>
      <c r="I32" s="339"/>
      <c r="J32" s="339"/>
      <c r="K32" s="339"/>
      <c r="L32" s="339"/>
      <c r="M32" s="339"/>
      <c r="N32" s="341"/>
      <c r="O32" s="335"/>
      <c r="P32" s="334"/>
      <c r="Q32" s="324"/>
      <c r="R32" s="334">
        <f>IF(NOT(ISERROR(MATCH(Q32,_xlfn.ANCHORARRAY(E43),0))),P45&amp;"Por favor no seleccionar los criterios de impacto",Q32)</f>
        <v>0</v>
      </c>
      <c r="S32" s="335"/>
      <c r="T32" s="334"/>
      <c r="U32" s="333"/>
      <c r="V32" s="214">
        <v>6</v>
      </c>
      <c r="W32" s="187"/>
      <c r="X32" s="189" t="str">
        <f t="shared" si="38"/>
        <v/>
      </c>
      <c r="Y32" s="190"/>
      <c r="Z32" s="190"/>
      <c r="AA32" s="191" t="str">
        <f t="shared" si="33"/>
        <v/>
      </c>
      <c r="AB32" s="190"/>
      <c r="AC32" s="190"/>
      <c r="AD32" s="190"/>
      <c r="AE32" s="192" t="str">
        <f t="shared" si="39"/>
        <v/>
      </c>
      <c r="AF32" s="193" t="str">
        <f t="shared" si="2"/>
        <v/>
      </c>
      <c r="AG32" s="191" t="str">
        <f t="shared" si="34"/>
        <v/>
      </c>
      <c r="AH32" s="193" t="str">
        <f t="shared" si="4"/>
        <v/>
      </c>
      <c r="AI32" s="191" t="str">
        <f t="shared" si="27"/>
        <v/>
      </c>
      <c r="AJ32" s="194" t="str">
        <f t="shared" si="40"/>
        <v/>
      </c>
      <c r="AK32" s="195"/>
      <c r="AL32" s="186"/>
      <c r="AM32" s="196"/>
      <c r="AN32" s="196"/>
      <c r="AO32" s="197"/>
      <c r="AP32" s="341"/>
      <c r="AQ32" s="341"/>
      <c r="AR32" s="341"/>
    </row>
    <row r="33" spans="1:44" hidden="1" x14ac:dyDescent="0.2">
      <c r="A33" s="363">
        <v>4</v>
      </c>
      <c r="B33" s="345"/>
      <c r="C33" s="345"/>
      <c r="D33" s="345"/>
      <c r="E33" s="364"/>
      <c r="F33" s="345"/>
      <c r="G33" s="337"/>
      <c r="H33" s="337"/>
      <c r="I33" s="337"/>
      <c r="J33" s="337"/>
      <c r="K33" s="337"/>
      <c r="L33" s="337"/>
      <c r="M33" s="337"/>
      <c r="N33" s="341"/>
      <c r="O33" s="335" t="str">
        <f>IF(N33&lt;=0,"",IF(N33&lt;=2,"Muy Baja",IF(N33&lt;=24,"Baja",IF(N33&lt;=500,"Media",IF(N33&lt;=5000,"Alta","Muy Alta")))))</f>
        <v/>
      </c>
      <c r="P33" s="334" t="str">
        <f>IF(O33="","",IF(O33="Muy Baja",0.2,IF(O33="Baja",0.4,IF(O33="Media",0.6,IF(O33="Alta",0.8,IF(O33="Muy Alta",1,))))))</f>
        <v/>
      </c>
      <c r="Q33" s="324"/>
      <c r="R33" s="334">
        <f>IF(NOT(ISERROR(MATCH(Q33,'Tabla Impacto'!$B$222:$B$224,0))),'Tabla Impacto'!$F$224&amp;"Por favor no seleccionar los criterios de impacto(Afectación Económica o presupuestal y Pérdida Reputacional)",Q33)</f>
        <v>0</v>
      </c>
      <c r="S33" s="335" t="str">
        <f>IF(OR(R33='Tabla Impacto'!$C$12,R33='Tabla Impacto'!$D$12),"Leve",IF(OR(R33='Tabla Impacto'!$C$13,R33='Tabla Impacto'!$D$13),"Menor",IF(OR(R33='Tabla Impacto'!$C$14,R33='Tabla Impacto'!$D$14),"Moderado",IF(OR(R33='Tabla Impacto'!$C$15,R33='Tabla Impacto'!$D$15),"Mayor",IF(OR(R33='Tabla Impacto'!$C$16,R33='Tabla Impacto'!$D$16),"Catastrófico","")))))</f>
        <v/>
      </c>
      <c r="T33" s="334" t="str">
        <f>IF(S33="","",IF(S33="Leve",0.2,IF(S33="Menor",0.4,IF(S33="Moderado",0.6,IF(S33="Mayor",0.8,IF(S33="Catastrófico",1,))))))</f>
        <v/>
      </c>
      <c r="U33" s="333" t="str">
        <f>IF(OR(AND(O33="Muy Baja",S33="Leve"),AND(O33="Muy Baja",S33="Menor"),AND(O33="Baja",S33="Leve")),"Bajo",IF(OR(AND(O33="Muy baja",S33="Moderado"),AND(O33="Baja",S33="Menor"),AND(O33="Baja",S33="Moderado"),AND(O33="Media",S33="Leve"),AND(O33="Media",S33="Menor"),AND(O33="Media",S33="Moderado"),AND(O33="Alta",S33="Leve"),AND(O33="Alta",S33="Menor")),"Moderado",IF(OR(AND(O33="Muy Baja",S33="Mayor"),AND(O33="Baja",S33="Mayor"),AND(O33="Media",S33="Mayor"),AND(O33="Alta",S33="Moderado"),AND(O33="Alta",S33="Mayor"),AND(O33="Muy Alta",S33="Leve"),AND(O33="Muy Alta",S33="Menor"),AND(O33="Muy Alta",S33="Moderado"),AND(O33="Muy Alta",S33="Mayor")),"Alto",IF(OR(AND(O33="Muy Baja",S33="Catastrófico"),AND(O33="Baja",S33="Catastrófico"),AND(O33="Media",S33="Catastrófico"),AND(O33="Alta",S33="Catastrófico"),AND(O33="Muy Alta",S33="Catastrófico")),"Extremo",""))))</f>
        <v/>
      </c>
      <c r="V33" s="214">
        <v>1</v>
      </c>
      <c r="W33" s="187"/>
      <c r="X33" s="189" t="str">
        <f>IF(OR(Y33="Preventivo",Y33="Detectivo"),"Probabilidad",IF(Y33="Correctivo","Impacto",""))</f>
        <v/>
      </c>
      <c r="Y33" s="190"/>
      <c r="Z33" s="190"/>
      <c r="AA33" s="191" t="str">
        <f>IF(AND(Y33="Preventivo",Z33="Automático"),"50%",IF(AND(Y33="Preventivo",Z33="Manual"),"40%",IF(AND(Y33="Detectivo",Z33="Automático"),"40%",IF(AND(Y33="Detectivo",Z33="Manual"),"30%",IF(AND(Y33="Correctivo",Z33="Automático"),"35%",IF(AND(Y33="Correctivo",Z33="Manual"),"25%",""))))))</f>
        <v/>
      </c>
      <c r="AB33" s="190"/>
      <c r="AC33" s="190"/>
      <c r="AD33" s="190"/>
      <c r="AE33" s="192" t="str">
        <f>IFERROR(IF(X33="Probabilidad",(P33-(+P33*AA33)),IF(X33="Impacto",P33,"")),"")</f>
        <v/>
      </c>
      <c r="AF33" s="193" t="str">
        <f>IFERROR(IF(AE33="","",IF(AE33&lt;=0.2,"Muy Baja",IF(AE33&lt;=0.4,"Baja",IF(AE33&lt;=0.6,"Media",IF(AE33&lt;=0.8,"Alta","Muy Alta"))))),"")</f>
        <v/>
      </c>
      <c r="AG33" s="191" t="str">
        <f>+AE33</f>
        <v/>
      </c>
      <c r="AH33" s="193" t="str">
        <f>IFERROR(IF(AI33="","",IF(AI33&lt;=0.2,"Leve",IF(AI33&lt;=0.4,"Menor",IF(AI33&lt;=0.6,"Moderado",IF(AI33&lt;=0.8,"Mayor","Catastrófico"))))),"")</f>
        <v/>
      </c>
      <c r="AI33" s="191" t="str">
        <f t="shared" ref="AI33" si="41">IFERROR(IF(X33="Impacto",(T33-(+T33*AA33)),IF(X33="Probabilidad",T33,"")),"")</f>
        <v/>
      </c>
      <c r="AJ33" s="194" t="str">
        <f>IFERROR(IF(OR(AND(AF33="Muy Baja",AH33="Leve"),AND(AF33="Muy Baja",AH33="Menor"),AND(AF33="Baja",AH33="Leve")),"Bajo",IF(OR(AND(AF33="Muy baja",AH33="Moderado"),AND(AF33="Baja",AH33="Menor"),AND(AF33="Baja",AH33="Moderado"),AND(AF33="Media",AH33="Leve"),AND(AF33="Media",AH33="Menor"),AND(AF33="Media",AH33="Moderado"),AND(AF33="Alta",AH33="Leve"),AND(AF33="Alta",AH33="Menor")),"Moderado",IF(OR(AND(AF33="Muy Baja",AH33="Mayor"),AND(AF33="Baja",AH33="Mayor"),AND(AF33="Media",AH33="Mayor"),AND(AF33="Alta",AH33="Moderado"),AND(AF33="Alta",AH33="Mayor"),AND(AF33="Muy Alta",AH33="Leve"),AND(AF33="Muy Alta",AH33="Menor"),AND(AF33="Muy Alta",AH33="Moderado"),AND(AF33="Muy Alta",AH33="Mayor")),"Alto",IF(OR(AND(AF33="Muy Baja",AH33="Catastrófico"),AND(AF33="Baja",AH33="Catastrófico"),AND(AF33="Media",AH33="Catastrófico"),AND(AF33="Alta",AH33="Catastrófico"),AND(AF33="Muy Alta",AH33="Catastrófico")),"Extremo","")))),"")</f>
        <v/>
      </c>
      <c r="AK33" s="195"/>
      <c r="AL33" s="186"/>
      <c r="AM33" s="196"/>
      <c r="AN33" s="196"/>
      <c r="AO33" s="197"/>
      <c r="AP33" s="341"/>
      <c r="AQ33" s="341"/>
      <c r="AR33" s="341"/>
    </row>
    <row r="34" spans="1:44" hidden="1" x14ac:dyDescent="0.2">
      <c r="A34" s="363"/>
      <c r="B34" s="345"/>
      <c r="C34" s="345"/>
      <c r="D34" s="345"/>
      <c r="E34" s="365"/>
      <c r="F34" s="345"/>
      <c r="G34" s="338"/>
      <c r="H34" s="338"/>
      <c r="I34" s="338"/>
      <c r="J34" s="338"/>
      <c r="K34" s="338"/>
      <c r="L34" s="338"/>
      <c r="M34" s="338"/>
      <c r="N34" s="341"/>
      <c r="O34" s="335"/>
      <c r="P34" s="334"/>
      <c r="Q34" s="324"/>
      <c r="R34" s="334">
        <f>IF(NOT(ISERROR(MATCH(Q34,_xlfn.ANCHORARRAY(E45),0))),P47&amp;"Por favor no seleccionar los criterios de impacto",Q34)</f>
        <v>0</v>
      </c>
      <c r="S34" s="335"/>
      <c r="T34" s="334"/>
      <c r="U34" s="333"/>
      <c r="V34" s="214">
        <v>2</v>
      </c>
      <c r="W34" s="187"/>
      <c r="X34" s="189" t="str">
        <f>IF(OR(Y34="Preventivo",Y34="Detectivo"),"Probabilidad",IF(Y34="Correctivo","Impacto",""))</f>
        <v/>
      </c>
      <c r="Y34" s="190"/>
      <c r="Z34" s="190"/>
      <c r="AA34" s="191" t="str">
        <f t="shared" ref="AA34:AA38" si="42">IF(AND(Y34="Preventivo",Z34="Automático"),"50%",IF(AND(Y34="Preventivo",Z34="Manual"),"40%",IF(AND(Y34="Detectivo",Z34="Automático"),"40%",IF(AND(Y34="Detectivo",Z34="Manual"),"30%",IF(AND(Y34="Correctivo",Z34="Automático"),"35%",IF(AND(Y34="Correctivo",Z34="Manual"),"25%",""))))))</f>
        <v/>
      </c>
      <c r="AB34" s="190"/>
      <c r="AC34" s="190"/>
      <c r="AD34" s="190"/>
      <c r="AE34" s="192" t="str">
        <f>IFERROR(IF(AND(X33="Probabilidad",X34="Probabilidad"),(AG33-(+AG33*AA34)),IF(X34="Probabilidad",(P33-(+P33*AA34)),IF(X34="Impacto",AG33,""))),"")</f>
        <v/>
      </c>
      <c r="AF34" s="193" t="str">
        <f t="shared" si="2"/>
        <v/>
      </c>
      <c r="AG34" s="191" t="str">
        <f t="shared" ref="AG34:AG38" si="43">+AE34</f>
        <v/>
      </c>
      <c r="AH34" s="193" t="str">
        <f t="shared" si="4"/>
        <v/>
      </c>
      <c r="AI34" s="191" t="str">
        <f t="shared" ref="AI34" si="44">IFERROR(IF(AND(X33="Impacto",X34="Impacto"),(AI33-(+AI33*AA34)),IF(X34="Impacto",($T$13-(+$T$13*AA34)),IF(X34="Probabilidad",AI33,""))),"")</f>
        <v/>
      </c>
      <c r="AJ34" s="194" t="str">
        <f t="shared" ref="AJ34:AJ35" si="45">IFERROR(IF(OR(AND(AF34="Muy Baja",AH34="Leve"),AND(AF34="Muy Baja",AH34="Menor"),AND(AF34="Baja",AH34="Leve")),"Bajo",IF(OR(AND(AF34="Muy baja",AH34="Moderado"),AND(AF34="Baja",AH34="Menor"),AND(AF34="Baja",AH34="Moderado"),AND(AF34="Media",AH34="Leve"),AND(AF34="Media",AH34="Menor"),AND(AF34="Media",AH34="Moderado"),AND(AF34="Alta",AH34="Leve"),AND(AF34="Alta",AH34="Menor")),"Moderado",IF(OR(AND(AF34="Muy Baja",AH34="Mayor"),AND(AF34="Baja",AH34="Mayor"),AND(AF34="Media",AH34="Mayor"),AND(AF34="Alta",AH34="Moderado"),AND(AF34="Alta",AH34="Mayor"),AND(AF34="Muy Alta",AH34="Leve"),AND(AF34="Muy Alta",AH34="Menor"),AND(AF34="Muy Alta",AH34="Moderado"),AND(AF34="Muy Alta",AH34="Mayor")),"Alto",IF(OR(AND(AF34="Muy Baja",AH34="Catastrófico"),AND(AF34="Baja",AH34="Catastrófico"),AND(AF34="Media",AH34="Catastrófico"),AND(AF34="Alta",AH34="Catastrófico"),AND(AF34="Muy Alta",AH34="Catastrófico")),"Extremo","")))),"")</f>
        <v/>
      </c>
      <c r="AK34" s="195"/>
      <c r="AL34" s="186"/>
      <c r="AM34" s="196"/>
      <c r="AN34" s="196"/>
      <c r="AO34" s="197"/>
      <c r="AP34" s="341"/>
      <c r="AQ34" s="341"/>
      <c r="AR34" s="341"/>
    </row>
    <row r="35" spans="1:44" hidden="1" x14ac:dyDescent="0.2">
      <c r="A35" s="363"/>
      <c r="B35" s="345"/>
      <c r="C35" s="345"/>
      <c r="D35" s="345"/>
      <c r="E35" s="365"/>
      <c r="F35" s="345"/>
      <c r="G35" s="338"/>
      <c r="H35" s="338"/>
      <c r="I35" s="338"/>
      <c r="J35" s="338"/>
      <c r="K35" s="338"/>
      <c r="L35" s="338"/>
      <c r="M35" s="338"/>
      <c r="N35" s="341"/>
      <c r="O35" s="335"/>
      <c r="P35" s="334"/>
      <c r="Q35" s="324"/>
      <c r="R35" s="334">
        <f>IF(NOT(ISERROR(MATCH(Q35,_xlfn.ANCHORARRAY(E46),0))),P48&amp;"Por favor no seleccionar los criterios de impacto",Q35)</f>
        <v>0</v>
      </c>
      <c r="S35" s="335"/>
      <c r="T35" s="334"/>
      <c r="U35" s="333"/>
      <c r="V35" s="214">
        <v>3</v>
      </c>
      <c r="W35" s="188"/>
      <c r="X35" s="189" t="str">
        <f>IF(OR(Y35="Preventivo",Y35="Detectivo"),"Probabilidad",IF(Y35="Correctivo","Impacto",""))</f>
        <v/>
      </c>
      <c r="Y35" s="190"/>
      <c r="Z35" s="190"/>
      <c r="AA35" s="191" t="str">
        <f t="shared" si="42"/>
        <v/>
      </c>
      <c r="AB35" s="190"/>
      <c r="AC35" s="190"/>
      <c r="AD35" s="190"/>
      <c r="AE35" s="192" t="str">
        <f>IFERROR(IF(AND(X34="Probabilidad",X35="Probabilidad"),(AG34-(+AG34*AA35)),IF(AND(X34="Impacto",X35="Probabilidad"),(AG33-(+AG33*AA35)),IF(X35="Impacto",AG34,""))),"")</f>
        <v/>
      </c>
      <c r="AF35" s="193" t="str">
        <f t="shared" si="2"/>
        <v/>
      </c>
      <c r="AG35" s="191" t="str">
        <f t="shared" si="43"/>
        <v/>
      </c>
      <c r="AH35" s="193" t="str">
        <f t="shared" si="4"/>
        <v/>
      </c>
      <c r="AI35" s="191" t="str">
        <f t="shared" ref="AI35" si="46">IFERROR(IF(AND(X34="Impacto",X35="Impacto"),(AI34-(+AI34*AA35)),IF(AND(X34="Probabilidad",X35="Impacto"),(AI33-(+AI33*AA35)),IF(X35="Probabilidad",AI34,""))),"")</f>
        <v/>
      </c>
      <c r="AJ35" s="194" t="str">
        <f t="shared" si="45"/>
        <v/>
      </c>
      <c r="AK35" s="195"/>
      <c r="AL35" s="186"/>
      <c r="AM35" s="196"/>
      <c r="AN35" s="196"/>
      <c r="AO35" s="197"/>
      <c r="AP35" s="341"/>
      <c r="AQ35" s="341"/>
      <c r="AR35" s="341"/>
    </row>
    <row r="36" spans="1:44" hidden="1" x14ac:dyDescent="0.2">
      <c r="A36" s="363"/>
      <c r="B36" s="345"/>
      <c r="C36" s="345"/>
      <c r="D36" s="345"/>
      <c r="E36" s="365"/>
      <c r="F36" s="345"/>
      <c r="G36" s="338"/>
      <c r="H36" s="338"/>
      <c r="I36" s="338"/>
      <c r="J36" s="338"/>
      <c r="K36" s="338"/>
      <c r="L36" s="338"/>
      <c r="M36" s="338"/>
      <c r="N36" s="341"/>
      <c r="O36" s="335"/>
      <c r="P36" s="334"/>
      <c r="Q36" s="324"/>
      <c r="R36" s="334">
        <f>IF(NOT(ISERROR(MATCH(Q36,_xlfn.ANCHORARRAY(E47),0))),P49&amp;"Por favor no seleccionar los criterios de impacto",Q36)</f>
        <v>0</v>
      </c>
      <c r="S36" s="335"/>
      <c r="T36" s="334"/>
      <c r="U36" s="333"/>
      <c r="V36" s="214">
        <v>4</v>
      </c>
      <c r="W36" s="187"/>
      <c r="X36" s="189" t="str">
        <f t="shared" ref="X36:X38" si="47">IF(OR(Y36="Preventivo",Y36="Detectivo"),"Probabilidad",IF(Y36="Correctivo","Impacto",""))</f>
        <v/>
      </c>
      <c r="Y36" s="190"/>
      <c r="Z36" s="190"/>
      <c r="AA36" s="191" t="str">
        <f t="shared" si="42"/>
        <v/>
      </c>
      <c r="AB36" s="190"/>
      <c r="AC36" s="190"/>
      <c r="AD36" s="190"/>
      <c r="AE36" s="192" t="str">
        <f t="shared" ref="AE36:AE38" si="48">IFERROR(IF(AND(X35="Probabilidad",X36="Probabilidad"),(AG35-(+AG35*AA36)),IF(AND(X35="Impacto",X36="Probabilidad"),(AG34-(+AG34*AA36)),IF(X36="Impacto",AG35,""))),"")</f>
        <v/>
      </c>
      <c r="AF36" s="193" t="str">
        <f t="shared" si="2"/>
        <v/>
      </c>
      <c r="AG36" s="191" t="str">
        <f t="shared" si="43"/>
        <v/>
      </c>
      <c r="AH36" s="193" t="str">
        <f t="shared" si="4"/>
        <v/>
      </c>
      <c r="AI36" s="191" t="str">
        <f t="shared" si="27"/>
        <v/>
      </c>
      <c r="AJ36" s="194" t="str">
        <f>IFERROR(IF(OR(AND(AF36="Muy Baja",AH36="Leve"),AND(AF36="Muy Baja",AH36="Menor"),AND(AF36="Baja",AH36="Leve")),"Bajo",IF(OR(AND(AF36="Muy baja",AH36="Moderado"),AND(AF36="Baja",AH36="Menor"),AND(AF36="Baja",AH36="Moderado"),AND(AF36="Media",AH36="Leve"),AND(AF36="Media",AH36="Menor"),AND(AF36="Media",AH36="Moderado"),AND(AF36="Alta",AH36="Leve"),AND(AF36="Alta",AH36="Menor")),"Moderado",IF(OR(AND(AF36="Muy Baja",AH36="Mayor"),AND(AF36="Baja",AH36="Mayor"),AND(AF36="Media",AH36="Mayor"),AND(AF36="Alta",AH36="Moderado"),AND(AF36="Alta",AH36="Mayor"),AND(AF36="Muy Alta",AH36="Leve"),AND(AF36="Muy Alta",AH36="Menor"),AND(AF36="Muy Alta",AH36="Moderado"),AND(AF36="Muy Alta",AH36="Mayor")),"Alto",IF(OR(AND(AF36="Muy Baja",AH36="Catastrófico"),AND(AF36="Baja",AH36="Catastrófico"),AND(AF36="Media",AH36="Catastrófico"),AND(AF36="Alta",AH36="Catastrófico"),AND(AF36="Muy Alta",AH36="Catastrófico")),"Extremo","")))),"")</f>
        <v/>
      </c>
      <c r="AK36" s="195"/>
      <c r="AL36" s="186"/>
      <c r="AM36" s="196"/>
      <c r="AN36" s="196"/>
      <c r="AO36" s="197"/>
      <c r="AP36" s="341"/>
      <c r="AQ36" s="341"/>
      <c r="AR36" s="341"/>
    </row>
    <row r="37" spans="1:44" hidden="1" x14ac:dyDescent="0.2">
      <c r="A37" s="363"/>
      <c r="B37" s="345"/>
      <c r="C37" s="345"/>
      <c r="D37" s="345"/>
      <c r="E37" s="365"/>
      <c r="F37" s="345"/>
      <c r="G37" s="338"/>
      <c r="H37" s="338"/>
      <c r="I37" s="338"/>
      <c r="J37" s="338"/>
      <c r="K37" s="338"/>
      <c r="L37" s="338"/>
      <c r="M37" s="338"/>
      <c r="N37" s="341"/>
      <c r="O37" s="335"/>
      <c r="P37" s="334"/>
      <c r="Q37" s="324"/>
      <c r="R37" s="334">
        <f>IF(NOT(ISERROR(MATCH(Q37,_xlfn.ANCHORARRAY(E48),0))),P50&amp;"Por favor no seleccionar los criterios de impacto",Q37)</f>
        <v>0</v>
      </c>
      <c r="S37" s="335"/>
      <c r="T37" s="334"/>
      <c r="U37" s="333"/>
      <c r="V37" s="214">
        <v>5</v>
      </c>
      <c r="W37" s="187"/>
      <c r="X37" s="189" t="str">
        <f t="shared" si="47"/>
        <v/>
      </c>
      <c r="Y37" s="190"/>
      <c r="Z37" s="190"/>
      <c r="AA37" s="191" t="str">
        <f t="shared" si="42"/>
        <v/>
      </c>
      <c r="AB37" s="190"/>
      <c r="AC37" s="190"/>
      <c r="AD37" s="190"/>
      <c r="AE37" s="192" t="str">
        <f t="shared" si="48"/>
        <v/>
      </c>
      <c r="AF37" s="193" t="str">
        <f>IFERROR(IF(AE37="","",IF(AE37&lt;=0.2,"Muy Baja",IF(AE37&lt;=0.4,"Baja",IF(AE37&lt;=0.6,"Media",IF(AE37&lt;=0.8,"Alta","Muy Alta"))))),"")</f>
        <v/>
      </c>
      <c r="AG37" s="191" t="str">
        <f t="shared" si="43"/>
        <v/>
      </c>
      <c r="AH37" s="193" t="str">
        <f t="shared" si="4"/>
        <v/>
      </c>
      <c r="AI37" s="191" t="str">
        <f t="shared" si="27"/>
        <v/>
      </c>
      <c r="AJ37" s="194" t="str">
        <f t="shared" ref="AJ37:AJ38" si="49">IFERROR(IF(OR(AND(AF37="Muy Baja",AH37="Leve"),AND(AF37="Muy Baja",AH37="Menor"),AND(AF37="Baja",AH37="Leve")),"Bajo",IF(OR(AND(AF37="Muy baja",AH37="Moderado"),AND(AF37="Baja",AH37="Menor"),AND(AF37="Baja",AH37="Moderado"),AND(AF37="Media",AH37="Leve"),AND(AF37="Media",AH37="Menor"),AND(AF37="Media",AH37="Moderado"),AND(AF37="Alta",AH37="Leve"),AND(AF37="Alta",AH37="Menor")),"Moderado",IF(OR(AND(AF37="Muy Baja",AH37="Mayor"),AND(AF37="Baja",AH37="Mayor"),AND(AF37="Media",AH37="Mayor"),AND(AF37="Alta",AH37="Moderado"),AND(AF37="Alta",AH37="Mayor"),AND(AF37="Muy Alta",AH37="Leve"),AND(AF37="Muy Alta",AH37="Menor"),AND(AF37="Muy Alta",AH37="Moderado"),AND(AF37="Muy Alta",AH37="Mayor")),"Alto",IF(OR(AND(AF37="Muy Baja",AH37="Catastrófico"),AND(AF37="Baja",AH37="Catastrófico"),AND(AF37="Media",AH37="Catastrófico"),AND(AF37="Alta",AH37="Catastrófico"),AND(AF37="Muy Alta",AH37="Catastrófico")),"Extremo","")))),"")</f>
        <v/>
      </c>
      <c r="AK37" s="195"/>
      <c r="AL37" s="186"/>
      <c r="AM37" s="196"/>
      <c r="AN37" s="196"/>
      <c r="AO37" s="197"/>
      <c r="AP37" s="341"/>
      <c r="AQ37" s="341"/>
      <c r="AR37" s="341"/>
    </row>
    <row r="38" spans="1:44" hidden="1" x14ac:dyDescent="0.2">
      <c r="A38" s="363"/>
      <c r="B38" s="345"/>
      <c r="C38" s="345"/>
      <c r="D38" s="345"/>
      <c r="E38" s="365"/>
      <c r="F38" s="345"/>
      <c r="G38" s="339"/>
      <c r="H38" s="339"/>
      <c r="I38" s="339"/>
      <c r="J38" s="339"/>
      <c r="K38" s="339"/>
      <c r="L38" s="339"/>
      <c r="M38" s="339"/>
      <c r="N38" s="341"/>
      <c r="O38" s="335"/>
      <c r="P38" s="334"/>
      <c r="Q38" s="324"/>
      <c r="R38" s="334">
        <f>IF(NOT(ISERROR(MATCH(Q38,_xlfn.ANCHORARRAY(E49),0))),P51&amp;"Por favor no seleccionar los criterios de impacto",Q38)</f>
        <v>0</v>
      </c>
      <c r="S38" s="335"/>
      <c r="T38" s="334"/>
      <c r="U38" s="333"/>
      <c r="V38" s="214">
        <v>6</v>
      </c>
      <c r="W38" s="187"/>
      <c r="X38" s="189" t="str">
        <f t="shared" si="47"/>
        <v/>
      </c>
      <c r="Y38" s="190"/>
      <c r="Z38" s="190"/>
      <c r="AA38" s="191" t="str">
        <f t="shared" si="42"/>
        <v/>
      </c>
      <c r="AB38" s="190"/>
      <c r="AC38" s="190"/>
      <c r="AD38" s="190"/>
      <c r="AE38" s="192" t="str">
        <f t="shared" si="48"/>
        <v/>
      </c>
      <c r="AF38" s="193" t="str">
        <f t="shared" si="2"/>
        <v/>
      </c>
      <c r="AG38" s="191" t="str">
        <f t="shared" si="43"/>
        <v/>
      </c>
      <c r="AH38" s="193" t="str">
        <f t="shared" si="4"/>
        <v/>
      </c>
      <c r="AI38" s="191" t="str">
        <f t="shared" si="27"/>
        <v/>
      </c>
      <c r="AJ38" s="194" t="str">
        <f t="shared" si="49"/>
        <v/>
      </c>
      <c r="AK38" s="195"/>
      <c r="AL38" s="186"/>
      <c r="AM38" s="196"/>
      <c r="AN38" s="196"/>
      <c r="AO38" s="197"/>
      <c r="AP38" s="341"/>
      <c r="AQ38" s="341"/>
      <c r="AR38" s="341"/>
    </row>
    <row r="39" spans="1:44" hidden="1" x14ac:dyDescent="0.2">
      <c r="A39" s="363">
        <v>5</v>
      </c>
      <c r="B39" s="345"/>
      <c r="C39" s="345"/>
      <c r="D39" s="345"/>
      <c r="E39" s="345"/>
      <c r="F39" s="345"/>
      <c r="G39" s="337"/>
      <c r="H39" s="337"/>
      <c r="I39" s="337"/>
      <c r="J39" s="337"/>
      <c r="K39" s="337"/>
      <c r="L39" s="337"/>
      <c r="M39" s="337"/>
      <c r="N39" s="341"/>
      <c r="O39" s="335" t="str">
        <f>IF(N39&lt;=0,"",IF(N39&lt;=2,"Muy Baja",IF(N39&lt;=24,"Baja",IF(N39&lt;=500,"Media",IF(N39&lt;=5000,"Alta","Muy Alta")))))</f>
        <v/>
      </c>
      <c r="P39" s="334" t="str">
        <f>IF(O39="","",IF(O39="Muy Baja",0.2,IF(O39="Baja",0.4,IF(O39="Media",0.6,IF(O39="Alta",0.8,IF(O39="Muy Alta",1,))))))</f>
        <v/>
      </c>
      <c r="Q39" s="324"/>
      <c r="R39" s="334">
        <f>IF(NOT(ISERROR(MATCH(Q39,'Tabla Impacto'!$B$222:$B$224,0))),'Tabla Impacto'!$F$224&amp;"Por favor no seleccionar los criterios de impacto(Afectación Económica o presupuestal y Pérdida Reputacional)",Q39)</f>
        <v>0</v>
      </c>
      <c r="S39" s="335" t="str">
        <f>IF(OR(R39='Tabla Impacto'!$C$12,R39='Tabla Impacto'!$D$12),"Leve",IF(OR(R39='Tabla Impacto'!$C$13,R39='Tabla Impacto'!$D$13),"Menor",IF(OR(R39='Tabla Impacto'!$C$14,R39='Tabla Impacto'!$D$14),"Moderado",IF(OR(R39='Tabla Impacto'!$C$15,R39='Tabla Impacto'!$D$15),"Mayor",IF(OR(R39='Tabla Impacto'!$C$16,R39='Tabla Impacto'!$D$16),"Catastrófico","")))))</f>
        <v/>
      </c>
      <c r="T39" s="334" t="str">
        <f>IF(S39="","",IF(S39="Leve",0.2,IF(S39="Menor",0.4,IF(S39="Moderado",0.6,IF(S39="Mayor",0.8,IF(S39="Catastrófico",1,))))))</f>
        <v/>
      </c>
      <c r="U39" s="333" t="str">
        <f>IF(OR(AND(O39="Muy Baja",S39="Leve"),AND(O39="Muy Baja",S39="Menor"),AND(O39="Baja",S39="Leve")),"Bajo",IF(OR(AND(O39="Muy baja",S39="Moderado"),AND(O39="Baja",S39="Menor"),AND(O39="Baja",S39="Moderado"),AND(O39="Media",S39="Leve"),AND(O39="Media",S39="Menor"),AND(O39="Media",S39="Moderado"),AND(O39="Alta",S39="Leve"),AND(O39="Alta",S39="Menor")),"Moderado",IF(OR(AND(O39="Muy Baja",S39="Mayor"),AND(O39="Baja",S39="Mayor"),AND(O39="Media",S39="Mayor"),AND(O39="Alta",S39="Moderado"),AND(O39="Alta",S39="Mayor"),AND(O39="Muy Alta",S39="Leve"),AND(O39="Muy Alta",S39="Menor"),AND(O39="Muy Alta",S39="Moderado"),AND(O39="Muy Alta",S39="Mayor")),"Alto",IF(OR(AND(O39="Muy Baja",S39="Catastrófico"),AND(O39="Baja",S39="Catastrófico"),AND(O39="Media",S39="Catastrófico"),AND(O39="Alta",S39="Catastrófico"),AND(O39="Muy Alta",S39="Catastrófico")),"Extremo",""))))</f>
        <v/>
      </c>
      <c r="V39" s="214">
        <v>1</v>
      </c>
      <c r="W39" s="187"/>
      <c r="X39" s="189" t="str">
        <f>IF(OR(Y39="Preventivo",Y39="Detectivo"),"Probabilidad",IF(Y39="Correctivo","Impacto",""))</f>
        <v/>
      </c>
      <c r="Y39" s="190"/>
      <c r="Z39" s="190"/>
      <c r="AA39" s="191" t="str">
        <f>IF(AND(Y39="Preventivo",Z39="Automático"),"50%",IF(AND(Y39="Preventivo",Z39="Manual"),"40%",IF(AND(Y39="Detectivo",Z39="Automático"),"40%",IF(AND(Y39="Detectivo",Z39="Manual"),"30%",IF(AND(Y39="Correctivo",Z39="Automático"),"35%",IF(AND(Y39="Correctivo",Z39="Manual"),"25%",""))))))</f>
        <v/>
      </c>
      <c r="AB39" s="190"/>
      <c r="AC39" s="190"/>
      <c r="AD39" s="190"/>
      <c r="AE39" s="192" t="str">
        <f>IFERROR(IF(X39="Probabilidad",(P39-(+P39*AA39)),IF(X39="Impacto",P39,"")),"")</f>
        <v/>
      </c>
      <c r="AF39" s="193" t="str">
        <f>IFERROR(IF(AE39="","",IF(AE39&lt;=0.2,"Muy Baja",IF(AE39&lt;=0.4,"Baja",IF(AE39&lt;=0.6,"Media",IF(AE39&lt;=0.8,"Alta","Muy Alta"))))),"")</f>
        <v/>
      </c>
      <c r="AG39" s="191" t="str">
        <f>+AE39</f>
        <v/>
      </c>
      <c r="AH39" s="193" t="str">
        <f>IFERROR(IF(AI39="","",IF(AI39&lt;=0.2,"Leve",IF(AI39&lt;=0.4,"Menor",IF(AI39&lt;=0.6,"Moderado",IF(AI39&lt;=0.8,"Mayor","Catastrófico"))))),"")</f>
        <v/>
      </c>
      <c r="AI39" s="191" t="str">
        <f t="shared" ref="AI39" si="50">IFERROR(IF(X39="Impacto",(T39-(+T39*AA39)),IF(X39="Probabilidad",T39,"")),"")</f>
        <v/>
      </c>
      <c r="AJ39" s="194" t="str">
        <f>IFERROR(IF(OR(AND(AF39="Muy Baja",AH39="Leve"),AND(AF39="Muy Baja",AH39="Menor"),AND(AF39="Baja",AH39="Leve")),"Bajo",IF(OR(AND(AF39="Muy baja",AH39="Moderado"),AND(AF39="Baja",AH39="Menor"),AND(AF39="Baja",AH39="Moderado"),AND(AF39="Media",AH39="Leve"),AND(AF39="Media",AH39="Menor"),AND(AF39="Media",AH39="Moderado"),AND(AF39="Alta",AH39="Leve"),AND(AF39="Alta",AH39="Menor")),"Moderado",IF(OR(AND(AF39="Muy Baja",AH39="Mayor"),AND(AF39="Baja",AH39="Mayor"),AND(AF39="Media",AH39="Mayor"),AND(AF39="Alta",AH39="Moderado"),AND(AF39="Alta",AH39="Mayor"),AND(AF39="Muy Alta",AH39="Leve"),AND(AF39="Muy Alta",AH39="Menor"),AND(AF39="Muy Alta",AH39="Moderado"),AND(AF39="Muy Alta",AH39="Mayor")),"Alto",IF(OR(AND(AF39="Muy Baja",AH39="Catastrófico"),AND(AF39="Baja",AH39="Catastrófico"),AND(AF39="Media",AH39="Catastrófico"),AND(AF39="Alta",AH39="Catastrófico"),AND(AF39="Muy Alta",AH39="Catastrófico")),"Extremo","")))),"")</f>
        <v/>
      </c>
      <c r="AK39" s="195"/>
      <c r="AL39" s="186"/>
      <c r="AM39" s="196"/>
      <c r="AN39" s="196"/>
      <c r="AO39" s="197"/>
      <c r="AP39" s="341"/>
      <c r="AQ39" s="341"/>
      <c r="AR39" s="341"/>
    </row>
    <row r="40" spans="1:44" hidden="1" x14ac:dyDescent="0.2">
      <c r="A40" s="363"/>
      <c r="B40" s="345"/>
      <c r="C40" s="345"/>
      <c r="D40" s="345"/>
      <c r="E40" s="345"/>
      <c r="F40" s="345"/>
      <c r="G40" s="338"/>
      <c r="H40" s="338"/>
      <c r="I40" s="338"/>
      <c r="J40" s="338"/>
      <c r="K40" s="338"/>
      <c r="L40" s="338"/>
      <c r="M40" s="338"/>
      <c r="N40" s="341"/>
      <c r="O40" s="335"/>
      <c r="P40" s="334"/>
      <c r="Q40" s="324"/>
      <c r="R40" s="334">
        <f>IF(NOT(ISERROR(MATCH(Q40,_xlfn.ANCHORARRAY(E51),0))),P53&amp;"Por favor no seleccionar los criterios de impacto",Q40)</f>
        <v>0</v>
      </c>
      <c r="S40" s="335"/>
      <c r="T40" s="334"/>
      <c r="U40" s="333"/>
      <c r="V40" s="214">
        <v>2</v>
      </c>
      <c r="W40" s="187"/>
      <c r="X40" s="189" t="str">
        <f>IF(OR(Y40="Preventivo",Y40="Detectivo"),"Probabilidad",IF(Y40="Correctivo","Impacto",""))</f>
        <v/>
      </c>
      <c r="Y40" s="190"/>
      <c r="Z40" s="190"/>
      <c r="AA40" s="191" t="str">
        <f t="shared" ref="AA40:AA44" si="51">IF(AND(Y40="Preventivo",Z40="Automático"),"50%",IF(AND(Y40="Preventivo",Z40="Manual"),"40%",IF(AND(Y40="Detectivo",Z40="Automático"),"40%",IF(AND(Y40="Detectivo",Z40="Manual"),"30%",IF(AND(Y40="Correctivo",Z40="Automático"),"35%",IF(AND(Y40="Correctivo",Z40="Manual"),"25%",""))))))</f>
        <v/>
      </c>
      <c r="AB40" s="190"/>
      <c r="AC40" s="190"/>
      <c r="AD40" s="190"/>
      <c r="AE40" s="192" t="str">
        <f>IFERROR(IF(AND(X39="Probabilidad",X40="Probabilidad"),(AG39-(+AG39*AA40)),IF(X40="Probabilidad",(P39-(+P39*AA40)),IF(X40="Impacto",AG39,""))),"")</f>
        <v/>
      </c>
      <c r="AF40" s="193" t="str">
        <f t="shared" si="2"/>
        <v/>
      </c>
      <c r="AG40" s="191" t="str">
        <f t="shared" ref="AG40:AG44" si="52">+AE40</f>
        <v/>
      </c>
      <c r="AH40" s="193" t="str">
        <f t="shared" si="4"/>
        <v/>
      </c>
      <c r="AI40" s="191" t="str">
        <f t="shared" ref="AI40" si="53">IFERROR(IF(AND(X39="Impacto",X40="Impacto"),(AI39-(+AI39*AA40)),IF(X40="Impacto",($T$13-(+$T$13*AA40)),IF(X40="Probabilidad",AI39,""))),"")</f>
        <v/>
      </c>
      <c r="AJ40" s="194" t="str">
        <f t="shared" ref="AJ40:AJ41" si="54">IFERROR(IF(OR(AND(AF40="Muy Baja",AH40="Leve"),AND(AF40="Muy Baja",AH40="Menor"),AND(AF40="Baja",AH40="Leve")),"Bajo",IF(OR(AND(AF40="Muy baja",AH40="Moderado"),AND(AF40="Baja",AH40="Menor"),AND(AF40="Baja",AH40="Moderado"),AND(AF40="Media",AH40="Leve"),AND(AF40="Media",AH40="Menor"),AND(AF40="Media",AH40="Moderado"),AND(AF40="Alta",AH40="Leve"),AND(AF40="Alta",AH40="Menor")),"Moderado",IF(OR(AND(AF40="Muy Baja",AH40="Mayor"),AND(AF40="Baja",AH40="Mayor"),AND(AF40="Media",AH40="Mayor"),AND(AF40="Alta",AH40="Moderado"),AND(AF40="Alta",AH40="Mayor"),AND(AF40="Muy Alta",AH40="Leve"),AND(AF40="Muy Alta",AH40="Menor"),AND(AF40="Muy Alta",AH40="Moderado"),AND(AF40="Muy Alta",AH40="Mayor")),"Alto",IF(OR(AND(AF40="Muy Baja",AH40="Catastrófico"),AND(AF40="Baja",AH40="Catastrófico"),AND(AF40="Media",AH40="Catastrófico"),AND(AF40="Alta",AH40="Catastrófico"),AND(AF40="Muy Alta",AH40="Catastrófico")),"Extremo","")))),"")</f>
        <v/>
      </c>
      <c r="AK40" s="195"/>
      <c r="AL40" s="186"/>
      <c r="AM40" s="196"/>
      <c r="AN40" s="196"/>
      <c r="AO40" s="197"/>
      <c r="AP40" s="341"/>
      <c r="AQ40" s="341"/>
      <c r="AR40" s="341"/>
    </row>
    <row r="41" spans="1:44" hidden="1" x14ac:dyDescent="0.2">
      <c r="A41" s="363"/>
      <c r="B41" s="345"/>
      <c r="C41" s="345"/>
      <c r="D41" s="345"/>
      <c r="E41" s="345"/>
      <c r="F41" s="345"/>
      <c r="G41" s="338"/>
      <c r="H41" s="338"/>
      <c r="I41" s="338"/>
      <c r="J41" s="338"/>
      <c r="K41" s="338"/>
      <c r="L41" s="338"/>
      <c r="M41" s="338"/>
      <c r="N41" s="341"/>
      <c r="O41" s="335"/>
      <c r="P41" s="334"/>
      <c r="Q41" s="324"/>
      <c r="R41" s="334">
        <f>IF(NOT(ISERROR(MATCH(Q41,_xlfn.ANCHORARRAY(E52),0))),P54&amp;"Por favor no seleccionar los criterios de impacto",Q41)</f>
        <v>0</v>
      </c>
      <c r="S41" s="335"/>
      <c r="T41" s="334"/>
      <c r="U41" s="333"/>
      <c r="V41" s="214">
        <v>3</v>
      </c>
      <c r="W41" s="188"/>
      <c r="X41" s="189" t="str">
        <f>IF(OR(Y41="Preventivo",Y41="Detectivo"),"Probabilidad",IF(Y41="Correctivo","Impacto",""))</f>
        <v/>
      </c>
      <c r="Y41" s="190"/>
      <c r="Z41" s="190"/>
      <c r="AA41" s="191" t="str">
        <f t="shared" si="51"/>
        <v/>
      </c>
      <c r="AB41" s="190"/>
      <c r="AC41" s="190"/>
      <c r="AD41" s="190"/>
      <c r="AE41" s="192" t="str">
        <f>IFERROR(IF(AND(X40="Probabilidad",X41="Probabilidad"),(AG40-(+AG40*AA41)),IF(AND(X40="Impacto",X41="Probabilidad"),(AG39-(+AG39*AA41)),IF(X41="Impacto",AG40,""))),"")</f>
        <v/>
      </c>
      <c r="AF41" s="193" t="str">
        <f t="shared" si="2"/>
        <v/>
      </c>
      <c r="AG41" s="191" t="str">
        <f t="shared" si="52"/>
        <v/>
      </c>
      <c r="AH41" s="193" t="str">
        <f t="shared" si="4"/>
        <v/>
      </c>
      <c r="AI41" s="191" t="str">
        <f t="shared" ref="AI41" si="55">IFERROR(IF(AND(X40="Impacto",X41="Impacto"),(AI40-(+AI40*AA41)),IF(AND(X40="Probabilidad",X41="Impacto"),(AI39-(+AI39*AA41)),IF(X41="Probabilidad",AI40,""))),"")</f>
        <v/>
      </c>
      <c r="AJ41" s="194" t="str">
        <f t="shared" si="54"/>
        <v/>
      </c>
      <c r="AK41" s="195"/>
      <c r="AL41" s="186"/>
      <c r="AM41" s="196"/>
      <c r="AN41" s="196"/>
      <c r="AO41" s="197"/>
      <c r="AP41" s="341"/>
      <c r="AQ41" s="341"/>
      <c r="AR41" s="341"/>
    </row>
    <row r="42" spans="1:44" hidden="1" x14ac:dyDescent="0.2">
      <c r="A42" s="363"/>
      <c r="B42" s="345"/>
      <c r="C42" s="345"/>
      <c r="D42" s="345"/>
      <c r="E42" s="345"/>
      <c r="F42" s="345"/>
      <c r="G42" s="338"/>
      <c r="H42" s="338"/>
      <c r="I42" s="338"/>
      <c r="J42" s="338"/>
      <c r="K42" s="338"/>
      <c r="L42" s="338"/>
      <c r="M42" s="338"/>
      <c r="N42" s="341"/>
      <c r="O42" s="335"/>
      <c r="P42" s="334"/>
      <c r="Q42" s="324"/>
      <c r="R42" s="334">
        <f>IF(NOT(ISERROR(MATCH(Q42,_xlfn.ANCHORARRAY(E53),0))),P55&amp;"Por favor no seleccionar los criterios de impacto",Q42)</f>
        <v>0</v>
      </c>
      <c r="S42" s="335"/>
      <c r="T42" s="334"/>
      <c r="U42" s="333"/>
      <c r="V42" s="214">
        <v>4</v>
      </c>
      <c r="W42" s="187"/>
      <c r="X42" s="189" t="str">
        <f t="shared" ref="X42:X44" si="56">IF(OR(Y42="Preventivo",Y42="Detectivo"),"Probabilidad",IF(Y42="Correctivo","Impacto",""))</f>
        <v/>
      </c>
      <c r="Y42" s="190"/>
      <c r="Z42" s="190"/>
      <c r="AA42" s="191" t="str">
        <f t="shared" si="51"/>
        <v/>
      </c>
      <c r="AB42" s="190"/>
      <c r="AC42" s="190"/>
      <c r="AD42" s="190"/>
      <c r="AE42" s="192" t="str">
        <f t="shared" ref="AE42:AE44" si="57">IFERROR(IF(AND(X41="Probabilidad",X42="Probabilidad"),(AG41-(+AG41*AA42)),IF(AND(X41="Impacto",X42="Probabilidad"),(AG40-(+AG40*AA42)),IF(X42="Impacto",AG41,""))),"")</f>
        <v/>
      </c>
      <c r="AF42" s="193" t="str">
        <f t="shared" si="2"/>
        <v/>
      </c>
      <c r="AG42" s="191" t="str">
        <f t="shared" si="52"/>
        <v/>
      </c>
      <c r="AH42" s="193" t="str">
        <f t="shared" si="4"/>
        <v/>
      </c>
      <c r="AI42" s="191" t="str">
        <f t="shared" si="27"/>
        <v/>
      </c>
      <c r="AJ42" s="194" t="str">
        <f>IFERROR(IF(OR(AND(AF42="Muy Baja",AH42="Leve"),AND(AF42="Muy Baja",AH42="Menor"),AND(AF42="Baja",AH42="Leve")),"Bajo",IF(OR(AND(AF42="Muy baja",AH42="Moderado"),AND(AF42="Baja",AH42="Menor"),AND(AF42="Baja",AH42="Moderado"),AND(AF42="Media",AH42="Leve"),AND(AF42="Media",AH42="Menor"),AND(AF42="Media",AH42="Moderado"),AND(AF42="Alta",AH42="Leve"),AND(AF42="Alta",AH42="Menor")),"Moderado",IF(OR(AND(AF42="Muy Baja",AH42="Mayor"),AND(AF42="Baja",AH42="Mayor"),AND(AF42="Media",AH42="Mayor"),AND(AF42="Alta",AH42="Moderado"),AND(AF42="Alta",AH42="Mayor"),AND(AF42="Muy Alta",AH42="Leve"),AND(AF42="Muy Alta",AH42="Menor"),AND(AF42="Muy Alta",AH42="Moderado"),AND(AF42="Muy Alta",AH42="Mayor")),"Alto",IF(OR(AND(AF42="Muy Baja",AH42="Catastrófico"),AND(AF42="Baja",AH42="Catastrófico"),AND(AF42="Media",AH42="Catastrófico"),AND(AF42="Alta",AH42="Catastrófico"),AND(AF42="Muy Alta",AH42="Catastrófico")),"Extremo","")))),"")</f>
        <v/>
      </c>
      <c r="AK42" s="195"/>
      <c r="AL42" s="186"/>
      <c r="AM42" s="196"/>
      <c r="AN42" s="196"/>
      <c r="AO42" s="197"/>
      <c r="AP42" s="341"/>
      <c r="AQ42" s="341"/>
      <c r="AR42" s="341"/>
    </row>
    <row r="43" spans="1:44" hidden="1" x14ac:dyDescent="0.2">
      <c r="A43" s="363"/>
      <c r="B43" s="345"/>
      <c r="C43" s="345"/>
      <c r="D43" s="345"/>
      <c r="E43" s="345"/>
      <c r="F43" s="345"/>
      <c r="G43" s="338"/>
      <c r="H43" s="338"/>
      <c r="I43" s="338"/>
      <c r="J43" s="338"/>
      <c r="K43" s="338"/>
      <c r="L43" s="338"/>
      <c r="M43" s="338"/>
      <c r="N43" s="341"/>
      <c r="O43" s="335"/>
      <c r="P43" s="334"/>
      <c r="Q43" s="324"/>
      <c r="R43" s="334">
        <f>IF(NOT(ISERROR(MATCH(Q43,_xlfn.ANCHORARRAY(E54),0))),P56&amp;"Por favor no seleccionar los criterios de impacto",Q43)</f>
        <v>0</v>
      </c>
      <c r="S43" s="335"/>
      <c r="T43" s="334"/>
      <c r="U43" s="333"/>
      <c r="V43" s="214">
        <v>5</v>
      </c>
      <c r="W43" s="187"/>
      <c r="X43" s="189" t="str">
        <f t="shared" si="56"/>
        <v/>
      </c>
      <c r="Y43" s="190"/>
      <c r="Z43" s="190"/>
      <c r="AA43" s="191" t="str">
        <f t="shared" si="51"/>
        <v/>
      </c>
      <c r="AB43" s="190"/>
      <c r="AC43" s="190"/>
      <c r="AD43" s="190"/>
      <c r="AE43" s="192" t="str">
        <f t="shared" si="57"/>
        <v/>
      </c>
      <c r="AF43" s="193" t="str">
        <f t="shared" si="2"/>
        <v/>
      </c>
      <c r="AG43" s="191" t="str">
        <f t="shared" si="52"/>
        <v/>
      </c>
      <c r="AH43" s="193" t="str">
        <f t="shared" si="4"/>
        <v/>
      </c>
      <c r="AI43" s="191" t="str">
        <f t="shared" si="27"/>
        <v/>
      </c>
      <c r="AJ43" s="194" t="str">
        <f t="shared" ref="AJ43:AJ44" si="58">IFERROR(IF(OR(AND(AF43="Muy Baja",AH43="Leve"),AND(AF43="Muy Baja",AH43="Menor"),AND(AF43="Baja",AH43="Leve")),"Bajo",IF(OR(AND(AF43="Muy baja",AH43="Moderado"),AND(AF43="Baja",AH43="Menor"),AND(AF43="Baja",AH43="Moderado"),AND(AF43="Media",AH43="Leve"),AND(AF43="Media",AH43="Menor"),AND(AF43="Media",AH43="Moderado"),AND(AF43="Alta",AH43="Leve"),AND(AF43="Alta",AH43="Menor")),"Moderado",IF(OR(AND(AF43="Muy Baja",AH43="Mayor"),AND(AF43="Baja",AH43="Mayor"),AND(AF43="Media",AH43="Mayor"),AND(AF43="Alta",AH43="Moderado"),AND(AF43="Alta",AH43="Mayor"),AND(AF43="Muy Alta",AH43="Leve"),AND(AF43="Muy Alta",AH43="Menor"),AND(AF43="Muy Alta",AH43="Moderado"),AND(AF43="Muy Alta",AH43="Mayor")),"Alto",IF(OR(AND(AF43="Muy Baja",AH43="Catastrófico"),AND(AF43="Baja",AH43="Catastrófico"),AND(AF43="Media",AH43="Catastrófico"),AND(AF43="Alta",AH43="Catastrófico"),AND(AF43="Muy Alta",AH43="Catastrófico")),"Extremo","")))),"")</f>
        <v/>
      </c>
      <c r="AK43" s="195"/>
      <c r="AL43" s="186"/>
      <c r="AM43" s="196"/>
      <c r="AN43" s="196"/>
      <c r="AO43" s="197"/>
      <c r="AP43" s="341"/>
      <c r="AQ43" s="341"/>
      <c r="AR43" s="341"/>
    </row>
    <row r="44" spans="1:44" hidden="1" x14ac:dyDescent="0.2">
      <c r="A44" s="363"/>
      <c r="B44" s="345"/>
      <c r="C44" s="345"/>
      <c r="D44" s="345"/>
      <c r="E44" s="345"/>
      <c r="F44" s="345"/>
      <c r="G44" s="339"/>
      <c r="H44" s="339"/>
      <c r="I44" s="339"/>
      <c r="J44" s="339"/>
      <c r="K44" s="339"/>
      <c r="L44" s="339"/>
      <c r="M44" s="339"/>
      <c r="N44" s="341"/>
      <c r="O44" s="335"/>
      <c r="P44" s="334"/>
      <c r="Q44" s="324"/>
      <c r="R44" s="334">
        <f>IF(NOT(ISERROR(MATCH(Q44,_xlfn.ANCHORARRAY(E55),0))),P57&amp;"Por favor no seleccionar los criterios de impacto",Q44)</f>
        <v>0</v>
      </c>
      <c r="S44" s="335"/>
      <c r="T44" s="334"/>
      <c r="U44" s="333"/>
      <c r="V44" s="214">
        <v>6</v>
      </c>
      <c r="W44" s="187"/>
      <c r="X44" s="189" t="str">
        <f t="shared" si="56"/>
        <v/>
      </c>
      <c r="Y44" s="190"/>
      <c r="Z44" s="190"/>
      <c r="AA44" s="191" t="str">
        <f t="shared" si="51"/>
        <v/>
      </c>
      <c r="AB44" s="190"/>
      <c r="AC44" s="190"/>
      <c r="AD44" s="190"/>
      <c r="AE44" s="192" t="str">
        <f t="shared" si="57"/>
        <v/>
      </c>
      <c r="AF44" s="193" t="str">
        <f t="shared" si="2"/>
        <v/>
      </c>
      <c r="AG44" s="191" t="str">
        <f t="shared" si="52"/>
        <v/>
      </c>
      <c r="AH44" s="193" t="str">
        <f t="shared" si="4"/>
        <v/>
      </c>
      <c r="AI44" s="191" t="str">
        <f t="shared" si="27"/>
        <v/>
      </c>
      <c r="AJ44" s="194" t="str">
        <f t="shared" si="58"/>
        <v/>
      </c>
      <c r="AK44" s="195"/>
      <c r="AL44" s="186"/>
      <c r="AM44" s="196"/>
      <c r="AN44" s="196"/>
      <c r="AO44" s="197"/>
      <c r="AP44" s="341"/>
      <c r="AQ44" s="341"/>
      <c r="AR44" s="341"/>
    </row>
    <row r="45" spans="1:44" hidden="1" x14ac:dyDescent="0.2">
      <c r="A45" s="363">
        <v>6</v>
      </c>
      <c r="B45" s="345"/>
      <c r="C45" s="345"/>
      <c r="D45" s="345"/>
      <c r="E45" s="337"/>
      <c r="F45" s="345"/>
      <c r="G45" s="337"/>
      <c r="H45" s="337"/>
      <c r="I45" s="337"/>
      <c r="J45" s="337"/>
      <c r="K45" s="337"/>
      <c r="L45" s="337"/>
      <c r="M45" s="337"/>
      <c r="N45" s="341"/>
      <c r="O45" s="335" t="str">
        <f>IF(N45&lt;=0,"",IF(N45&lt;=2,"Muy Baja",IF(N45&lt;=24,"Baja",IF(N45&lt;=500,"Media",IF(N45&lt;=5000,"Alta","Muy Alta")))))</f>
        <v/>
      </c>
      <c r="P45" s="334" t="str">
        <f>IF(O45="","",IF(O45="Muy Baja",0.2,IF(O45="Baja",0.4,IF(O45="Media",0.6,IF(O45="Alta",0.8,IF(O45="Muy Alta",1,))))))</f>
        <v/>
      </c>
      <c r="Q45" s="324"/>
      <c r="R45" s="334">
        <f>IF(NOT(ISERROR(MATCH(Q45,'Tabla Impacto'!$B$222:$B$224,0))),'Tabla Impacto'!$F$224&amp;"Por favor no seleccionar los criterios de impacto(Afectación Económica o presupuestal y Pérdida Reputacional)",Q45)</f>
        <v>0</v>
      </c>
      <c r="S45" s="335" t="str">
        <f>IF(OR(R45='Tabla Impacto'!$C$12,R45='Tabla Impacto'!$D$12),"Leve",IF(OR(R45='Tabla Impacto'!$C$13,R45='Tabla Impacto'!$D$13),"Menor",IF(OR(R45='Tabla Impacto'!$C$14,R45='Tabla Impacto'!$D$14),"Moderado",IF(OR(R45='Tabla Impacto'!$C$15,R45='Tabla Impacto'!$D$15),"Mayor",IF(OR(R45='Tabla Impacto'!$C$16,R45='Tabla Impacto'!$D$16),"Catastrófico","")))))</f>
        <v/>
      </c>
      <c r="T45" s="334" t="str">
        <f>IF(S45="","",IF(S45="Leve",0.2,IF(S45="Menor",0.4,IF(S45="Moderado",0.6,IF(S45="Mayor",0.8,IF(S45="Catastrófico",1,))))))</f>
        <v/>
      </c>
      <c r="U45" s="333" t="str">
        <f>IF(OR(AND(O45="Muy Baja",S45="Leve"),AND(O45="Muy Baja",S45="Menor"),AND(O45="Baja",S45="Leve")),"Bajo",IF(OR(AND(O45="Muy baja",S45="Moderado"),AND(O45="Baja",S45="Menor"),AND(O45="Baja",S45="Moderado"),AND(O45="Media",S45="Leve"),AND(O45="Media",S45="Menor"),AND(O45="Media",S45="Moderado"),AND(O45="Alta",S45="Leve"),AND(O45="Alta",S45="Menor")),"Moderado",IF(OR(AND(O45="Muy Baja",S45="Mayor"),AND(O45="Baja",S45="Mayor"),AND(O45="Media",S45="Mayor"),AND(O45="Alta",S45="Moderado"),AND(O45="Alta",S45="Mayor"),AND(O45="Muy Alta",S45="Leve"),AND(O45="Muy Alta",S45="Menor"),AND(O45="Muy Alta",S45="Moderado"),AND(O45="Muy Alta",S45="Mayor")),"Alto",IF(OR(AND(O45="Muy Baja",S45="Catastrófico"),AND(O45="Baja",S45="Catastrófico"),AND(O45="Media",S45="Catastrófico"),AND(O45="Alta",S45="Catastrófico"),AND(O45="Muy Alta",S45="Catastrófico")),"Extremo",""))))</f>
        <v/>
      </c>
      <c r="V45" s="214">
        <v>1</v>
      </c>
      <c r="W45" s="187"/>
      <c r="X45" s="189" t="str">
        <f>IF(OR(Y45="Preventivo",Y45="Detectivo"),"Probabilidad",IF(Y45="Correctivo","Impacto",""))</f>
        <v/>
      </c>
      <c r="Y45" s="190"/>
      <c r="Z45" s="190"/>
      <c r="AA45" s="191" t="str">
        <f>IF(AND(Y45="Preventivo",Z45="Automático"),"50%",IF(AND(Y45="Preventivo",Z45="Manual"),"40%",IF(AND(Y45="Detectivo",Z45="Automático"),"40%",IF(AND(Y45="Detectivo",Z45="Manual"),"30%",IF(AND(Y45="Correctivo",Z45="Automático"),"35%",IF(AND(Y45="Correctivo",Z45="Manual"),"25%",""))))))</f>
        <v/>
      </c>
      <c r="AB45" s="190"/>
      <c r="AC45" s="190"/>
      <c r="AD45" s="190"/>
      <c r="AE45" s="192" t="str">
        <f>IFERROR(IF(X45="Probabilidad",(P45-(+P45*AA45)),IF(X45="Impacto",P45,"")),"")</f>
        <v/>
      </c>
      <c r="AF45" s="193" t="str">
        <f>IFERROR(IF(AE45="","",IF(AE45&lt;=0.2,"Muy Baja",IF(AE45&lt;=0.4,"Baja",IF(AE45&lt;=0.6,"Media",IF(AE45&lt;=0.8,"Alta","Muy Alta"))))),"")</f>
        <v/>
      </c>
      <c r="AG45" s="191" t="str">
        <f>+AE45</f>
        <v/>
      </c>
      <c r="AH45" s="193" t="str">
        <f>IFERROR(IF(AI45="","",IF(AI45&lt;=0.2,"Leve",IF(AI45&lt;=0.4,"Menor",IF(AI45&lt;=0.6,"Moderado",IF(AI45&lt;=0.8,"Mayor","Catastrófico"))))),"")</f>
        <v/>
      </c>
      <c r="AI45" s="191" t="str">
        <f t="shared" ref="AI45" si="59">IFERROR(IF(X45="Impacto",(T45-(+T45*AA45)),IF(X45="Probabilidad",T45,"")),"")</f>
        <v/>
      </c>
      <c r="AJ45" s="194" t="str">
        <f>IFERROR(IF(OR(AND(AF45="Muy Baja",AH45="Leve"),AND(AF45="Muy Baja",AH45="Menor"),AND(AF45="Baja",AH45="Leve")),"Bajo",IF(OR(AND(AF45="Muy baja",AH45="Moderado"),AND(AF45="Baja",AH45="Menor"),AND(AF45="Baja",AH45="Moderado"),AND(AF45="Media",AH45="Leve"),AND(AF45="Media",AH45="Menor"),AND(AF45="Media",AH45="Moderado"),AND(AF45="Alta",AH45="Leve"),AND(AF45="Alta",AH45="Menor")),"Moderado",IF(OR(AND(AF45="Muy Baja",AH45="Mayor"),AND(AF45="Baja",AH45="Mayor"),AND(AF45="Media",AH45="Mayor"),AND(AF45="Alta",AH45="Moderado"),AND(AF45="Alta",AH45="Mayor"),AND(AF45="Muy Alta",AH45="Leve"),AND(AF45="Muy Alta",AH45="Menor"),AND(AF45="Muy Alta",AH45="Moderado"),AND(AF45="Muy Alta",AH45="Mayor")),"Alto",IF(OR(AND(AF45="Muy Baja",AH45="Catastrófico"),AND(AF45="Baja",AH45="Catastrófico"),AND(AF45="Media",AH45="Catastrófico"),AND(AF45="Alta",AH45="Catastrófico"),AND(AF45="Muy Alta",AH45="Catastrófico")),"Extremo","")))),"")</f>
        <v/>
      </c>
      <c r="AK45" s="190"/>
      <c r="AL45" s="186"/>
      <c r="AM45" s="196"/>
      <c r="AN45" s="196"/>
      <c r="AO45" s="197"/>
      <c r="AP45" s="341"/>
      <c r="AQ45" s="341"/>
      <c r="AR45" s="341"/>
    </row>
    <row r="46" spans="1:44" hidden="1" x14ac:dyDescent="0.2">
      <c r="A46" s="363"/>
      <c r="B46" s="345"/>
      <c r="C46" s="345"/>
      <c r="D46" s="345"/>
      <c r="E46" s="338"/>
      <c r="F46" s="345"/>
      <c r="G46" s="338"/>
      <c r="H46" s="338"/>
      <c r="I46" s="338"/>
      <c r="J46" s="338"/>
      <c r="K46" s="338"/>
      <c r="L46" s="338"/>
      <c r="M46" s="338"/>
      <c r="N46" s="341"/>
      <c r="O46" s="335"/>
      <c r="P46" s="334"/>
      <c r="Q46" s="324"/>
      <c r="R46" s="334">
        <f>IF(NOT(ISERROR(MATCH(Q46,_xlfn.ANCHORARRAY(E57),0))),P59&amp;"Por favor no seleccionar los criterios de impacto",Q46)</f>
        <v>0</v>
      </c>
      <c r="S46" s="335"/>
      <c r="T46" s="334"/>
      <c r="U46" s="333"/>
      <c r="V46" s="214">
        <v>2</v>
      </c>
      <c r="W46" s="187"/>
      <c r="X46" s="189" t="str">
        <f>IF(OR(Y46="Preventivo",Y46="Detectivo"),"Probabilidad",IF(Y46="Correctivo","Impacto",""))</f>
        <v/>
      </c>
      <c r="Y46" s="190"/>
      <c r="Z46" s="190"/>
      <c r="AA46" s="191" t="str">
        <f t="shared" ref="AA46:AA50" si="60">IF(AND(Y46="Preventivo",Z46="Automático"),"50%",IF(AND(Y46="Preventivo",Z46="Manual"),"40%",IF(AND(Y46="Detectivo",Z46="Automático"),"40%",IF(AND(Y46="Detectivo",Z46="Manual"),"30%",IF(AND(Y46="Correctivo",Z46="Automático"),"35%",IF(AND(Y46="Correctivo",Z46="Manual"),"25%",""))))))</f>
        <v/>
      </c>
      <c r="AB46" s="190"/>
      <c r="AC46" s="190"/>
      <c r="AD46" s="190"/>
      <c r="AE46" s="192" t="str">
        <f>IFERROR(IF(AND(X45="Probabilidad",X46="Probabilidad"),(AG45-(+AG45*AA46)),IF(X46="Probabilidad",(P45-(+P45*AA46)),IF(X46="Impacto",AG45,""))),"")</f>
        <v/>
      </c>
      <c r="AF46" s="193" t="str">
        <f t="shared" si="2"/>
        <v/>
      </c>
      <c r="AG46" s="191" t="str">
        <f t="shared" ref="AG46:AG50" si="61">+AE46</f>
        <v/>
      </c>
      <c r="AH46" s="193" t="str">
        <f t="shared" si="4"/>
        <v/>
      </c>
      <c r="AI46" s="191" t="str">
        <f t="shared" ref="AI46" si="62">IFERROR(IF(AND(X45="Impacto",X46="Impacto"),(AI45-(+AI45*AA46)),IF(X46="Impacto",($T$13-(+$T$13*AA46)),IF(X46="Probabilidad",AI45,""))),"")</f>
        <v/>
      </c>
      <c r="AJ46" s="194" t="str">
        <f t="shared" ref="AJ46:AJ47" si="63">IFERROR(IF(OR(AND(AF46="Muy Baja",AH46="Leve"),AND(AF46="Muy Baja",AH46="Menor"),AND(AF46="Baja",AH46="Leve")),"Bajo",IF(OR(AND(AF46="Muy baja",AH46="Moderado"),AND(AF46="Baja",AH46="Menor"),AND(AF46="Baja",AH46="Moderado"),AND(AF46="Media",AH46="Leve"),AND(AF46="Media",AH46="Menor"),AND(AF46="Media",AH46="Moderado"),AND(AF46="Alta",AH46="Leve"),AND(AF46="Alta",AH46="Menor")),"Moderado",IF(OR(AND(AF46="Muy Baja",AH46="Mayor"),AND(AF46="Baja",AH46="Mayor"),AND(AF46="Media",AH46="Mayor"),AND(AF46="Alta",AH46="Moderado"),AND(AF46="Alta",AH46="Mayor"),AND(AF46="Muy Alta",AH46="Leve"),AND(AF46="Muy Alta",AH46="Menor"),AND(AF46="Muy Alta",AH46="Moderado"),AND(AF46="Muy Alta",AH46="Mayor")),"Alto",IF(OR(AND(AF46="Muy Baja",AH46="Catastrófico"),AND(AF46="Baja",AH46="Catastrófico"),AND(AF46="Media",AH46="Catastrófico"),AND(AF46="Alta",AH46="Catastrófico"),AND(AF46="Muy Alta",AH46="Catastrófico")),"Extremo","")))),"")</f>
        <v/>
      </c>
      <c r="AK46" s="195"/>
      <c r="AL46" s="186"/>
      <c r="AM46" s="196"/>
      <c r="AN46" s="196"/>
      <c r="AO46" s="197"/>
      <c r="AP46" s="341"/>
      <c r="AQ46" s="341"/>
      <c r="AR46" s="341"/>
    </row>
    <row r="47" spans="1:44" hidden="1" x14ac:dyDescent="0.2">
      <c r="A47" s="363"/>
      <c r="B47" s="345"/>
      <c r="C47" s="345"/>
      <c r="D47" s="345"/>
      <c r="E47" s="338"/>
      <c r="F47" s="345"/>
      <c r="G47" s="338"/>
      <c r="H47" s="338"/>
      <c r="I47" s="338"/>
      <c r="J47" s="338"/>
      <c r="K47" s="338"/>
      <c r="L47" s="338"/>
      <c r="M47" s="338"/>
      <c r="N47" s="341"/>
      <c r="O47" s="335"/>
      <c r="P47" s="334"/>
      <c r="Q47" s="324"/>
      <c r="R47" s="334">
        <f>IF(NOT(ISERROR(MATCH(Q47,_xlfn.ANCHORARRAY(E58),0))),P60&amp;"Por favor no seleccionar los criterios de impacto",Q47)</f>
        <v>0</v>
      </c>
      <c r="S47" s="335"/>
      <c r="T47" s="334"/>
      <c r="U47" s="333"/>
      <c r="V47" s="214">
        <v>3</v>
      </c>
      <c r="W47" s="188"/>
      <c r="X47" s="189" t="str">
        <f>IF(OR(Y47="Preventivo",Y47="Detectivo"),"Probabilidad",IF(Y47="Correctivo","Impacto",""))</f>
        <v/>
      </c>
      <c r="Y47" s="190"/>
      <c r="Z47" s="190"/>
      <c r="AA47" s="191" t="str">
        <f t="shared" si="60"/>
        <v/>
      </c>
      <c r="AB47" s="190"/>
      <c r="AC47" s="190"/>
      <c r="AD47" s="190"/>
      <c r="AE47" s="192" t="str">
        <f>IFERROR(IF(AND(X46="Probabilidad",X47="Probabilidad"),(AG46-(+AG46*AA47)),IF(AND(X46="Impacto",X47="Probabilidad"),(AG45-(+AG45*AA47)),IF(X47="Impacto",AG46,""))),"")</f>
        <v/>
      </c>
      <c r="AF47" s="193" t="str">
        <f t="shared" si="2"/>
        <v/>
      </c>
      <c r="AG47" s="191" t="str">
        <f t="shared" si="61"/>
        <v/>
      </c>
      <c r="AH47" s="193" t="str">
        <f t="shared" si="4"/>
        <v/>
      </c>
      <c r="AI47" s="191" t="str">
        <f t="shared" ref="AI47" si="64">IFERROR(IF(AND(X46="Impacto",X47="Impacto"),(AI46-(+AI46*AA47)),IF(AND(X46="Probabilidad",X47="Impacto"),(AI45-(+AI45*AA47)),IF(X47="Probabilidad",AI46,""))),"")</f>
        <v/>
      </c>
      <c r="AJ47" s="194" t="str">
        <f t="shared" si="63"/>
        <v/>
      </c>
      <c r="AK47" s="195"/>
      <c r="AL47" s="186"/>
      <c r="AM47" s="196"/>
      <c r="AN47" s="196"/>
      <c r="AO47" s="197"/>
      <c r="AP47" s="341"/>
      <c r="AQ47" s="341"/>
      <c r="AR47" s="341"/>
    </row>
    <row r="48" spans="1:44" hidden="1" x14ac:dyDescent="0.2">
      <c r="A48" s="363"/>
      <c r="B48" s="345"/>
      <c r="C48" s="345"/>
      <c r="D48" s="345"/>
      <c r="E48" s="338"/>
      <c r="F48" s="345"/>
      <c r="G48" s="338"/>
      <c r="H48" s="338"/>
      <c r="I48" s="338"/>
      <c r="J48" s="338"/>
      <c r="K48" s="338"/>
      <c r="L48" s="338"/>
      <c r="M48" s="338"/>
      <c r="N48" s="341"/>
      <c r="O48" s="335"/>
      <c r="P48" s="334"/>
      <c r="Q48" s="324"/>
      <c r="R48" s="334">
        <f>IF(NOT(ISERROR(MATCH(Q48,_xlfn.ANCHORARRAY(E59),0))),P61&amp;"Por favor no seleccionar los criterios de impacto",Q48)</f>
        <v>0</v>
      </c>
      <c r="S48" s="335"/>
      <c r="T48" s="334"/>
      <c r="U48" s="333"/>
      <c r="V48" s="214">
        <v>4</v>
      </c>
      <c r="W48" s="187"/>
      <c r="X48" s="189" t="str">
        <f t="shared" ref="X48:X50" si="65">IF(OR(Y48="Preventivo",Y48="Detectivo"),"Probabilidad",IF(Y48="Correctivo","Impacto",""))</f>
        <v/>
      </c>
      <c r="Y48" s="190"/>
      <c r="Z48" s="190"/>
      <c r="AA48" s="191" t="str">
        <f t="shared" si="60"/>
        <v/>
      </c>
      <c r="AB48" s="190"/>
      <c r="AC48" s="190"/>
      <c r="AD48" s="190"/>
      <c r="AE48" s="192" t="str">
        <f t="shared" ref="AE48:AE50" si="66">IFERROR(IF(AND(X47="Probabilidad",X48="Probabilidad"),(AG47-(+AG47*AA48)),IF(AND(X47="Impacto",X48="Probabilidad"),(AG46-(+AG46*AA48)),IF(X48="Impacto",AG47,""))),"")</f>
        <v/>
      </c>
      <c r="AF48" s="193" t="str">
        <f t="shared" si="2"/>
        <v/>
      </c>
      <c r="AG48" s="191" t="str">
        <f t="shared" si="61"/>
        <v/>
      </c>
      <c r="AH48" s="193" t="str">
        <f t="shared" si="4"/>
        <v/>
      </c>
      <c r="AI48" s="191" t="str">
        <f t="shared" si="27"/>
        <v/>
      </c>
      <c r="AJ48" s="194" t="str">
        <f>IFERROR(IF(OR(AND(AF48="Muy Baja",AH48="Leve"),AND(AF48="Muy Baja",AH48="Menor"),AND(AF48="Baja",AH48="Leve")),"Bajo",IF(OR(AND(AF48="Muy baja",AH48="Moderado"),AND(AF48="Baja",AH48="Menor"),AND(AF48="Baja",AH48="Moderado"),AND(AF48="Media",AH48="Leve"),AND(AF48="Media",AH48="Menor"),AND(AF48="Media",AH48="Moderado"),AND(AF48="Alta",AH48="Leve"),AND(AF48="Alta",AH48="Menor")),"Moderado",IF(OR(AND(AF48="Muy Baja",AH48="Mayor"),AND(AF48="Baja",AH48="Mayor"),AND(AF48="Media",AH48="Mayor"),AND(AF48="Alta",AH48="Moderado"),AND(AF48="Alta",AH48="Mayor"),AND(AF48="Muy Alta",AH48="Leve"),AND(AF48="Muy Alta",AH48="Menor"),AND(AF48="Muy Alta",AH48="Moderado"),AND(AF48="Muy Alta",AH48="Mayor")),"Alto",IF(OR(AND(AF48="Muy Baja",AH48="Catastrófico"),AND(AF48="Baja",AH48="Catastrófico"),AND(AF48="Media",AH48="Catastrófico"),AND(AF48="Alta",AH48="Catastrófico"),AND(AF48="Muy Alta",AH48="Catastrófico")),"Extremo","")))),"")</f>
        <v/>
      </c>
      <c r="AK48" s="195"/>
      <c r="AL48" s="186"/>
      <c r="AM48" s="196"/>
      <c r="AN48" s="196"/>
      <c r="AO48" s="197"/>
      <c r="AP48" s="341"/>
      <c r="AQ48" s="341"/>
      <c r="AR48" s="341"/>
    </row>
    <row r="49" spans="1:44" hidden="1" x14ac:dyDescent="0.2">
      <c r="A49" s="363"/>
      <c r="B49" s="345"/>
      <c r="C49" s="345"/>
      <c r="D49" s="345"/>
      <c r="E49" s="338"/>
      <c r="F49" s="345"/>
      <c r="G49" s="338"/>
      <c r="H49" s="338"/>
      <c r="I49" s="338"/>
      <c r="J49" s="338"/>
      <c r="K49" s="338"/>
      <c r="L49" s="338"/>
      <c r="M49" s="338"/>
      <c r="N49" s="341"/>
      <c r="O49" s="335"/>
      <c r="P49" s="334"/>
      <c r="Q49" s="324"/>
      <c r="R49" s="334">
        <f>IF(NOT(ISERROR(MATCH(Q49,_xlfn.ANCHORARRAY(E60),0))),P62&amp;"Por favor no seleccionar los criterios de impacto",Q49)</f>
        <v>0</v>
      </c>
      <c r="S49" s="335"/>
      <c r="T49" s="334"/>
      <c r="U49" s="333"/>
      <c r="V49" s="214">
        <v>5</v>
      </c>
      <c r="W49" s="187"/>
      <c r="X49" s="189" t="str">
        <f t="shared" si="65"/>
        <v/>
      </c>
      <c r="Y49" s="190"/>
      <c r="Z49" s="190"/>
      <c r="AA49" s="191" t="str">
        <f t="shared" si="60"/>
        <v/>
      </c>
      <c r="AB49" s="190"/>
      <c r="AC49" s="190"/>
      <c r="AD49" s="190"/>
      <c r="AE49" s="192" t="str">
        <f t="shared" si="66"/>
        <v/>
      </c>
      <c r="AF49" s="193" t="str">
        <f t="shared" si="2"/>
        <v/>
      </c>
      <c r="AG49" s="191" t="str">
        <f t="shared" si="61"/>
        <v/>
      </c>
      <c r="AH49" s="193" t="str">
        <f t="shared" si="4"/>
        <v/>
      </c>
      <c r="AI49" s="191" t="str">
        <f t="shared" si="27"/>
        <v/>
      </c>
      <c r="AJ49" s="194" t="str">
        <f t="shared" ref="AJ49" si="67">IFERROR(IF(OR(AND(AF49="Muy Baja",AH49="Leve"),AND(AF49="Muy Baja",AH49="Menor"),AND(AF49="Baja",AH49="Leve")),"Bajo",IF(OR(AND(AF49="Muy baja",AH49="Moderado"),AND(AF49="Baja",AH49="Menor"),AND(AF49="Baja",AH49="Moderado"),AND(AF49="Media",AH49="Leve"),AND(AF49="Media",AH49="Menor"),AND(AF49="Media",AH49="Moderado"),AND(AF49="Alta",AH49="Leve"),AND(AF49="Alta",AH49="Menor")),"Moderado",IF(OR(AND(AF49="Muy Baja",AH49="Mayor"),AND(AF49="Baja",AH49="Mayor"),AND(AF49="Media",AH49="Mayor"),AND(AF49="Alta",AH49="Moderado"),AND(AF49="Alta",AH49="Mayor"),AND(AF49="Muy Alta",AH49="Leve"),AND(AF49="Muy Alta",AH49="Menor"),AND(AF49="Muy Alta",AH49="Moderado"),AND(AF49="Muy Alta",AH49="Mayor")),"Alto",IF(OR(AND(AF49="Muy Baja",AH49="Catastrófico"),AND(AF49="Baja",AH49="Catastrófico"),AND(AF49="Media",AH49="Catastrófico"),AND(AF49="Alta",AH49="Catastrófico"),AND(AF49="Muy Alta",AH49="Catastrófico")),"Extremo","")))),"")</f>
        <v/>
      </c>
      <c r="AK49" s="195"/>
      <c r="AL49" s="186"/>
      <c r="AM49" s="196"/>
      <c r="AN49" s="196"/>
      <c r="AO49" s="197"/>
      <c r="AP49" s="341"/>
      <c r="AQ49" s="341"/>
      <c r="AR49" s="341"/>
    </row>
    <row r="50" spans="1:44" hidden="1" x14ac:dyDescent="0.2">
      <c r="A50" s="363"/>
      <c r="B50" s="345"/>
      <c r="C50" s="345"/>
      <c r="D50" s="345"/>
      <c r="E50" s="339"/>
      <c r="F50" s="345"/>
      <c r="G50" s="339"/>
      <c r="H50" s="339"/>
      <c r="I50" s="339"/>
      <c r="J50" s="339"/>
      <c r="K50" s="339"/>
      <c r="L50" s="339"/>
      <c r="M50" s="339"/>
      <c r="N50" s="341"/>
      <c r="O50" s="335"/>
      <c r="P50" s="334"/>
      <c r="Q50" s="324"/>
      <c r="R50" s="334">
        <f>IF(NOT(ISERROR(MATCH(Q50,_xlfn.ANCHORARRAY(E61),0))),P63&amp;"Por favor no seleccionar los criterios de impacto",Q50)</f>
        <v>0</v>
      </c>
      <c r="S50" s="335"/>
      <c r="T50" s="334"/>
      <c r="U50" s="333"/>
      <c r="V50" s="214">
        <v>6</v>
      </c>
      <c r="W50" s="187"/>
      <c r="X50" s="189" t="str">
        <f t="shared" si="65"/>
        <v/>
      </c>
      <c r="Y50" s="190"/>
      <c r="Z50" s="190"/>
      <c r="AA50" s="191" t="str">
        <f t="shared" si="60"/>
        <v/>
      </c>
      <c r="AB50" s="190"/>
      <c r="AC50" s="190"/>
      <c r="AD50" s="190"/>
      <c r="AE50" s="192" t="str">
        <f t="shared" si="66"/>
        <v/>
      </c>
      <c r="AF50" s="193" t="str">
        <f t="shared" si="2"/>
        <v/>
      </c>
      <c r="AG50" s="191" t="str">
        <f t="shared" si="61"/>
        <v/>
      </c>
      <c r="AH50" s="193" t="str">
        <f>IFERROR(IF(AI50="","",IF(AI50&lt;=0.2,"Leve",IF(AI50&lt;=0.4,"Menor",IF(AI50&lt;=0.6,"Moderado",IF(AI50&lt;=0.8,"Mayor","Catastrófico"))))),"")</f>
        <v/>
      </c>
      <c r="AI50" s="191" t="str">
        <f t="shared" si="27"/>
        <v/>
      </c>
      <c r="AJ50" s="194" t="str">
        <f>IFERROR(IF(OR(AND(AF50="Muy Baja",AH50="Leve"),AND(AF50="Muy Baja",AH50="Menor"),AND(AF50="Baja",AH50="Leve")),"Bajo",IF(OR(AND(AF50="Muy baja",AH50="Moderado"),AND(AF50="Baja",AH50="Menor"),AND(AF50="Baja",AH50="Moderado"),AND(AF50="Media",AH50="Leve"),AND(AF50="Media",AH50="Menor"),AND(AF50="Media",AH50="Moderado"),AND(AF50="Alta",AH50="Leve"),AND(AF50="Alta",AH50="Menor")),"Moderado",IF(OR(AND(AF50="Muy Baja",AH50="Mayor"),AND(AF50="Baja",AH50="Mayor"),AND(AF50="Media",AH50="Mayor"),AND(AF50="Alta",AH50="Moderado"),AND(AF50="Alta",AH50="Mayor"),AND(AF50="Muy Alta",AH50="Leve"),AND(AF50="Muy Alta",AH50="Menor"),AND(AF50="Muy Alta",AH50="Moderado"),AND(AF50="Muy Alta",AH50="Mayor")),"Alto",IF(OR(AND(AF50="Muy Baja",AH50="Catastrófico"),AND(AF50="Baja",AH50="Catastrófico"),AND(AF50="Media",AH50="Catastrófico"),AND(AF50="Alta",AH50="Catastrófico"),AND(AF50="Muy Alta",AH50="Catastrófico")),"Extremo","")))),"")</f>
        <v/>
      </c>
      <c r="AK50" s="195"/>
      <c r="AL50" s="186"/>
      <c r="AM50" s="196"/>
      <c r="AN50" s="196"/>
      <c r="AO50" s="197"/>
      <c r="AP50" s="341"/>
      <c r="AQ50" s="341"/>
      <c r="AR50" s="341"/>
    </row>
    <row r="51" spans="1:44" hidden="1" x14ac:dyDescent="0.2">
      <c r="A51" s="363">
        <v>7</v>
      </c>
      <c r="B51" s="345"/>
      <c r="C51" s="345"/>
      <c r="D51" s="366"/>
      <c r="E51" s="345"/>
      <c r="F51" s="345"/>
      <c r="G51" s="337"/>
      <c r="H51" s="337"/>
      <c r="I51" s="337"/>
      <c r="J51" s="337"/>
      <c r="K51" s="337"/>
      <c r="L51" s="337"/>
      <c r="M51" s="337"/>
      <c r="N51" s="341"/>
      <c r="O51" s="335" t="str">
        <f>IF(N51&lt;=0,"",IF(N51&lt;=2,"Muy Baja",IF(N51&lt;=24,"Baja",IF(N51&lt;=500,"Media",IF(N51&lt;=5000,"Alta","Muy Alta")))))</f>
        <v/>
      </c>
      <c r="P51" s="334" t="str">
        <f>IF(O51="","",IF(O51="Muy Baja",0.2,IF(O51="Baja",0.4,IF(O51="Media",0.6,IF(O51="Alta",0.8,IF(O51="Muy Alta",1,))))))</f>
        <v/>
      </c>
      <c r="Q51" s="324"/>
      <c r="R51" s="334">
        <f>IF(NOT(ISERROR(MATCH(Q51,'Tabla Impacto'!$B$222:$B$224,0))),'Tabla Impacto'!$F$224&amp;"Por favor no seleccionar los criterios de impacto(Afectación Económica o presupuestal y Pérdida Reputacional)",Q51)</f>
        <v>0</v>
      </c>
      <c r="S51" s="335" t="str">
        <f>IF(OR(R51='Tabla Impacto'!$C$12,R51='Tabla Impacto'!$D$12),"Leve",IF(OR(R51='Tabla Impacto'!$C$13,R51='Tabla Impacto'!$D$13),"Menor",IF(OR(R51='Tabla Impacto'!$C$14,R51='Tabla Impacto'!$D$14),"Moderado",IF(OR(R51='Tabla Impacto'!$C$15,R51='Tabla Impacto'!$D$15),"Mayor",IF(OR(R51='Tabla Impacto'!$C$16,R51='Tabla Impacto'!$D$16),"Catastrófico","")))))</f>
        <v/>
      </c>
      <c r="T51" s="334" t="str">
        <f>IF(S51="","",IF(S51="Leve",0.2,IF(S51="Menor",0.4,IF(S51="Moderado",0.6,IF(S51="Mayor",0.8,IF(S51="Catastrófico",1,))))))</f>
        <v/>
      </c>
      <c r="U51" s="333" t="str">
        <f>IF(OR(AND(O51="Muy Baja",S51="Leve"),AND(O51="Muy Baja",S51="Menor"),AND(O51="Baja",S51="Leve")),"Bajo",IF(OR(AND(O51="Muy baja",S51="Moderado"),AND(O51="Baja",S51="Menor"),AND(O51="Baja",S51="Moderado"),AND(O51="Media",S51="Leve"),AND(O51="Media",S51="Menor"),AND(O51="Media",S51="Moderado"),AND(O51="Alta",S51="Leve"),AND(O51="Alta",S51="Menor")),"Moderado",IF(OR(AND(O51="Muy Baja",S51="Mayor"),AND(O51="Baja",S51="Mayor"),AND(O51="Media",S51="Mayor"),AND(O51="Alta",S51="Moderado"),AND(O51="Alta",S51="Mayor"),AND(O51="Muy Alta",S51="Leve"),AND(O51="Muy Alta",S51="Menor"),AND(O51="Muy Alta",S51="Moderado"),AND(O51="Muy Alta",S51="Mayor")),"Alto",IF(OR(AND(O51="Muy Baja",S51="Catastrófico"),AND(O51="Baja",S51="Catastrófico"),AND(O51="Media",S51="Catastrófico"),AND(O51="Alta",S51="Catastrófico"),AND(O51="Muy Alta",S51="Catastrófico")),"Extremo",""))))</f>
        <v/>
      </c>
      <c r="V51" s="214">
        <v>1</v>
      </c>
      <c r="W51" s="199"/>
      <c r="X51" s="189" t="str">
        <f>IF(OR(Y51="Preventivo",Y51="Detectivo"),"Probabilidad",IF(Y51="Correctivo","Impacto",""))</f>
        <v/>
      </c>
      <c r="Y51" s="190"/>
      <c r="Z51" s="190"/>
      <c r="AA51" s="191" t="str">
        <f>IF(AND(Y51="Preventivo",Z51="Automático"),"50%",IF(AND(Y51="Preventivo",Z51="Manual"),"40%",IF(AND(Y51="Detectivo",Z51="Automático"),"40%",IF(AND(Y51="Detectivo",Z51="Manual"),"30%",IF(AND(Y51="Correctivo",Z51="Automático"),"35%",IF(AND(Y51="Correctivo",Z51="Manual"),"25%",""))))))</f>
        <v/>
      </c>
      <c r="AB51" s="190"/>
      <c r="AC51" s="190"/>
      <c r="AD51" s="190"/>
      <c r="AE51" s="192" t="str">
        <f>IFERROR(IF(X51="Probabilidad",(P51-(+P51*AA51)),IF(X51="Impacto",P51,"")),"")</f>
        <v/>
      </c>
      <c r="AF51" s="193" t="str">
        <f>IFERROR(IF(AE51="","",IF(AE51&lt;=0.2,"Muy Baja",IF(AE51&lt;=0.4,"Baja",IF(AE51&lt;=0.6,"Media",IF(AE51&lt;=0.8,"Alta","Muy Alta"))))),"")</f>
        <v/>
      </c>
      <c r="AG51" s="191" t="str">
        <f>+AE51</f>
        <v/>
      </c>
      <c r="AH51" s="193" t="str">
        <f>IFERROR(IF(AI51="","",IF(AI51&lt;=0.2,"Leve",IF(AI51&lt;=0.4,"Menor",IF(AI51&lt;=0.6,"Moderado",IF(AI51&lt;=0.8,"Mayor","Catastrófico"))))),"")</f>
        <v/>
      </c>
      <c r="AI51" s="191" t="str">
        <f t="shared" ref="AI51" si="68">IFERROR(IF(X51="Impacto",(T51-(+T51*AA51)),IF(X51="Probabilidad",T51,"")),"")</f>
        <v/>
      </c>
      <c r="AJ51" s="194" t="str">
        <f>IFERROR(IF(OR(AND(AF51="Muy Baja",AH51="Leve"),AND(AF51="Muy Baja",AH51="Menor"),AND(AF51="Baja",AH51="Leve")),"Bajo",IF(OR(AND(AF51="Muy baja",AH51="Moderado"),AND(AF51="Baja",AH51="Menor"),AND(AF51="Baja",AH51="Moderado"),AND(AF51="Media",AH51="Leve"),AND(AF51="Media",AH51="Menor"),AND(AF51="Media",AH51="Moderado"),AND(AF51="Alta",AH51="Leve"),AND(AF51="Alta",AH51="Menor")),"Moderado",IF(OR(AND(AF51="Muy Baja",AH51="Mayor"),AND(AF51="Baja",AH51="Mayor"),AND(AF51="Media",AH51="Mayor"),AND(AF51="Alta",AH51="Moderado"),AND(AF51="Alta",AH51="Mayor"),AND(AF51="Muy Alta",AH51="Leve"),AND(AF51="Muy Alta",AH51="Menor"),AND(AF51="Muy Alta",AH51="Moderado"),AND(AF51="Muy Alta",AH51="Mayor")),"Alto",IF(OR(AND(AF51="Muy Baja",AH51="Catastrófico"),AND(AF51="Baja",AH51="Catastrófico"),AND(AF51="Media",AH51="Catastrófico"),AND(AF51="Alta",AH51="Catastrófico"),AND(AF51="Muy Alta",AH51="Catastrófico")),"Extremo","")))),"")</f>
        <v/>
      </c>
      <c r="AK51" s="195"/>
      <c r="AL51" s="186"/>
      <c r="AM51" s="196"/>
      <c r="AN51" s="196"/>
      <c r="AO51" s="197"/>
      <c r="AP51" s="341"/>
      <c r="AQ51" s="341"/>
      <c r="AR51" s="341"/>
    </row>
    <row r="52" spans="1:44" hidden="1" x14ac:dyDescent="0.2">
      <c r="A52" s="363"/>
      <c r="B52" s="345"/>
      <c r="C52" s="345"/>
      <c r="D52" s="366"/>
      <c r="E52" s="345"/>
      <c r="F52" s="345"/>
      <c r="G52" s="338"/>
      <c r="H52" s="338"/>
      <c r="I52" s="338"/>
      <c r="J52" s="338"/>
      <c r="K52" s="338"/>
      <c r="L52" s="338"/>
      <c r="M52" s="338"/>
      <c r="N52" s="341"/>
      <c r="O52" s="335"/>
      <c r="P52" s="334"/>
      <c r="Q52" s="324"/>
      <c r="R52" s="334">
        <f>IF(NOT(ISERROR(MATCH(Q52,_xlfn.ANCHORARRAY(E63),0))),P65&amp;"Por favor no seleccionar los criterios de impacto",Q52)</f>
        <v>0</v>
      </c>
      <c r="S52" s="335"/>
      <c r="T52" s="334"/>
      <c r="U52" s="333"/>
      <c r="V52" s="214">
        <v>2</v>
      </c>
      <c r="W52" s="187"/>
      <c r="X52" s="189" t="str">
        <f>IF(OR(Y52="Preventivo",Y52="Detectivo"),"Probabilidad",IF(Y52="Correctivo","Impacto",""))</f>
        <v/>
      </c>
      <c r="Y52" s="190"/>
      <c r="Z52" s="190"/>
      <c r="AA52" s="191" t="str">
        <f t="shared" ref="AA52:AA56" si="69">IF(AND(Y52="Preventivo",Z52="Automático"),"50%",IF(AND(Y52="Preventivo",Z52="Manual"),"40%",IF(AND(Y52="Detectivo",Z52="Automático"),"40%",IF(AND(Y52="Detectivo",Z52="Manual"),"30%",IF(AND(Y52="Correctivo",Z52="Automático"),"35%",IF(AND(Y52="Correctivo",Z52="Manual"),"25%",""))))))</f>
        <v/>
      </c>
      <c r="AB52" s="190"/>
      <c r="AC52" s="190"/>
      <c r="AD52" s="190"/>
      <c r="AE52" s="192" t="str">
        <f>IFERROR(IF(AND(X51="Probabilidad",X52="Probabilidad"),(AG51-(+AG51*AA52)),IF(X52="Probabilidad",(P51-(+P51*AA52)),IF(X52="Impacto",AG51,""))),"")</f>
        <v/>
      </c>
      <c r="AF52" s="193" t="str">
        <f t="shared" si="2"/>
        <v/>
      </c>
      <c r="AG52" s="191" t="str">
        <f t="shared" ref="AG52:AG56" si="70">+AE52</f>
        <v/>
      </c>
      <c r="AH52" s="193" t="str">
        <f t="shared" si="4"/>
        <v/>
      </c>
      <c r="AI52" s="191" t="str">
        <f t="shared" ref="AI52" si="71">IFERROR(IF(AND(X51="Impacto",X52="Impacto"),(AI51-(+AI51*AA52)),IF(X52="Impacto",($T$13-(+$T$13*AA52)),IF(X52="Probabilidad",AI51,""))),"")</f>
        <v/>
      </c>
      <c r="AJ52" s="194" t="str">
        <f t="shared" ref="AJ52:AJ53" si="72">IFERROR(IF(OR(AND(AF52="Muy Baja",AH52="Leve"),AND(AF52="Muy Baja",AH52="Menor"),AND(AF52="Baja",AH52="Leve")),"Bajo",IF(OR(AND(AF52="Muy baja",AH52="Moderado"),AND(AF52="Baja",AH52="Menor"),AND(AF52="Baja",AH52="Moderado"),AND(AF52="Media",AH52="Leve"),AND(AF52="Media",AH52="Menor"),AND(AF52="Media",AH52="Moderado"),AND(AF52="Alta",AH52="Leve"),AND(AF52="Alta",AH52="Menor")),"Moderado",IF(OR(AND(AF52="Muy Baja",AH52="Mayor"),AND(AF52="Baja",AH52="Mayor"),AND(AF52="Media",AH52="Mayor"),AND(AF52="Alta",AH52="Moderado"),AND(AF52="Alta",AH52="Mayor"),AND(AF52="Muy Alta",AH52="Leve"),AND(AF52="Muy Alta",AH52="Menor"),AND(AF52="Muy Alta",AH52="Moderado"),AND(AF52="Muy Alta",AH52="Mayor")),"Alto",IF(OR(AND(AF52="Muy Baja",AH52="Catastrófico"),AND(AF52="Baja",AH52="Catastrófico"),AND(AF52="Media",AH52="Catastrófico"),AND(AF52="Alta",AH52="Catastrófico"),AND(AF52="Muy Alta",AH52="Catastrófico")),"Extremo","")))),"")</f>
        <v/>
      </c>
      <c r="AK52" s="195"/>
      <c r="AL52" s="186"/>
      <c r="AM52" s="196"/>
      <c r="AN52" s="196"/>
      <c r="AO52" s="197"/>
      <c r="AP52" s="341"/>
      <c r="AQ52" s="341"/>
      <c r="AR52" s="341"/>
    </row>
    <row r="53" spans="1:44" hidden="1" x14ac:dyDescent="0.2">
      <c r="A53" s="363"/>
      <c r="B53" s="345"/>
      <c r="C53" s="345"/>
      <c r="D53" s="366"/>
      <c r="E53" s="345"/>
      <c r="F53" s="345"/>
      <c r="G53" s="338"/>
      <c r="H53" s="338"/>
      <c r="I53" s="338"/>
      <c r="J53" s="338"/>
      <c r="K53" s="338"/>
      <c r="L53" s="338"/>
      <c r="M53" s="338"/>
      <c r="N53" s="341"/>
      <c r="O53" s="335"/>
      <c r="P53" s="334"/>
      <c r="Q53" s="324"/>
      <c r="R53" s="334">
        <f>IF(NOT(ISERROR(MATCH(Q53,_xlfn.ANCHORARRAY(E64),0))),P66&amp;"Por favor no seleccionar los criterios de impacto",Q53)</f>
        <v>0</v>
      </c>
      <c r="S53" s="335"/>
      <c r="T53" s="334"/>
      <c r="U53" s="333"/>
      <c r="V53" s="214">
        <v>3</v>
      </c>
      <c r="W53" s="188"/>
      <c r="X53" s="189" t="str">
        <f>IF(OR(Y53="Preventivo",Y53="Detectivo"),"Probabilidad",IF(Y53="Correctivo","Impacto",""))</f>
        <v/>
      </c>
      <c r="Y53" s="190"/>
      <c r="Z53" s="190"/>
      <c r="AA53" s="191" t="str">
        <f t="shared" si="69"/>
        <v/>
      </c>
      <c r="AB53" s="190"/>
      <c r="AC53" s="190"/>
      <c r="AD53" s="190"/>
      <c r="AE53" s="192" t="str">
        <f>IFERROR(IF(AND(X52="Probabilidad",X53="Probabilidad"),(AG52-(+AG52*AA53)),IF(AND(X52="Impacto",X53="Probabilidad"),(AG51-(+AG51*AA53)),IF(X53="Impacto",AG52,""))),"")</f>
        <v/>
      </c>
      <c r="AF53" s="193" t="str">
        <f t="shared" si="2"/>
        <v/>
      </c>
      <c r="AG53" s="191" t="str">
        <f t="shared" si="70"/>
        <v/>
      </c>
      <c r="AH53" s="193" t="str">
        <f t="shared" si="4"/>
        <v/>
      </c>
      <c r="AI53" s="191" t="str">
        <f t="shared" ref="AI53" si="73">IFERROR(IF(AND(X52="Impacto",X53="Impacto"),(AI52-(+AI52*AA53)),IF(AND(X52="Probabilidad",X53="Impacto"),(AI51-(+AI51*AA53)),IF(X53="Probabilidad",AI52,""))),"")</f>
        <v/>
      </c>
      <c r="AJ53" s="194" t="str">
        <f t="shared" si="72"/>
        <v/>
      </c>
      <c r="AK53" s="195"/>
      <c r="AL53" s="186"/>
      <c r="AM53" s="196"/>
      <c r="AN53" s="196"/>
      <c r="AO53" s="197"/>
      <c r="AP53" s="341"/>
      <c r="AQ53" s="341"/>
      <c r="AR53" s="341"/>
    </row>
    <row r="54" spans="1:44" hidden="1" x14ac:dyDescent="0.2">
      <c r="A54" s="363"/>
      <c r="B54" s="345"/>
      <c r="C54" s="345"/>
      <c r="D54" s="366"/>
      <c r="E54" s="345"/>
      <c r="F54" s="345"/>
      <c r="G54" s="338"/>
      <c r="H54" s="338"/>
      <c r="I54" s="338"/>
      <c r="J54" s="338"/>
      <c r="K54" s="338"/>
      <c r="L54" s="338"/>
      <c r="M54" s="338"/>
      <c r="N54" s="341"/>
      <c r="O54" s="335"/>
      <c r="P54" s="334"/>
      <c r="Q54" s="324"/>
      <c r="R54" s="334">
        <f>IF(NOT(ISERROR(MATCH(Q54,_xlfn.ANCHORARRAY(E65),0))),P67&amp;"Por favor no seleccionar los criterios de impacto",Q54)</f>
        <v>0</v>
      </c>
      <c r="S54" s="335"/>
      <c r="T54" s="334"/>
      <c r="U54" s="333"/>
      <c r="V54" s="214">
        <v>4</v>
      </c>
      <c r="W54" s="187"/>
      <c r="X54" s="189" t="str">
        <f t="shared" ref="X54:X56" si="74">IF(OR(Y54="Preventivo",Y54="Detectivo"),"Probabilidad",IF(Y54="Correctivo","Impacto",""))</f>
        <v/>
      </c>
      <c r="Y54" s="190"/>
      <c r="Z54" s="190"/>
      <c r="AA54" s="191" t="str">
        <f t="shared" si="69"/>
        <v/>
      </c>
      <c r="AB54" s="190"/>
      <c r="AC54" s="190"/>
      <c r="AD54" s="190"/>
      <c r="AE54" s="192" t="str">
        <f t="shared" ref="AE54:AE56" si="75">IFERROR(IF(AND(X53="Probabilidad",X54="Probabilidad"),(AG53-(+AG53*AA54)),IF(AND(X53="Impacto",X54="Probabilidad"),(AG52-(+AG52*AA54)),IF(X54="Impacto",AG53,""))),"")</f>
        <v/>
      </c>
      <c r="AF54" s="193" t="str">
        <f t="shared" si="2"/>
        <v/>
      </c>
      <c r="AG54" s="191" t="str">
        <f t="shared" si="70"/>
        <v/>
      </c>
      <c r="AH54" s="193" t="str">
        <f t="shared" si="4"/>
        <v/>
      </c>
      <c r="AI54" s="191" t="str">
        <f t="shared" si="27"/>
        <v/>
      </c>
      <c r="AJ54" s="194" t="str">
        <f>IFERROR(IF(OR(AND(AF54="Muy Baja",AH54="Leve"),AND(AF54="Muy Baja",AH54="Menor"),AND(AF54="Baja",AH54="Leve")),"Bajo",IF(OR(AND(AF54="Muy baja",AH54="Moderado"),AND(AF54="Baja",AH54="Menor"),AND(AF54="Baja",AH54="Moderado"),AND(AF54="Media",AH54="Leve"),AND(AF54="Media",AH54="Menor"),AND(AF54="Media",AH54="Moderado"),AND(AF54="Alta",AH54="Leve"),AND(AF54="Alta",AH54="Menor")),"Moderado",IF(OR(AND(AF54="Muy Baja",AH54="Mayor"),AND(AF54="Baja",AH54="Mayor"),AND(AF54="Media",AH54="Mayor"),AND(AF54="Alta",AH54="Moderado"),AND(AF54="Alta",AH54="Mayor"),AND(AF54="Muy Alta",AH54="Leve"),AND(AF54="Muy Alta",AH54="Menor"),AND(AF54="Muy Alta",AH54="Moderado"),AND(AF54="Muy Alta",AH54="Mayor")),"Alto",IF(OR(AND(AF54="Muy Baja",AH54="Catastrófico"),AND(AF54="Baja",AH54="Catastrófico"),AND(AF54="Media",AH54="Catastrófico"),AND(AF54="Alta",AH54="Catastrófico"),AND(AF54="Muy Alta",AH54="Catastrófico")),"Extremo","")))),"")</f>
        <v/>
      </c>
      <c r="AK54" s="195"/>
      <c r="AL54" s="186"/>
      <c r="AM54" s="196"/>
      <c r="AN54" s="196"/>
      <c r="AO54" s="197"/>
      <c r="AP54" s="341"/>
      <c r="AQ54" s="341"/>
      <c r="AR54" s="341"/>
    </row>
    <row r="55" spans="1:44" hidden="1" x14ac:dyDescent="0.2">
      <c r="A55" s="363"/>
      <c r="B55" s="345"/>
      <c r="C55" s="345"/>
      <c r="D55" s="366"/>
      <c r="E55" s="345"/>
      <c r="F55" s="345"/>
      <c r="G55" s="338"/>
      <c r="H55" s="338"/>
      <c r="I55" s="338"/>
      <c r="J55" s="338"/>
      <c r="K55" s="338"/>
      <c r="L55" s="338"/>
      <c r="M55" s="338"/>
      <c r="N55" s="341"/>
      <c r="O55" s="335"/>
      <c r="P55" s="334"/>
      <c r="Q55" s="324"/>
      <c r="R55" s="334">
        <f>IF(NOT(ISERROR(MATCH(Q55,_xlfn.ANCHORARRAY(E66),0))),P68&amp;"Por favor no seleccionar los criterios de impacto",Q55)</f>
        <v>0</v>
      </c>
      <c r="S55" s="335"/>
      <c r="T55" s="334"/>
      <c r="U55" s="333"/>
      <c r="V55" s="214">
        <v>5</v>
      </c>
      <c r="W55" s="187"/>
      <c r="X55" s="189" t="str">
        <f t="shared" si="74"/>
        <v/>
      </c>
      <c r="Y55" s="190"/>
      <c r="Z55" s="190"/>
      <c r="AA55" s="191" t="str">
        <f t="shared" si="69"/>
        <v/>
      </c>
      <c r="AB55" s="190"/>
      <c r="AC55" s="190"/>
      <c r="AD55" s="190"/>
      <c r="AE55" s="192" t="str">
        <f t="shared" si="75"/>
        <v/>
      </c>
      <c r="AF55" s="193" t="str">
        <f t="shared" si="2"/>
        <v/>
      </c>
      <c r="AG55" s="191" t="str">
        <f t="shared" si="70"/>
        <v/>
      </c>
      <c r="AH55" s="193" t="str">
        <f t="shared" si="4"/>
        <v/>
      </c>
      <c r="AI55" s="191" t="str">
        <f t="shared" si="27"/>
        <v/>
      </c>
      <c r="AJ55" s="194" t="str">
        <f t="shared" ref="AJ55:AJ56" si="76">IFERROR(IF(OR(AND(AF55="Muy Baja",AH55="Leve"),AND(AF55="Muy Baja",AH55="Menor"),AND(AF55="Baja",AH55="Leve")),"Bajo",IF(OR(AND(AF55="Muy baja",AH55="Moderado"),AND(AF55="Baja",AH55="Menor"),AND(AF55="Baja",AH55="Moderado"),AND(AF55="Media",AH55="Leve"),AND(AF55="Media",AH55="Menor"),AND(AF55="Media",AH55="Moderado"),AND(AF55="Alta",AH55="Leve"),AND(AF55="Alta",AH55="Menor")),"Moderado",IF(OR(AND(AF55="Muy Baja",AH55="Mayor"),AND(AF55="Baja",AH55="Mayor"),AND(AF55="Media",AH55="Mayor"),AND(AF55="Alta",AH55="Moderado"),AND(AF55="Alta",AH55="Mayor"),AND(AF55="Muy Alta",AH55="Leve"),AND(AF55="Muy Alta",AH55="Menor"),AND(AF55="Muy Alta",AH55="Moderado"),AND(AF55="Muy Alta",AH55="Mayor")),"Alto",IF(OR(AND(AF55="Muy Baja",AH55="Catastrófico"),AND(AF55="Baja",AH55="Catastrófico"),AND(AF55="Media",AH55="Catastrófico"),AND(AF55="Alta",AH55="Catastrófico"),AND(AF55="Muy Alta",AH55="Catastrófico")),"Extremo","")))),"")</f>
        <v/>
      </c>
      <c r="AK55" s="195"/>
      <c r="AL55" s="186"/>
      <c r="AM55" s="196"/>
      <c r="AN55" s="196"/>
      <c r="AO55" s="197"/>
      <c r="AP55" s="341"/>
      <c r="AQ55" s="341"/>
      <c r="AR55" s="341"/>
    </row>
    <row r="56" spans="1:44" hidden="1" x14ac:dyDescent="0.2">
      <c r="A56" s="363"/>
      <c r="B56" s="345"/>
      <c r="C56" s="345"/>
      <c r="D56" s="366"/>
      <c r="E56" s="345"/>
      <c r="F56" s="345"/>
      <c r="G56" s="339"/>
      <c r="H56" s="339"/>
      <c r="I56" s="339"/>
      <c r="J56" s="339"/>
      <c r="K56" s="339"/>
      <c r="L56" s="339"/>
      <c r="M56" s="339"/>
      <c r="N56" s="341"/>
      <c r="O56" s="335"/>
      <c r="P56" s="334"/>
      <c r="Q56" s="324"/>
      <c r="R56" s="334">
        <f>IF(NOT(ISERROR(MATCH(Q56,_xlfn.ANCHORARRAY(E67),0))),P69&amp;"Por favor no seleccionar los criterios de impacto",Q56)</f>
        <v>0</v>
      </c>
      <c r="S56" s="335"/>
      <c r="T56" s="334"/>
      <c r="U56" s="333"/>
      <c r="V56" s="214">
        <v>6</v>
      </c>
      <c r="W56" s="187"/>
      <c r="X56" s="189" t="str">
        <f t="shared" si="74"/>
        <v/>
      </c>
      <c r="Y56" s="190"/>
      <c r="Z56" s="190"/>
      <c r="AA56" s="191" t="str">
        <f t="shared" si="69"/>
        <v/>
      </c>
      <c r="AB56" s="190"/>
      <c r="AC56" s="190"/>
      <c r="AD56" s="190"/>
      <c r="AE56" s="192" t="str">
        <f t="shared" si="75"/>
        <v/>
      </c>
      <c r="AF56" s="193" t="str">
        <f t="shared" si="2"/>
        <v/>
      </c>
      <c r="AG56" s="191" t="str">
        <f t="shared" si="70"/>
        <v/>
      </c>
      <c r="AH56" s="193" t="str">
        <f t="shared" si="4"/>
        <v/>
      </c>
      <c r="AI56" s="191" t="str">
        <f t="shared" si="27"/>
        <v/>
      </c>
      <c r="AJ56" s="194" t="str">
        <f t="shared" si="76"/>
        <v/>
      </c>
      <c r="AK56" s="195"/>
      <c r="AL56" s="186"/>
      <c r="AM56" s="196"/>
      <c r="AN56" s="196"/>
      <c r="AO56" s="197"/>
      <c r="AP56" s="341"/>
      <c r="AQ56" s="341"/>
      <c r="AR56" s="341"/>
    </row>
    <row r="57" spans="1:44" hidden="1" x14ac:dyDescent="0.2">
      <c r="A57" s="363">
        <v>8</v>
      </c>
      <c r="B57" s="345"/>
      <c r="C57" s="345"/>
      <c r="D57" s="345"/>
      <c r="E57" s="345"/>
      <c r="F57" s="345"/>
      <c r="G57" s="337"/>
      <c r="H57" s="337"/>
      <c r="I57" s="337"/>
      <c r="J57" s="337"/>
      <c r="K57" s="337"/>
      <c r="L57" s="337"/>
      <c r="M57" s="337"/>
      <c r="N57" s="341"/>
      <c r="O57" s="335" t="str">
        <f>IF(N57&lt;=0,"",IF(N57&lt;=2,"Muy Baja",IF(N57&lt;=24,"Baja",IF(N57&lt;=500,"Media",IF(N57&lt;=5000,"Alta","Muy Alta")))))</f>
        <v/>
      </c>
      <c r="P57" s="334" t="str">
        <f>IF(O57="","",IF(O57="Muy Baja",0.2,IF(O57="Baja",0.4,IF(O57="Media",0.6,IF(O57="Alta",0.8,IF(O57="Muy Alta",1,))))))</f>
        <v/>
      </c>
      <c r="Q57" s="324"/>
      <c r="R57" s="334">
        <f>IF(NOT(ISERROR(MATCH(Q57,'Tabla Impacto'!$B$222:$B$224,0))),'Tabla Impacto'!$F$224&amp;"Por favor no seleccionar los criterios de impacto(Afectación Económica o presupuestal y Pérdida Reputacional)",Q57)</f>
        <v>0</v>
      </c>
      <c r="S57" s="335" t="str">
        <f>IF(OR(R57='Tabla Impacto'!$C$12,R57='Tabla Impacto'!$D$12),"Leve",IF(OR(R57='Tabla Impacto'!$C$13,R57='Tabla Impacto'!$D$13),"Menor",IF(OR(R57='Tabla Impacto'!$C$14,R57='Tabla Impacto'!$D$14),"Moderado",IF(OR(R57='Tabla Impacto'!$C$15,R57='Tabla Impacto'!$D$15),"Mayor",IF(OR(R57='Tabla Impacto'!$C$16,R57='Tabla Impacto'!$D$16),"Catastrófico","")))))</f>
        <v/>
      </c>
      <c r="T57" s="334" t="str">
        <f>IF(S57="","",IF(S57="Leve",0.2,IF(S57="Menor",0.4,IF(S57="Moderado",0.6,IF(S57="Mayor",0.8,IF(S57="Catastrófico",1,))))))</f>
        <v/>
      </c>
      <c r="U57" s="333" t="str">
        <f>IF(OR(AND(O57="Muy Baja",S57="Leve"),AND(O57="Muy Baja",S57="Menor"),AND(O57="Baja",S57="Leve")),"Bajo",IF(OR(AND(O57="Muy baja",S57="Moderado"),AND(O57="Baja",S57="Menor"),AND(O57="Baja",S57="Moderado"),AND(O57="Media",S57="Leve"),AND(O57="Media",S57="Menor"),AND(O57="Media",S57="Moderado"),AND(O57="Alta",S57="Leve"),AND(O57="Alta",S57="Menor")),"Moderado",IF(OR(AND(O57="Muy Baja",S57="Mayor"),AND(O57="Baja",S57="Mayor"),AND(O57="Media",S57="Mayor"),AND(O57="Alta",S57="Moderado"),AND(O57="Alta",S57="Mayor"),AND(O57="Muy Alta",S57="Leve"),AND(O57="Muy Alta",S57="Menor"),AND(O57="Muy Alta",S57="Moderado"),AND(O57="Muy Alta",S57="Mayor")),"Alto",IF(OR(AND(O57="Muy Baja",S57="Catastrófico"),AND(O57="Baja",S57="Catastrófico"),AND(O57="Media",S57="Catastrófico"),AND(O57="Alta",S57="Catastrófico"),AND(O57="Muy Alta",S57="Catastrófico")),"Extremo",""))))</f>
        <v/>
      </c>
      <c r="V57" s="214">
        <v>1</v>
      </c>
      <c r="W57" s="187"/>
      <c r="X57" s="189" t="str">
        <f>IF(OR(Y57="Preventivo",Y57="Detectivo"),"Probabilidad",IF(Y57="Correctivo","Impacto",""))</f>
        <v/>
      </c>
      <c r="Y57" s="190"/>
      <c r="Z57" s="190"/>
      <c r="AA57" s="191" t="str">
        <f>IF(AND(Y57="Preventivo",Z57="Automático"),"50%",IF(AND(Y57="Preventivo",Z57="Manual"),"40%",IF(AND(Y57="Detectivo",Z57="Automático"),"40%",IF(AND(Y57="Detectivo",Z57="Manual"),"30%",IF(AND(Y57="Correctivo",Z57="Automático"),"35%",IF(AND(Y57="Correctivo",Z57="Manual"),"25%",""))))))</f>
        <v/>
      </c>
      <c r="AB57" s="190"/>
      <c r="AC57" s="190"/>
      <c r="AD57" s="190"/>
      <c r="AE57" s="192" t="str">
        <f>IFERROR(IF(X57="Probabilidad",(P57-(+P57*AA57)),IF(X57="Impacto",P57,"")),"")</f>
        <v/>
      </c>
      <c r="AF57" s="193" t="str">
        <f>IFERROR(IF(AE57="","",IF(AE57&lt;=0.2,"Muy Baja",IF(AE57&lt;=0.4,"Baja",IF(AE57&lt;=0.6,"Media",IF(AE57&lt;=0.8,"Alta","Muy Alta"))))),"")</f>
        <v/>
      </c>
      <c r="AG57" s="191" t="str">
        <f>+AE57</f>
        <v/>
      </c>
      <c r="AH57" s="193" t="str">
        <f>IFERROR(IF(AI57="","",IF(AI57&lt;=0.2,"Leve",IF(AI57&lt;=0.4,"Menor",IF(AI57&lt;=0.6,"Moderado",IF(AI57&lt;=0.8,"Mayor","Catastrófico"))))),"")</f>
        <v/>
      </c>
      <c r="AI57" s="191" t="str">
        <f t="shared" ref="AI57" si="77">IFERROR(IF(X57="Impacto",(T57-(+T57*AA57)),IF(X57="Probabilidad",T57,"")),"")</f>
        <v/>
      </c>
      <c r="AJ57" s="194" t="str">
        <f>IFERROR(IF(OR(AND(AF57="Muy Baja",AH57="Leve"),AND(AF57="Muy Baja",AH57="Menor"),AND(AF57="Baja",AH57="Leve")),"Bajo",IF(OR(AND(AF57="Muy baja",AH57="Moderado"),AND(AF57="Baja",AH57="Menor"),AND(AF57="Baja",AH57="Moderado"),AND(AF57="Media",AH57="Leve"),AND(AF57="Media",AH57="Menor"),AND(AF57="Media",AH57="Moderado"),AND(AF57="Alta",AH57="Leve"),AND(AF57="Alta",AH57="Menor")),"Moderado",IF(OR(AND(AF57="Muy Baja",AH57="Mayor"),AND(AF57="Baja",AH57="Mayor"),AND(AF57="Media",AH57="Mayor"),AND(AF57="Alta",AH57="Moderado"),AND(AF57="Alta",AH57="Mayor"),AND(AF57="Muy Alta",AH57="Leve"),AND(AF57="Muy Alta",AH57="Menor"),AND(AF57="Muy Alta",AH57="Moderado"),AND(AF57="Muy Alta",AH57="Mayor")),"Alto",IF(OR(AND(AF57="Muy Baja",AH57="Catastrófico"),AND(AF57="Baja",AH57="Catastrófico"),AND(AF57="Media",AH57="Catastrófico"),AND(AF57="Alta",AH57="Catastrófico"),AND(AF57="Muy Alta",AH57="Catastrófico")),"Extremo","")))),"")</f>
        <v/>
      </c>
      <c r="AK57" s="195"/>
      <c r="AL57" s="186"/>
      <c r="AM57" s="196"/>
      <c r="AN57" s="196"/>
      <c r="AO57" s="197"/>
      <c r="AP57" s="341"/>
      <c r="AQ57" s="341"/>
      <c r="AR57" s="341"/>
    </row>
    <row r="58" spans="1:44" hidden="1" x14ac:dyDescent="0.2">
      <c r="A58" s="363"/>
      <c r="B58" s="345"/>
      <c r="C58" s="345"/>
      <c r="D58" s="345"/>
      <c r="E58" s="345"/>
      <c r="F58" s="345"/>
      <c r="G58" s="338"/>
      <c r="H58" s="338"/>
      <c r="I58" s="338"/>
      <c r="J58" s="338"/>
      <c r="K58" s="338"/>
      <c r="L58" s="338"/>
      <c r="M58" s="338"/>
      <c r="N58" s="341"/>
      <c r="O58" s="335"/>
      <c r="P58" s="334"/>
      <c r="Q58" s="324"/>
      <c r="R58" s="334">
        <f>IF(NOT(ISERROR(MATCH(Q58,_xlfn.ANCHORARRAY(E69),0))),P71&amp;"Por favor no seleccionar los criterios de impacto",Q58)</f>
        <v>0</v>
      </c>
      <c r="S58" s="335"/>
      <c r="T58" s="334"/>
      <c r="U58" s="333"/>
      <c r="V58" s="214">
        <v>2</v>
      </c>
      <c r="W58" s="187"/>
      <c r="X58" s="189" t="str">
        <f>IF(OR(Y58="Preventivo",Y58="Detectivo"),"Probabilidad",IF(Y58="Correctivo","Impacto",""))</f>
        <v/>
      </c>
      <c r="Y58" s="190"/>
      <c r="Z58" s="190"/>
      <c r="AA58" s="191" t="str">
        <f t="shared" ref="AA58:AA62" si="78">IF(AND(Y58="Preventivo",Z58="Automático"),"50%",IF(AND(Y58="Preventivo",Z58="Manual"),"40%",IF(AND(Y58="Detectivo",Z58="Automático"),"40%",IF(AND(Y58="Detectivo",Z58="Manual"),"30%",IF(AND(Y58="Correctivo",Z58="Automático"),"35%",IF(AND(Y58="Correctivo",Z58="Manual"),"25%",""))))))</f>
        <v/>
      </c>
      <c r="AB58" s="190"/>
      <c r="AC58" s="190"/>
      <c r="AD58" s="190"/>
      <c r="AE58" s="192" t="str">
        <f>IFERROR(IF(AND(X57="Probabilidad",X58="Probabilidad"),(AG57-(+AG57*AA58)),IF(X58="Probabilidad",(P57-(+P57*AA58)),IF(X58="Impacto",AG57,""))),"")</f>
        <v/>
      </c>
      <c r="AF58" s="193" t="str">
        <f t="shared" si="2"/>
        <v/>
      </c>
      <c r="AG58" s="191" t="str">
        <f t="shared" ref="AG58:AG62" si="79">+AE58</f>
        <v/>
      </c>
      <c r="AH58" s="193" t="str">
        <f t="shared" si="4"/>
        <v/>
      </c>
      <c r="AI58" s="191" t="str">
        <f t="shared" ref="AI58" si="80">IFERROR(IF(AND(X57="Impacto",X58="Impacto"),(AI57-(+AI57*AA58)),IF(X58="Impacto",($T$13-(+$T$13*AA58)),IF(X58="Probabilidad",AI57,""))),"")</f>
        <v/>
      </c>
      <c r="AJ58" s="194" t="str">
        <f t="shared" ref="AJ58:AJ59" si="81">IFERROR(IF(OR(AND(AF58="Muy Baja",AH58="Leve"),AND(AF58="Muy Baja",AH58="Menor"),AND(AF58="Baja",AH58="Leve")),"Bajo",IF(OR(AND(AF58="Muy baja",AH58="Moderado"),AND(AF58="Baja",AH58="Menor"),AND(AF58="Baja",AH58="Moderado"),AND(AF58="Media",AH58="Leve"),AND(AF58="Media",AH58="Menor"),AND(AF58="Media",AH58="Moderado"),AND(AF58="Alta",AH58="Leve"),AND(AF58="Alta",AH58="Menor")),"Moderado",IF(OR(AND(AF58="Muy Baja",AH58="Mayor"),AND(AF58="Baja",AH58="Mayor"),AND(AF58="Media",AH58="Mayor"),AND(AF58="Alta",AH58="Moderado"),AND(AF58="Alta",AH58="Mayor"),AND(AF58="Muy Alta",AH58="Leve"),AND(AF58="Muy Alta",AH58="Menor"),AND(AF58="Muy Alta",AH58="Moderado"),AND(AF58="Muy Alta",AH58="Mayor")),"Alto",IF(OR(AND(AF58="Muy Baja",AH58="Catastrófico"),AND(AF58="Baja",AH58="Catastrófico"),AND(AF58="Media",AH58="Catastrófico"),AND(AF58="Alta",AH58="Catastrófico"),AND(AF58="Muy Alta",AH58="Catastrófico")),"Extremo","")))),"")</f>
        <v/>
      </c>
      <c r="AK58" s="195"/>
      <c r="AL58" s="186"/>
      <c r="AM58" s="196"/>
      <c r="AN58" s="196"/>
      <c r="AO58" s="197"/>
      <c r="AP58" s="341"/>
      <c r="AQ58" s="341"/>
      <c r="AR58" s="341"/>
    </row>
    <row r="59" spans="1:44" hidden="1" x14ac:dyDescent="0.2">
      <c r="A59" s="363"/>
      <c r="B59" s="345"/>
      <c r="C59" s="345"/>
      <c r="D59" s="345"/>
      <c r="E59" s="345"/>
      <c r="F59" s="345"/>
      <c r="G59" s="338"/>
      <c r="H59" s="338"/>
      <c r="I59" s="338"/>
      <c r="J59" s="338"/>
      <c r="K59" s="338"/>
      <c r="L59" s="338"/>
      <c r="M59" s="338"/>
      <c r="N59" s="341"/>
      <c r="O59" s="335"/>
      <c r="P59" s="334"/>
      <c r="Q59" s="324"/>
      <c r="R59" s="334">
        <f>IF(NOT(ISERROR(MATCH(Q59,_xlfn.ANCHORARRAY(E70),0))),P72&amp;"Por favor no seleccionar los criterios de impacto",Q59)</f>
        <v>0</v>
      </c>
      <c r="S59" s="335"/>
      <c r="T59" s="334"/>
      <c r="U59" s="333"/>
      <c r="V59" s="214">
        <v>3</v>
      </c>
      <c r="W59" s="188"/>
      <c r="X59" s="189" t="str">
        <f>IF(OR(Y59="Preventivo",Y59="Detectivo"),"Probabilidad",IF(Y59="Correctivo","Impacto",""))</f>
        <v/>
      </c>
      <c r="Y59" s="190"/>
      <c r="Z59" s="190"/>
      <c r="AA59" s="191" t="str">
        <f t="shared" si="78"/>
        <v/>
      </c>
      <c r="AB59" s="190"/>
      <c r="AC59" s="190"/>
      <c r="AD59" s="190"/>
      <c r="AE59" s="192" t="str">
        <f>IFERROR(IF(AND(X58="Probabilidad",X59="Probabilidad"),(AG58-(+AG58*AA59)),IF(AND(X58="Impacto",X59="Probabilidad"),(AG57-(+AG57*AA59)),IF(X59="Impacto",AG58,""))),"")</f>
        <v/>
      </c>
      <c r="AF59" s="193" t="str">
        <f t="shared" si="2"/>
        <v/>
      </c>
      <c r="AG59" s="191" t="str">
        <f t="shared" si="79"/>
        <v/>
      </c>
      <c r="AH59" s="193" t="str">
        <f t="shared" si="4"/>
        <v/>
      </c>
      <c r="AI59" s="191" t="str">
        <f t="shared" ref="AI59" si="82">IFERROR(IF(AND(X58="Impacto",X59="Impacto"),(AI58-(+AI58*AA59)),IF(AND(X58="Probabilidad",X59="Impacto"),(AI57-(+AI57*AA59)),IF(X59="Probabilidad",AI58,""))),"")</f>
        <v/>
      </c>
      <c r="AJ59" s="194" t="str">
        <f t="shared" si="81"/>
        <v/>
      </c>
      <c r="AK59" s="195"/>
      <c r="AL59" s="186"/>
      <c r="AM59" s="196"/>
      <c r="AN59" s="196"/>
      <c r="AO59" s="197"/>
      <c r="AP59" s="341"/>
      <c r="AQ59" s="341"/>
      <c r="AR59" s="341"/>
    </row>
    <row r="60" spans="1:44" hidden="1" x14ac:dyDescent="0.2">
      <c r="A60" s="363"/>
      <c r="B60" s="345"/>
      <c r="C60" s="345"/>
      <c r="D60" s="345"/>
      <c r="E60" s="345"/>
      <c r="F60" s="345"/>
      <c r="G60" s="338"/>
      <c r="H60" s="338"/>
      <c r="I60" s="338"/>
      <c r="J60" s="338"/>
      <c r="K60" s="338"/>
      <c r="L60" s="338"/>
      <c r="M60" s="338"/>
      <c r="N60" s="341"/>
      <c r="O60" s="335"/>
      <c r="P60" s="334"/>
      <c r="Q60" s="324"/>
      <c r="R60" s="334">
        <f>IF(NOT(ISERROR(MATCH(Q60,_xlfn.ANCHORARRAY(E71),0))),P73&amp;"Por favor no seleccionar los criterios de impacto",Q60)</f>
        <v>0</v>
      </c>
      <c r="S60" s="335"/>
      <c r="T60" s="334"/>
      <c r="U60" s="333"/>
      <c r="V60" s="214">
        <v>4</v>
      </c>
      <c r="W60" s="187"/>
      <c r="X60" s="189" t="str">
        <f t="shared" ref="X60:X62" si="83">IF(OR(Y60="Preventivo",Y60="Detectivo"),"Probabilidad",IF(Y60="Correctivo","Impacto",""))</f>
        <v/>
      </c>
      <c r="Y60" s="190"/>
      <c r="Z60" s="190"/>
      <c r="AA60" s="191" t="str">
        <f t="shared" si="78"/>
        <v/>
      </c>
      <c r="AB60" s="190"/>
      <c r="AC60" s="190"/>
      <c r="AD60" s="190"/>
      <c r="AE60" s="192" t="str">
        <f t="shared" ref="AE60:AE62" si="84">IFERROR(IF(AND(X59="Probabilidad",X60="Probabilidad"),(AG59-(+AG59*AA60)),IF(AND(X59="Impacto",X60="Probabilidad"),(AG58-(+AG58*AA60)),IF(X60="Impacto",AG59,""))),"")</f>
        <v/>
      </c>
      <c r="AF60" s="193" t="str">
        <f t="shared" si="2"/>
        <v/>
      </c>
      <c r="AG60" s="191" t="str">
        <f t="shared" si="79"/>
        <v/>
      </c>
      <c r="AH60" s="193" t="str">
        <f t="shared" si="4"/>
        <v/>
      </c>
      <c r="AI60" s="191" t="str">
        <f t="shared" si="27"/>
        <v/>
      </c>
      <c r="AJ60" s="194" t="str">
        <f>IFERROR(IF(OR(AND(AF60="Muy Baja",AH60="Leve"),AND(AF60="Muy Baja",AH60="Menor"),AND(AF60="Baja",AH60="Leve")),"Bajo",IF(OR(AND(AF60="Muy baja",AH60="Moderado"),AND(AF60="Baja",AH60="Menor"),AND(AF60="Baja",AH60="Moderado"),AND(AF60="Media",AH60="Leve"),AND(AF60="Media",AH60="Menor"),AND(AF60="Media",AH60="Moderado"),AND(AF60="Alta",AH60="Leve"),AND(AF60="Alta",AH60="Menor")),"Moderado",IF(OR(AND(AF60="Muy Baja",AH60="Mayor"),AND(AF60="Baja",AH60="Mayor"),AND(AF60="Media",AH60="Mayor"),AND(AF60="Alta",AH60="Moderado"),AND(AF60="Alta",AH60="Mayor"),AND(AF60="Muy Alta",AH60="Leve"),AND(AF60="Muy Alta",AH60="Menor"),AND(AF60="Muy Alta",AH60="Moderado"),AND(AF60="Muy Alta",AH60="Mayor")),"Alto",IF(OR(AND(AF60="Muy Baja",AH60="Catastrófico"),AND(AF60="Baja",AH60="Catastrófico"),AND(AF60="Media",AH60="Catastrófico"),AND(AF60="Alta",AH60="Catastrófico"),AND(AF60="Muy Alta",AH60="Catastrófico")),"Extremo","")))),"")</f>
        <v/>
      </c>
      <c r="AK60" s="195"/>
      <c r="AL60" s="186"/>
      <c r="AM60" s="196"/>
      <c r="AN60" s="196"/>
      <c r="AO60" s="197"/>
      <c r="AP60" s="341"/>
      <c r="AQ60" s="341"/>
      <c r="AR60" s="341"/>
    </row>
    <row r="61" spans="1:44" hidden="1" x14ac:dyDescent="0.2">
      <c r="A61" s="363"/>
      <c r="B61" s="345"/>
      <c r="C61" s="345"/>
      <c r="D61" s="345"/>
      <c r="E61" s="345"/>
      <c r="F61" s="345"/>
      <c r="G61" s="338"/>
      <c r="H61" s="338"/>
      <c r="I61" s="338"/>
      <c r="J61" s="338"/>
      <c r="K61" s="338"/>
      <c r="L61" s="338"/>
      <c r="M61" s="338"/>
      <c r="N61" s="341"/>
      <c r="O61" s="335"/>
      <c r="P61" s="334"/>
      <c r="Q61" s="324"/>
      <c r="R61" s="334">
        <f>IF(NOT(ISERROR(MATCH(Q61,_xlfn.ANCHORARRAY(E72),0))),P74&amp;"Por favor no seleccionar los criterios de impacto",Q61)</f>
        <v>0</v>
      </c>
      <c r="S61" s="335"/>
      <c r="T61" s="334"/>
      <c r="U61" s="333"/>
      <c r="V61" s="214">
        <v>5</v>
      </c>
      <c r="W61" s="187"/>
      <c r="X61" s="189" t="str">
        <f t="shared" si="83"/>
        <v/>
      </c>
      <c r="Y61" s="190"/>
      <c r="Z61" s="190"/>
      <c r="AA61" s="191" t="str">
        <f t="shared" si="78"/>
        <v/>
      </c>
      <c r="AB61" s="190"/>
      <c r="AC61" s="190"/>
      <c r="AD61" s="190"/>
      <c r="AE61" s="192" t="str">
        <f t="shared" si="84"/>
        <v/>
      </c>
      <c r="AF61" s="193" t="str">
        <f t="shared" si="2"/>
        <v/>
      </c>
      <c r="AG61" s="191" t="str">
        <f t="shared" si="79"/>
        <v/>
      </c>
      <c r="AH61" s="193" t="str">
        <f t="shared" si="4"/>
        <v/>
      </c>
      <c r="AI61" s="191" t="str">
        <f t="shared" si="27"/>
        <v/>
      </c>
      <c r="AJ61" s="194" t="str">
        <f t="shared" ref="AJ61:AJ62" si="85">IFERROR(IF(OR(AND(AF61="Muy Baja",AH61="Leve"),AND(AF61="Muy Baja",AH61="Menor"),AND(AF61="Baja",AH61="Leve")),"Bajo",IF(OR(AND(AF61="Muy baja",AH61="Moderado"),AND(AF61="Baja",AH61="Menor"),AND(AF61="Baja",AH61="Moderado"),AND(AF61="Media",AH61="Leve"),AND(AF61="Media",AH61="Menor"),AND(AF61="Media",AH61="Moderado"),AND(AF61="Alta",AH61="Leve"),AND(AF61="Alta",AH61="Menor")),"Moderado",IF(OR(AND(AF61="Muy Baja",AH61="Mayor"),AND(AF61="Baja",AH61="Mayor"),AND(AF61="Media",AH61="Mayor"),AND(AF61="Alta",AH61="Moderado"),AND(AF61="Alta",AH61="Mayor"),AND(AF61="Muy Alta",AH61="Leve"),AND(AF61="Muy Alta",AH61="Menor"),AND(AF61="Muy Alta",AH61="Moderado"),AND(AF61="Muy Alta",AH61="Mayor")),"Alto",IF(OR(AND(AF61="Muy Baja",AH61="Catastrófico"),AND(AF61="Baja",AH61="Catastrófico"),AND(AF61="Media",AH61="Catastrófico"),AND(AF61="Alta",AH61="Catastrófico"),AND(AF61="Muy Alta",AH61="Catastrófico")),"Extremo","")))),"")</f>
        <v/>
      </c>
      <c r="AK61" s="195"/>
      <c r="AL61" s="186"/>
      <c r="AM61" s="196"/>
      <c r="AN61" s="196"/>
      <c r="AO61" s="197"/>
      <c r="AP61" s="341"/>
      <c r="AQ61" s="341"/>
      <c r="AR61" s="341"/>
    </row>
    <row r="62" spans="1:44" hidden="1" x14ac:dyDescent="0.2">
      <c r="A62" s="363"/>
      <c r="B62" s="345"/>
      <c r="C62" s="345"/>
      <c r="D62" s="345"/>
      <c r="E62" s="345"/>
      <c r="F62" s="345"/>
      <c r="G62" s="339"/>
      <c r="H62" s="339"/>
      <c r="I62" s="339"/>
      <c r="J62" s="339"/>
      <c r="K62" s="339"/>
      <c r="L62" s="339"/>
      <c r="M62" s="339"/>
      <c r="N62" s="341"/>
      <c r="O62" s="335"/>
      <c r="P62" s="334"/>
      <c r="Q62" s="324"/>
      <c r="R62" s="334">
        <f>IF(NOT(ISERROR(MATCH(Q62,_xlfn.ANCHORARRAY(E73),0))),Q75&amp;"Por favor no seleccionar los criterios de impacto",Q62)</f>
        <v>0</v>
      </c>
      <c r="S62" s="335"/>
      <c r="T62" s="334"/>
      <c r="U62" s="333"/>
      <c r="V62" s="214">
        <v>6</v>
      </c>
      <c r="W62" s="187"/>
      <c r="X62" s="189" t="str">
        <f t="shared" si="83"/>
        <v/>
      </c>
      <c r="Y62" s="190"/>
      <c r="Z62" s="190"/>
      <c r="AA62" s="191" t="str">
        <f t="shared" si="78"/>
        <v/>
      </c>
      <c r="AB62" s="190"/>
      <c r="AC62" s="190"/>
      <c r="AD62" s="190"/>
      <c r="AE62" s="192" t="str">
        <f t="shared" si="84"/>
        <v/>
      </c>
      <c r="AF62" s="193" t="str">
        <f t="shared" si="2"/>
        <v/>
      </c>
      <c r="AG62" s="191" t="str">
        <f t="shared" si="79"/>
        <v/>
      </c>
      <c r="AH62" s="193" t="str">
        <f t="shared" si="4"/>
        <v/>
      </c>
      <c r="AI62" s="191" t="str">
        <f t="shared" si="27"/>
        <v/>
      </c>
      <c r="AJ62" s="194" t="str">
        <f t="shared" si="85"/>
        <v/>
      </c>
      <c r="AK62" s="195"/>
      <c r="AL62" s="186"/>
      <c r="AM62" s="196"/>
      <c r="AN62" s="196"/>
      <c r="AO62" s="197"/>
      <c r="AP62" s="341"/>
      <c r="AQ62" s="341"/>
      <c r="AR62" s="341"/>
    </row>
    <row r="63" spans="1:44" hidden="1" x14ac:dyDescent="0.2">
      <c r="A63" s="363">
        <v>9</v>
      </c>
      <c r="B63" s="345"/>
      <c r="C63" s="345"/>
      <c r="D63" s="345"/>
      <c r="E63" s="345"/>
      <c r="F63" s="345"/>
      <c r="G63" s="337"/>
      <c r="H63" s="337"/>
      <c r="I63" s="221"/>
      <c r="J63" s="221"/>
      <c r="K63" s="221"/>
      <c r="L63" s="337"/>
      <c r="M63" s="337"/>
      <c r="N63" s="341"/>
      <c r="O63" s="335" t="str">
        <f>IF(N63&lt;=0,"",IF(N63&lt;=2,"Muy Baja",IF(N63&lt;=24,"Baja",IF(N63&lt;=500,"Media",IF(N63&lt;=5000,"Alta","Muy Alta")))))</f>
        <v/>
      </c>
      <c r="P63" s="334" t="str">
        <f>IF(O63="","",IF(O63="Muy Baja",0.2,IF(O63="Baja",0.4,IF(O63="Media",0.6,IF(O63="Alta",0.8,IF(O63="Muy Alta",1,))))))</f>
        <v/>
      </c>
      <c r="Q63" s="324"/>
      <c r="R63" s="334">
        <f>IF(NOT(ISERROR(MATCH(Q63,'Tabla Impacto'!$B$222:$B$224,0))),'Tabla Impacto'!$F$224&amp;"Por favor no seleccionar los criterios de impacto(Afectación Económica o presupuestal y Pérdida Reputacional)",Q63)</f>
        <v>0</v>
      </c>
      <c r="S63" s="335" t="str">
        <f>IF(OR(R63='Tabla Impacto'!$C$12,R63='Tabla Impacto'!$D$12),"Leve",IF(OR(R63='Tabla Impacto'!$C$13,R63='Tabla Impacto'!$D$13),"Menor",IF(OR(R63='Tabla Impacto'!$C$14,R63='Tabla Impacto'!$D$14),"Moderado",IF(OR(R63='Tabla Impacto'!$C$15,R63='Tabla Impacto'!$D$15),"Mayor",IF(OR(R63='Tabla Impacto'!$C$16,R63='Tabla Impacto'!$D$16),"Catastrófico","")))))</f>
        <v/>
      </c>
      <c r="T63" s="334" t="str">
        <f>IF(S63="","",IF(S63="Leve",0.2,IF(S63="Menor",0.4,IF(S63="Moderado",0.6,IF(S63="Mayor",0.8,IF(S63="Catastrófico",1,))))))</f>
        <v/>
      </c>
      <c r="U63" s="333" t="str">
        <f>IF(OR(AND(O63="Muy Baja",S63="Leve"),AND(O63="Muy Baja",S63="Menor"),AND(O63="Baja",S63="Leve")),"Bajo",IF(OR(AND(O63="Muy baja",S63="Moderado"),AND(O63="Baja",S63="Menor"),AND(O63="Baja",S63="Moderado"),AND(O63="Media",S63="Leve"),AND(O63="Media",S63="Menor"),AND(O63="Media",S63="Moderado"),AND(O63="Alta",S63="Leve"),AND(O63="Alta",S63="Menor")),"Moderado",IF(OR(AND(O63="Muy Baja",S63="Mayor"),AND(O63="Baja",S63="Mayor"),AND(O63="Media",S63="Mayor"),AND(O63="Alta",S63="Moderado"),AND(O63="Alta",S63="Mayor"),AND(O63="Muy Alta",S63="Leve"),AND(O63="Muy Alta",S63="Menor"),AND(O63="Muy Alta",S63="Moderado"),AND(O63="Muy Alta",S63="Mayor")),"Alto",IF(OR(AND(O63="Muy Baja",S63="Catastrófico"),AND(O63="Baja",S63="Catastrófico"),AND(O63="Media",S63="Catastrófico"),AND(O63="Alta",S63="Catastrófico"),AND(O63="Muy Alta",S63="Catastrófico")),"Extremo",""))))</f>
        <v/>
      </c>
      <c r="V63" s="214">
        <v>1</v>
      </c>
      <c r="W63" s="187"/>
      <c r="X63" s="189" t="str">
        <f>IF(OR(Y63="Preventivo",Y63="Detectivo"),"Probabilidad",IF(Y63="Correctivo","Impacto",""))</f>
        <v/>
      </c>
      <c r="Y63" s="190"/>
      <c r="Z63" s="190"/>
      <c r="AA63" s="191" t="str">
        <f>IF(AND(Y63="Preventivo",Z63="Automático"),"50%",IF(AND(Y63="Preventivo",Z63="Manual"),"40%",IF(AND(Y63="Detectivo",Z63="Automático"),"40%",IF(AND(Y63="Detectivo",Z63="Manual"),"30%",IF(AND(Y63="Correctivo",Z63="Automático"),"35%",IF(AND(Y63="Correctivo",Z63="Manual"),"25%",""))))))</f>
        <v/>
      </c>
      <c r="AB63" s="190"/>
      <c r="AC63" s="190"/>
      <c r="AD63" s="190"/>
      <c r="AE63" s="192" t="str">
        <f>IFERROR(IF(X63="Probabilidad",(P63-(+P63*AA63)),IF(X63="Impacto",P63,"")),"")</f>
        <v/>
      </c>
      <c r="AF63" s="193" t="str">
        <f>IFERROR(IF(AE63="","",IF(AE63&lt;=0.2,"Muy Baja",IF(AE63&lt;=0.4,"Baja",IF(AE63&lt;=0.6,"Media",IF(AE63&lt;=0.8,"Alta","Muy Alta"))))),"")</f>
        <v/>
      </c>
      <c r="AG63" s="191" t="str">
        <f>+AE63</f>
        <v/>
      </c>
      <c r="AH63" s="193" t="str">
        <f>IFERROR(IF(AI63="","",IF(AI63&lt;=0.2,"Leve",IF(AI63&lt;=0.4,"Menor",IF(AI63&lt;=0.6,"Moderado",IF(AI63&lt;=0.8,"Mayor","Catastrófico"))))),"")</f>
        <v/>
      </c>
      <c r="AI63" s="191" t="str">
        <f t="shared" ref="AI63" si="86">IFERROR(IF(X63="Impacto",(T63-(+T63*AA63)),IF(X63="Probabilidad",T63,"")),"")</f>
        <v/>
      </c>
      <c r="AJ63" s="194" t="str">
        <f>IFERROR(IF(OR(AND(AF63="Muy Baja",AH63="Leve"),AND(AF63="Muy Baja",AH63="Menor"),AND(AF63="Baja",AH63="Leve")),"Bajo",IF(OR(AND(AF63="Muy baja",AH63="Moderado"),AND(AF63="Baja",AH63="Menor"),AND(AF63="Baja",AH63="Moderado"),AND(AF63="Media",AH63="Leve"),AND(AF63="Media",AH63="Menor"),AND(AF63="Media",AH63="Moderado"),AND(AF63="Alta",AH63="Leve"),AND(AF63="Alta",AH63="Menor")),"Moderado",IF(OR(AND(AF63="Muy Baja",AH63="Mayor"),AND(AF63="Baja",AH63="Mayor"),AND(AF63="Media",AH63="Mayor"),AND(AF63="Alta",AH63="Moderado"),AND(AF63="Alta",AH63="Mayor"),AND(AF63="Muy Alta",AH63="Leve"),AND(AF63="Muy Alta",AH63="Menor"),AND(AF63="Muy Alta",AH63="Moderado"),AND(AF63="Muy Alta",AH63="Mayor")),"Alto",IF(OR(AND(AF63="Muy Baja",AH63="Catastrófico"),AND(AF63="Baja",AH63="Catastrófico"),AND(AF63="Media",AH63="Catastrófico"),AND(AF63="Alta",AH63="Catastrófico"),AND(AF63="Muy Alta",AH63="Catastrófico")),"Extremo","")))),"")</f>
        <v/>
      </c>
      <c r="AK63" s="195"/>
      <c r="AL63" s="186"/>
      <c r="AM63" s="196"/>
      <c r="AN63" s="196"/>
      <c r="AO63" s="197"/>
      <c r="AP63" s="341"/>
      <c r="AQ63" s="341"/>
      <c r="AR63" s="341"/>
    </row>
    <row r="64" spans="1:44" hidden="1" x14ac:dyDescent="0.2">
      <c r="A64" s="363"/>
      <c r="B64" s="345"/>
      <c r="C64" s="345"/>
      <c r="D64" s="345"/>
      <c r="E64" s="345"/>
      <c r="F64" s="345"/>
      <c r="G64" s="338"/>
      <c r="H64" s="338"/>
      <c r="I64" s="222"/>
      <c r="J64" s="222"/>
      <c r="K64" s="222"/>
      <c r="L64" s="338"/>
      <c r="M64" s="338"/>
      <c r="N64" s="341"/>
      <c r="O64" s="335"/>
      <c r="P64" s="334"/>
      <c r="Q64" s="324"/>
      <c r="R64" s="334">
        <f>IF(NOT(ISERROR(MATCH(Q64,_xlfn.ANCHORARRAY(F75),0))),Q77&amp;"Por favor no seleccionar los criterios de impacto",Q64)</f>
        <v>0</v>
      </c>
      <c r="S64" s="335"/>
      <c r="T64" s="334"/>
      <c r="U64" s="333"/>
      <c r="V64" s="214">
        <v>2</v>
      </c>
      <c r="W64" s="187"/>
      <c r="X64" s="189" t="str">
        <f>IF(OR(Y64="Preventivo",Y64="Detectivo"),"Probabilidad",IF(Y64="Correctivo","Impacto",""))</f>
        <v/>
      </c>
      <c r="Y64" s="190"/>
      <c r="Z64" s="190"/>
      <c r="AA64" s="191" t="str">
        <f t="shared" ref="AA64:AA68" si="87">IF(AND(Y64="Preventivo",Z64="Automático"),"50%",IF(AND(Y64="Preventivo",Z64="Manual"),"40%",IF(AND(Y64="Detectivo",Z64="Automático"),"40%",IF(AND(Y64="Detectivo",Z64="Manual"),"30%",IF(AND(Y64="Correctivo",Z64="Automático"),"35%",IF(AND(Y64="Correctivo",Z64="Manual"),"25%",""))))))</f>
        <v/>
      </c>
      <c r="AB64" s="190"/>
      <c r="AC64" s="190"/>
      <c r="AD64" s="190"/>
      <c r="AE64" s="192" t="str">
        <f>IFERROR(IF(AND(X63="Probabilidad",X64="Probabilidad"),(AG63-(+AG63*AA64)),IF(X64="Probabilidad",(P63-(+P63*AA64)),IF(X64="Impacto",AG63,""))),"")</f>
        <v/>
      </c>
      <c r="AF64" s="193" t="str">
        <f t="shared" si="2"/>
        <v/>
      </c>
      <c r="AG64" s="191" t="str">
        <f t="shared" ref="AG64:AG68" si="88">+AE64</f>
        <v/>
      </c>
      <c r="AH64" s="193" t="str">
        <f t="shared" si="4"/>
        <v/>
      </c>
      <c r="AI64" s="191" t="str">
        <f t="shared" ref="AI64" si="89">IFERROR(IF(AND(X63="Impacto",X64="Impacto"),(AI63-(+AI63*AA64)),IF(X64="Impacto",($T$13-(+$T$13*AA64)),IF(X64="Probabilidad",AI63,""))),"")</f>
        <v/>
      </c>
      <c r="AJ64" s="194" t="str">
        <f t="shared" ref="AJ64:AJ65" si="90">IFERROR(IF(OR(AND(AF64="Muy Baja",AH64="Leve"),AND(AF64="Muy Baja",AH64="Menor"),AND(AF64="Baja",AH64="Leve")),"Bajo",IF(OR(AND(AF64="Muy baja",AH64="Moderado"),AND(AF64="Baja",AH64="Menor"),AND(AF64="Baja",AH64="Moderado"),AND(AF64="Media",AH64="Leve"),AND(AF64="Media",AH64="Menor"),AND(AF64="Media",AH64="Moderado"),AND(AF64="Alta",AH64="Leve"),AND(AF64="Alta",AH64="Menor")),"Moderado",IF(OR(AND(AF64="Muy Baja",AH64="Mayor"),AND(AF64="Baja",AH64="Mayor"),AND(AF64="Media",AH64="Mayor"),AND(AF64="Alta",AH64="Moderado"),AND(AF64="Alta",AH64="Mayor"),AND(AF64="Muy Alta",AH64="Leve"),AND(AF64="Muy Alta",AH64="Menor"),AND(AF64="Muy Alta",AH64="Moderado"),AND(AF64="Muy Alta",AH64="Mayor")),"Alto",IF(OR(AND(AF64="Muy Baja",AH64="Catastrófico"),AND(AF64="Baja",AH64="Catastrófico"),AND(AF64="Media",AH64="Catastrófico"),AND(AF64="Alta",AH64="Catastrófico"),AND(AF64="Muy Alta",AH64="Catastrófico")),"Extremo","")))),"")</f>
        <v/>
      </c>
      <c r="AK64" s="195"/>
      <c r="AL64" s="186"/>
      <c r="AM64" s="196"/>
      <c r="AN64" s="196"/>
      <c r="AO64" s="197"/>
      <c r="AP64" s="341"/>
      <c r="AQ64" s="341"/>
      <c r="AR64" s="341"/>
    </row>
    <row r="65" spans="1:44" hidden="1" x14ac:dyDescent="0.2">
      <c r="A65" s="363"/>
      <c r="B65" s="345"/>
      <c r="C65" s="345"/>
      <c r="D65" s="345"/>
      <c r="E65" s="345"/>
      <c r="F65" s="345"/>
      <c r="G65" s="338"/>
      <c r="H65" s="338"/>
      <c r="I65" s="222"/>
      <c r="J65" s="222"/>
      <c r="K65" s="222"/>
      <c r="L65" s="338"/>
      <c r="M65" s="338"/>
      <c r="N65" s="341"/>
      <c r="O65" s="335"/>
      <c r="P65" s="334"/>
      <c r="Q65" s="324"/>
      <c r="R65" s="334">
        <f>IF(NOT(ISERROR(MATCH(Q65,_xlfn.ANCHORARRAY(F76),0))),Q78&amp;"Por favor no seleccionar los criterios de impacto",Q65)</f>
        <v>0</v>
      </c>
      <c r="S65" s="335"/>
      <c r="T65" s="334"/>
      <c r="U65" s="333"/>
      <c r="V65" s="214">
        <v>3</v>
      </c>
      <c r="W65" s="187"/>
      <c r="X65" s="189" t="str">
        <f>IF(OR(Y65="Preventivo",Y65="Detectivo"),"Probabilidad",IF(Y65="Correctivo","Impacto",""))</f>
        <v/>
      </c>
      <c r="Y65" s="190"/>
      <c r="Z65" s="190"/>
      <c r="AA65" s="191" t="str">
        <f t="shared" si="87"/>
        <v/>
      </c>
      <c r="AB65" s="190"/>
      <c r="AC65" s="190"/>
      <c r="AD65" s="190"/>
      <c r="AE65" s="192" t="str">
        <f>IFERROR(IF(AND(X64="Probabilidad",X65="Probabilidad"),(AG64-(+AG64*AA65)),IF(AND(X64="Impacto",X65="Probabilidad"),(AG63-(+AG63*AA65)),IF(X65="Impacto",AG64,""))),"")</f>
        <v/>
      </c>
      <c r="AF65" s="193" t="str">
        <f t="shared" si="2"/>
        <v/>
      </c>
      <c r="AG65" s="191" t="str">
        <f t="shared" si="88"/>
        <v/>
      </c>
      <c r="AH65" s="193" t="str">
        <f t="shared" si="4"/>
        <v/>
      </c>
      <c r="AI65" s="191" t="str">
        <f t="shared" ref="AI65" si="91">IFERROR(IF(AND(X64="Impacto",X65="Impacto"),(AI64-(+AI64*AA65)),IF(AND(X64="Probabilidad",X65="Impacto"),(AI63-(+AI63*AA65)),IF(X65="Probabilidad",AI64,""))),"")</f>
        <v/>
      </c>
      <c r="AJ65" s="194" t="str">
        <f t="shared" si="90"/>
        <v/>
      </c>
      <c r="AK65" s="195"/>
      <c r="AL65" s="186"/>
      <c r="AM65" s="196"/>
      <c r="AN65" s="196"/>
      <c r="AO65" s="197"/>
      <c r="AP65" s="341"/>
      <c r="AQ65" s="341"/>
      <c r="AR65" s="341"/>
    </row>
    <row r="66" spans="1:44" hidden="1" x14ac:dyDescent="0.2">
      <c r="A66" s="363"/>
      <c r="B66" s="345"/>
      <c r="C66" s="345"/>
      <c r="D66" s="345"/>
      <c r="E66" s="345"/>
      <c r="F66" s="345"/>
      <c r="G66" s="338"/>
      <c r="H66" s="338"/>
      <c r="I66" s="222"/>
      <c r="J66" s="222"/>
      <c r="K66" s="222"/>
      <c r="L66" s="338"/>
      <c r="M66" s="338"/>
      <c r="N66" s="341"/>
      <c r="O66" s="335"/>
      <c r="P66" s="334"/>
      <c r="Q66" s="324"/>
      <c r="R66" s="334">
        <f>IF(NOT(ISERROR(MATCH(Q66,_xlfn.ANCHORARRAY(F77),0))),Q79&amp;"Por favor no seleccionar los criterios de impacto",Q66)</f>
        <v>0</v>
      </c>
      <c r="S66" s="335"/>
      <c r="T66" s="334"/>
      <c r="U66" s="333"/>
      <c r="V66" s="214">
        <v>4</v>
      </c>
      <c r="W66" s="187"/>
      <c r="X66" s="189" t="str">
        <f t="shared" ref="X66:X68" si="92">IF(OR(Y66="Preventivo",Y66="Detectivo"),"Probabilidad",IF(Y66="Correctivo","Impacto",""))</f>
        <v/>
      </c>
      <c r="Y66" s="190"/>
      <c r="Z66" s="190"/>
      <c r="AA66" s="191" t="str">
        <f t="shared" si="87"/>
        <v/>
      </c>
      <c r="AB66" s="190"/>
      <c r="AC66" s="190"/>
      <c r="AD66" s="190"/>
      <c r="AE66" s="192" t="str">
        <f t="shared" ref="AE66:AE68" si="93">IFERROR(IF(AND(X65="Probabilidad",X66="Probabilidad"),(AG65-(+AG65*AA66)),IF(AND(X65="Impacto",X66="Probabilidad"),(AG64-(+AG64*AA66)),IF(X66="Impacto",AG65,""))),"")</f>
        <v/>
      </c>
      <c r="AF66" s="193" t="str">
        <f t="shared" si="2"/>
        <v/>
      </c>
      <c r="AG66" s="191" t="str">
        <f t="shared" si="88"/>
        <v/>
      </c>
      <c r="AH66" s="193" t="str">
        <f t="shared" si="4"/>
        <v/>
      </c>
      <c r="AI66" s="191" t="str">
        <f t="shared" si="27"/>
        <v/>
      </c>
      <c r="AJ66" s="194" t="str">
        <f>IFERROR(IF(OR(AND(AF66="Muy Baja",AH66="Leve"),AND(AF66="Muy Baja",AH66="Menor"),AND(AF66="Baja",AH66="Leve")),"Bajo",IF(OR(AND(AF66="Muy baja",AH66="Moderado"),AND(AF66="Baja",AH66="Menor"),AND(AF66="Baja",AH66="Moderado"),AND(AF66="Media",AH66="Leve"),AND(AF66="Media",AH66="Menor"),AND(AF66="Media",AH66="Moderado"),AND(AF66="Alta",AH66="Leve"),AND(AF66="Alta",AH66="Menor")),"Moderado",IF(OR(AND(AF66="Muy Baja",AH66="Mayor"),AND(AF66="Baja",AH66="Mayor"),AND(AF66="Media",AH66="Mayor"),AND(AF66="Alta",AH66="Moderado"),AND(AF66="Alta",AH66="Mayor"),AND(AF66="Muy Alta",AH66="Leve"),AND(AF66="Muy Alta",AH66="Menor"),AND(AF66="Muy Alta",AH66="Moderado"),AND(AF66="Muy Alta",AH66="Mayor")),"Alto",IF(OR(AND(AF66="Muy Baja",AH66="Catastrófico"),AND(AF66="Baja",AH66="Catastrófico"),AND(AF66="Media",AH66="Catastrófico"),AND(AF66="Alta",AH66="Catastrófico"),AND(AF66="Muy Alta",AH66="Catastrófico")),"Extremo","")))),"")</f>
        <v/>
      </c>
      <c r="AK66" s="195"/>
      <c r="AL66" s="186"/>
      <c r="AM66" s="196"/>
      <c r="AN66" s="196"/>
      <c r="AO66" s="197"/>
      <c r="AP66" s="341"/>
      <c r="AQ66" s="341"/>
      <c r="AR66" s="341"/>
    </row>
    <row r="67" spans="1:44" hidden="1" x14ac:dyDescent="0.2">
      <c r="A67" s="363"/>
      <c r="B67" s="345"/>
      <c r="C67" s="345"/>
      <c r="D67" s="345"/>
      <c r="E67" s="345"/>
      <c r="F67" s="345"/>
      <c r="G67" s="338"/>
      <c r="H67" s="338"/>
      <c r="I67" s="222"/>
      <c r="J67" s="222"/>
      <c r="K67" s="222"/>
      <c r="L67" s="338"/>
      <c r="M67" s="338"/>
      <c r="N67" s="341"/>
      <c r="O67" s="335"/>
      <c r="P67" s="334"/>
      <c r="Q67" s="324"/>
      <c r="R67" s="334">
        <f>IF(NOT(ISERROR(MATCH(Q67,_xlfn.ANCHORARRAY(F78),0))),Q80&amp;"Por favor no seleccionar los criterios de impacto",Q67)</f>
        <v>0</v>
      </c>
      <c r="S67" s="335"/>
      <c r="T67" s="334"/>
      <c r="U67" s="333"/>
      <c r="V67" s="214">
        <v>5</v>
      </c>
      <c r="W67" s="187"/>
      <c r="X67" s="189" t="str">
        <f t="shared" si="92"/>
        <v/>
      </c>
      <c r="Y67" s="190"/>
      <c r="Z67" s="190"/>
      <c r="AA67" s="191" t="str">
        <f t="shared" si="87"/>
        <v/>
      </c>
      <c r="AB67" s="190"/>
      <c r="AC67" s="190"/>
      <c r="AD67" s="190"/>
      <c r="AE67" s="192" t="str">
        <f t="shared" si="93"/>
        <v/>
      </c>
      <c r="AF67" s="193" t="str">
        <f t="shared" si="2"/>
        <v/>
      </c>
      <c r="AG67" s="191" t="str">
        <f t="shared" si="88"/>
        <v/>
      </c>
      <c r="AH67" s="193" t="str">
        <f t="shared" si="4"/>
        <v/>
      </c>
      <c r="AI67" s="191" t="str">
        <f t="shared" si="27"/>
        <v/>
      </c>
      <c r="AJ67" s="194" t="str">
        <f t="shared" ref="AJ67:AJ68" si="94">IFERROR(IF(OR(AND(AF67="Muy Baja",AH67="Leve"),AND(AF67="Muy Baja",AH67="Menor"),AND(AF67="Baja",AH67="Leve")),"Bajo",IF(OR(AND(AF67="Muy baja",AH67="Moderado"),AND(AF67="Baja",AH67="Menor"),AND(AF67="Baja",AH67="Moderado"),AND(AF67="Media",AH67="Leve"),AND(AF67="Media",AH67="Menor"),AND(AF67="Media",AH67="Moderado"),AND(AF67="Alta",AH67="Leve"),AND(AF67="Alta",AH67="Menor")),"Moderado",IF(OR(AND(AF67="Muy Baja",AH67="Mayor"),AND(AF67="Baja",AH67="Mayor"),AND(AF67="Media",AH67="Mayor"),AND(AF67="Alta",AH67="Moderado"),AND(AF67="Alta",AH67="Mayor"),AND(AF67="Muy Alta",AH67="Leve"),AND(AF67="Muy Alta",AH67="Menor"),AND(AF67="Muy Alta",AH67="Moderado"),AND(AF67="Muy Alta",AH67="Mayor")),"Alto",IF(OR(AND(AF67="Muy Baja",AH67="Catastrófico"),AND(AF67="Baja",AH67="Catastrófico"),AND(AF67="Media",AH67="Catastrófico"),AND(AF67="Alta",AH67="Catastrófico"),AND(AF67="Muy Alta",AH67="Catastrófico")),"Extremo","")))),"")</f>
        <v/>
      </c>
      <c r="AK67" s="195"/>
      <c r="AL67" s="186"/>
      <c r="AM67" s="196"/>
      <c r="AN67" s="196"/>
      <c r="AO67" s="197"/>
      <c r="AP67" s="341"/>
      <c r="AQ67" s="341"/>
      <c r="AR67" s="341"/>
    </row>
    <row r="68" spans="1:44" hidden="1" x14ac:dyDescent="0.2">
      <c r="A68" s="363"/>
      <c r="B68" s="345"/>
      <c r="C68" s="345"/>
      <c r="D68" s="345"/>
      <c r="E68" s="345"/>
      <c r="F68" s="345"/>
      <c r="G68" s="339"/>
      <c r="H68" s="339"/>
      <c r="I68" s="223"/>
      <c r="J68" s="223"/>
      <c r="K68" s="223"/>
      <c r="L68" s="339"/>
      <c r="M68" s="339"/>
      <c r="N68" s="341"/>
      <c r="O68" s="335"/>
      <c r="P68" s="334"/>
      <c r="Q68" s="324"/>
      <c r="R68" s="334">
        <f>IF(NOT(ISERROR(MATCH(Q68,_xlfn.ANCHORARRAY(F79),0))),Q81&amp;"Por favor no seleccionar los criterios de impacto",Q68)</f>
        <v>0</v>
      </c>
      <c r="S68" s="335"/>
      <c r="T68" s="334"/>
      <c r="U68" s="333"/>
      <c r="V68" s="214">
        <v>6</v>
      </c>
      <c r="W68" s="187"/>
      <c r="X68" s="189" t="str">
        <f t="shared" si="92"/>
        <v/>
      </c>
      <c r="Y68" s="190"/>
      <c r="Z68" s="190"/>
      <c r="AA68" s="191" t="str">
        <f t="shared" si="87"/>
        <v/>
      </c>
      <c r="AB68" s="190"/>
      <c r="AC68" s="190"/>
      <c r="AD68" s="190"/>
      <c r="AE68" s="192" t="str">
        <f t="shared" si="93"/>
        <v/>
      </c>
      <c r="AF68" s="193" t="str">
        <f t="shared" si="2"/>
        <v/>
      </c>
      <c r="AG68" s="191" t="str">
        <f t="shared" si="88"/>
        <v/>
      </c>
      <c r="AH68" s="193" t="str">
        <f t="shared" si="4"/>
        <v/>
      </c>
      <c r="AI68" s="191" t="str">
        <f t="shared" si="27"/>
        <v/>
      </c>
      <c r="AJ68" s="194" t="str">
        <f t="shared" si="94"/>
        <v/>
      </c>
      <c r="AK68" s="195"/>
      <c r="AL68" s="186"/>
      <c r="AM68" s="196"/>
      <c r="AN68" s="196"/>
      <c r="AO68" s="197"/>
      <c r="AP68" s="341"/>
      <c r="AQ68" s="341"/>
      <c r="AR68" s="341"/>
    </row>
    <row r="69" spans="1:44" hidden="1" x14ac:dyDescent="0.2">
      <c r="A69" s="363">
        <v>10</v>
      </c>
      <c r="B69" s="345"/>
      <c r="C69" s="345"/>
      <c r="D69" s="345"/>
      <c r="E69" s="345"/>
      <c r="F69" s="345"/>
      <c r="G69" s="337"/>
      <c r="H69" s="337"/>
      <c r="I69" s="221"/>
      <c r="J69" s="221"/>
      <c r="K69" s="221"/>
      <c r="L69" s="337"/>
      <c r="M69" s="337"/>
      <c r="N69" s="341"/>
      <c r="O69" s="335" t="str">
        <f>IF(N69&lt;=0,"",IF(N69&lt;=2,"Muy Baja",IF(N69&lt;=24,"Baja",IF(N69&lt;=500,"Media",IF(N69&lt;=5000,"Alta","Muy Alta")))))</f>
        <v/>
      </c>
      <c r="P69" s="334" t="str">
        <f>IF(O69="","",IF(O69="Muy Baja",0.2,IF(O69="Baja",0.4,IF(O69="Media",0.6,IF(O69="Alta",0.8,IF(O69="Muy Alta",1,))))))</f>
        <v/>
      </c>
      <c r="Q69" s="324"/>
      <c r="R69" s="334">
        <f>IF(NOT(ISERROR(MATCH(Q69,'Tabla Impacto'!$B$222:$B$224,0))),'Tabla Impacto'!$F$224&amp;"Por favor no seleccionar los criterios de impacto(Afectación Económica o presupuestal y Pérdida Reputacional)",Q69)</f>
        <v>0</v>
      </c>
      <c r="S69" s="335" t="str">
        <f>IF(OR(R69='Tabla Impacto'!$C$12,R69='Tabla Impacto'!$D$12),"Leve",IF(OR(R69='Tabla Impacto'!$C$13,R69='Tabla Impacto'!$D$13),"Menor",IF(OR(R69='Tabla Impacto'!$C$14,R69='Tabla Impacto'!$D$14),"Moderado",IF(OR(R69='Tabla Impacto'!$C$15,R69='Tabla Impacto'!$D$15),"Mayor",IF(OR(R69='Tabla Impacto'!$C$16,R69='Tabla Impacto'!$D$16),"Catastrófico","")))))</f>
        <v/>
      </c>
      <c r="T69" s="334" t="str">
        <f>IF(S69="","",IF(S69="Leve",0.2,IF(S69="Menor",0.4,IF(S69="Moderado",0.6,IF(S69="Mayor",0.8,IF(S69="Catastrófico",1,))))))</f>
        <v/>
      </c>
      <c r="U69" s="333" t="str">
        <f>IF(OR(AND(O69="Muy Baja",S69="Leve"),AND(O69="Muy Baja",S69="Menor"),AND(O69="Baja",S69="Leve")),"Bajo",IF(OR(AND(O69="Muy baja",S69="Moderado"),AND(O69="Baja",S69="Menor"),AND(O69="Baja",S69="Moderado"),AND(O69="Media",S69="Leve"),AND(O69="Media",S69="Menor"),AND(O69="Media",S69="Moderado"),AND(O69="Alta",S69="Leve"),AND(O69="Alta",S69="Menor")),"Moderado",IF(OR(AND(O69="Muy Baja",S69="Mayor"),AND(O69="Baja",S69="Mayor"),AND(O69="Media",S69="Mayor"),AND(O69="Alta",S69="Moderado"),AND(O69="Alta",S69="Mayor"),AND(O69="Muy Alta",S69="Leve"),AND(O69="Muy Alta",S69="Menor"),AND(O69="Muy Alta",S69="Moderado"),AND(O69="Muy Alta",S69="Mayor")),"Alto",IF(OR(AND(O69="Muy Baja",S69="Catastrófico"),AND(O69="Baja",S69="Catastrófico"),AND(O69="Media",S69="Catastrófico"),AND(O69="Alta",S69="Catastrófico"),AND(O69="Muy Alta",S69="Catastrófico")),"Extremo",""))))</f>
        <v/>
      </c>
      <c r="V69" s="214">
        <v>1</v>
      </c>
      <c r="W69" s="187"/>
      <c r="X69" s="189" t="str">
        <f>IF(OR(Y69="Preventivo",Y69="Detectivo"),"Probabilidad",IF(Y69="Correctivo","Impacto",""))</f>
        <v/>
      </c>
      <c r="Y69" s="190"/>
      <c r="Z69" s="190"/>
      <c r="AA69" s="191" t="str">
        <f>IF(AND(Y69="Preventivo",Z69="Automático"),"50%",IF(AND(Y69="Preventivo",Z69="Manual"),"40%",IF(AND(Y69="Detectivo",Z69="Automático"),"40%",IF(AND(Y69="Detectivo",Z69="Manual"),"30%",IF(AND(Y69="Correctivo",Z69="Automático"),"35%",IF(AND(Y69="Correctivo",Z69="Manual"),"25%",""))))))</f>
        <v/>
      </c>
      <c r="AB69" s="190"/>
      <c r="AC69" s="190"/>
      <c r="AD69" s="190"/>
      <c r="AE69" s="192" t="str">
        <f>IFERROR(IF(X69="Probabilidad",(P69-(+P69*AA69)),IF(X69="Impacto",P69,"")),"")</f>
        <v/>
      </c>
      <c r="AF69" s="193" t="str">
        <f>IFERROR(IF(AE69="","",IF(AE69&lt;=0.2,"Muy Baja",IF(AE69&lt;=0.4,"Baja",IF(AE69&lt;=0.6,"Media",IF(AE69&lt;=0.8,"Alta","Muy Alta"))))),"")</f>
        <v/>
      </c>
      <c r="AG69" s="191" t="str">
        <f>+AE69</f>
        <v/>
      </c>
      <c r="AH69" s="193" t="str">
        <f>IFERROR(IF(AI69="","",IF(AI69&lt;=0.2,"Leve",IF(AI69&lt;=0.4,"Menor",IF(AI69&lt;=0.6,"Moderado",IF(AI69&lt;=0.8,"Mayor","Catastrófico"))))),"")</f>
        <v/>
      </c>
      <c r="AI69" s="191" t="str">
        <f t="shared" ref="AI69" si="95">IFERROR(IF(X69="Impacto",(T69-(+T69*AA69)),IF(X69="Probabilidad",T69,"")),"")</f>
        <v/>
      </c>
      <c r="AJ69" s="194" t="str">
        <f>IFERROR(IF(OR(AND(AF69="Muy Baja",AH69="Leve"),AND(AF69="Muy Baja",AH69="Menor"),AND(AF69="Baja",AH69="Leve")),"Bajo",IF(OR(AND(AF69="Muy baja",AH69="Moderado"),AND(AF69="Baja",AH69="Menor"),AND(AF69="Baja",AH69="Moderado"),AND(AF69="Media",AH69="Leve"),AND(AF69="Media",AH69="Menor"),AND(AF69="Media",AH69="Moderado"),AND(AF69="Alta",AH69="Leve"),AND(AF69="Alta",AH69="Menor")),"Moderado",IF(OR(AND(AF69="Muy Baja",AH69="Mayor"),AND(AF69="Baja",AH69="Mayor"),AND(AF69="Media",AH69="Mayor"),AND(AF69="Alta",AH69="Moderado"),AND(AF69="Alta",AH69="Mayor"),AND(AF69="Muy Alta",AH69="Leve"),AND(AF69="Muy Alta",AH69="Menor"),AND(AF69="Muy Alta",AH69="Moderado"),AND(AF69="Muy Alta",AH69="Mayor")),"Alto",IF(OR(AND(AF69="Muy Baja",AH69="Catastrófico"),AND(AF69="Baja",AH69="Catastrófico"),AND(AF69="Media",AH69="Catastrófico"),AND(AF69="Alta",AH69="Catastrófico"),AND(AF69="Muy Alta",AH69="Catastrófico")),"Extremo","")))),"")</f>
        <v/>
      </c>
      <c r="AK69" s="195"/>
      <c r="AL69" s="186"/>
      <c r="AM69" s="196"/>
      <c r="AN69" s="196"/>
      <c r="AO69" s="197"/>
      <c r="AP69" s="341"/>
      <c r="AQ69" s="341"/>
      <c r="AR69" s="341"/>
    </row>
    <row r="70" spans="1:44" hidden="1" x14ac:dyDescent="0.2">
      <c r="A70" s="363"/>
      <c r="B70" s="345"/>
      <c r="C70" s="345"/>
      <c r="D70" s="345"/>
      <c r="E70" s="345"/>
      <c r="F70" s="345"/>
      <c r="G70" s="338"/>
      <c r="H70" s="338"/>
      <c r="I70" s="222"/>
      <c r="J70" s="222"/>
      <c r="K70" s="222"/>
      <c r="L70" s="338"/>
      <c r="M70" s="338"/>
      <c r="N70" s="341"/>
      <c r="O70" s="335"/>
      <c r="P70" s="334"/>
      <c r="Q70" s="324"/>
      <c r="R70" s="334">
        <f>IF(NOT(ISERROR(MATCH(Q70,_xlfn.ANCHORARRAY(F81),0))),Q83&amp;"Por favor no seleccionar los criterios de impacto",Q70)</f>
        <v>0</v>
      </c>
      <c r="S70" s="335"/>
      <c r="T70" s="334"/>
      <c r="U70" s="333"/>
      <c r="V70" s="214">
        <v>2</v>
      </c>
      <c r="W70" s="187"/>
      <c r="X70" s="189" t="str">
        <f>IF(OR(Y70="Preventivo",Y70="Detectivo"),"Probabilidad",IF(Y70="Correctivo","Impacto",""))</f>
        <v/>
      </c>
      <c r="Y70" s="190"/>
      <c r="Z70" s="190"/>
      <c r="AA70" s="191" t="str">
        <f t="shared" ref="AA70:AA74" si="96">IF(AND(Y70="Preventivo",Z70="Automático"),"50%",IF(AND(Y70="Preventivo",Z70="Manual"),"40%",IF(AND(Y70="Detectivo",Z70="Automático"),"40%",IF(AND(Y70="Detectivo",Z70="Manual"),"30%",IF(AND(Y70="Correctivo",Z70="Automático"),"35%",IF(AND(Y70="Correctivo",Z70="Manual"),"25%",""))))))</f>
        <v/>
      </c>
      <c r="AB70" s="190"/>
      <c r="AC70" s="190"/>
      <c r="AD70" s="190"/>
      <c r="AE70" s="192" t="str">
        <f>IFERROR(IF(AND(X69="Probabilidad",X70="Probabilidad"),(AG69-(+AG69*AA70)),IF(X70="Probabilidad",(P69-(+P69*AA70)),IF(X70="Impacto",AG69,""))),"")</f>
        <v/>
      </c>
      <c r="AF70" s="193" t="str">
        <f t="shared" si="2"/>
        <v/>
      </c>
      <c r="AG70" s="191" t="str">
        <f t="shared" ref="AG70:AG74" si="97">+AE70</f>
        <v/>
      </c>
      <c r="AH70" s="193" t="str">
        <f t="shared" si="4"/>
        <v/>
      </c>
      <c r="AI70" s="191" t="str">
        <f t="shared" ref="AI70" si="98">IFERROR(IF(AND(X69="Impacto",X70="Impacto"),(AI69-(+AI69*AA70)),IF(X70="Impacto",($T$13-(+$T$13*AA70)),IF(X70="Probabilidad",AI69,""))),"")</f>
        <v/>
      </c>
      <c r="AJ70" s="194" t="str">
        <f t="shared" ref="AJ70:AJ71" si="99">IFERROR(IF(OR(AND(AF70="Muy Baja",AH70="Leve"),AND(AF70="Muy Baja",AH70="Menor"),AND(AF70="Baja",AH70="Leve")),"Bajo",IF(OR(AND(AF70="Muy baja",AH70="Moderado"),AND(AF70="Baja",AH70="Menor"),AND(AF70="Baja",AH70="Moderado"),AND(AF70="Media",AH70="Leve"),AND(AF70="Media",AH70="Menor"),AND(AF70="Media",AH70="Moderado"),AND(AF70="Alta",AH70="Leve"),AND(AF70="Alta",AH70="Menor")),"Moderado",IF(OR(AND(AF70="Muy Baja",AH70="Mayor"),AND(AF70="Baja",AH70="Mayor"),AND(AF70="Media",AH70="Mayor"),AND(AF70="Alta",AH70="Moderado"),AND(AF70="Alta",AH70="Mayor"),AND(AF70="Muy Alta",AH70="Leve"),AND(AF70="Muy Alta",AH70="Menor"),AND(AF70="Muy Alta",AH70="Moderado"),AND(AF70="Muy Alta",AH70="Mayor")),"Alto",IF(OR(AND(AF70="Muy Baja",AH70="Catastrófico"),AND(AF70="Baja",AH70="Catastrófico"),AND(AF70="Media",AH70="Catastrófico"),AND(AF70="Alta",AH70="Catastrófico"),AND(AF70="Muy Alta",AH70="Catastrófico")),"Extremo","")))),"")</f>
        <v/>
      </c>
      <c r="AK70" s="195"/>
      <c r="AL70" s="186"/>
      <c r="AM70" s="196"/>
      <c r="AN70" s="196"/>
      <c r="AO70" s="197"/>
      <c r="AP70" s="341"/>
      <c r="AQ70" s="341"/>
      <c r="AR70" s="341"/>
    </row>
    <row r="71" spans="1:44" hidden="1" x14ac:dyDescent="0.2">
      <c r="A71" s="363"/>
      <c r="B71" s="345"/>
      <c r="C71" s="345"/>
      <c r="D71" s="345"/>
      <c r="E71" s="345"/>
      <c r="F71" s="345"/>
      <c r="G71" s="338"/>
      <c r="H71" s="338"/>
      <c r="I71" s="222"/>
      <c r="J71" s="222"/>
      <c r="K71" s="222"/>
      <c r="L71" s="338"/>
      <c r="M71" s="338"/>
      <c r="N71" s="341"/>
      <c r="O71" s="335"/>
      <c r="P71" s="334"/>
      <c r="Q71" s="324"/>
      <c r="R71" s="334">
        <f>IF(NOT(ISERROR(MATCH(Q71,_xlfn.ANCHORARRAY(F82),0))),Q84&amp;"Por favor no seleccionar los criterios de impacto",Q71)</f>
        <v>0</v>
      </c>
      <c r="S71" s="335"/>
      <c r="T71" s="334"/>
      <c r="U71" s="333"/>
      <c r="V71" s="214">
        <v>3</v>
      </c>
      <c r="W71" s="187"/>
      <c r="X71" s="189" t="str">
        <f>IF(OR(Y71="Preventivo",Y71="Detectivo"),"Probabilidad",IF(Y71="Correctivo","Impacto",""))</f>
        <v/>
      </c>
      <c r="Y71" s="190"/>
      <c r="Z71" s="190"/>
      <c r="AA71" s="191" t="str">
        <f t="shared" si="96"/>
        <v/>
      </c>
      <c r="AB71" s="190"/>
      <c r="AC71" s="190"/>
      <c r="AD71" s="190"/>
      <c r="AE71" s="192" t="str">
        <f>IFERROR(IF(AND(X70="Probabilidad",X71="Probabilidad"),(AG70-(+AG70*AA71)),IF(AND(X70="Impacto",X71="Probabilidad"),(AG69-(+AG69*AA71)),IF(X71="Impacto",AG70,""))),"")</f>
        <v/>
      </c>
      <c r="AF71" s="193" t="str">
        <f t="shared" si="2"/>
        <v/>
      </c>
      <c r="AG71" s="191" t="str">
        <f t="shared" si="97"/>
        <v/>
      </c>
      <c r="AH71" s="193" t="str">
        <f t="shared" si="4"/>
        <v/>
      </c>
      <c r="AI71" s="191" t="str">
        <f t="shared" ref="AI71" si="100">IFERROR(IF(AND(X70="Impacto",X71="Impacto"),(AI70-(+AI70*AA71)),IF(AND(X70="Probabilidad",X71="Impacto"),(AI69-(+AI69*AA71)),IF(X71="Probabilidad",AI70,""))),"")</f>
        <v/>
      </c>
      <c r="AJ71" s="194" t="str">
        <f t="shared" si="99"/>
        <v/>
      </c>
      <c r="AK71" s="195"/>
      <c r="AL71" s="186"/>
      <c r="AM71" s="196"/>
      <c r="AN71" s="196"/>
      <c r="AO71" s="197"/>
      <c r="AP71" s="341"/>
      <c r="AQ71" s="341"/>
      <c r="AR71" s="341"/>
    </row>
    <row r="72" spans="1:44" hidden="1" x14ac:dyDescent="0.2">
      <c r="A72" s="363"/>
      <c r="B72" s="345"/>
      <c r="C72" s="345"/>
      <c r="D72" s="345"/>
      <c r="E72" s="345"/>
      <c r="F72" s="345"/>
      <c r="G72" s="338"/>
      <c r="H72" s="338"/>
      <c r="I72" s="222"/>
      <c r="J72" s="222"/>
      <c r="K72" s="222"/>
      <c r="L72" s="338"/>
      <c r="M72" s="338"/>
      <c r="N72" s="341"/>
      <c r="O72" s="335"/>
      <c r="P72" s="334"/>
      <c r="Q72" s="324"/>
      <c r="R72" s="334">
        <f>IF(NOT(ISERROR(MATCH(Q72,_xlfn.ANCHORARRAY(F83),0))),Q85&amp;"Por favor no seleccionar los criterios de impacto",Q72)</f>
        <v>0</v>
      </c>
      <c r="S72" s="335"/>
      <c r="T72" s="334"/>
      <c r="U72" s="333"/>
      <c r="V72" s="214">
        <v>4</v>
      </c>
      <c r="W72" s="187"/>
      <c r="X72" s="189" t="str">
        <f t="shared" ref="X72:X74" si="101">IF(OR(Y72="Preventivo",Y72="Detectivo"),"Probabilidad",IF(Y72="Correctivo","Impacto",""))</f>
        <v/>
      </c>
      <c r="Y72" s="190"/>
      <c r="Z72" s="190"/>
      <c r="AA72" s="191" t="str">
        <f t="shared" si="96"/>
        <v/>
      </c>
      <c r="AB72" s="190"/>
      <c r="AC72" s="190"/>
      <c r="AD72" s="190"/>
      <c r="AE72" s="192" t="str">
        <f t="shared" ref="AE72:AE74" si="102">IFERROR(IF(AND(X71="Probabilidad",X72="Probabilidad"),(AG71-(+AG71*AA72)),IF(AND(X71="Impacto",X72="Probabilidad"),(AG70-(+AG70*AA72)),IF(X72="Impacto",AG71,""))),"")</f>
        <v/>
      </c>
      <c r="AF72" s="193" t="str">
        <f t="shared" si="2"/>
        <v/>
      </c>
      <c r="AG72" s="191" t="str">
        <f t="shared" si="97"/>
        <v/>
      </c>
      <c r="AH72" s="193" t="str">
        <f t="shared" si="4"/>
        <v/>
      </c>
      <c r="AI72" s="191" t="str">
        <f t="shared" si="27"/>
        <v/>
      </c>
      <c r="AJ72" s="194" t="str">
        <f>IFERROR(IF(OR(AND(AF72="Muy Baja",AH72="Leve"),AND(AF72="Muy Baja",AH72="Menor"),AND(AF72="Baja",AH72="Leve")),"Bajo",IF(OR(AND(AF72="Muy baja",AH72="Moderado"),AND(AF72="Baja",AH72="Menor"),AND(AF72="Baja",AH72="Moderado"),AND(AF72="Media",AH72="Leve"),AND(AF72="Media",AH72="Menor"),AND(AF72="Media",AH72="Moderado"),AND(AF72="Alta",AH72="Leve"),AND(AF72="Alta",AH72="Menor")),"Moderado",IF(OR(AND(AF72="Muy Baja",AH72="Mayor"),AND(AF72="Baja",AH72="Mayor"),AND(AF72="Media",AH72="Mayor"),AND(AF72="Alta",AH72="Moderado"),AND(AF72="Alta",AH72="Mayor"),AND(AF72="Muy Alta",AH72="Leve"),AND(AF72="Muy Alta",AH72="Menor"),AND(AF72="Muy Alta",AH72="Moderado"),AND(AF72="Muy Alta",AH72="Mayor")),"Alto",IF(OR(AND(AF72="Muy Baja",AH72="Catastrófico"),AND(AF72="Baja",AH72="Catastrófico"),AND(AF72="Media",AH72="Catastrófico"),AND(AF72="Alta",AH72="Catastrófico"),AND(AF72="Muy Alta",AH72="Catastrófico")),"Extremo","")))),"")</f>
        <v/>
      </c>
      <c r="AK72" s="195"/>
      <c r="AL72" s="186"/>
      <c r="AM72" s="196"/>
      <c r="AN72" s="196"/>
      <c r="AO72" s="197"/>
      <c r="AP72" s="341"/>
      <c r="AQ72" s="341"/>
      <c r="AR72" s="341"/>
    </row>
    <row r="73" spans="1:44" hidden="1" x14ac:dyDescent="0.2">
      <c r="A73" s="363"/>
      <c r="B73" s="345"/>
      <c r="C73" s="345"/>
      <c r="D73" s="345"/>
      <c r="E73" s="345"/>
      <c r="F73" s="345"/>
      <c r="G73" s="338"/>
      <c r="H73" s="338"/>
      <c r="I73" s="222"/>
      <c r="J73" s="222"/>
      <c r="K73" s="222"/>
      <c r="L73" s="338"/>
      <c r="M73" s="338"/>
      <c r="N73" s="341"/>
      <c r="O73" s="335"/>
      <c r="P73" s="334"/>
      <c r="Q73" s="324"/>
      <c r="R73" s="334">
        <f>IF(NOT(ISERROR(MATCH(Q73,_xlfn.ANCHORARRAY(F84),0))),Q86&amp;"Por favor no seleccionar los criterios de impacto",Q73)</f>
        <v>0</v>
      </c>
      <c r="S73" s="335"/>
      <c r="T73" s="334"/>
      <c r="U73" s="333"/>
      <c r="V73" s="214">
        <v>5</v>
      </c>
      <c r="W73" s="187"/>
      <c r="X73" s="189" t="str">
        <f t="shared" si="101"/>
        <v/>
      </c>
      <c r="Y73" s="190"/>
      <c r="Z73" s="190"/>
      <c r="AA73" s="191" t="str">
        <f t="shared" si="96"/>
        <v/>
      </c>
      <c r="AB73" s="190"/>
      <c r="AC73" s="190"/>
      <c r="AD73" s="190"/>
      <c r="AE73" s="192" t="str">
        <f t="shared" si="102"/>
        <v/>
      </c>
      <c r="AF73" s="193" t="str">
        <f t="shared" si="2"/>
        <v/>
      </c>
      <c r="AG73" s="191" t="str">
        <f t="shared" si="97"/>
        <v/>
      </c>
      <c r="AH73" s="193" t="str">
        <f t="shared" si="4"/>
        <v/>
      </c>
      <c r="AI73" s="191" t="str">
        <f t="shared" si="27"/>
        <v/>
      </c>
      <c r="AJ73" s="194" t="str">
        <f t="shared" ref="AJ73:AJ74" si="103">IFERROR(IF(OR(AND(AF73="Muy Baja",AH73="Leve"),AND(AF73="Muy Baja",AH73="Menor"),AND(AF73="Baja",AH73="Leve")),"Bajo",IF(OR(AND(AF73="Muy baja",AH73="Moderado"),AND(AF73="Baja",AH73="Menor"),AND(AF73="Baja",AH73="Moderado"),AND(AF73="Media",AH73="Leve"),AND(AF73="Media",AH73="Menor"),AND(AF73="Media",AH73="Moderado"),AND(AF73="Alta",AH73="Leve"),AND(AF73="Alta",AH73="Menor")),"Moderado",IF(OR(AND(AF73="Muy Baja",AH73="Mayor"),AND(AF73="Baja",AH73="Mayor"),AND(AF73="Media",AH73="Mayor"),AND(AF73="Alta",AH73="Moderado"),AND(AF73="Alta",AH73="Mayor"),AND(AF73="Muy Alta",AH73="Leve"),AND(AF73="Muy Alta",AH73="Menor"),AND(AF73="Muy Alta",AH73="Moderado"),AND(AF73="Muy Alta",AH73="Mayor")),"Alto",IF(OR(AND(AF73="Muy Baja",AH73="Catastrófico"),AND(AF73="Baja",AH73="Catastrófico"),AND(AF73="Media",AH73="Catastrófico"),AND(AF73="Alta",AH73="Catastrófico"),AND(AF73="Muy Alta",AH73="Catastrófico")),"Extremo","")))),"")</f>
        <v/>
      </c>
      <c r="AK73" s="195"/>
      <c r="AL73" s="186"/>
      <c r="AM73" s="196"/>
      <c r="AN73" s="196"/>
      <c r="AO73" s="197"/>
      <c r="AP73" s="341"/>
      <c r="AQ73" s="341"/>
      <c r="AR73" s="341"/>
    </row>
    <row r="74" spans="1:44" hidden="1" x14ac:dyDescent="0.2">
      <c r="A74" s="363"/>
      <c r="B74" s="345"/>
      <c r="C74" s="345"/>
      <c r="D74" s="345"/>
      <c r="E74" s="345"/>
      <c r="F74" s="345"/>
      <c r="G74" s="339"/>
      <c r="H74" s="339"/>
      <c r="I74" s="223"/>
      <c r="J74" s="223"/>
      <c r="K74" s="223"/>
      <c r="L74" s="339"/>
      <c r="M74" s="339"/>
      <c r="N74" s="341"/>
      <c r="O74" s="335"/>
      <c r="P74" s="334"/>
      <c r="Q74" s="324"/>
      <c r="R74" s="334">
        <f>IF(NOT(ISERROR(MATCH(Q74,_xlfn.ANCHORARRAY(F85),0))),Q87&amp;"Por favor no seleccionar los criterios de impacto",Q74)</f>
        <v>0</v>
      </c>
      <c r="S74" s="335"/>
      <c r="T74" s="334"/>
      <c r="U74" s="333"/>
      <c r="V74" s="214">
        <v>6</v>
      </c>
      <c r="W74" s="187"/>
      <c r="X74" s="189" t="str">
        <f t="shared" si="101"/>
        <v/>
      </c>
      <c r="Y74" s="190"/>
      <c r="Z74" s="190"/>
      <c r="AA74" s="191" t="str">
        <f t="shared" si="96"/>
        <v/>
      </c>
      <c r="AB74" s="190"/>
      <c r="AC74" s="190"/>
      <c r="AD74" s="190"/>
      <c r="AE74" s="192" t="str">
        <f t="shared" si="102"/>
        <v/>
      </c>
      <c r="AF74" s="193" t="str">
        <f t="shared" si="2"/>
        <v/>
      </c>
      <c r="AG74" s="191" t="str">
        <f t="shared" si="97"/>
        <v/>
      </c>
      <c r="AH74" s="193" t="str">
        <f t="shared" si="4"/>
        <v/>
      </c>
      <c r="AI74" s="191" t="str">
        <f t="shared" si="27"/>
        <v/>
      </c>
      <c r="AJ74" s="194" t="str">
        <f t="shared" si="103"/>
        <v/>
      </c>
      <c r="AK74" s="195"/>
      <c r="AL74" s="186"/>
      <c r="AM74" s="196"/>
      <c r="AN74" s="196"/>
      <c r="AO74" s="197"/>
      <c r="AP74" s="341"/>
      <c r="AQ74" s="341"/>
      <c r="AR74" s="341"/>
    </row>
    <row r="75" spans="1:44" x14ac:dyDescent="0.2">
      <c r="A75" s="216"/>
      <c r="B75" s="367" t="s">
        <v>261</v>
      </c>
      <c r="C75" s="368"/>
      <c r="D75" s="368"/>
      <c r="E75" s="368"/>
      <c r="F75" s="368"/>
      <c r="G75" s="368"/>
      <c r="H75" s="368"/>
      <c r="I75" s="368"/>
      <c r="J75" s="368"/>
      <c r="K75" s="368"/>
      <c r="L75" s="368"/>
      <c r="M75" s="368"/>
      <c r="N75" s="368"/>
      <c r="O75" s="368"/>
      <c r="P75" s="368"/>
      <c r="Q75" s="368"/>
      <c r="R75" s="368"/>
      <c r="S75" s="368"/>
      <c r="T75" s="368"/>
      <c r="U75" s="368"/>
      <c r="V75" s="368"/>
      <c r="W75" s="368"/>
      <c r="X75" s="368"/>
      <c r="Y75" s="368"/>
      <c r="Z75" s="368"/>
      <c r="AA75" s="368"/>
      <c r="AB75" s="368"/>
      <c r="AC75" s="368"/>
      <c r="AD75" s="368"/>
      <c r="AE75" s="368"/>
      <c r="AF75" s="368"/>
      <c r="AG75" s="368"/>
      <c r="AH75" s="368"/>
      <c r="AI75" s="368"/>
      <c r="AJ75" s="368"/>
      <c r="AK75" s="368"/>
      <c r="AL75" s="368"/>
      <c r="AM75" s="368"/>
      <c r="AN75" s="368"/>
      <c r="AO75" s="368"/>
      <c r="AP75" s="368"/>
    </row>
    <row r="77" spans="1:44" ht="15.75" x14ac:dyDescent="0.2">
      <c r="A77" s="198"/>
      <c r="B77" s="206" t="s">
        <v>262</v>
      </c>
      <c r="C77" s="198"/>
      <c r="D77" s="198"/>
      <c r="E77" s="198"/>
      <c r="N77" s="198"/>
    </row>
  </sheetData>
  <dataConsolidate/>
  <mergeCells count="299">
    <mergeCell ref="AP21:AP24"/>
    <mergeCell ref="AQ21:AQ24"/>
    <mergeCell ref="AR21:AR24"/>
    <mergeCell ref="C8:T8"/>
    <mergeCell ref="D1:T2"/>
    <mergeCell ref="D4:T4"/>
    <mergeCell ref="J3:T3"/>
    <mergeCell ref="D3:I3"/>
    <mergeCell ref="A27:A32"/>
    <mergeCell ref="B27:B32"/>
    <mergeCell ref="C27:C32"/>
    <mergeCell ref="D27:D32"/>
    <mergeCell ref="A1:C4"/>
    <mergeCell ref="N27:N32"/>
    <mergeCell ref="O27:O32"/>
    <mergeCell ref="P27:P32"/>
    <mergeCell ref="F27:F32"/>
    <mergeCell ref="N21:N26"/>
    <mergeCell ref="O21:O26"/>
    <mergeCell ref="P21:P26"/>
    <mergeCell ref="G21:G26"/>
    <mergeCell ref="G27:G32"/>
    <mergeCell ref="L21:L26"/>
    <mergeCell ref="M21:M26"/>
    <mergeCell ref="A21:A26"/>
    <mergeCell ref="B21:B26"/>
    <mergeCell ref="C21:C26"/>
    <mergeCell ref="D21:D26"/>
    <mergeCell ref="Z6:AR6"/>
    <mergeCell ref="Z7:AR7"/>
    <mergeCell ref="Z8:AR8"/>
    <mergeCell ref="X1:AR2"/>
    <mergeCell ref="X3:AL3"/>
    <mergeCell ref="X4:AR4"/>
    <mergeCell ref="AM3:AR3"/>
    <mergeCell ref="A6:B6"/>
    <mergeCell ref="A7:B7"/>
    <mergeCell ref="A8:B8"/>
    <mergeCell ref="W6:Y6"/>
    <mergeCell ref="C6:T6"/>
    <mergeCell ref="C7:T7"/>
    <mergeCell ref="U13:U20"/>
    <mergeCell ref="P13:P20"/>
    <mergeCell ref="Q13:Q20"/>
    <mergeCell ref="R13:R20"/>
    <mergeCell ref="S13:S20"/>
    <mergeCell ref="G13:G20"/>
    <mergeCell ref="A10:F10"/>
    <mergeCell ref="F11:F12"/>
    <mergeCell ref="U39:U44"/>
    <mergeCell ref="T45:T50"/>
    <mergeCell ref="U45:U50"/>
    <mergeCell ref="Q51:Q56"/>
    <mergeCell ref="R51:R56"/>
    <mergeCell ref="S51:S56"/>
    <mergeCell ref="F39:F44"/>
    <mergeCell ref="F45:F50"/>
    <mergeCell ref="G39:G44"/>
    <mergeCell ref="Q45:Q50"/>
    <mergeCell ref="R45:R50"/>
    <mergeCell ref="S45:S50"/>
    <mergeCell ref="N39:N44"/>
    <mergeCell ref="O39:O44"/>
    <mergeCell ref="G51:G56"/>
    <mergeCell ref="I51:I56"/>
    <mergeCell ref="J51:J56"/>
    <mergeCell ref="K51:K56"/>
    <mergeCell ref="L39:L44"/>
    <mergeCell ref="G45:G50"/>
    <mergeCell ref="I39:I44"/>
    <mergeCell ref="J39:J44"/>
    <mergeCell ref="K39:K44"/>
    <mergeCell ref="I45:I50"/>
    <mergeCell ref="E63:E68"/>
    <mergeCell ref="N63:N68"/>
    <mergeCell ref="O63:O68"/>
    <mergeCell ref="P63:P68"/>
    <mergeCell ref="P39:P44"/>
    <mergeCell ref="Q39:Q44"/>
    <mergeCell ref="N45:N50"/>
    <mergeCell ref="O45:O50"/>
    <mergeCell ref="P45:P50"/>
    <mergeCell ref="F51:F56"/>
    <mergeCell ref="F57:F62"/>
    <mergeCell ref="G57:G62"/>
    <mergeCell ref="I57:I62"/>
    <mergeCell ref="J57:J62"/>
    <mergeCell ref="K57:K62"/>
    <mergeCell ref="J45:J50"/>
    <mergeCell ref="K45:K50"/>
    <mergeCell ref="H39:H44"/>
    <mergeCell ref="H45:H50"/>
    <mergeCell ref="B75:AP75"/>
    <mergeCell ref="T63:T68"/>
    <mergeCell ref="U63:U68"/>
    <mergeCell ref="A69:A74"/>
    <mergeCell ref="B69:B74"/>
    <mergeCell ref="C69:C74"/>
    <mergeCell ref="D69:D74"/>
    <mergeCell ref="E69:E74"/>
    <mergeCell ref="N69:N74"/>
    <mergeCell ref="O69:O74"/>
    <mergeCell ref="P69:P74"/>
    <mergeCell ref="Q69:Q74"/>
    <mergeCell ref="R69:R74"/>
    <mergeCell ref="S69:S74"/>
    <mergeCell ref="T69:T74"/>
    <mergeCell ref="U69:U74"/>
    <mergeCell ref="Q63:Q68"/>
    <mergeCell ref="R63:R68"/>
    <mergeCell ref="S63:S68"/>
    <mergeCell ref="A63:A68"/>
    <mergeCell ref="B63:B68"/>
    <mergeCell ref="C63:C68"/>
    <mergeCell ref="D63:D68"/>
    <mergeCell ref="F63:F68"/>
    <mergeCell ref="F69:F74"/>
    <mergeCell ref="T51:T56"/>
    <mergeCell ref="U51:U56"/>
    <mergeCell ref="N57:N62"/>
    <mergeCell ref="O57:O62"/>
    <mergeCell ref="P57:P62"/>
    <mergeCell ref="Q57:Q62"/>
    <mergeCell ref="N51:N56"/>
    <mergeCell ref="O51:O56"/>
    <mergeCell ref="P51:P56"/>
    <mergeCell ref="R57:R62"/>
    <mergeCell ref="S57:S62"/>
    <mergeCell ref="T57:T62"/>
    <mergeCell ref="U57:U62"/>
    <mergeCell ref="G63:G68"/>
    <mergeCell ref="G69:G74"/>
    <mergeCell ref="H69:H74"/>
    <mergeCell ref="H51:H56"/>
    <mergeCell ref="H57:H62"/>
    <mergeCell ref="H63:H68"/>
    <mergeCell ref="B57:B62"/>
    <mergeCell ref="C57:C62"/>
    <mergeCell ref="D57:D62"/>
    <mergeCell ref="E57:E62"/>
    <mergeCell ref="A51:A56"/>
    <mergeCell ref="B51:B56"/>
    <mergeCell ref="C51:C56"/>
    <mergeCell ref="D51:D56"/>
    <mergeCell ref="E51:E56"/>
    <mergeCell ref="A57:A62"/>
    <mergeCell ref="A39:A44"/>
    <mergeCell ref="B39:B44"/>
    <mergeCell ref="C39:C44"/>
    <mergeCell ref="A45:A50"/>
    <mergeCell ref="B45:B50"/>
    <mergeCell ref="C45:C50"/>
    <mergeCell ref="D45:D50"/>
    <mergeCell ref="E45:E50"/>
    <mergeCell ref="D39:D44"/>
    <mergeCell ref="E39:E44"/>
    <mergeCell ref="B33:B38"/>
    <mergeCell ref="C33:C38"/>
    <mergeCell ref="D33:D38"/>
    <mergeCell ref="E33:E38"/>
    <mergeCell ref="N33:N38"/>
    <mergeCell ref="O33:O38"/>
    <mergeCell ref="P33:P38"/>
    <mergeCell ref="F33:F38"/>
    <mergeCell ref="G33:G38"/>
    <mergeCell ref="I33:I38"/>
    <mergeCell ref="J33:J38"/>
    <mergeCell ref="K33:K38"/>
    <mergeCell ref="L33:L38"/>
    <mergeCell ref="M33:M38"/>
    <mergeCell ref="H33:H38"/>
    <mergeCell ref="S33:S38"/>
    <mergeCell ref="A13:A20"/>
    <mergeCell ref="B13:B20"/>
    <mergeCell ref="A11:A12"/>
    <mergeCell ref="E11:E12"/>
    <mergeCell ref="D11:D12"/>
    <mergeCell ref="C11:C12"/>
    <mergeCell ref="AP39:AP44"/>
    <mergeCell ref="T33:T38"/>
    <mergeCell ref="R39:R44"/>
    <mergeCell ref="S39:S44"/>
    <mergeCell ref="T39:T44"/>
    <mergeCell ref="E21:E26"/>
    <mergeCell ref="E27:E32"/>
    <mergeCell ref="B11:B12"/>
    <mergeCell ref="F13:F20"/>
    <mergeCell ref="G11:G12"/>
    <mergeCell ref="H11:H12"/>
    <mergeCell ref="I11:I12"/>
    <mergeCell ref="J11:J12"/>
    <mergeCell ref="K11:K12"/>
    <mergeCell ref="H13:H20"/>
    <mergeCell ref="H21:H26"/>
    <mergeCell ref="A33:A38"/>
    <mergeCell ref="T13:T20"/>
    <mergeCell ref="N11:N12"/>
    <mergeCell ref="O11:O12"/>
    <mergeCell ref="U11:U12"/>
    <mergeCell ref="Q11:Q12"/>
    <mergeCell ref="R11:R12"/>
    <mergeCell ref="AP11:AP12"/>
    <mergeCell ref="AQ11:AQ12"/>
    <mergeCell ref="AR11:AR12"/>
    <mergeCell ref="AP13:AP20"/>
    <mergeCell ref="AQ13:AQ20"/>
    <mergeCell ref="AR13:AR20"/>
    <mergeCell ref="AK11:AK12"/>
    <mergeCell ref="AN11:AN12"/>
    <mergeCell ref="V11:V12"/>
    <mergeCell ref="AJ11:AJ12"/>
    <mergeCell ref="AI11:AI12"/>
    <mergeCell ref="AE11:AE12"/>
    <mergeCell ref="W11:W12"/>
    <mergeCell ref="AH11:AH12"/>
    <mergeCell ref="AF11:AF12"/>
    <mergeCell ref="T11:T12"/>
    <mergeCell ref="AR63:AR68"/>
    <mergeCell ref="T27:T32"/>
    <mergeCell ref="U27:U32"/>
    <mergeCell ref="AP69:AP74"/>
    <mergeCell ref="AQ69:AQ74"/>
    <mergeCell ref="AR69:AR74"/>
    <mergeCell ref="AP45:AP50"/>
    <mergeCell ref="AQ45:AQ50"/>
    <mergeCell ref="AR45:AR50"/>
    <mergeCell ref="AP51:AP56"/>
    <mergeCell ref="AQ51:AQ56"/>
    <mergeCell ref="AR51:AR56"/>
    <mergeCell ref="AP57:AP62"/>
    <mergeCell ref="AQ57:AQ62"/>
    <mergeCell ref="AR57:AR62"/>
    <mergeCell ref="AP27:AP32"/>
    <mergeCell ref="AQ27:AQ32"/>
    <mergeCell ref="AR27:AR32"/>
    <mergeCell ref="AP33:AP38"/>
    <mergeCell ref="AQ33:AQ38"/>
    <mergeCell ref="AR33:AR38"/>
    <mergeCell ref="AQ39:AQ44"/>
    <mergeCell ref="AR39:AR44"/>
    <mergeCell ref="H27:H32"/>
    <mergeCell ref="J13:J20"/>
    <mergeCell ref="K13:K20"/>
    <mergeCell ref="I21:I26"/>
    <mergeCell ref="J21:J26"/>
    <mergeCell ref="K21:K26"/>
    <mergeCell ref="I27:I32"/>
    <mergeCell ref="F21:F26"/>
    <mergeCell ref="J27:J32"/>
    <mergeCell ref="K27:K32"/>
    <mergeCell ref="I13:I20"/>
    <mergeCell ref="G10:K10"/>
    <mergeCell ref="C13:C20"/>
    <mergeCell ref="D13:D20"/>
    <mergeCell ref="E13:E20"/>
    <mergeCell ref="L69:L74"/>
    <mergeCell ref="M69:M74"/>
    <mergeCell ref="AP10:AR10"/>
    <mergeCell ref="AF10:AJ10"/>
    <mergeCell ref="AK10:AO10"/>
    <mergeCell ref="M39:M44"/>
    <mergeCell ref="L45:L50"/>
    <mergeCell ref="M45:M50"/>
    <mergeCell ref="L51:L56"/>
    <mergeCell ref="M51:M56"/>
    <mergeCell ref="L57:L62"/>
    <mergeCell ref="M57:M62"/>
    <mergeCell ref="L63:L68"/>
    <mergeCell ref="M63:M68"/>
    <mergeCell ref="AP63:AP68"/>
    <mergeCell ref="AQ63:AQ68"/>
    <mergeCell ref="P11:P12"/>
    <mergeCell ref="S11:S12"/>
    <mergeCell ref="AL11:AL12"/>
    <mergeCell ref="AO11:AO12"/>
    <mergeCell ref="AM11:AM12"/>
    <mergeCell ref="Q33:Q38"/>
    <mergeCell ref="L10:M11"/>
    <mergeCell ref="N10:V10"/>
    <mergeCell ref="L13:L20"/>
    <mergeCell ref="M13:M20"/>
    <mergeCell ref="U33:U38"/>
    <mergeCell ref="R21:R26"/>
    <mergeCell ref="S21:S26"/>
    <mergeCell ref="T21:T26"/>
    <mergeCell ref="U21:U26"/>
    <mergeCell ref="AG11:AG12"/>
    <mergeCell ref="X11:X12"/>
    <mergeCell ref="Y11:AD11"/>
    <mergeCell ref="L27:L32"/>
    <mergeCell ref="M27:M32"/>
    <mergeCell ref="Q21:Q26"/>
    <mergeCell ref="W10:AE10"/>
    <mergeCell ref="Q27:Q32"/>
    <mergeCell ref="R27:R32"/>
    <mergeCell ref="S27:S32"/>
    <mergeCell ref="R33:R38"/>
    <mergeCell ref="N13:N20"/>
    <mergeCell ref="O13:O20"/>
  </mergeCells>
  <conditionalFormatting sqref="O13 O21">
    <cfRule type="cellIs" dxfId="701" priority="339" operator="equal">
      <formula>"Muy Alta"</formula>
    </cfRule>
    <cfRule type="cellIs" dxfId="700" priority="340" operator="equal">
      <formula>"Alta"</formula>
    </cfRule>
    <cfRule type="cellIs" dxfId="699" priority="341" operator="equal">
      <formula>"Media"</formula>
    </cfRule>
    <cfRule type="cellIs" dxfId="698" priority="342" operator="equal">
      <formula>"Baja"</formula>
    </cfRule>
    <cfRule type="cellIs" dxfId="697" priority="343" operator="equal">
      <formula>"Muy Baja"</formula>
    </cfRule>
  </conditionalFormatting>
  <conditionalFormatting sqref="S13 S21 S27 S33 S39 S45 S51 S57 S63 S69">
    <cfRule type="cellIs" dxfId="696" priority="334" operator="equal">
      <formula>"Catastrófico"</formula>
    </cfRule>
    <cfRule type="cellIs" dxfId="695" priority="335" operator="equal">
      <formula>"Mayor"</formula>
    </cfRule>
    <cfRule type="cellIs" dxfId="694" priority="336" operator="equal">
      <formula>"Moderado"</formula>
    </cfRule>
    <cfRule type="cellIs" dxfId="693" priority="337" operator="equal">
      <formula>"Menor"</formula>
    </cfRule>
    <cfRule type="cellIs" dxfId="692" priority="338" operator="equal">
      <formula>"Leve"</formula>
    </cfRule>
  </conditionalFormatting>
  <conditionalFormatting sqref="U13">
    <cfRule type="cellIs" dxfId="691" priority="330" operator="equal">
      <formula>"Extremo"</formula>
    </cfRule>
    <cfRule type="cellIs" dxfId="690" priority="331" operator="equal">
      <formula>"Alto"</formula>
    </cfRule>
    <cfRule type="cellIs" dxfId="689" priority="332" operator="equal">
      <formula>"Moderado"</formula>
    </cfRule>
    <cfRule type="cellIs" dxfId="688" priority="333" operator="equal">
      <formula>"Bajo"</formula>
    </cfRule>
  </conditionalFormatting>
  <conditionalFormatting sqref="AF13:AF20">
    <cfRule type="cellIs" dxfId="687" priority="325" operator="equal">
      <formula>"Muy Alta"</formula>
    </cfRule>
    <cfRule type="cellIs" dxfId="686" priority="326" operator="equal">
      <formula>"Alta"</formula>
    </cfRule>
    <cfRule type="cellIs" dxfId="685" priority="327" operator="equal">
      <formula>"Media"</formula>
    </cfRule>
    <cfRule type="cellIs" dxfId="684" priority="328" operator="equal">
      <formula>"Baja"</formula>
    </cfRule>
    <cfRule type="cellIs" dxfId="683" priority="329" operator="equal">
      <formula>"Muy Baja"</formula>
    </cfRule>
  </conditionalFormatting>
  <conditionalFormatting sqref="AH13:AH20">
    <cfRule type="cellIs" dxfId="682" priority="320" operator="equal">
      <formula>"Catastrófico"</formula>
    </cfRule>
    <cfRule type="cellIs" dxfId="681" priority="321" operator="equal">
      <formula>"Mayor"</formula>
    </cfRule>
    <cfRule type="cellIs" dxfId="680" priority="322" operator="equal">
      <formula>"Moderado"</formula>
    </cfRule>
    <cfRule type="cellIs" dxfId="679" priority="323" operator="equal">
      <formula>"Menor"</formula>
    </cfRule>
    <cfRule type="cellIs" dxfId="678" priority="324" operator="equal">
      <formula>"Leve"</formula>
    </cfRule>
  </conditionalFormatting>
  <conditionalFormatting sqref="AJ13:AJ20">
    <cfRule type="cellIs" dxfId="677" priority="316" operator="equal">
      <formula>"Extremo"</formula>
    </cfRule>
    <cfRule type="cellIs" dxfId="676" priority="317" operator="equal">
      <formula>"Alto"</formula>
    </cfRule>
    <cfRule type="cellIs" dxfId="675" priority="318" operator="equal">
      <formula>"Moderado"</formula>
    </cfRule>
    <cfRule type="cellIs" dxfId="674" priority="319" operator="equal">
      <formula>"Bajo"</formula>
    </cfRule>
  </conditionalFormatting>
  <conditionalFormatting sqref="O63">
    <cfRule type="cellIs" dxfId="673" priority="73" operator="equal">
      <formula>"Muy Alta"</formula>
    </cfRule>
    <cfRule type="cellIs" dxfId="672" priority="74" operator="equal">
      <formula>"Alta"</formula>
    </cfRule>
    <cfRule type="cellIs" dxfId="671" priority="75" operator="equal">
      <formula>"Media"</formula>
    </cfRule>
    <cfRule type="cellIs" dxfId="670" priority="76" operator="equal">
      <formula>"Baja"</formula>
    </cfRule>
    <cfRule type="cellIs" dxfId="669" priority="77" operator="equal">
      <formula>"Muy Baja"</formula>
    </cfRule>
  </conditionalFormatting>
  <conditionalFormatting sqref="U21">
    <cfRule type="cellIs" dxfId="668" priority="260" operator="equal">
      <formula>"Extremo"</formula>
    </cfRule>
    <cfRule type="cellIs" dxfId="667" priority="261" operator="equal">
      <formula>"Alto"</formula>
    </cfRule>
    <cfRule type="cellIs" dxfId="666" priority="262" operator="equal">
      <formula>"Moderado"</formula>
    </cfRule>
    <cfRule type="cellIs" dxfId="665" priority="263" operator="equal">
      <formula>"Bajo"</formula>
    </cfRule>
  </conditionalFormatting>
  <conditionalFormatting sqref="AF21:AF26">
    <cfRule type="cellIs" dxfId="664" priority="255" operator="equal">
      <formula>"Muy Alta"</formula>
    </cfRule>
    <cfRule type="cellIs" dxfId="663" priority="256" operator="equal">
      <formula>"Alta"</formula>
    </cfRule>
    <cfRule type="cellIs" dxfId="662" priority="257" operator="equal">
      <formula>"Media"</formula>
    </cfRule>
    <cfRule type="cellIs" dxfId="661" priority="258" operator="equal">
      <formula>"Baja"</formula>
    </cfRule>
    <cfRule type="cellIs" dxfId="660" priority="259" operator="equal">
      <formula>"Muy Baja"</formula>
    </cfRule>
  </conditionalFormatting>
  <conditionalFormatting sqref="AH21:AH26">
    <cfRule type="cellIs" dxfId="659" priority="250" operator="equal">
      <formula>"Catastrófico"</formula>
    </cfRule>
    <cfRule type="cellIs" dxfId="658" priority="251" operator="equal">
      <formula>"Mayor"</formula>
    </cfRule>
    <cfRule type="cellIs" dxfId="657" priority="252" operator="equal">
      <formula>"Moderado"</formula>
    </cfRule>
    <cfRule type="cellIs" dxfId="656" priority="253" operator="equal">
      <formula>"Menor"</formula>
    </cfRule>
    <cfRule type="cellIs" dxfId="655" priority="254" operator="equal">
      <formula>"Leve"</formula>
    </cfRule>
  </conditionalFormatting>
  <conditionalFormatting sqref="AJ21:AJ26">
    <cfRule type="cellIs" dxfId="654" priority="246" operator="equal">
      <formula>"Extremo"</formula>
    </cfRule>
    <cfRule type="cellIs" dxfId="653" priority="247" operator="equal">
      <formula>"Alto"</formula>
    </cfRule>
    <cfRule type="cellIs" dxfId="652" priority="248" operator="equal">
      <formula>"Moderado"</formula>
    </cfRule>
    <cfRule type="cellIs" dxfId="651" priority="249" operator="equal">
      <formula>"Bajo"</formula>
    </cfRule>
  </conditionalFormatting>
  <conditionalFormatting sqref="O27">
    <cfRule type="cellIs" dxfId="650" priority="241" operator="equal">
      <formula>"Muy Alta"</formula>
    </cfRule>
    <cfRule type="cellIs" dxfId="649" priority="242" operator="equal">
      <formula>"Alta"</formula>
    </cfRule>
    <cfRule type="cellIs" dxfId="648" priority="243" operator="equal">
      <formula>"Media"</formula>
    </cfRule>
    <cfRule type="cellIs" dxfId="647" priority="244" operator="equal">
      <formula>"Baja"</formula>
    </cfRule>
    <cfRule type="cellIs" dxfId="646" priority="245" operator="equal">
      <formula>"Muy Baja"</formula>
    </cfRule>
  </conditionalFormatting>
  <conditionalFormatting sqref="U27">
    <cfRule type="cellIs" dxfId="645" priority="232" operator="equal">
      <formula>"Extremo"</formula>
    </cfRule>
    <cfRule type="cellIs" dxfId="644" priority="233" operator="equal">
      <formula>"Alto"</formula>
    </cfRule>
    <cfRule type="cellIs" dxfId="643" priority="234" operator="equal">
      <formula>"Moderado"</formula>
    </cfRule>
    <cfRule type="cellIs" dxfId="642" priority="235" operator="equal">
      <formula>"Bajo"</formula>
    </cfRule>
  </conditionalFormatting>
  <conditionalFormatting sqref="AF27:AF32">
    <cfRule type="cellIs" dxfId="641" priority="227" operator="equal">
      <formula>"Muy Alta"</formula>
    </cfRule>
    <cfRule type="cellIs" dxfId="640" priority="228" operator="equal">
      <formula>"Alta"</formula>
    </cfRule>
    <cfRule type="cellIs" dxfId="639" priority="229" operator="equal">
      <formula>"Media"</formula>
    </cfRule>
    <cfRule type="cellIs" dxfId="638" priority="230" operator="equal">
      <formula>"Baja"</formula>
    </cfRule>
    <cfRule type="cellIs" dxfId="637" priority="231" operator="equal">
      <formula>"Muy Baja"</formula>
    </cfRule>
  </conditionalFormatting>
  <conditionalFormatting sqref="AH27:AH32">
    <cfRule type="cellIs" dxfId="636" priority="222" operator="equal">
      <formula>"Catastrófico"</formula>
    </cfRule>
    <cfRule type="cellIs" dxfId="635" priority="223" operator="equal">
      <formula>"Mayor"</formula>
    </cfRule>
    <cfRule type="cellIs" dxfId="634" priority="224" operator="equal">
      <formula>"Moderado"</formula>
    </cfRule>
    <cfRule type="cellIs" dxfId="633" priority="225" operator="equal">
      <formula>"Menor"</formula>
    </cfRule>
    <cfRule type="cellIs" dxfId="632" priority="226" operator="equal">
      <formula>"Leve"</formula>
    </cfRule>
  </conditionalFormatting>
  <conditionalFormatting sqref="AJ27:AJ32">
    <cfRule type="cellIs" dxfId="631" priority="218" operator="equal">
      <formula>"Extremo"</formula>
    </cfRule>
    <cfRule type="cellIs" dxfId="630" priority="219" operator="equal">
      <formula>"Alto"</formula>
    </cfRule>
    <cfRule type="cellIs" dxfId="629" priority="220" operator="equal">
      <formula>"Moderado"</formula>
    </cfRule>
    <cfRule type="cellIs" dxfId="628" priority="221" operator="equal">
      <formula>"Bajo"</formula>
    </cfRule>
  </conditionalFormatting>
  <conditionalFormatting sqref="O33">
    <cfRule type="cellIs" dxfId="627" priority="213" operator="equal">
      <formula>"Muy Alta"</formula>
    </cfRule>
    <cfRule type="cellIs" dxfId="626" priority="214" operator="equal">
      <formula>"Alta"</formula>
    </cfRule>
    <cfRule type="cellIs" dxfId="625" priority="215" operator="equal">
      <formula>"Media"</formula>
    </cfRule>
    <cfRule type="cellIs" dxfId="624" priority="216" operator="equal">
      <formula>"Baja"</formula>
    </cfRule>
    <cfRule type="cellIs" dxfId="623" priority="217" operator="equal">
      <formula>"Muy Baja"</formula>
    </cfRule>
  </conditionalFormatting>
  <conditionalFormatting sqref="U33">
    <cfRule type="cellIs" dxfId="622" priority="204" operator="equal">
      <formula>"Extremo"</formula>
    </cfRule>
    <cfRule type="cellIs" dxfId="621" priority="205" operator="equal">
      <formula>"Alto"</formula>
    </cfRule>
    <cfRule type="cellIs" dxfId="620" priority="206" operator="equal">
      <formula>"Moderado"</formula>
    </cfRule>
    <cfRule type="cellIs" dxfId="619" priority="207" operator="equal">
      <formula>"Bajo"</formula>
    </cfRule>
  </conditionalFormatting>
  <conditionalFormatting sqref="AF33:AF38">
    <cfRule type="cellIs" dxfId="618" priority="199" operator="equal">
      <formula>"Muy Alta"</formula>
    </cfRule>
    <cfRule type="cellIs" dxfId="617" priority="200" operator="equal">
      <formula>"Alta"</formula>
    </cfRule>
    <cfRule type="cellIs" dxfId="616" priority="201" operator="equal">
      <formula>"Media"</formula>
    </cfRule>
    <cfRule type="cellIs" dxfId="615" priority="202" operator="equal">
      <formula>"Baja"</formula>
    </cfRule>
    <cfRule type="cellIs" dxfId="614" priority="203" operator="equal">
      <formula>"Muy Baja"</formula>
    </cfRule>
  </conditionalFormatting>
  <conditionalFormatting sqref="AH33:AH38">
    <cfRule type="cellIs" dxfId="613" priority="194" operator="equal">
      <formula>"Catastrófico"</formula>
    </cfRule>
    <cfRule type="cellIs" dxfId="612" priority="195" operator="equal">
      <formula>"Mayor"</formula>
    </cfRule>
    <cfRule type="cellIs" dxfId="611" priority="196" operator="equal">
      <formula>"Moderado"</formula>
    </cfRule>
    <cfRule type="cellIs" dxfId="610" priority="197" operator="equal">
      <formula>"Menor"</formula>
    </cfRule>
    <cfRule type="cellIs" dxfId="609" priority="198" operator="equal">
      <formula>"Leve"</formula>
    </cfRule>
  </conditionalFormatting>
  <conditionalFormatting sqref="AJ33:AJ38">
    <cfRule type="cellIs" dxfId="608" priority="190" operator="equal">
      <formula>"Extremo"</formula>
    </cfRule>
    <cfRule type="cellIs" dxfId="607" priority="191" operator="equal">
      <formula>"Alto"</formula>
    </cfRule>
    <cfRule type="cellIs" dxfId="606" priority="192" operator="equal">
      <formula>"Moderado"</formula>
    </cfRule>
    <cfRule type="cellIs" dxfId="605" priority="193" operator="equal">
      <formula>"Bajo"</formula>
    </cfRule>
  </conditionalFormatting>
  <conditionalFormatting sqref="O39">
    <cfRule type="cellIs" dxfId="604" priority="185" operator="equal">
      <formula>"Muy Alta"</formula>
    </cfRule>
    <cfRule type="cellIs" dxfId="603" priority="186" operator="equal">
      <formula>"Alta"</formula>
    </cfRule>
    <cfRule type="cellIs" dxfId="602" priority="187" operator="equal">
      <formula>"Media"</formula>
    </cfRule>
    <cfRule type="cellIs" dxfId="601" priority="188" operator="equal">
      <formula>"Baja"</formula>
    </cfRule>
    <cfRule type="cellIs" dxfId="600" priority="189" operator="equal">
      <formula>"Muy Baja"</formula>
    </cfRule>
  </conditionalFormatting>
  <conditionalFormatting sqref="U39">
    <cfRule type="cellIs" dxfId="599" priority="176" operator="equal">
      <formula>"Extremo"</formula>
    </cfRule>
    <cfRule type="cellIs" dxfId="598" priority="177" operator="equal">
      <formula>"Alto"</formula>
    </cfRule>
    <cfRule type="cellIs" dxfId="597" priority="178" operator="equal">
      <formula>"Moderado"</formula>
    </cfRule>
    <cfRule type="cellIs" dxfId="596" priority="179" operator="equal">
      <formula>"Bajo"</formula>
    </cfRule>
  </conditionalFormatting>
  <conditionalFormatting sqref="AF39:AF44">
    <cfRule type="cellIs" dxfId="595" priority="171" operator="equal">
      <formula>"Muy Alta"</formula>
    </cfRule>
    <cfRule type="cellIs" dxfId="594" priority="172" operator="equal">
      <formula>"Alta"</formula>
    </cfRule>
    <cfRule type="cellIs" dxfId="593" priority="173" operator="equal">
      <formula>"Media"</formula>
    </cfRule>
    <cfRule type="cellIs" dxfId="592" priority="174" operator="equal">
      <formula>"Baja"</formula>
    </cfRule>
    <cfRule type="cellIs" dxfId="591" priority="175" operator="equal">
      <formula>"Muy Baja"</formula>
    </cfRule>
  </conditionalFormatting>
  <conditionalFormatting sqref="AH39:AH44">
    <cfRule type="cellIs" dxfId="590" priority="166" operator="equal">
      <formula>"Catastrófico"</formula>
    </cfRule>
    <cfRule type="cellIs" dxfId="589" priority="167" operator="equal">
      <formula>"Mayor"</formula>
    </cfRule>
    <cfRule type="cellIs" dxfId="588" priority="168" operator="equal">
      <formula>"Moderado"</formula>
    </cfRule>
    <cfRule type="cellIs" dxfId="587" priority="169" operator="equal">
      <formula>"Menor"</formula>
    </cfRule>
    <cfRule type="cellIs" dxfId="586" priority="170" operator="equal">
      <formula>"Leve"</formula>
    </cfRule>
  </conditionalFormatting>
  <conditionalFormatting sqref="AJ39:AJ44">
    <cfRule type="cellIs" dxfId="585" priority="162" operator="equal">
      <formula>"Extremo"</formula>
    </cfRule>
    <cfRule type="cellIs" dxfId="584" priority="163" operator="equal">
      <formula>"Alto"</formula>
    </cfRule>
    <cfRule type="cellIs" dxfId="583" priority="164" operator="equal">
      <formula>"Moderado"</formula>
    </cfRule>
    <cfRule type="cellIs" dxfId="582" priority="165" operator="equal">
      <formula>"Bajo"</formula>
    </cfRule>
  </conditionalFormatting>
  <conditionalFormatting sqref="O45">
    <cfRule type="cellIs" dxfId="581" priority="157" operator="equal">
      <formula>"Muy Alta"</formula>
    </cfRule>
    <cfRule type="cellIs" dxfId="580" priority="158" operator="equal">
      <formula>"Alta"</formula>
    </cfRule>
    <cfRule type="cellIs" dxfId="579" priority="159" operator="equal">
      <formula>"Media"</formula>
    </cfRule>
    <cfRule type="cellIs" dxfId="578" priority="160" operator="equal">
      <formula>"Baja"</formula>
    </cfRule>
    <cfRule type="cellIs" dxfId="577" priority="161" operator="equal">
      <formula>"Muy Baja"</formula>
    </cfRule>
  </conditionalFormatting>
  <conditionalFormatting sqref="U45">
    <cfRule type="cellIs" dxfId="576" priority="148" operator="equal">
      <formula>"Extremo"</formula>
    </cfRule>
    <cfRule type="cellIs" dxfId="575" priority="149" operator="equal">
      <formula>"Alto"</formula>
    </cfRule>
    <cfRule type="cellIs" dxfId="574" priority="150" operator="equal">
      <formula>"Moderado"</formula>
    </cfRule>
    <cfRule type="cellIs" dxfId="573" priority="151" operator="equal">
      <formula>"Bajo"</formula>
    </cfRule>
  </conditionalFormatting>
  <conditionalFormatting sqref="AF45:AF50">
    <cfRule type="cellIs" dxfId="572" priority="143" operator="equal">
      <formula>"Muy Alta"</formula>
    </cfRule>
    <cfRule type="cellIs" dxfId="571" priority="144" operator="equal">
      <formula>"Alta"</formula>
    </cfRule>
    <cfRule type="cellIs" dxfId="570" priority="145" operator="equal">
      <formula>"Media"</formula>
    </cfRule>
    <cfRule type="cellIs" dxfId="569" priority="146" operator="equal">
      <formula>"Baja"</formula>
    </cfRule>
    <cfRule type="cellIs" dxfId="568" priority="147" operator="equal">
      <formula>"Muy Baja"</formula>
    </cfRule>
  </conditionalFormatting>
  <conditionalFormatting sqref="AH45:AH50">
    <cfRule type="cellIs" dxfId="567" priority="138" operator="equal">
      <formula>"Catastrófico"</formula>
    </cfRule>
    <cfRule type="cellIs" dxfId="566" priority="139" operator="equal">
      <formula>"Mayor"</formula>
    </cfRule>
    <cfRule type="cellIs" dxfId="565" priority="140" operator="equal">
      <formula>"Moderado"</formula>
    </cfRule>
    <cfRule type="cellIs" dxfId="564" priority="141" operator="equal">
      <formula>"Menor"</formula>
    </cfRule>
    <cfRule type="cellIs" dxfId="563" priority="142" operator="equal">
      <formula>"Leve"</formula>
    </cfRule>
  </conditionalFormatting>
  <conditionalFormatting sqref="AJ45:AJ50">
    <cfRule type="cellIs" dxfId="562" priority="134" operator="equal">
      <formula>"Extremo"</formula>
    </cfRule>
    <cfRule type="cellIs" dxfId="561" priority="135" operator="equal">
      <formula>"Alto"</formula>
    </cfRule>
    <cfRule type="cellIs" dxfId="560" priority="136" operator="equal">
      <formula>"Moderado"</formula>
    </cfRule>
    <cfRule type="cellIs" dxfId="559" priority="137" operator="equal">
      <formula>"Bajo"</formula>
    </cfRule>
  </conditionalFormatting>
  <conditionalFormatting sqref="O51">
    <cfRule type="cellIs" dxfId="558" priority="129" operator="equal">
      <formula>"Muy Alta"</formula>
    </cfRule>
    <cfRule type="cellIs" dxfId="557" priority="130" operator="equal">
      <formula>"Alta"</formula>
    </cfRule>
    <cfRule type="cellIs" dxfId="556" priority="131" operator="equal">
      <formula>"Media"</formula>
    </cfRule>
    <cfRule type="cellIs" dxfId="555" priority="132" operator="equal">
      <formula>"Baja"</formula>
    </cfRule>
    <cfRule type="cellIs" dxfId="554" priority="133" operator="equal">
      <formula>"Muy Baja"</formula>
    </cfRule>
  </conditionalFormatting>
  <conditionalFormatting sqref="U51">
    <cfRule type="cellIs" dxfId="553" priority="120" operator="equal">
      <formula>"Extremo"</formula>
    </cfRule>
    <cfRule type="cellIs" dxfId="552" priority="121" operator="equal">
      <formula>"Alto"</formula>
    </cfRule>
    <cfRule type="cellIs" dxfId="551" priority="122" operator="equal">
      <formula>"Moderado"</formula>
    </cfRule>
    <cfRule type="cellIs" dxfId="550" priority="123" operator="equal">
      <formula>"Bajo"</formula>
    </cfRule>
  </conditionalFormatting>
  <conditionalFormatting sqref="AF51:AF56">
    <cfRule type="cellIs" dxfId="549" priority="115" operator="equal">
      <formula>"Muy Alta"</formula>
    </cfRule>
    <cfRule type="cellIs" dxfId="548" priority="116" operator="equal">
      <formula>"Alta"</formula>
    </cfRule>
    <cfRule type="cellIs" dxfId="547" priority="117" operator="equal">
      <formula>"Media"</formula>
    </cfRule>
    <cfRule type="cellIs" dxfId="546" priority="118" operator="equal">
      <formula>"Baja"</formula>
    </cfRule>
    <cfRule type="cellIs" dxfId="545" priority="119" operator="equal">
      <formula>"Muy Baja"</formula>
    </cfRule>
  </conditionalFormatting>
  <conditionalFormatting sqref="AH51:AH56">
    <cfRule type="cellIs" dxfId="544" priority="110" operator="equal">
      <formula>"Catastrófico"</formula>
    </cfRule>
    <cfRule type="cellIs" dxfId="543" priority="111" operator="equal">
      <formula>"Mayor"</formula>
    </cfRule>
    <cfRule type="cellIs" dxfId="542" priority="112" operator="equal">
      <formula>"Moderado"</formula>
    </cfRule>
    <cfRule type="cellIs" dxfId="541" priority="113" operator="equal">
      <formula>"Menor"</formula>
    </cfRule>
    <cfRule type="cellIs" dxfId="540" priority="114" operator="equal">
      <formula>"Leve"</formula>
    </cfRule>
  </conditionalFormatting>
  <conditionalFormatting sqref="AJ51:AJ56">
    <cfRule type="cellIs" dxfId="539" priority="106" operator="equal">
      <formula>"Extremo"</formula>
    </cfRule>
    <cfRule type="cellIs" dxfId="538" priority="107" operator="equal">
      <formula>"Alto"</formula>
    </cfRule>
    <cfRule type="cellIs" dxfId="537" priority="108" operator="equal">
      <formula>"Moderado"</formula>
    </cfRule>
    <cfRule type="cellIs" dxfId="536" priority="109" operator="equal">
      <formula>"Bajo"</formula>
    </cfRule>
  </conditionalFormatting>
  <conditionalFormatting sqref="U57">
    <cfRule type="cellIs" dxfId="535" priority="92" operator="equal">
      <formula>"Extremo"</formula>
    </cfRule>
    <cfRule type="cellIs" dxfId="534" priority="93" operator="equal">
      <formula>"Alto"</formula>
    </cfRule>
    <cfRule type="cellIs" dxfId="533" priority="94" operator="equal">
      <formula>"Moderado"</formula>
    </cfRule>
    <cfRule type="cellIs" dxfId="532" priority="95" operator="equal">
      <formula>"Bajo"</formula>
    </cfRule>
  </conditionalFormatting>
  <conditionalFormatting sqref="AF57:AF62">
    <cfRule type="cellIs" dxfId="531" priority="87" operator="equal">
      <formula>"Muy Alta"</formula>
    </cfRule>
    <cfRule type="cellIs" dxfId="530" priority="88" operator="equal">
      <formula>"Alta"</formula>
    </cfRule>
    <cfRule type="cellIs" dxfId="529" priority="89" operator="equal">
      <formula>"Media"</formula>
    </cfRule>
    <cfRule type="cellIs" dxfId="528" priority="90" operator="equal">
      <formula>"Baja"</formula>
    </cfRule>
    <cfRule type="cellIs" dxfId="527" priority="91" operator="equal">
      <formula>"Muy Baja"</formula>
    </cfRule>
  </conditionalFormatting>
  <conditionalFormatting sqref="AH57:AH62">
    <cfRule type="cellIs" dxfId="526" priority="82" operator="equal">
      <formula>"Catastrófico"</formula>
    </cfRule>
    <cfRule type="cellIs" dxfId="525" priority="83" operator="equal">
      <formula>"Mayor"</formula>
    </cfRule>
    <cfRule type="cellIs" dxfId="524" priority="84" operator="equal">
      <formula>"Moderado"</formula>
    </cfRule>
    <cfRule type="cellIs" dxfId="523" priority="85" operator="equal">
      <formula>"Menor"</formula>
    </cfRule>
    <cfRule type="cellIs" dxfId="522" priority="86" operator="equal">
      <formula>"Leve"</formula>
    </cfRule>
  </conditionalFormatting>
  <conditionalFormatting sqref="AJ57:AJ62">
    <cfRule type="cellIs" dxfId="521" priority="78" operator="equal">
      <formula>"Extremo"</formula>
    </cfRule>
    <cfRule type="cellIs" dxfId="520" priority="79" operator="equal">
      <formula>"Alto"</formula>
    </cfRule>
    <cfRule type="cellIs" dxfId="519" priority="80" operator="equal">
      <formula>"Moderado"</formula>
    </cfRule>
    <cfRule type="cellIs" dxfId="518" priority="81" operator="equal">
      <formula>"Bajo"</formula>
    </cfRule>
  </conditionalFormatting>
  <conditionalFormatting sqref="U63">
    <cfRule type="cellIs" dxfId="517" priority="64" operator="equal">
      <formula>"Extremo"</formula>
    </cfRule>
    <cfRule type="cellIs" dxfId="516" priority="65" operator="equal">
      <formula>"Alto"</formula>
    </cfRule>
    <cfRule type="cellIs" dxfId="515" priority="66" operator="equal">
      <formula>"Moderado"</formula>
    </cfRule>
    <cfRule type="cellIs" dxfId="514" priority="67" operator="equal">
      <formula>"Bajo"</formula>
    </cfRule>
  </conditionalFormatting>
  <conditionalFormatting sqref="AF63:AF68">
    <cfRule type="cellIs" dxfId="513" priority="59" operator="equal">
      <formula>"Muy Alta"</formula>
    </cfRule>
    <cfRule type="cellIs" dxfId="512" priority="60" operator="equal">
      <formula>"Alta"</formula>
    </cfRule>
    <cfRule type="cellIs" dxfId="511" priority="61" operator="equal">
      <formula>"Media"</formula>
    </cfRule>
    <cfRule type="cellIs" dxfId="510" priority="62" operator="equal">
      <formula>"Baja"</formula>
    </cfRule>
    <cfRule type="cellIs" dxfId="509" priority="63" operator="equal">
      <formula>"Muy Baja"</formula>
    </cfRule>
  </conditionalFormatting>
  <conditionalFormatting sqref="AH63:AH68">
    <cfRule type="cellIs" dxfId="508" priority="54" operator="equal">
      <formula>"Catastrófico"</formula>
    </cfRule>
    <cfRule type="cellIs" dxfId="507" priority="55" operator="equal">
      <formula>"Mayor"</formula>
    </cfRule>
    <cfRule type="cellIs" dxfId="506" priority="56" operator="equal">
      <formula>"Moderado"</formula>
    </cfRule>
    <cfRule type="cellIs" dxfId="505" priority="57" operator="equal">
      <formula>"Menor"</formula>
    </cfRule>
    <cfRule type="cellIs" dxfId="504" priority="58" operator="equal">
      <formula>"Leve"</formula>
    </cfRule>
  </conditionalFormatting>
  <conditionalFormatting sqref="AJ63:AJ68">
    <cfRule type="cellIs" dxfId="503" priority="50" operator="equal">
      <formula>"Extremo"</formula>
    </cfRule>
    <cfRule type="cellIs" dxfId="502" priority="51" operator="equal">
      <formula>"Alto"</formula>
    </cfRule>
    <cfRule type="cellIs" dxfId="501" priority="52" operator="equal">
      <formula>"Moderado"</formula>
    </cfRule>
    <cfRule type="cellIs" dxfId="500" priority="53" operator="equal">
      <formula>"Bajo"</formula>
    </cfRule>
  </conditionalFormatting>
  <conditionalFormatting sqref="O69">
    <cfRule type="cellIs" dxfId="499" priority="45" operator="equal">
      <formula>"Muy Alta"</formula>
    </cfRule>
    <cfRule type="cellIs" dxfId="498" priority="46" operator="equal">
      <formula>"Alta"</formula>
    </cfRule>
    <cfRule type="cellIs" dxfId="497" priority="47" operator="equal">
      <formula>"Media"</formula>
    </cfRule>
    <cfRule type="cellIs" dxfId="496" priority="48" operator="equal">
      <formula>"Baja"</formula>
    </cfRule>
    <cfRule type="cellIs" dxfId="495" priority="49" operator="equal">
      <formula>"Muy Baja"</formula>
    </cfRule>
  </conditionalFormatting>
  <conditionalFormatting sqref="U69">
    <cfRule type="cellIs" dxfId="494" priority="36" operator="equal">
      <formula>"Extremo"</formula>
    </cfRule>
    <cfRule type="cellIs" dxfId="493" priority="37" operator="equal">
      <formula>"Alto"</formula>
    </cfRule>
    <cfRule type="cellIs" dxfId="492" priority="38" operator="equal">
      <formula>"Moderado"</formula>
    </cfRule>
    <cfRule type="cellIs" dxfId="491" priority="39" operator="equal">
      <formula>"Bajo"</formula>
    </cfRule>
  </conditionalFormatting>
  <conditionalFormatting sqref="AF69:AF74">
    <cfRule type="cellIs" dxfId="490" priority="31" operator="equal">
      <formula>"Muy Alta"</formula>
    </cfRule>
    <cfRule type="cellIs" dxfId="489" priority="32" operator="equal">
      <formula>"Alta"</formula>
    </cfRule>
    <cfRule type="cellIs" dxfId="488" priority="33" operator="equal">
      <formula>"Media"</formula>
    </cfRule>
    <cfRule type="cellIs" dxfId="487" priority="34" operator="equal">
      <formula>"Baja"</formula>
    </cfRule>
    <cfRule type="cellIs" dxfId="486" priority="35" operator="equal">
      <formula>"Muy Baja"</formula>
    </cfRule>
  </conditionalFormatting>
  <conditionalFormatting sqref="AH69:AH74">
    <cfRule type="cellIs" dxfId="485" priority="26" operator="equal">
      <formula>"Catastrófico"</formula>
    </cfRule>
    <cfRule type="cellIs" dxfId="484" priority="27" operator="equal">
      <formula>"Mayor"</formula>
    </cfRule>
    <cfRule type="cellIs" dxfId="483" priority="28" operator="equal">
      <formula>"Moderado"</formula>
    </cfRule>
    <cfRule type="cellIs" dxfId="482" priority="29" operator="equal">
      <formula>"Menor"</formula>
    </cfRule>
    <cfRule type="cellIs" dxfId="481" priority="30" operator="equal">
      <formula>"Leve"</formula>
    </cfRule>
  </conditionalFormatting>
  <conditionalFormatting sqref="AJ69:AJ74">
    <cfRule type="cellIs" dxfId="480" priority="22" operator="equal">
      <formula>"Extremo"</formula>
    </cfRule>
    <cfRule type="cellIs" dxfId="479" priority="23" operator="equal">
      <formula>"Alto"</formula>
    </cfRule>
    <cfRule type="cellIs" dxfId="478" priority="24" operator="equal">
      <formula>"Moderado"</formula>
    </cfRule>
    <cfRule type="cellIs" dxfId="477" priority="25" operator="equal">
      <formula>"Bajo"</formula>
    </cfRule>
  </conditionalFormatting>
  <conditionalFormatting sqref="R13:R18 R20:R74">
    <cfRule type="containsText" dxfId="476" priority="21" operator="containsText" text="❌">
      <formula>NOT(ISERROR(SEARCH("❌",R13)))</formula>
    </cfRule>
  </conditionalFormatting>
  <conditionalFormatting sqref="O57">
    <cfRule type="cellIs" dxfId="475" priority="16" operator="equal">
      <formula>"Muy Alta"</formula>
    </cfRule>
    <cfRule type="cellIs" dxfId="474" priority="17" operator="equal">
      <formula>"Alta"</formula>
    </cfRule>
    <cfRule type="cellIs" dxfId="473" priority="18" operator="equal">
      <formula>"Media"</formula>
    </cfRule>
    <cfRule type="cellIs" dxfId="472" priority="19" operator="equal">
      <formula>"Baja"</formula>
    </cfRule>
    <cfRule type="cellIs" dxfId="471" priority="20" operator="equal">
      <formula>"Muy Baja"</formula>
    </cfRule>
  </conditionalFormatting>
  <conditionalFormatting sqref="R19">
    <cfRule type="containsText" dxfId="470" priority="1" operator="containsText" text="❌">
      <formula>NOT(ISERROR(SEARCH("❌",R19)))</formula>
    </cfRule>
  </conditionalFormatting>
  <dataValidations count="1">
    <dataValidation allowBlank="1" showInputMessage="1" showErrorMessage="1" error="Recuerde que las acciones se generan bajo la medida de mitigar el riesgo" sqref="AQ21:AR26 AP21 AP25:AP26" xr:uid="{00000000-0002-0000-0300-000000000000}"/>
  </dataValidations>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www.umv.gov.co&amp;CDESI-FM-018
Página &amp;P de &amp;N</oddFooter>
  </headerFooter>
  <colBreaks count="1" manualBreakCount="1">
    <brk id="20" max="75" man="1"/>
  </colBreaks>
  <ignoredErrors>
    <ignoredError sqref="AI15" formula="1"/>
  </ignoredErrors>
  <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300-000001000000}">
          <x14:formula1>
            <xm:f>'Tabla Valoración controles'!$D$4:$D$6</xm:f>
          </x14:formula1>
          <xm:sqref>Y13:Y74</xm:sqref>
        </x14:dataValidation>
        <x14:dataValidation type="list" allowBlank="1" showInputMessage="1" showErrorMessage="1" xr:uid="{00000000-0002-0000-0300-000002000000}">
          <x14:formula1>
            <xm:f>'Tabla Valoración controles'!$D$7:$D$8</xm:f>
          </x14:formula1>
          <xm:sqref>Z13:Z74</xm:sqref>
        </x14:dataValidation>
        <x14:dataValidation type="list" allowBlank="1" showInputMessage="1" showErrorMessage="1" xr:uid="{00000000-0002-0000-0300-000003000000}">
          <x14:formula1>
            <xm:f>'Tabla Valoración controles'!$D$9:$D$10</xm:f>
          </x14:formula1>
          <xm:sqref>AB13:AB74</xm:sqref>
        </x14:dataValidation>
        <x14:dataValidation type="list" allowBlank="1" showInputMessage="1" showErrorMessage="1" xr:uid="{00000000-0002-0000-0300-000004000000}">
          <x14:formula1>
            <xm:f>'Tabla Valoración controles'!$D$11:$D$12</xm:f>
          </x14:formula1>
          <xm:sqref>AC13:AC74</xm:sqref>
        </x14:dataValidation>
        <x14:dataValidation type="list" allowBlank="1" showInputMessage="1" showErrorMessage="1" xr:uid="{00000000-0002-0000-0300-000005000000}">
          <x14:formula1>
            <xm:f>'Tabla Valoración controles'!$D$13:$D$14</xm:f>
          </x14:formula1>
          <xm:sqref>AD13:AD74</xm:sqref>
        </x14:dataValidation>
        <x14:dataValidation type="list" allowBlank="1" showInputMessage="1" showErrorMessage="1" xr:uid="{00000000-0002-0000-0300-000006000000}">
          <x14:formula1>
            <xm:f>Listas!$E$2:$E$4</xm:f>
          </x14:formula1>
          <xm:sqref>B21:B74</xm:sqref>
        </x14:dataValidation>
        <x14:dataValidation type="list" allowBlank="1" showInputMessage="1" showErrorMessage="1" xr:uid="{00000000-0002-0000-0300-000007000000}">
          <x14:formula1>
            <xm:f>Listas!$B$2:$B$5</xm:f>
          </x14:formula1>
          <xm:sqref>AK13:AK74</xm:sqref>
        </x14:dataValidation>
        <x14:dataValidation type="list" allowBlank="1" showInputMessage="1" showErrorMessage="1" xr:uid="{00000000-0002-0000-0300-000008000000}">
          <x14:formula1>
            <xm:f>'Tabla Impacto'!$F$211:$F$222</xm:f>
          </x14:formula1>
          <xm:sqref>Q13:Q74</xm:sqref>
        </x14:dataValidation>
        <x14:dataValidation type="custom" allowBlank="1" showInputMessage="1" showErrorMessage="1" error="Recuerde que las acciones se generan bajo la medida de mitigar el riesgo" xr:uid="{00000000-0002-0000-0300-000009000000}">
          <x14:formula1>
            <xm:f>IF(OR(AK13=Listas!$B$2,AK13=Listas!$B$3,AK13=Listas!$B$4),ISBLANK(AK13),ISTEXT(AK13))</xm:f>
          </x14:formula1>
          <xm:sqref>AL13:AL21 AL24:AL74</xm:sqref>
        </x14:dataValidation>
        <x14:dataValidation type="custom" allowBlank="1" showInputMessage="1" showErrorMessage="1" error="Recuerde que las acciones se generan bajo la medida de mitigar el riesgo" xr:uid="{00000000-0002-0000-0300-00000A000000}">
          <x14:formula1>
            <xm:f>IF(OR(AK13=Listas!$B$2,AK13=Listas!$B$3,AK13=Listas!$B$4),ISBLANK(AK13),ISTEXT(AK13))</xm:f>
          </x14:formula1>
          <xm:sqref>AM13:AN21 AM24:AN74</xm:sqref>
        </x14:dataValidation>
        <x14:dataValidation type="custom" allowBlank="1" showInputMessage="1" showErrorMessage="1" error="Recuerde que las acciones se generan bajo la medida de mitigar el riesgo" xr:uid="{00000000-0002-0000-0300-00000B000000}">
          <x14:formula1>
            <xm:f>IF(OR(AK13=Listas!$B$2,AK13=Listas!$B$3,AK13=Listas!$B$4),ISBLANK(AK13),ISTEXT(AK13))</xm:f>
          </x14:formula1>
          <xm:sqref>AO13:AO74</xm:sqref>
        </x14:dataValidation>
        <x14:dataValidation type="custom" allowBlank="1" showInputMessage="1" showErrorMessage="1" error="Recuerde que las acciones se generan bajo la medida de mitigar el riesgo" xr:uid="{00000000-0002-0000-0300-00000C000000}">
          <x14:formula1>
            <xm:f>IF(OR(#REF!=Listas!$B$2,#REF!=Listas!$B$3,#REF!=Listas!$B$4),ISBLANK(#REF!),ISTEXT(#REF!))</xm:f>
          </x14:formula1>
          <xm:sqref>AP27:AR27 AP69:AR69 AP63:AR63 AP57:AR57 AP51:AR51 AP45:AR45 AP39:AR39 AP33:AR33</xm:sqref>
        </x14:dataValidation>
        <x14:dataValidation type="list" allowBlank="1" showInputMessage="1" showErrorMessage="1" xr:uid="{00000000-0002-0000-0300-00000D000000}">
          <x14:formula1>
            <xm:f>Listas!$B$12:$B$16</xm:f>
          </x14:formula1>
          <xm:sqref>F27:F74</xm:sqref>
        </x14:dataValidation>
        <x14:dataValidation type="list" allowBlank="1" showInputMessage="1" showErrorMessage="1" xr:uid="{00000000-0002-0000-0300-00000E000000}">
          <x14:formula1>
            <xm:f>Listas!$F$8:$F$9</xm:f>
          </x14:formula1>
          <xm:sqref>G27:G74</xm:sqref>
        </x14:dataValidation>
        <x14:dataValidation type="list" allowBlank="1" showInputMessage="1" showErrorMessage="1" xr:uid="{00000000-0002-0000-0300-00000F000000}">
          <x14:formula1>
            <xm:f>Intructivo!$C$300:$C$316</xm:f>
          </x14:formula1>
          <xm:sqref>C6 U6:V6</xm:sqref>
        </x14:dataValidation>
        <x14:dataValidation type="list" allowBlank="1" showInputMessage="1" showErrorMessage="1" xr:uid="{00000000-0002-0000-0300-000010000000}">
          <x14:formula1>
            <xm:f>Listas!$H$8:$H$12</xm:f>
          </x14:formula1>
          <xm:sqref>L27:L74</xm:sqref>
        </x14:dataValidation>
        <x14:dataValidation type="list" allowBlank="1" showInputMessage="1" showErrorMessage="1" xr:uid="{00000000-0002-0000-0300-000011000000}">
          <x14:formula1>
            <xm:f>Listas!$H$14:$H$18</xm:f>
          </x14:formula1>
          <xm:sqref>M27:M74</xm:sqref>
        </x14:dataValidation>
        <x14:dataValidation type="list" allowBlank="1" showInputMessage="1" showErrorMessage="1" xr:uid="{00000000-0002-0000-0300-000012000000}">
          <x14:formula1>
            <xm:f>Listas!#REF!</xm:f>
          </x14:formula1>
          <xm:sqref>F13:F20 L13:M20</xm:sqref>
        </x14:dataValidation>
        <x14:dataValidation type="list" allowBlank="1" showInputMessage="1" showErrorMessage="1" xr:uid="{00000000-0002-0000-0300-000013000000}">
          <x14:formula1>
            <xm:f>'C:\Users\mercy.rivera\Downloads\[DESI-FM-018-V11 Mapa de Riesgos de Proceso act 12-2022 (1).xlsx]Listas'!#REF!</xm:f>
          </x14:formula1>
          <xm:sqref>B13:B20 F21:G26 L21:M26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topLeftCell="A2" zoomScale="40" zoomScaleNormal="40" workbookViewId="0">
      <selection activeCell="Z14" sqref="Z14:AA15"/>
    </sheetView>
  </sheetViews>
  <sheetFormatPr baseColWidth="10" defaultColWidth="11.42578125" defaultRowHeight="15" x14ac:dyDescent="0.25"/>
  <cols>
    <col min="2" max="39" width="5.7109375" customWidth="1"/>
    <col min="41" max="46" width="5.7109375" customWidth="1"/>
  </cols>
  <sheetData>
    <row r="1" spans="1:99"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25">
      <c r="A2" s="66"/>
      <c r="B2" s="410" t="s">
        <v>263</v>
      </c>
      <c r="C2" s="410"/>
      <c r="D2" s="410"/>
      <c r="E2" s="410"/>
      <c r="F2" s="410"/>
      <c r="G2" s="410"/>
      <c r="H2" s="410"/>
      <c r="I2" s="410"/>
      <c r="J2" s="447" t="s">
        <v>15</v>
      </c>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447"/>
      <c r="AM2" s="447"/>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25">
      <c r="A3" s="66"/>
      <c r="B3" s="410"/>
      <c r="C3" s="410"/>
      <c r="D3" s="410"/>
      <c r="E3" s="410"/>
      <c r="F3" s="410"/>
      <c r="G3" s="410"/>
      <c r="H3" s="410"/>
      <c r="I3" s="410"/>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7"/>
      <c r="AM3" s="447"/>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25">
      <c r="A4" s="66"/>
      <c r="B4" s="410"/>
      <c r="C4" s="410"/>
      <c r="D4" s="410"/>
      <c r="E4" s="410"/>
      <c r="F4" s="410"/>
      <c r="G4" s="410"/>
      <c r="H4" s="410"/>
      <c r="I4" s="410"/>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c r="AM4" s="447"/>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25">
      <c r="A6" s="66"/>
      <c r="B6" s="458" t="s">
        <v>264</v>
      </c>
      <c r="C6" s="458"/>
      <c r="D6" s="459"/>
      <c r="E6" s="448" t="s">
        <v>265</v>
      </c>
      <c r="F6" s="449"/>
      <c r="G6" s="449"/>
      <c r="H6" s="449"/>
      <c r="I6" s="450"/>
      <c r="J6" s="444" t="str">
        <f>IF(AND('Riesgos de Gestión'!$O$13="Muy Alta",'Riesgos de Gestión'!$S$13="Leve"),CONCATENATE("R",'Riesgos de Gestión'!$A$13),"")</f>
        <v/>
      </c>
      <c r="K6" s="445"/>
      <c r="L6" s="445" t="str">
        <f>IF(AND('Riesgos de Gestión'!$O$21="Muy Alta",'Riesgos de Gestión'!$S$21="Leve"),CONCATENATE("R",'Riesgos de Gestión'!$A$21),"")</f>
        <v/>
      </c>
      <c r="M6" s="445"/>
      <c r="N6" s="445" t="str">
        <f>IF(AND('Riesgos de Gestión'!$O$27="Muy Alta",'Riesgos de Gestión'!$S$27="Leve"),CONCATENATE("R",'Riesgos de Gestión'!$A$27),"")</f>
        <v/>
      </c>
      <c r="O6" s="446"/>
      <c r="P6" s="444" t="str">
        <f>IF(AND('Riesgos de Gestión'!$O$13="Muy Alta",'Riesgos de Gestión'!$S$13="Menor"),CONCATENATE("R",'Riesgos de Gestión'!$A$13),"")</f>
        <v>R1</v>
      </c>
      <c r="Q6" s="445"/>
      <c r="R6" s="445" t="str">
        <f>IF(AND('Riesgos de Gestión'!$O$21="Muy Alta",'Riesgos de Gestión'!$S$21="Menor"),CONCATENATE("R",'Riesgos de Gestión'!$A$21),"")</f>
        <v/>
      </c>
      <c r="S6" s="445"/>
      <c r="T6" s="445" t="str">
        <f>IF(AND('Riesgos de Gestión'!$O$27="Muy Alta",'Riesgos de Gestión'!$S$27="Menor"),CONCATENATE("R",'Riesgos de Gestión'!$A$27),"")</f>
        <v/>
      </c>
      <c r="U6" s="446"/>
      <c r="V6" s="444" t="str">
        <f>IF(AND('Riesgos de Gestión'!$O$13="Muy Alta",'Riesgos de Gestión'!$S$13="Moderado"),CONCATENATE("R",'Riesgos de Gestión'!$A$13),"")</f>
        <v/>
      </c>
      <c r="W6" s="445"/>
      <c r="X6" s="445" t="str">
        <f>IF(AND('Riesgos de Gestión'!$O$21="Muy Alta",'Riesgos de Gestión'!$S$21="Moderado"),CONCATENATE("R",'Riesgos de Gestión'!$A$21),"")</f>
        <v/>
      </c>
      <c r="Y6" s="445"/>
      <c r="Z6" s="445" t="str">
        <f>IF(AND('Riesgos de Gestión'!$O$27="Muy Alta",'Riesgos de Gestión'!$S$27="Moderado"),CONCATENATE("R",'Riesgos de Gestión'!$A$27),"")</f>
        <v/>
      </c>
      <c r="AA6" s="446"/>
      <c r="AB6" s="444" t="str">
        <f>IF(AND('Riesgos de Gestión'!$O$13="Muy Alta",'Riesgos de Gestión'!$S$13="Mayor"),CONCATENATE("R",'Riesgos de Gestión'!$A$13),"")</f>
        <v/>
      </c>
      <c r="AC6" s="445"/>
      <c r="AD6" s="445" t="str">
        <f>IF(AND('Riesgos de Gestión'!$O$21="Muy Alta",'Riesgos de Gestión'!$S$21="Mayor"),CONCATENATE("R",'Riesgos de Gestión'!$A$21),"")</f>
        <v/>
      </c>
      <c r="AE6" s="445"/>
      <c r="AF6" s="445" t="str">
        <f>IF(AND('Riesgos de Gestión'!$O$27="Muy Alta",'Riesgos de Gestión'!$S$27="Mayor"),CONCATENATE("R",'Riesgos de Gestión'!$A$27),"")</f>
        <v/>
      </c>
      <c r="AG6" s="446"/>
      <c r="AH6" s="435" t="str">
        <f>IF(AND('Riesgos de Gestión'!$O$13="Muy Alta",'Riesgos de Gestión'!$S$13="Catastrófico"),CONCATENATE("R",'Riesgos de Gestión'!$A$13),"")</f>
        <v/>
      </c>
      <c r="AI6" s="436"/>
      <c r="AJ6" s="436" t="str">
        <f>IF(AND('Riesgos de Gestión'!$O$21="Muy Alta",'Riesgos de Gestión'!$S$21="Catastrófico"),CONCATENATE("R",'Riesgos de Gestión'!$A$21),"")</f>
        <v/>
      </c>
      <c r="AK6" s="436"/>
      <c r="AL6" s="436" t="str">
        <f>IF(AND('Riesgos de Gestión'!$O$27="Muy Alta",'Riesgos de Gestión'!$S$27="Catastrófico"),CONCATENATE("R",'Riesgos de Gestión'!$A$27),"")</f>
        <v/>
      </c>
      <c r="AM6" s="437"/>
      <c r="AO6" s="460" t="s">
        <v>266</v>
      </c>
      <c r="AP6" s="461"/>
      <c r="AQ6" s="461"/>
      <c r="AR6" s="461"/>
      <c r="AS6" s="461"/>
      <c r="AT6" s="462"/>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25">
      <c r="A7" s="66"/>
      <c r="B7" s="458"/>
      <c r="C7" s="458"/>
      <c r="D7" s="459"/>
      <c r="E7" s="451"/>
      <c r="F7" s="452"/>
      <c r="G7" s="452"/>
      <c r="H7" s="452"/>
      <c r="I7" s="453"/>
      <c r="J7" s="438"/>
      <c r="K7" s="439"/>
      <c r="L7" s="439"/>
      <c r="M7" s="439"/>
      <c r="N7" s="439"/>
      <c r="O7" s="440"/>
      <c r="P7" s="438"/>
      <c r="Q7" s="439"/>
      <c r="R7" s="439"/>
      <c r="S7" s="439"/>
      <c r="T7" s="439"/>
      <c r="U7" s="440"/>
      <c r="V7" s="438"/>
      <c r="W7" s="439"/>
      <c r="X7" s="439"/>
      <c r="Y7" s="439"/>
      <c r="Z7" s="439"/>
      <c r="AA7" s="440"/>
      <c r="AB7" s="438"/>
      <c r="AC7" s="439"/>
      <c r="AD7" s="439"/>
      <c r="AE7" s="439"/>
      <c r="AF7" s="439"/>
      <c r="AG7" s="440"/>
      <c r="AH7" s="429"/>
      <c r="AI7" s="430"/>
      <c r="AJ7" s="430"/>
      <c r="AK7" s="430"/>
      <c r="AL7" s="430"/>
      <c r="AM7" s="431"/>
      <c r="AN7" s="66"/>
      <c r="AO7" s="463"/>
      <c r="AP7" s="464"/>
      <c r="AQ7" s="464"/>
      <c r="AR7" s="464"/>
      <c r="AS7" s="464"/>
      <c r="AT7" s="465"/>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25">
      <c r="A8" s="66"/>
      <c r="B8" s="458"/>
      <c r="C8" s="458"/>
      <c r="D8" s="459"/>
      <c r="E8" s="451"/>
      <c r="F8" s="452"/>
      <c r="G8" s="452"/>
      <c r="H8" s="452"/>
      <c r="I8" s="453"/>
      <c r="J8" s="438" t="str">
        <f>IF(AND('Riesgos de Gestión'!$O$33="Muy Alta",'Riesgos de Gestión'!$S$33="Leve"),CONCATENATE("R",'Riesgos de Gestión'!$A$33),"")</f>
        <v/>
      </c>
      <c r="K8" s="439"/>
      <c r="L8" s="439" t="str">
        <f>IF(AND('Riesgos de Gestión'!$O$39="Muy Alta",'Riesgos de Gestión'!$S$39="Leve"),CONCATENATE("R",'Riesgos de Gestión'!$A$39),"")</f>
        <v/>
      </c>
      <c r="M8" s="439"/>
      <c r="N8" s="439" t="str">
        <f>IF(AND('Riesgos de Gestión'!$O$45="Muy Alta",'Riesgos de Gestión'!$S$45="Leve"),CONCATENATE("R",'Riesgos de Gestión'!$A$45),"")</f>
        <v/>
      </c>
      <c r="O8" s="440"/>
      <c r="P8" s="438" t="str">
        <f>IF(AND('Riesgos de Gestión'!$O$33="Muy Alta",'Riesgos de Gestión'!$S$33="Menor"),CONCATENATE("R",'Riesgos de Gestión'!$A$33),"")</f>
        <v/>
      </c>
      <c r="Q8" s="439"/>
      <c r="R8" s="439" t="str">
        <f>IF(AND('Riesgos de Gestión'!$O$39="Muy Alta",'Riesgos de Gestión'!$S$39="Menor"),CONCATENATE("R",'Riesgos de Gestión'!$A$39),"")</f>
        <v/>
      </c>
      <c r="S8" s="439"/>
      <c r="T8" s="439" t="str">
        <f>IF(AND('Riesgos de Gestión'!$O$45="Muy Alta",'Riesgos de Gestión'!$S$45="Menor"),CONCATENATE("R",'Riesgos de Gestión'!$A$45),"")</f>
        <v/>
      </c>
      <c r="U8" s="440"/>
      <c r="V8" s="438" t="str">
        <f>IF(AND('Riesgos de Gestión'!$O$33="Muy Alta",'Riesgos de Gestión'!$S$33="Moderado"),CONCATENATE("R",'Riesgos de Gestión'!$A$33),"")</f>
        <v/>
      </c>
      <c r="W8" s="439"/>
      <c r="X8" s="439" t="str">
        <f>IF(AND('Riesgos de Gestión'!$O$39="Muy Alta",'Riesgos de Gestión'!$S$39="Moderado"),CONCATENATE("R",'Riesgos de Gestión'!$A$39),"")</f>
        <v/>
      </c>
      <c r="Y8" s="439"/>
      <c r="Z8" s="439" t="str">
        <f>IF(AND('Riesgos de Gestión'!$O$45="Muy Alta",'Riesgos de Gestión'!$S$45="Moderado"),CONCATENATE("R",'Riesgos de Gestión'!$A$45),"")</f>
        <v/>
      </c>
      <c r="AA8" s="440"/>
      <c r="AB8" s="438" t="str">
        <f>IF(AND('Riesgos de Gestión'!$O$33="Muy Alta",'Riesgos de Gestión'!$S$33="Mayor"),CONCATENATE("R",'Riesgos de Gestión'!$A$33),"")</f>
        <v/>
      </c>
      <c r="AC8" s="439"/>
      <c r="AD8" s="439" t="str">
        <f>IF(AND('Riesgos de Gestión'!$O$39="Muy Alta",'Riesgos de Gestión'!$S$39="Mayor"),CONCATENATE("R",'Riesgos de Gestión'!$A$39),"")</f>
        <v/>
      </c>
      <c r="AE8" s="439"/>
      <c r="AF8" s="439" t="str">
        <f>IF(AND('Riesgos de Gestión'!$O$45="Muy Alta",'Riesgos de Gestión'!$S$45="Mayor"),CONCATENATE("R",'Riesgos de Gestión'!$A$45),"")</f>
        <v/>
      </c>
      <c r="AG8" s="440"/>
      <c r="AH8" s="429" t="str">
        <f>IF(AND('Riesgos de Gestión'!$O$33="Muy Alta",'Riesgos de Gestión'!$S$33="Catastrófico"),CONCATENATE("R",'Riesgos de Gestión'!$A$33),"")</f>
        <v/>
      </c>
      <c r="AI8" s="430"/>
      <c r="AJ8" s="430" t="str">
        <f>IF(AND('Riesgos de Gestión'!$O$39="Muy Alta",'Riesgos de Gestión'!$S$39="Catastrófico"),CONCATENATE("R",'Riesgos de Gestión'!$A$39),"")</f>
        <v/>
      </c>
      <c r="AK8" s="430"/>
      <c r="AL8" s="430" t="str">
        <f>IF(AND('Riesgos de Gestión'!$O$45="Muy Alta",'Riesgos de Gestión'!$S$45="Catastrófico"),CONCATENATE("R",'Riesgos de Gestión'!$A$45),"")</f>
        <v/>
      </c>
      <c r="AM8" s="431"/>
      <c r="AN8" s="66"/>
      <c r="AO8" s="463"/>
      <c r="AP8" s="464"/>
      <c r="AQ8" s="464"/>
      <c r="AR8" s="464"/>
      <c r="AS8" s="464"/>
      <c r="AT8" s="465"/>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25">
      <c r="A9" s="66"/>
      <c r="B9" s="458"/>
      <c r="C9" s="458"/>
      <c r="D9" s="459"/>
      <c r="E9" s="451"/>
      <c r="F9" s="452"/>
      <c r="G9" s="452"/>
      <c r="H9" s="452"/>
      <c r="I9" s="453"/>
      <c r="J9" s="438"/>
      <c r="K9" s="439"/>
      <c r="L9" s="439"/>
      <c r="M9" s="439"/>
      <c r="N9" s="439"/>
      <c r="O9" s="440"/>
      <c r="P9" s="438"/>
      <c r="Q9" s="439"/>
      <c r="R9" s="439"/>
      <c r="S9" s="439"/>
      <c r="T9" s="439"/>
      <c r="U9" s="440"/>
      <c r="V9" s="438"/>
      <c r="W9" s="439"/>
      <c r="X9" s="439"/>
      <c r="Y9" s="439"/>
      <c r="Z9" s="439"/>
      <c r="AA9" s="440"/>
      <c r="AB9" s="438"/>
      <c r="AC9" s="439"/>
      <c r="AD9" s="439"/>
      <c r="AE9" s="439"/>
      <c r="AF9" s="439"/>
      <c r="AG9" s="440"/>
      <c r="AH9" s="429"/>
      <c r="AI9" s="430"/>
      <c r="AJ9" s="430"/>
      <c r="AK9" s="430"/>
      <c r="AL9" s="430"/>
      <c r="AM9" s="431"/>
      <c r="AN9" s="66"/>
      <c r="AO9" s="463"/>
      <c r="AP9" s="464"/>
      <c r="AQ9" s="464"/>
      <c r="AR9" s="464"/>
      <c r="AS9" s="464"/>
      <c r="AT9" s="465"/>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25">
      <c r="A10" s="66"/>
      <c r="B10" s="458"/>
      <c r="C10" s="458"/>
      <c r="D10" s="459"/>
      <c r="E10" s="451"/>
      <c r="F10" s="452"/>
      <c r="G10" s="452"/>
      <c r="H10" s="452"/>
      <c r="I10" s="453"/>
      <c r="J10" s="438" t="str">
        <f>IF(AND('Riesgos de Gestión'!$O$51="Muy Alta",'Riesgos de Gestión'!$S$51="Leve"),CONCATENATE("R",'Riesgos de Gestión'!$A$51),"")</f>
        <v/>
      </c>
      <c r="K10" s="439"/>
      <c r="L10" s="439" t="str">
        <f>IF(AND('Riesgos de Gestión'!$O$57="Muy Alta",'Riesgos de Gestión'!$S$57="Leve"),CONCATENATE("R",'Riesgos de Gestión'!$A$57),"")</f>
        <v/>
      </c>
      <c r="M10" s="439"/>
      <c r="N10" s="439" t="str">
        <f>IF(AND('Riesgos de Gestión'!$O$63="Muy Alta",'Riesgos de Gestión'!$S$63="Leve"),CONCATENATE("R",'Riesgos de Gestión'!$A$63),"")</f>
        <v/>
      </c>
      <c r="O10" s="440"/>
      <c r="P10" s="438" t="str">
        <f>IF(AND('Riesgos de Gestión'!$O$51="Muy Alta",'Riesgos de Gestión'!$S$51="Menor"),CONCATENATE("R",'Riesgos de Gestión'!$A$51),"")</f>
        <v/>
      </c>
      <c r="Q10" s="439"/>
      <c r="R10" s="439" t="str">
        <f>IF(AND('Riesgos de Gestión'!$O$57="Muy Alta",'Riesgos de Gestión'!$S$57="Menor"),CONCATENATE("R",'Riesgos de Gestión'!$A$57),"")</f>
        <v/>
      </c>
      <c r="S10" s="439"/>
      <c r="T10" s="439" t="str">
        <f>IF(AND('Riesgos de Gestión'!$O$63="Muy Alta",'Riesgos de Gestión'!$S$63="Menor"),CONCATENATE("R",'Riesgos de Gestión'!$A$63),"")</f>
        <v/>
      </c>
      <c r="U10" s="440"/>
      <c r="V10" s="438" t="str">
        <f>IF(AND('Riesgos de Gestión'!$O$51="Muy Alta",'Riesgos de Gestión'!$S$51="Moderado"),CONCATENATE("R",'Riesgos de Gestión'!$A$51),"")</f>
        <v/>
      </c>
      <c r="W10" s="439"/>
      <c r="X10" s="439" t="str">
        <f>IF(AND('Riesgos de Gestión'!$O$57="Muy Alta",'Riesgos de Gestión'!$S$57="Moderado"),CONCATENATE("R",'Riesgos de Gestión'!$A$57),"")</f>
        <v/>
      </c>
      <c r="Y10" s="439"/>
      <c r="Z10" s="439" t="str">
        <f>IF(AND('Riesgos de Gestión'!$O$63="Muy Alta",'Riesgos de Gestión'!$S$63="Moderado"),CONCATENATE("R",'Riesgos de Gestión'!$A$63),"")</f>
        <v/>
      </c>
      <c r="AA10" s="440"/>
      <c r="AB10" s="438" t="str">
        <f>IF(AND('Riesgos de Gestión'!$O$51="Muy Alta",'Riesgos de Gestión'!$S$51="Mayor"),CONCATENATE("R",'Riesgos de Gestión'!$A$51),"")</f>
        <v/>
      </c>
      <c r="AC10" s="439"/>
      <c r="AD10" s="439" t="str">
        <f>IF(AND('Riesgos de Gestión'!$O$57="Muy Alta",'Riesgos de Gestión'!$S$57="Mayor"),CONCATENATE("R",'Riesgos de Gestión'!$A$57),"")</f>
        <v/>
      </c>
      <c r="AE10" s="439"/>
      <c r="AF10" s="439" t="str">
        <f>IF(AND('Riesgos de Gestión'!$O$63="Muy Alta",'Riesgos de Gestión'!$S$63="Mayor"),CONCATENATE("R",'Riesgos de Gestión'!$A$63),"")</f>
        <v/>
      </c>
      <c r="AG10" s="440"/>
      <c r="AH10" s="429" t="str">
        <f>IF(AND('Riesgos de Gestión'!$O$51="Muy Alta",'Riesgos de Gestión'!$S$51="Catastrófico"),CONCATENATE("R",'Riesgos de Gestión'!$A$51),"")</f>
        <v/>
      </c>
      <c r="AI10" s="430"/>
      <c r="AJ10" s="430" t="str">
        <f>IF(AND('Riesgos de Gestión'!$O$57="Muy Alta",'Riesgos de Gestión'!$S$57="Catastrófico"),CONCATENATE("R",'Riesgos de Gestión'!$A$57),"")</f>
        <v/>
      </c>
      <c r="AK10" s="430"/>
      <c r="AL10" s="430" t="str">
        <f>IF(AND('Riesgos de Gestión'!$O$63="Muy Alta",'Riesgos de Gestión'!$S$63="Catastrófico"),CONCATENATE("R",'Riesgos de Gestión'!$A$63),"")</f>
        <v/>
      </c>
      <c r="AM10" s="431"/>
      <c r="AN10" s="66"/>
      <c r="AO10" s="463"/>
      <c r="AP10" s="464"/>
      <c r="AQ10" s="464"/>
      <c r="AR10" s="464"/>
      <c r="AS10" s="464"/>
      <c r="AT10" s="465"/>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25">
      <c r="A11" s="66"/>
      <c r="B11" s="458"/>
      <c r="C11" s="458"/>
      <c r="D11" s="459"/>
      <c r="E11" s="451"/>
      <c r="F11" s="452"/>
      <c r="G11" s="452"/>
      <c r="H11" s="452"/>
      <c r="I11" s="453"/>
      <c r="J11" s="438"/>
      <c r="K11" s="439"/>
      <c r="L11" s="439"/>
      <c r="M11" s="439"/>
      <c r="N11" s="439"/>
      <c r="O11" s="440"/>
      <c r="P11" s="438"/>
      <c r="Q11" s="439"/>
      <c r="R11" s="439"/>
      <c r="S11" s="439"/>
      <c r="T11" s="439"/>
      <c r="U11" s="440"/>
      <c r="V11" s="438"/>
      <c r="W11" s="439"/>
      <c r="X11" s="439"/>
      <c r="Y11" s="439"/>
      <c r="Z11" s="439"/>
      <c r="AA11" s="440"/>
      <c r="AB11" s="438"/>
      <c r="AC11" s="439"/>
      <c r="AD11" s="439"/>
      <c r="AE11" s="439"/>
      <c r="AF11" s="439"/>
      <c r="AG11" s="440"/>
      <c r="AH11" s="429"/>
      <c r="AI11" s="430"/>
      <c r="AJ11" s="430"/>
      <c r="AK11" s="430"/>
      <c r="AL11" s="430"/>
      <c r="AM11" s="431"/>
      <c r="AN11" s="66"/>
      <c r="AO11" s="463"/>
      <c r="AP11" s="464"/>
      <c r="AQ11" s="464"/>
      <c r="AR11" s="464"/>
      <c r="AS11" s="464"/>
      <c r="AT11" s="465"/>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25">
      <c r="A12" s="66"/>
      <c r="B12" s="458"/>
      <c r="C12" s="458"/>
      <c r="D12" s="459"/>
      <c r="E12" s="451"/>
      <c r="F12" s="452"/>
      <c r="G12" s="452"/>
      <c r="H12" s="452"/>
      <c r="I12" s="453"/>
      <c r="J12" s="438" t="str">
        <f>IF(AND('Riesgos de Gestión'!$O$69="Muy Alta",'Riesgos de Gestión'!$S$69="Leve"),CONCATENATE("R",'Riesgos de Gestión'!$A$69),"")</f>
        <v/>
      </c>
      <c r="K12" s="439"/>
      <c r="L12" s="439" t="str">
        <f>IF(AND('Riesgos de Gestión'!$P$75="Muy Alta",'Riesgos de Gestión'!$T$75="Leve"),CONCATENATE("R",'Riesgos de Gestión'!$A$75),"")</f>
        <v/>
      </c>
      <c r="M12" s="439"/>
      <c r="N12" s="439" t="str">
        <f>IF(AND('Riesgos de Gestión'!$P$81="Muy Alta",'Riesgos de Gestión'!$T$81="Leve"),CONCATENATE("R",'Riesgos de Gestión'!$A$81),"")</f>
        <v/>
      </c>
      <c r="O12" s="440"/>
      <c r="P12" s="438" t="str">
        <f>IF(AND('Riesgos de Gestión'!$O$69="Muy Alta",'Riesgos de Gestión'!$S$69="Menor"),CONCATENATE("R",'Riesgos de Gestión'!$A$69),"")</f>
        <v/>
      </c>
      <c r="Q12" s="439"/>
      <c r="R12" s="439" t="str">
        <f>IF(AND('Riesgos de Gestión'!$P$75="Muy Alta",'Riesgos de Gestión'!$T$75="Menor"),CONCATENATE("R",'Riesgos de Gestión'!$A$75),"")</f>
        <v/>
      </c>
      <c r="S12" s="439"/>
      <c r="T12" s="439" t="str">
        <f>IF(AND('Riesgos de Gestión'!$P$81="Muy Alta",'Riesgos de Gestión'!$T$81="Menor"),CONCATENATE("R",'Riesgos de Gestión'!$A$81),"")</f>
        <v/>
      </c>
      <c r="U12" s="440"/>
      <c r="V12" s="438" t="str">
        <f>IF(AND('Riesgos de Gestión'!$O$69="Muy Alta",'Riesgos de Gestión'!$S$69="Moderado"),CONCATENATE("R",'Riesgos de Gestión'!$A$69),"")</f>
        <v/>
      </c>
      <c r="W12" s="439"/>
      <c r="X12" s="439" t="str">
        <f>IF(AND('Riesgos de Gestión'!$P$75="Muy Alta",'Riesgos de Gestión'!$T$75="Moderado"),CONCATENATE("R",'Riesgos de Gestión'!$A$75),"")</f>
        <v/>
      </c>
      <c r="Y12" s="439"/>
      <c r="Z12" s="439" t="str">
        <f>IF(AND('Riesgos de Gestión'!$P$81="Muy Alta",'Riesgos de Gestión'!$T$81="Moderado"),CONCATENATE("R",'Riesgos de Gestión'!$A$81),"")</f>
        <v/>
      </c>
      <c r="AA12" s="440"/>
      <c r="AB12" s="438" t="str">
        <f>IF(AND('Riesgos de Gestión'!$O$69="Muy Alta",'Riesgos de Gestión'!$S$69="Mayor"),CONCATENATE("R",'Riesgos de Gestión'!$A$69),"")</f>
        <v/>
      </c>
      <c r="AC12" s="439"/>
      <c r="AD12" s="439" t="str">
        <f>IF(AND('Riesgos de Gestión'!$P$75="Muy Alta",'Riesgos de Gestión'!$T$75="Mayor"),CONCATENATE("R",'Riesgos de Gestión'!$A$75),"")</f>
        <v/>
      </c>
      <c r="AE12" s="439"/>
      <c r="AF12" s="439" t="str">
        <f>IF(AND('Riesgos de Gestión'!$P$81="Muy Alta",'Riesgos de Gestión'!$T$81="Mayor"),CONCATENATE("R",'Riesgos de Gestión'!$A$81),"")</f>
        <v/>
      </c>
      <c r="AG12" s="440"/>
      <c r="AH12" s="429" t="str">
        <f>IF(AND('Riesgos de Gestión'!$O$69="Muy Alta",'Riesgos de Gestión'!$S$69="Catastrófico"),CONCATENATE("R",'Riesgos de Gestión'!$A$69),"")</f>
        <v/>
      </c>
      <c r="AI12" s="430"/>
      <c r="AJ12" s="430" t="str">
        <f>IF(AND('Riesgos de Gestión'!$P$75="Muy Alta",'Riesgos de Gestión'!$T$75="Catastrófico"),CONCATENATE("R",'Riesgos de Gestión'!$A$75),"")</f>
        <v/>
      </c>
      <c r="AK12" s="430"/>
      <c r="AL12" s="430" t="str">
        <f>IF(AND('Riesgos de Gestión'!$P$81="Muy Alta",'Riesgos de Gestión'!$T$81="Catastrófico"),CONCATENATE("R",'Riesgos de Gestión'!$A$81),"")</f>
        <v/>
      </c>
      <c r="AM12" s="431"/>
      <c r="AN12" s="66"/>
      <c r="AO12" s="463"/>
      <c r="AP12" s="464"/>
      <c r="AQ12" s="464"/>
      <c r="AR12" s="464"/>
      <c r="AS12" s="464"/>
      <c r="AT12" s="465"/>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
      <c r="A13" s="66"/>
      <c r="B13" s="458"/>
      <c r="C13" s="458"/>
      <c r="D13" s="459"/>
      <c r="E13" s="454"/>
      <c r="F13" s="455"/>
      <c r="G13" s="455"/>
      <c r="H13" s="455"/>
      <c r="I13" s="456"/>
      <c r="J13" s="438"/>
      <c r="K13" s="439"/>
      <c r="L13" s="439"/>
      <c r="M13" s="439"/>
      <c r="N13" s="439"/>
      <c r="O13" s="440"/>
      <c r="P13" s="438"/>
      <c r="Q13" s="439"/>
      <c r="R13" s="439"/>
      <c r="S13" s="439"/>
      <c r="T13" s="439"/>
      <c r="U13" s="440"/>
      <c r="V13" s="438"/>
      <c r="W13" s="439"/>
      <c r="X13" s="439"/>
      <c r="Y13" s="439"/>
      <c r="Z13" s="439"/>
      <c r="AA13" s="440"/>
      <c r="AB13" s="438"/>
      <c r="AC13" s="439"/>
      <c r="AD13" s="439"/>
      <c r="AE13" s="439"/>
      <c r="AF13" s="439"/>
      <c r="AG13" s="440"/>
      <c r="AH13" s="432"/>
      <c r="AI13" s="433"/>
      <c r="AJ13" s="433"/>
      <c r="AK13" s="433"/>
      <c r="AL13" s="433"/>
      <c r="AM13" s="434"/>
      <c r="AN13" s="66"/>
      <c r="AO13" s="466"/>
      <c r="AP13" s="467"/>
      <c r="AQ13" s="467"/>
      <c r="AR13" s="467"/>
      <c r="AS13" s="467"/>
      <c r="AT13" s="468"/>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25">
      <c r="A14" s="66"/>
      <c r="B14" s="458"/>
      <c r="C14" s="458"/>
      <c r="D14" s="459"/>
      <c r="E14" s="448" t="s">
        <v>267</v>
      </c>
      <c r="F14" s="449"/>
      <c r="G14" s="449"/>
      <c r="H14" s="449"/>
      <c r="I14" s="449"/>
      <c r="J14" s="426" t="str">
        <f>IF(AND('Riesgos de Gestión'!$O$13="Alta",'Riesgos de Gestión'!$S$13="Leve"),CONCATENATE("R",'Riesgos de Gestión'!$A$13),"")</f>
        <v/>
      </c>
      <c r="K14" s="427"/>
      <c r="L14" s="427" t="str">
        <f>IF(AND('Riesgos de Gestión'!$O$21="Alta",'Riesgos de Gestión'!$S$21="Leve"),CONCATENATE("R",'Riesgos de Gestión'!$A$21),"")</f>
        <v/>
      </c>
      <c r="M14" s="427"/>
      <c r="N14" s="427" t="str">
        <f>IF(AND('Riesgos de Gestión'!$O$27="Alta",'Riesgos de Gestión'!$S$27="Leve"),CONCATENATE("R",'Riesgos de Gestión'!$A$27),"")</f>
        <v/>
      </c>
      <c r="O14" s="428"/>
      <c r="P14" s="426" t="str">
        <f>IF(AND('Riesgos de Gestión'!$O$13="Alta",'Riesgos de Gestión'!$S$13="Menor"),CONCATENATE("R",'Riesgos de Gestión'!$A$13),"")</f>
        <v/>
      </c>
      <c r="Q14" s="427"/>
      <c r="R14" s="427" t="str">
        <f>IF(AND('Riesgos de Gestión'!$O$21="Alta",'Riesgos de Gestión'!$S$21="Menor"),CONCATENATE("R",'Riesgos de Gestión'!$A$21),"")</f>
        <v/>
      </c>
      <c r="S14" s="427"/>
      <c r="T14" s="427" t="str">
        <f>IF(AND('Riesgos de Gestión'!$O$27="Alta",'Riesgos de Gestión'!$S$27="Menor"),CONCATENATE("R",'Riesgos de Gestión'!$A$27),"")</f>
        <v/>
      </c>
      <c r="U14" s="428"/>
      <c r="V14" s="444" t="str">
        <f>IF(AND('Riesgos de Gestión'!$O$13="Alta",'Riesgos de Gestión'!$S$13="Moderado"),CONCATENATE("R",'Riesgos de Gestión'!$A$13),"")</f>
        <v/>
      </c>
      <c r="W14" s="445"/>
      <c r="X14" s="445" t="str">
        <f>IF(AND('Riesgos de Gestión'!$O$21="Alta",'Riesgos de Gestión'!$S$21="Moderado"),CONCATENATE("R",'Riesgos de Gestión'!$A$21),"")</f>
        <v/>
      </c>
      <c r="Y14" s="445"/>
      <c r="Z14" s="445" t="str">
        <f>IF(AND('Riesgos de Gestión'!$O$27="Alta",'Riesgos de Gestión'!$S$27="Moderado"),CONCATENATE("R",'Riesgos de Gestión'!$A$27),"")</f>
        <v/>
      </c>
      <c r="AA14" s="446"/>
      <c r="AB14" s="444" t="str">
        <f>IF(AND('Riesgos de Gestión'!$O$13="Alta",'Riesgos de Gestión'!$S$13="Mayor"),CONCATENATE("R",'Riesgos de Gestión'!$A$13),"")</f>
        <v/>
      </c>
      <c r="AC14" s="445"/>
      <c r="AD14" s="445" t="str">
        <f>IF(AND('Riesgos de Gestión'!$O$21="Alta",'Riesgos de Gestión'!$S$21="Mayor"),CONCATENATE("R",'Riesgos de Gestión'!$A$21),"")</f>
        <v/>
      </c>
      <c r="AE14" s="445"/>
      <c r="AF14" s="445" t="str">
        <f>IF(AND('Riesgos de Gestión'!$O$27="Alta",'Riesgos de Gestión'!$S$27="Mayor"),CONCATENATE("R",'Riesgos de Gestión'!$A$27),"")</f>
        <v/>
      </c>
      <c r="AG14" s="446"/>
      <c r="AH14" s="435" t="str">
        <f>IF(AND('Riesgos de Gestión'!$O$13="Alta",'Riesgos de Gestión'!$S$13="Catastrófico"),CONCATENATE("R",'Riesgos de Gestión'!$A$13),"")</f>
        <v/>
      </c>
      <c r="AI14" s="436"/>
      <c r="AJ14" s="436" t="str">
        <f>IF(AND('Riesgos de Gestión'!$O$21="Alta",'Riesgos de Gestión'!$S$21="Catastrófico"),CONCATENATE("R",'Riesgos de Gestión'!$A$21),"")</f>
        <v/>
      </c>
      <c r="AK14" s="436"/>
      <c r="AL14" s="436" t="str">
        <f>IF(AND('Riesgos de Gestión'!$O$27="Alta",'Riesgos de Gestión'!$S$27="Catastrófico"),CONCATENATE("R",'Riesgos de Gestión'!$A$27),"")</f>
        <v/>
      </c>
      <c r="AM14" s="437"/>
      <c r="AN14" s="66"/>
      <c r="AO14" s="469" t="s">
        <v>268</v>
      </c>
      <c r="AP14" s="470"/>
      <c r="AQ14" s="470"/>
      <c r="AR14" s="470"/>
      <c r="AS14" s="470"/>
      <c r="AT14" s="471"/>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25">
      <c r="A15" s="66"/>
      <c r="B15" s="458"/>
      <c r="C15" s="458"/>
      <c r="D15" s="459"/>
      <c r="E15" s="451"/>
      <c r="F15" s="452"/>
      <c r="G15" s="452"/>
      <c r="H15" s="452"/>
      <c r="I15" s="452"/>
      <c r="J15" s="420"/>
      <c r="K15" s="421"/>
      <c r="L15" s="421"/>
      <c r="M15" s="421"/>
      <c r="N15" s="421"/>
      <c r="O15" s="422"/>
      <c r="P15" s="420"/>
      <c r="Q15" s="421"/>
      <c r="R15" s="421"/>
      <c r="S15" s="421"/>
      <c r="T15" s="421"/>
      <c r="U15" s="422"/>
      <c r="V15" s="438"/>
      <c r="W15" s="439"/>
      <c r="X15" s="439"/>
      <c r="Y15" s="439"/>
      <c r="Z15" s="439"/>
      <c r="AA15" s="440"/>
      <c r="AB15" s="438"/>
      <c r="AC15" s="439"/>
      <c r="AD15" s="439"/>
      <c r="AE15" s="439"/>
      <c r="AF15" s="439"/>
      <c r="AG15" s="440"/>
      <c r="AH15" s="429"/>
      <c r="AI15" s="430"/>
      <c r="AJ15" s="430"/>
      <c r="AK15" s="430"/>
      <c r="AL15" s="430"/>
      <c r="AM15" s="431"/>
      <c r="AN15" s="66"/>
      <c r="AO15" s="472"/>
      <c r="AP15" s="473"/>
      <c r="AQ15" s="473"/>
      <c r="AR15" s="473"/>
      <c r="AS15" s="473"/>
      <c r="AT15" s="474"/>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25">
      <c r="A16" s="66"/>
      <c r="B16" s="458"/>
      <c r="C16" s="458"/>
      <c r="D16" s="459"/>
      <c r="E16" s="451"/>
      <c r="F16" s="452"/>
      <c r="G16" s="452"/>
      <c r="H16" s="452"/>
      <c r="I16" s="452"/>
      <c r="J16" s="420" t="str">
        <f>IF(AND('Riesgos de Gestión'!$O$33="Alta",'Riesgos de Gestión'!$S$33="Leve"),CONCATENATE("R",'Riesgos de Gestión'!$A$33),"")</f>
        <v/>
      </c>
      <c r="K16" s="421"/>
      <c r="L16" s="421" t="str">
        <f>IF(AND('Riesgos de Gestión'!$O$39="Alta",'Riesgos de Gestión'!$S$39="Leve"),CONCATENATE("R",'Riesgos de Gestión'!$A$39),"")</f>
        <v/>
      </c>
      <c r="M16" s="421"/>
      <c r="N16" s="421" t="str">
        <f>IF(AND('Riesgos de Gestión'!$O$45="Alta",'Riesgos de Gestión'!$S$45="Leve"),CONCATENATE("R",'Riesgos de Gestión'!$A$45),"")</f>
        <v/>
      </c>
      <c r="O16" s="422"/>
      <c r="P16" s="420" t="str">
        <f>IF(AND('Riesgos de Gestión'!$O$33="Alta",'Riesgos de Gestión'!$S$33="Menor"),CONCATENATE("R",'Riesgos de Gestión'!$A$33),"")</f>
        <v/>
      </c>
      <c r="Q16" s="421"/>
      <c r="R16" s="421" t="str">
        <f>IF(AND('Riesgos de Gestión'!$O$39="Alta",'Riesgos de Gestión'!$S$39="Menor"),CONCATENATE("R",'Riesgos de Gestión'!$A$39),"")</f>
        <v/>
      </c>
      <c r="S16" s="421"/>
      <c r="T16" s="421" t="str">
        <f>IF(AND('Riesgos de Gestión'!$O$45="Alta",'Riesgos de Gestión'!$S$45="Menor"),CONCATENATE("R",'Riesgos de Gestión'!$A$45),"")</f>
        <v/>
      </c>
      <c r="U16" s="422"/>
      <c r="V16" s="438" t="str">
        <f>IF(AND('Riesgos de Gestión'!$O$33="Alta",'Riesgos de Gestión'!$S$33="Moderado"),CONCATENATE("R",'Riesgos de Gestión'!$A$33),"")</f>
        <v/>
      </c>
      <c r="W16" s="439"/>
      <c r="X16" s="439" t="str">
        <f>IF(AND('Riesgos de Gestión'!$O$39="Alta",'Riesgos de Gestión'!$S$39="Moderado"),CONCATENATE("R",'Riesgos de Gestión'!$A$39),"")</f>
        <v/>
      </c>
      <c r="Y16" s="439"/>
      <c r="Z16" s="439" t="str">
        <f>IF(AND('Riesgos de Gestión'!$O$45="Alta",'Riesgos de Gestión'!$S$45="Moderado"),CONCATENATE("R",'Riesgos de Gestión'!$A$45),"")</f>
        <v/>
      </c>
      <c r="AA16" s="440"/>
      <c r="AB16" s="438" t="str">
        <f>IF(AND('Riesgos de Gestión'!$O$33="Alta",'Riesgos de Gestión'!$S$33="Mayor"),CONCATENATE("R",'Riesgos de Gestión'!$A$33),"")</f>
        <v/>
      </c>
      <c r="AC16" s="439"/>
      <c r="AD16" s="439" t="str">
        <f>IF(AND('Riesgos de Gestión'!$O$39="Alta",'Riesgos de Gestión'!$S$39="Mayor"),CONCATENATE("R",'Riesgos de Gestión'!$A$39),"")</f>
        <v/>
      </c>
      <c r="AE16" s="439"/>
      <c r="AF16" s="439" t="str">
        <f>IF(AND('Riesgos de Gestión'!$O$45="Alta",'Riesgos de Gestión'!$S$45="Mayor"),CONCATENATE("R",'Riesgos de Gestión'!$A$45),"")</f>
        <v/>
      </c>
      <c r="AG16" s="440"/>
      <c r="AH16" s="429" t="str">
        <f>IF(AND('Riesgos de Gestión'!$O$33="Alta",'Riesgos de Gestión'!$S$33="Catastrófico"),CONCATENATE("R",'Riesgos de Gestión'!$A$33),"")</f>
        <v/>
      </c>
      <c r="AI16" s="430"/>
      <c r="AJ16" s="430" t="str">
        <f>IF(AND('Riesgos de Gestión'!$O$39="Alta",'Riesgos de Gestión'!$S$39="Catastrófico"),CONCATENATE("R",'Riesgos de Gestión'!$A$39),"")</f>
        <v/>
      </c>
      <c r="AK16" s="430"/>
      <c r="AL16" s="430" t="str">
        <f>IF(AND('Riesgos de Gestión'!$O$45="Alta",'Riesgos de Gestión'!$S$45="Catastrófico"),CONCATENATE("R",'Riesgos de Gestión'!$A$45),"")</f>
        <v/>
      </c>
      <c r="AM16" s="431"/>
      <c r="AN16" s="66"/>
      <c r="AO16" s="472"/>
      <c r="AP16" s="473"/>
      <c r="AQ16" s="473"/>
      <c r="AR16" s="473"/>
      <c r="AS16" s="473"/>
      <c r="AT16" s="474"/>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25">
      <c r="A17" s="66"/>
      <c r="B17" s="458"/>
      <c r="C17" s="458"/>
      <c r="D17" s="459"/>
      <c r="E17" s="451"/>
      <c r="F17" s="452"/>
      <c r="G17" s="452"/>
      <c r="H17" s="452"/>
      <c r="I17" s="452"/>
      <c r="J17" s="420"/>
      <c r="K17" s="421"/>
      <c r="L17" s="421"/>
      <c r="M17" s="421"/>
      <c r="N17" s="421"/>
      <c r="O17" s="422"/>
      <c r="P17" s="420"/>
      <c r="Q17" s="421"/>
      <c r="R17" s="421"/>
      <c r="S17" s="421"/>
      <c r="T17" s="421"/>
      <c r="U17" s="422"/>
      <c r="V17" s="438"/>
      <c r="W17" s="439"/>
      <c r="X17" s="439"/>
      <c r="Y17" s="439"/>
      <c r="Z17" s="439"/>
      <c r="AA17" s="440"/>
      <c r="AB17" s="438"/>
      <c r="AC17" s="439"/>
      <c r="AD17" s="439"/>
      <c r="AE17" s="439"/>
      <c r="AF17" s="439"/>
      <c r="AG17" s="440"/>
      <c r="AH17" s="429"/>
      <c r="AI17" s="430"/>
      <c r="AJ17" s="430"/>
      <c r="AK17" s="430"/>
      <c r="AL17" s="430"/>
      <c r="AM17" s="431"/>
      <c r="AN17" s="66"/>
      <c r="AO17" s="472"/>
      <c r="AP17" s="473"/>
      <c r="AQ17" s="473"/>
      <c r="AR17" s="473"/>
      <c r="AS17" s="473"/>
      <c r="AT17" s="474"/>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25">
      <c r="A18" s="66"/>
      <c r="B18" s="458"/>
      <c r="C18" s="458"/>
      <c r="D18" s="459"/>
      <c r="E18" s="451"/>
      <c r="F18" s="452"/>
      <c r="G18" s="452"/>
      <c r="H18" s="452"/>
      <c r="I18" s="452"/>
      <c r="J18" s="420" t="str">
        <f>IF(AND('Riesgos de Gestión'!$O$51="Alta",'Riesgos de Gestión'!$S$51="Leve"),CONCATENATE("R",'Riesgos de Gestión'!$A$51),"")</f>
        <v/>
      </c>
      <c r="K18" s="421"/>
      <c r="L18" s="421" t="str">
        <f>IF(AND('Riesgos de Gestión'!$O$57="Alta",'Riesgos de Gestión'!$S$57="Leve"),CONCATENATE("R",'Riesgos de Gestión'!$A$57),"")</f>
        <v/>
      </c>
      <c r="M18" s="421"/>
      <c r="N18" s="421" t="str">
        <f>IF(AND('Riesgos de Gestión'!$O$63="Alta",'Riesgos de Gestión'!$S$63="Leve"),CONCATENATE("R",'Riesgos de Gestión'!$A$63),"")</f>
        <v/>
      </c>
      <c r="O18" s="422"/>
      <c r="P18" s="420" t="str">
        <f>IF(AND('Riesgos de Gestión'!$O$51="Alta",'Riesgos de Gestión'!$S$51="Menor"),CONCATENATE("R",'Riesgos de Gestión'!$A$51),"")</f>
        <v/>
      </c>
      <c r="Q18" s="421"/>
      <c r="R18" s="421" t="str">
        <f>IF(AND('Riesgos de Gestión'!$O$57="Alta",'Riesgos de Gestión'!$S$57="Menor"),CONCATENATE("R",'Riesgos de Gestión'!$A$57),"")</f>
        <v/>
      </c>
      <c r="S18" s="421"/>
      <c r="T18" s="421" t="str">
        <f>IF(AND('Riesgos de Gestión'!$O$63="Alta",'Riesgos de Gestión'!$S$63="Menor"),CONCATENATE("R",'Riesgos de Gestión'!$A$63),"")</f>
        <v/>
      </c>
      <c r="U18" s="422"/>
      <c r="V18" s="438" t="str">
        <f>IF(AND('Riesgos de Gestión'!$O$51="Alta",'Riesgos de Gestión'!$S$51="Moderado"),CONCATENATE("R",'Riesgos de Gestión'!$A$51),"")</f>
        <v/>
      </c>
      <c r="W18" s="439"/>
      <c r="X18" s="439" t="str">
        <f>IF(AND('Riesgos de Gestión'!$O$57="Alta",'Riesgos de Gestión'!$S$57="Moderado"),CONCATENATE("R",'Riesgos de Gestión'!$A$57),"")</f>
        <v/>
      </c>
      <c r="Y18" s="439"/>
      <c r="Z18" s="439" t="str">
        <f>IF(AND('Riesgos de Gestión'!$O$63="Alta",'Riesgos de Gestión'!$S$63="Moderado"),CONCATENATE("R",'Riesgos de Gestión'!$A$63),"")</f>
        <v/>
      </c>
      <c r="AA18" s="440"/>
      <c r="AB18" s="438" t="str">
        <f>IF(AND('Riesgos de Gestión'!$O$51="Alta",'Riesgos de Gestión'!$S$51="Mayor"),CONCATENATE("R",'Riesgos de Gestión'!$A$51),"")</f>
        <v/>
      </c>
      <c r="AC18" s="439"/>
      <c r="AD18" s="439" t="str">
        <f>IF(AND('Riesgos de Gestión'!$O$57="Alta",'Riesgos de Gestión'!$S$57="Mayor"),CONCATENATE("R",'Riesgos de Gestión'!$A$57),"")</f>
        <v/>
      </c>
      <c r="AE18" s="439"/>
      <c r="AF18" s="439" t="str">
        <f>IF(AND('Riesgos de Gestión'!$O$63="Alta",'Riesgos de Gestión'!$S$63="Mayor"),CONCATENATE("R",'Riesgos de Gestión'!$A$63),"")</f>
        <v/>
      </c>
      <c r="AG18" s="440"/>
      <c r="AH18" s="429" t="str">
        <f>IF(AND('Riesgos de Gestión'!$O$51="Alta",'Riesgos de Gestión'!$S$51="Catastrófico"),CONCATENATE("R",'Riesgos de Gestión'!$A$51),"")</f>
        <v/>
      </c>
      <c r="AI18" s="430"/>
      <c r="AJ18" s="430" t="str">
        <f>IF(AND('Riesgos de Gestión'!$O$57="Alta",'Riesgos de Gestión'!$S$57="Catastrófico"),CONCATENATE("R",'Riesgos de Gestión'!$A$57),"")</f>
        <v/>
      </c>
      <c r="AK18" s="430"/>
      <c r="AL18" s="430" t="str">
        <f>IF(AND('Riesgos de Gestión'!$O$63="Alta",'Riesgos de Gestión'!$S$63="Catastrófico"),CONCATENATE("R",'Riesgos de Gestión'!$A$63),"")</f>
        <v/>
      </c>
      <c r="AM18" s="431"/>
      <c r="AN18" s="66"/>
      <c r="AO18" s="472"/>
      <c r="AP18" s="473"/>
      <c r="AQ18" s="473"/>
      <c r="AR18" s="473"/>
      <c r="AS18" s="473"/>
      <c r="AT18" s="474"/>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25">
      <c r="A19" s="66"/>
      <c r="B19" s="458"/>
      <c r="C19" s="458"/>
      <c r="D19" s="459"/>
      <c r="E19" s="451"/>
      <c r="F19" s="452"/>
      <c r="G19" s="452"/>
      <c r="H19" s="452"/>
      <c r="I19" s="452"/>
      <c r="J19" s="420"/>
      <c r="K19" s="421"/>
      <c r="L19" s="421"/>
      <c r="M19" s="421"/>
      <c r="N19" s="421"/>
      <c r="O19" s="422"/>
      <c r="P19" s="420"/>
      <c r="Q19" s="421"/>
      <c r="R19" s="421"/>
      <c r="S19" s="421"/>
      <c r="T19" s="421"/>
      <c r="U19" s="422"/>
      <c r="V19" s="438"/>
      <c r="W19" s="439"/>
      <c r="X19" s="439"/>
      <c r="Y19" s="439"/>
      <c r="Z19" s="439"/>
      <c r="AA19" s="440"/>
      <c r="AB19" s="438"/>
      <c r="AC19" s="439"/>
      <c r="AD19" s="439"/>
      <c r="AE19" s="439"/>
      <c r="AF19" s="439"/>
      <c r="AG19" s="440"/>
      <c r="AH19" s="429"/>
      <c r="AI19" s="430"/>
      <c r="AJ19" s="430"/>
      <c r="AK19" s="430"/>
      <c r="AL19" s="430"/>
      <c r="AM19" s="431"/>
      <c r="AN19" s="66"/>
      <c r="AO19" s="472"/>
      <c r="AP19" s="473"/>
      <c r="AQ19" s="473"/>
      <c r="AR19" s="473"/>
      <c r="AS19" s="473"/>
      <c r="AT19" s="474"/>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25">
      <c r="A20" s="66"/>
      <c r="B20" s="458"/>
      <c r="C20" s="458"/>
      <c r="D20" s="459"/>
      <c r="E20" s="451"/>
      <c r="F20" s="452"/>
      <c r="G20" s="452"/>
      <c r="H20" s="452"/>
      <c r="I20" s="452"/>
      <c r="J20" s="420" t="str">
        <f>IF(AND('Riesgos de Gestión'!$O$69="Alta",'Riesgos de Gestión'!$S$69="Leve"),CONCATENATE("R",'Riesgos de Gestión'!$A$69),"")</f>
        <v/>
      </c>
      <c r="K20" s="421"/>
      <c r="L20" s="421" t="str">
        <f>IF(AND('Riesgos de Gestión'!$P$75="Alta",'Riesgos de Gestión'!$T$75="Leve"),CONCATENATE("R",'Riesgos de Gestión'!$A$75),"")</f>
        <v/>
      </c>
      <c r="M20" s="421"/>
      <c r="N20" s="421" t="str">
        <f>IF(AND('Riesgos de Gestión'!$P$81="Alta",'Riesgos de Gestión'!$T$81="Leve"),CONCATENATE("R",'Riesgos de Gestión'!$A$81),"")</f>
        <v/>
      </c>
      <c r="O20" s="422"/>
      <c r="P20" s="420" t="str">
        <f>IF(AND('Riesgos de Gestión'!$O$69="Alta",'Riesgos de Gestión'!$S$69="Menor"),CONCATENATE("R",'Riesgos de Gestión'!$A$69),"")</f>
        <v/>
      </c>
      <c r="Q20" s="421"/>
      <c r="R20" s="421" t="str">
        <f>IF(AND('Riesgos de Gestión'!$P$75="Alta",'Riesgos de Gestión'!$T$75="Menor"),CONCATENATE("R",'Riesgos de Gestión'!$A$75),"")</f>
        <v/>
      </c>
      <c r="S20" s="421"/>
      <c r="T20" s="421" t="str">
        <f>IF(AND('Riesgos de Gestión'!$P$81="Alta",'Riesgos de Gestión'!$T$81="Menor"),CONCATENATE("R",'Riesgos de Gestión'!$A$81),"")</f>
        <v/>
      </c>
      <c r="U20" s="422"/>
      <c r="V20" s="438" t="str">
        <f>IF(AND('Riesgos de Gestión'!$O$69="Alta",'Riesgos de Gestión'!$S$69="Moderado"),CONCATENATE("R",'Riesgos de Gestión'!$A$69),"")</f>
        <v/>
      </c>
      <c r="W20" s="439"/>
      <c r="X20" s="439" t="str">
        <f>IF(AND('Riesgos de Gestión'!$P$75="Alta",'Riesgos de Gestión'!$T$75="Moderado"),CONCATENATE("R",'Riesgos de Gestión'!$A$75),"")</f>
        <v/>
      </c>
      <c r="Y20" s="439"/>
      <c r="Z20" s="439" t="str">
        <f>IF(AND('Riesgos de Gestión'!$P$81="Alta",'Riesgos de Gestión'!$T$81="Moderado"),CONCATENATE("R",'Riesgos de Gestión'!$A$81),"")</f>
        <v/>
      </c>
      <c r="AA20" s="440"/>
      <c r="AB20" s="438" t="str">
        <f>IF(AND('Riesgos de Gestión'!$O$69="Alta",'Riesgos de Gestión'!$S$69="Mayor"),CONCATENATE("R",'Riesgos de Gestión'!$A$69),"")</f>
        <v/>
      </c>
      <c r="AC20" s="439"/>
      <c r="AD20" s="439" t="str">
        <f>IF(AND('Riesgos de Gestión'!$P$75="Alta",'Riesgos de Gestión'!$T$75="Mayor"),CONCATENATE("R",'Riesgos de Gestión'!$A$75),"")</f>
        <v/>
      </c>
      <c r="AE20" s="439"/>
      <c r="AF20" s="439" t="str">
        <f>IF(AND('Riesgos de Gestión'!$P$81="Alta",'Riesgos de Gestión'!$T$81="Mayor"),CONCATENATE("R",'Riesgos de Gestión'!$A$81),"")</f>
        <v/>
      </c>
      <c r="AG20" s="440"/>
      <c r="AH20" s="429" t="str">
        <f>IF(AND('Riesgos de Gestión'!$O$69="Alta",'Riesgos de Gestión'!$S$69="Catastrófico"),CONCATENATE("R",'Riesgos de Gestión'!$A$69),"")</f>
        <v/>
      </c>
      <c r="AI20" s="430"/>
      <c r="AJ20" s="430" t="str">
        <f>IF(AND('Riesgos de Gestión'!$P$75="Alta",'Riesgos de Gestión'!$T$75="Catastrófico"),CONCATENATE("R",'Riesgos de Gestión'!$A$75),"")</f>
        <v/>
      </c>
      <c r="AK20" s="430"/>
      <c r="AL20" s="430" t="str">
        <f>IF(AND('Riesgos de Gestión'!$P$81="Alta",'Riesgos de Gestión'!$T$81="Catastrófico"),CONCATENATE("R",'Riesgos de Gestión'!$A$81),"")</f>
        <v/>
      </c>
      <c r="AM20" s="431"/>
      <c r="AN20" s="66"/>
      <c r="AO20" s="472"/>
      <c r="AP20" s="473"/>
      <c r="AQ20" s="473"/>
      <c r="AR20" s="473"/>
      <c r="AS20" s="473"/>
      <c r="AT20" s="474"/>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
      <c r="A21" s="66"/>
      <c r="B21" s="458"/>
      <c r="C21" s="458"/>
      <c r="D21" s="459"/>
      <c r="E21" s="454"/>
      <c r="F21" s="455"/>
      <c r="G21" s="455"/>
      <c r="H21" s="455"/>
      <c r="I21" s="455"/>
      <c r="J21" s="423"/>
      <c r="K21" s="424"/>
      <c r="L21" s="424"/>
      <c r="M21" s="424"/>
      <c r="N21" s="424"/>
      <c r="O21" s="425"/>
      <c r="P21" s="423"/>
      <c r="Q21" s="424"/>
      <c r="R21" s="424"/>
      <c r="S21" s="424"/>
      <c r="T21" s="424"/>
      <c r="U21" s="425"/>
      <c r="V21" s="441"/>
      <c r="W21" s="442"/>
      <c r="X21" s="442"/>
      <c r="Y21" s="442"/>
      <c r="Z21" s="442"/>
      <c r="AA21" s="443"/>
      <c r="AB21" s="441"/>
      <c r="AC21" s="442"/>
      <c r="AD21" s="442"/>
      <c r="AE21" s="442"/>
      <c r="AF21" s="442"/>
      <c r="AG21" s="443"/>
      <c r="AH21" s="432"/>
      <c r="AI21" s="433"/>
      <c r="AJ21" s="433"/>
      <c r="AK21" s="433"/>
      <c r="AL21" s="433"/>
      <c r="AM21" s="434"/>
      <c r="AN21" s="66"/>
      <c r="AO21" s="475"/>
      <c r="AP21" s="476"/>
      <c r="AQ21" s="476"/>
      <c r="AR21" s="476"/>
      <c r="AS21" s="476"/>
      <c r="AT21" s="477"/>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25">
      <c r="A22" s="66"/>
      <c r="B22" s="458"/>
      <c r="C22" s="458"/>
      <c r="D22" s="459"/>
      <c r="E22" s="448" t="s">
        <v>269</v>
      </c>
      <c r="F22" s="449"/>
      <c r="G22" s="449"/>
      <c r="H22" s="449"/>
      <c r="I22" s="450"/>
      <c r="J22" s="426" t="str">
        <f>IF(AND('Riesgos de Gestión'!$O$13="Media",'Riesgos de Gestión'!$S$13="Leve"),CONCATENATE("R",'Riesgos de Gestión'!$A$13),"")</f>
        <v/>
      </c>
      <c r="K22" s="427"/>
      <c r="L22" s="427" t="str">
        <f>IF(AND('Riesgos de Gestión'!$O$21="Media",'Riesgos de Gestión'!$S$21="Leve"),CONCATENATE("R",'Riesgos de Gestión'!$A$21),"")</f>
        <v/>
      </c>
      <c r="M22" s="427"/>
      <c r="N22" s="427" t="str">
        <f>IF(AND('Riesgos de Gestión'!$O$27="Media",'Riesgos de Gestión'!$S$27="Leve"),CONCATENATE("R",'Riesgos de Gestión'!$A$27),"")</f>
        <v/>
      </c>
      <c r="O22" s="428"/>
      <c r="P22" s="426" t="str">
        <f>IF(AND('Riesgos de Gestión'!$O$13="Media",'Riesgos de Gestión'!$S$13="Menor"),CONCATENATE("R",'Riesgos de Gestión'!$A$13),"")</f>
        <v/>
      </c>
      <c r="Q22" s="427"/>
      <c r="R22" s="427" t="str">
        <f>IF(AND('Riesgos de Gestión'!$O$21="Media",'Riesgos de Gestión'!$S$21="Menor"),CONCATENATE("R",'Riesgos de Gestión'!$A$21),"")</f>
        <v>R2</v>
      </c>
      <c r="S22" s="427"/>
      <c r="T22" s="427" t="str">
        <f>IF(AND('Riesgos de Gestión'!$O$27="Media",'Riesgos de Gestión'!$S$27="Menor"),CONCATENATE("R",'Riesgos de Gestión'!$A$27),"")</f>
        <v/>
      </c>
      <c r="U22" s="428"/>
      <c r="V22" s="426" t="str">
        <f>IF(AND('Riesgos de Gestión'!$O$13="Media",'Riesgos de Gestión'!$S$13="Moderado"),CONCATENATE("R",'Riesgos de Gestión'!$A$13),"")</f>
        <v/>
      </c>
      <c r="W22" s="427"/>
      <c r="X22" s="427" t="str">
        <f>IF(AND('Riesgos de Gestión'!$O$21="Media",'Riesgos de Gestión'!$S$21="Moderado"),CONCATENATE("R",'Riesgos de Gestión'!$A$21),"")</f>
        <v/>
      </c>
      <c r="Y22" s="427"/>
      <c r="Z22" s="427" t="str">
        <f>IF(AND('Riesgos de Gestión'!$O$27="Media",'Riesgos de Gestión'!$S$27="Moderado"),CONCATENATE("R",'Riesgos de Gestión'!$A$27),"")</f>
        <v/>
      </c>
      <c r="AA22" s="428"/>
      <c r="AB22" s="444" t="str">
        <f>IF(AND('Riesgos de Gestión'!$O$13="Media",'Riesgos de Gestión'!$S$13="Mayor"),CONCATENATE("R",'Riesgos de Gestión'!$A$13),"")</f>
        <v/>
      </c>
      <c r="AC22" s="445"/>
      <c r="AD22" s="445" t="str">
        <f>IF(AND('Riesgos de Gestión'!$O$21="Media",'Riesgos de Gestión'!$S$21="Mayor"),CONCATENATE("R",'Riesgos de Gestión'!$A$21),"")</f>
        <v/>
      </c>
      <c r="AE22" s="445"/>
      <c r="AF22" s="445" t="str">
        <f>IF(AND('Riesgos de Gestión'!$O$27="Media",'Riesgos de Gestión'!$S$27="Mayor"),CONCATENATE("R",'Riesgos de Gestión'!$A$27),"")</f>
        <v/>
      </c>
      <c r="AG22" s="446"/>
      <c r="AH22" s="435" t="str">
        <f>IF(AND('Riesgos de Gestión'!$O$13="Media",'Riesgos de Gestión'!$S$13="Catastrófico"),CONCATENATE("R",'Riesgos de Gestión'!$A$13),"")</f>
        <v/>
      </c>
      <c r="AI22" s="436"/>
      <c r="AJ22" s="436" t="str">
        <f>IF(AND('Riesgos de Gestión'!$O$21="Media",'Riesgos de Gestión'!$S$21="Catastrófico"),CONCATENATE("R",'Riesgos de Gestión'!$A$21),"")</f>
        <v/>
      </c>
      <c r="AK22" s="436"/>
      <c r="AL22" s="436" t="str">
        <f>IF(AND('Riesgos de Gestión'!$O$27="Media",'Riesgos de Gestión'!$S$27="Catastrófico"),CONCATENATE("R",'Riesgos de Gestión'!$A$27),"")</f>
        <v/>
      </c>
      <c r="AM22" s="437"/>
      <c r="AN22" s="66"/>
      <c r="AO22" s="478" t="s">
        <v>270</v>
      </c>
      <c r="AP22" s="479"/>
      <c r="AQ22" s="479"/>
      <c r="AR22" s="479"/>
      <c r="AS22" s="479"/>
      <c r="AT22" s="480"/>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25">
      <c r="A23" s="66"/>
      <c r="B23" s="458"/>
      <c r="C23" s="458"/>
      <c r="D23" s="459"/>
      <c r="E23" s="451"/>
      <c r="F23" s="452"/>
      <c r="G23" s="452"/>
      <c r="H23" s="452"/>
      <c r="I23" s="453"/>
      <c r="J23" s="420"/>
      <c r="K23" s="421"/>
      <c r="L23" s="421"/>
      <c r="M23" s="421"/>
      <c r="N23" s="421"/>
      <c r="O23" s="422"/>
      <c r="P23" s="420"/>
      <c r="Q23" s="421"/>
      <c r="R23" s="421"/>
      <c r="S23" s="421"/>
      <c r="T23" s="421"/>
      <c r="U23" s="422"/>
      <c r="V23" s="420"/>
      <c r="W23" s="421"/>
      <c r="X23" s="421"/>
      <c r="Y23" s="421"/>
      <c r="Z23" s="421"/>
      <c r="AA23" s="422"/>
      <c r="AB23" s="438"/>
      <c r="AC23" s="439"/>
      <c r="AD23" s="439"/>
      <c r="AE23" s="439"/>
      <c r="AF23" s="439"/>
      <c r="AG23" s="440"/>
      <c r="AH23" s="429"/>
      <c r="AI23" s="430"/>
      <c r="AJ23" s="430"/>
      <c r="AK23" s="430"/>
      <c r="AL23" s="430"/>
      <c r="AM23" s="431"/>
      <c r="AN23" s="66"/>
      <c r="AO23" s="481"/>
      <c r="AP23" s="482"/>
      <c r="AQ23" s="482"/>
      <c r="AR23" s="482"/>
      <c r="AS23" s="482"/>
      <c r="AT23" s="483"/>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25">
      <c r="A24" s="66"/>
      <c r="B24" s="458"/>
      <c r="C24" s="458"/>
      <c r="D24" s="459"/>
      <c r="E24" s="451"/>
      <c r="F24" s="452"/>
      <c r="G24" s="452"/>
      <c r="H24" s="452"/>
      <c r="I24" s="453"/>
      <c r="J24" s="420" t="str">
        <f>IF(AND('Riesgos de Gestión'!$O$33="Media",'Riesgos de Gestión'!$S$33="Leve"),CONCATENATE("R",'Riesgos de Gestión'!$A$33),"")</f>
        <v/>
      </c>
      <c r="K24" s="421"/>
      <c r="L24" s="421" t="str">
        <f>IF(AND('Riesgos de Gestión'!$O$39="Media",'Riesgos de Gestión'!$S$39="Leve"),CONCATENATE("R",'Riesgos de Gestión'!$A$39),"")</f>
        <v/>
      </c>
      <c r="M24" s="421"/>
      <c r="N24" s="421" t="str">
        <f>IF(AND('Riesgos de Gestión'!$O$45="Media",'Riesgos de Gestión'!$S$45="Leve"),CONCATENATE("R",'Riesgos de Gestión'!$A$45),"")</f>
        <v/>
      </c>
      <c r="O24" s="422"/>
      <c r="P24" s="420" t="str">
        <f>IF(AND('Riesgos de Gestión'!$O$33="Media",'Riesgos de Gestión'!$S$33="Menor"),CONCATENATE("R",'Riesgos de Gestión'!$A$33),"")</f>
        <v/>
      </c>
      <c r="Q24" s="421"/>
      <c r="R24" s="421" t="str">
        <f>IF(AND('Riesgos de Gestión'!$O$39="Media",'Riesgos de Gestión'!$S$39="Menor"),CONCATENATE("R",'Riesgos de Gestión'!$A$39),"")</f>
        <v/>
      </c>
      <c r="S24" s="421"/>
      <c r="T24" s="421" t="str">
        <f>IF(AND('Riesgos de Gestión'!$O$45="Media",'Riesgos de Gestión'!$S$45="Menor"),CONCATENATE("R",'Riesgos de Gestión'!$A$45),"")</f>
        <v/>
      </c>
      <c r="U24" s="422"/>
      <c r="V24" s="420" t="str">
        <f>IF(AND('Riesgos de Gestión'!$O$33="Media",'Riesgos de Gestión'!$S$33="Moderado"),CONCATENATE("R",'Riesgos de Gestión'!$A$33),"")</f>
        <v/>
      </c>
      <c r="W24" s="421"/>
      <c r="X24" s="421" t="str">
        <f>IF(AND('Riesgos de Gestión'!$O$39="Media",'Riesgos de Gestión'!$S$39="Moderado"),CONCATENATE("R",'Riesgos de Gestión'!$A$39),"")</f>
        <v/>
      </c>
      <c r="Y24" s="421"/>
      <c r="Z24" s="421" t="str">
        <f>IF(AND('Riesgos de Gestión'!$O$45="Media",'Riesgos de Gestión'!$S$45="Moderado"),CONCATENATE("R",'Riesgos de Gestión'!$A$45),"")</f>
        <v/>
      </c>
      <c r="AA24" s="422"/>
      <c r="AB24" s="438" t="str">
        <f>IF(AND('Riesgos de Gestión'!$O$33="Media",'Riesgos de Gestión'!$S$33="Mayor"),CONCATENATE("R",'Riesgos de Gestión'!$A$33),"")</f>
        <v/>
      </c>
      <c r="AC24" s="439"/>
      <c r="AD24" s="439" t="str">
        <f>IF(AND('Riesgos de Gestión'!$O$39="Media",'Riesgos de Gestión'!$S$39="Mayor"),CONCATENATE("R",'Riesgos de Gestión'!$A$39),"")</f>
        <v/>
      </c>
      <c r="AE24" s="439"/>
      <c r="AF24" s="439" t="str">
        <f>IF(AND('Riesgos de Gestión'!$O$45="Media",'Riesgos de Gestión'!$S$45="Mayor"),CONCATENATE("R",'Riesgos de Gestión'!$A$45),"")</f>
        <v/>
      </c>
      <c r="AG24" s="440"/>
      <c r="AH24" s="429" t="str">
        <f>IF(AND('Riesgos de Gestión'!$O$33="Media",'Riesgos de Gestión'!$S$33="Catastrófico"),CONCATENATE("R",'Riesgos de Gestión'!$A$33),"")</f>
        <v/>
      </c>
      <c r="AI24" s="430"/>
      <c r="AJ24" s="430" t="str">
        <f>IF(AND('Riesgos de Gestión'!$O$39="Media",'Riesgos de Gestión'!$S$39="Catastrófico"),CONCATENATE("R",'Riesgos de Gestión'!$A$39),"")</f>
        <v/>
      </c>
      <c r="AK24" s="430"/>
      <c r="AL24" s="430" t="str">
        <f>IF(AND('Riesgos de Gestión'!$O$45="Media",'Riesgos de Gestión'!$S$45="Catastrófico"),CONCATENATE("R",'Riesgos de Gestión'!$A$45),"")</f>
        <v/>
      </c>
      <c r="AM24" s="431"/>
      <c r="AN24" s="66"/>
      <c r="AO24" s="481"/>
      <c r="AP24" s="482"/>
      <c r="AQ24" s="482"/>
      <c r="AR24" s="482"/>
      <c r="AS24" s="482"/>
      <c r="AT24" s="483"/>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25">
      <c r="A25" s="66"/>
      <c r="B25" s="458"/>
      <c r="C25" s="458"/>
      <c r="D25" s="459"/>
      <c r="E25" s="451"/>
      <c r="F25" s="452"/>
      <c r="G25" s="452"/>
      <c r="H25" s="452"/>
      <c r="I25" s="453"/>
      <c r="J25" s="420"/>
      <c r="K25" s="421"/>
      <c r="L25" s="421"/>
      <c r="M25" s="421"/>
      <c r="N25" s="421"/>
      <c r="O25" s="422"/>
      <c r="P25" s="420"/>
      <c r="Q25" s="421"/>
      <c r="R25" s="421"/>
      <c r="S25" s="421"/>
      <c r="T25" s="421"/>
      <c r="U25" s="422"/>
      <c r="V25" s="420"/>
      <c r="W25" s="421"/>
      <c r="X25" s="421"/>
      <c r="Y25" s="421"/>
      <c r="Z25" s="421"/>
      <c r="AA25" s="422"/>
      <c r="AB25" s="438"/>
      <c r="AC25" s="439"/>
      <c r="AD25" s="439"/>
      <c r="AE25" s="439"/>
      <c r="AF25" s="439"/>
      <c r="AG25" s="440"/>
      <c r="AH25" s="429"/>
      <c r="AI25" s="430"/>
      <c r="AJ25" s="430"/>
      <c r="AK25" s="430"/>
      <c r="AL25" s="430"/>
      <c r="AM25" s="431"/>
      <c r="AN25" s="66"/>
      <c r="AO25" s="481"/>
      <c r="AP25" s="482"/>
      <c r="AQ25" s="482"/>
      <c r="AR25" s="482"/>
      <c r="AS25" s="482"/>
      <c r="AT25" s="483"/>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25">
      <c r="A26" s="66"/>
      <c r="B26" s="458"/>
      <c r="C26" s="458"/>
      <c r="D26" s="459"/>
      <c r="E26" s="451"/>
      <c r="F26" s="452"/>
      <c r="G26" s="452"/>
      <c r="H26" s="452"/>
      <c r="I26" s="453"/>
      <c r="J26" s="420" t="str">
        <f>IF(AND('Riesgos de Gestión'!$O$51="Media",'Riesgos de Gestión'!$S$51="Leve"),CONCATENATE("R",'Riesgos de Gestión'!$A$51),"")</f>
        <v/>
      </c>
      <c r="K26" s="421"/>
      <c r="L26" s="421" t="str">
        <f>IF(AND('Riesgos de Gestión'!$O$57="Media",'Riesgos de Gestión'!$S$57="Leve"),CONCATENATE("R",'Riesgos de Gestión'!$A$57),"")</f>
        <v/>
      </c>
      <c r="M26" s="421"/>
      <c r="N26" s="421" t="str">
        <f>IF(AND('Riesgos de Gestión'!$O$63="Media",'Riesgos de Gestión'!$S$63="Leve"),CONCATENATE("R",'Riesgos de Gestión'!$A$63),"")</f>
        <v/>
      </c>
      <c r="O26" s="422"/>
      <c r="P26" s="420" t="str">
        <f>IF(AND('Riesgos de Gestión'!$O$51="Media",'Riesgos de Gestión'!$S$51="Menor"),CONCATENATE("R",'Riesgos de Gestión'!$A$51),"")</f>
        <v/>
      </c>
      <c r="Q26" s="421"/>
      <c r="R26" s="421" t="str">
        <f>IF(AND('Riesgos de Gestión'!$O$57="Media",'Riesgos de Gestión'!$S$57="Menor"),CONCATENATE("R",'Riesgos de Gestión'!$A$57),"")</f>
        <v/>
      </c>
      <c r="S26" s="421"/>
      <c r="T26" s="421" t="str">
        <f>IF(AND('Riesgos de Gestión'!$O$63="Media",'Riesgos de Gestión'!$S$63="Menor"),CONCATENATE("R",'Riesgos de Gestión'!$A$63),"")</f>
        <v/>
      </c>
      <c r="U26" s="422"/>
      <c r="V26" s="420" t="str">
        <f>IF(AND('Riesgos de Gestión'!$O$51="Media",'Riesgos de Gestión'!$S$51="Moderado"),CONCATENATE("R",'Riesgos de Gestión'!$A$51),"")</f>
        <v/>
      </c>
      <c r="W26" s="421"/>
      <c r="X26" s="421" t="str">
        <f>IF(AND('Riesgos de Gestión'!$O$57="Media",'Riesgos de Gestión'!$S$57="Moderado"),CONCATENATE("R",'Riesgos de Gestión'!$A$57),"")</f>
        <v/>
      </c>
      <c r="Y26" s="421"/>
      <c r="Z26" s="421" t="str">
        <f>IF(AND('Riesgos de Gestión'!$O$63="Media",'Riesgos de Gestión'!$S$63="Moderado"),CONCATENATE("R",'Riesgos de Gestión'!$A$63),"")</f>
        <v/>
      </c>
      <c r="AA26" s="422"/>
      <c r="AB26" s="438" t="str">
        <f>IF(AND('Riesgos de Gestión'!$O$51="Media",'Riesgos de Gestión'!$S$51="Mayor"),CONCATENATE("R",'Riesgos de Gestión'!$A$51),"")</f>
        <v/>
      </c>
      <c r="AC26" s="439"/>
      <c r="AD26" s="439" t="str">
        <f>IF(AND('Riesgos de Gestión'!$O$57="Media",'Riesgos de Gestión'!$S$57="Mayor"),CONCATENATE("R",'Riesgos de Gestión'!$A$57),"")</f>
        <v/>
      </c>
      <c r="AE26" s="439"/>
      <c r="AF26" s="439" t="str">
        <f>IF(AND('Riesgos de Gestión'!$O$63="Media",'Riesgos de Gestión'!$S$63="Mayor"),CONCATENATE("R",'Riesgos de Gestión'!$A$63),"")</f>
        <v/>
      </c>
      <c r="AG26" s="440"/>
      <c r="AH26" s="429" t="str">
        <f>IF(AND('Riesgos de Gestión'!$O$51="Media",'Riesgos de Gestión'!$S$51="Catastrófico"),CONCATENATE("R",'Riesgos de Gestión'!$A$51),"")</f>
        <v/>
      </c>
      <c r="AI26" s="430"/>
      <c r="AJ26" s="430" t="str">
        <f>IF(AND('Riesgos de Gestión'!$O$57="Media",'Riesgos de Gestión'!$S$57="Catastrófico"),CONCATENATE("R",'Riesgos de Gestión'!$A$57),"")</f>
        <v/>
      </c>
      <c r="AK26" s="430"/>
      <c r="AL26" s="430" t="str">
        <f>IF(AND('Riesgos de Gestión'!$O$63="Media",'Riesgos de Gestión'!$S$63="Catastrófico"),CONCATENATE("R",'Riesgos de Gestión'!$A$63),"")</f>
        <v/>
      </c>
      <c r="AM26" s="431"/>
      <c r="AN26" s="66"/>
      <c r="AO26" s="481"/>
      <c r="AP26" s="482"/>
      <c r="AQ26" s="482"/>
      <c r="AR26" s="482"/>
      <c r="AS26" s="482"/>
      <c r="AT26" s="483"/>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25">
      <c r="A27" s="66"/>
      <c r="B27" s="458"/>
      <c r="C27" s="458"/>
      <c r="D27" s="459"/>
      <c r="E27" s="451"/>
      <c r="F27" s="452"/>
      <c r="G27" s="452"/>
      <c r="H27" s="452"/>
      <c r="I27" s="453"/>
      <c r="J27" s="420"/>
      <c r="K27" s="421"/>
      <c r="L27" s="421"/>
      <c r="M27" s="421"/>
      <c r="N27" s="421"/>
      <c r="O27" s="422"/>
      <c r="P27" s="420"/>
      <c r="Q27" s="421"/>
      <c r="R27" s="421"/>
      <c r="S27" s="421"/>
      <c r="T27" s="421"/>
      <c r="U27" s="422"/>
      <c r="V27" s="420"/>
      <c r="W27" s="421"/>
      <c r="X27" s="421"/>
      <c r="Y27" s="421"/>
      <c r="Z27" s="421"/>
      <c r="AA27" s="422"/>
      <c r="AB27" s="438"/>
      <c r="AC27" s="439"/>
      <c r="AD27" s="439"/>
      <c r="AE27" s="439"/>
      <c r="AF27" s="439"/>
      <c r="AG27" s="440"/>
      <c r="AH27" s="429"/>
      <c r="AI27" s="430"/>
      <c r="AJ27" s="430"/>
      <c r="AK27" s="430"/>
      <c r="AL27" s="430"/>
      <c r="AM27" s="431"/>
      <c r="AN27" s="66"/>
      <c r="AO27" s="481"/>
      <c r="AP27" s="482"/>
      <c r="AQ27" s="482"/>
      <c r="AR27" s="482"/>
      <c r="AS27" s="482"/>
      <c r="AT27" s="483"/>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25">
      <c r="A28" s="66"/>
      <c r="B28" s="458"/>
      <c r="C28" s="458"/>
      <c r="D28" s="459"/>
      <c r="E28" s="451"/>
      <c r="F28" s="452"/>
      <c r="G28" s="452"/>
      <c r="H28" s="452"/>
      <c r="I28" s="453"/>
      <c r="J28" s="420" t="str">
        <f>IF(AND('Riesgos de Gestión'!$O$69="Media",'Riesgos de Gestión'!$S$69="Leve"),CONCATENATE("R",'Riesgos de Gestión'!$A$69),"")</f>
        <v/>
      </c>
      <c r="K28" s="421"/>
      <c r="L28" s="421" t="str">
        <f>IF(AND('Riesgos de Gestión'!$P$75="Media",'Riesgos de Gestión'!$T$75="Leve"),CONCATENATE("R",'Riesgos de Gestión'!$A$75),"")</f>
        <v/>
      </c>
      <c r="M28" s="421"/>
      <c r="N28" s="421" t="str">
        <f>IF(AND('Riesgos de Gestión'!$P$81="Media",'Riesgos de Gestión'!$T$81="Leve"),CONCATENATE("R",'Riesgos de Gestión'!$A$81),"")</f>
        <v/>
      </c>
      <c r="O28" s="422"/>
      <c r="P28" s="420" t="str">
        <f>IF(AND('Riesgos de Gestión'!$O$69="Media",'Riesgos de Gestión'!$S$69="Menor"),CONCATENATE("R",'Riesgos de Gestión'!$A$69),"")</f>
        <v/>
      </c>
      <c r="Q28" s="421"/>
      <c r="R28" s="421" t="str">
        <f>IF(AND('Riesgos de Gestión'!$P$75="Media",'Riesgos de Gestión'!$T$75="Menor"),CONCATENATE("R",'Riesgos de Gestión'!$A$75),"")</f>
        <v/>
      </c>
      <c r="S28" s="421"/>
      <c r="T28" s="421" t="str">
        <f>IF(AND('Riesgos de Gestión'!$P$81="Media",'Riesgos de Gestión'!$T$81="Menor"),CONCATENATE("R",'Riesgos de Gestión'!$A$81),"")</f>
        <v/>
      </c>
      <c r="U28" s="422"/>
      <c r="V28" s="420" t="str">
        <f>IF(AND('Riesgos de Gestión'!$O$69="Media",'Riesgos de Gestión'!$S$69="Moderado"),CONCATENATE("R",'Riesgos de Gestión'!$A$69),"")</f>
        <v/>
      </c>
      <c r="W28" s="421"/>
      <c r="X28" s="421" t="str">
        <f>IF(AND('Riesgos de Gestión'!$P$75="Media",'Riesgos de Gestión'!$T$75="Moderado"),CONCATENATE("R",'Riesgos de Gestión'!$A$75),"")</f>
        <v/>
      </c>
      <c r="Y28" s="421"/>
      <c r="Z28" s="421" t="str">
        <f>IF(AND('Riesgos de Gestión'!$P$81="Media",'Riesgos de Gestión'!$T$81="Moderado"),CONCATENATE("R",'Riesgos de Gestión'!$A$81),"")</f>
        <v/>
      </c>
      <c r="AA28" s="422"/>
      <c r="AB28" s="438" t="str">
        <f>IF(AND('Riesgos de Gestión'!$O$69="Media",'Riesgos de Gestión'!$S$69="Mayor"),CONCATENATE("R",'Riesgos de Gestión'!$A$69),"")</f>
        <v/>
      </c>
      <c r="AC28" s="439"/>
      <c r="AD28" s="439" t="str">
        <f>IF(AND('Riesgos de Gestión'!$P$75="Media",'Riesgos de Gestión'!$T$75="Mayor"),CONCATENATE("R",'Riesgos de Gestión'!$A$75),"")</f>
        <v/>
      </c>
      <c r="AE28" s="439"/>
      <c r="AF28" s="439" t="str">
        <f>IF(AND('Riesgos de Gestión'!$P$81="Media",'Riesgos de Gestión'!$T$81="Mayor"),CONCATENATE("R",'Riesgos de Gestión'!$A$81),"")</f>
        <v/>
      </c>
      <c r="AG28" s="440"/>
      <c r="AH28" s="429" t="str">
        <f>IF(AND('Riesgos de Gestión'!$O$69="Media",'Riesgos de Gestión'!$S$69="Catastrófico"),CONCATENATE("R",'Riesgos de Gestión'!$A$69),"")</f>
        <v/>
      </c>
      <c r="AI28" s="430"/>
      <c r="AJ28" s="430" t="str">
        <f>IF(AND('Riesgos de Gestión'!$P$75="Media",'Riesgos de Gestión'!$T$75="Catastrófico"),CONCATENATE("R",'Riesgos de Gestión'!$A$75),"")</f>
        <v/>
      </c>
      <c r="AK28" s="430"/>
      <c r="AL28" s="430" t="str">
        <f>IF(AND('Riesgos de Gestión'!$P$81="Media",'Riesgos de Gestión'!$T$81="Catastrófico"),CONCATENATE("R",'Riesgos de Gestión'!$A$81),"")</f>
        <v/>
      </c>
      <c r="AM28" s="431"/>
      <c r="AN28" s="66"/>
      <c r="AO28" s="481"/>
      <c r="AP28" s="482"/>
      <c r="AQ28" s="482"/>
      <c r="AR28" s="482"/>
      <c r="AS28" s="482"/>
      <c r="AT28" s="483"/>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75" thickBot="1" x14ac:dyDescent="0.3">
      <c r="A29" s="66"/>
      <c r="B29" s="458"/>
      <c r="C29" s="458"/>
      <c r="D29" s="459"/>
      <c r="E29" s="454"/>
      <c r="F29" s="455"/>
      <c r="G29" s="455"/>
      <c r="H29" s="455"/>
      <c r="I29" s="456"/>
      <c r="J29" s="420"/>
      <c r="K29" s="421"/>
      <c r="L29" s="421"/>
      <c r="M29" s="421"/>
      <c r="N29" s="421"/>
      <c r="O29" s="422"/>
      <c r="P29" s="423"/>
      <c r="Q29" s="424"/>
      <c r="R29" s="424"/>
      <c r="S29" s="424"/>
      <c r="T29" s="424"/>
      <c r="U29" s="425"/>
      <c r="V29" s="423"/>
      <c r="W29" s="424"/>
      <c r="X29" s="424"/>
      <c r="Y29" s="424"/>
      <c r="Z29" s="424"/>
      <c r="AA29" s="425"/>
      <c r="AB29" s="441"/>
      <c r="AC29" s="442"/>
      <c r="AD29" s="442"/>
      <c r="AE29" s="442"/>
      <c r="AF29" s="442"/>
      <c r="AG29" s="443"/>
      <c r="AH29" s="432"/>
      <c r="AI29" s="433"/>
      <c r="AJ29" s="433"/>
      <c r="AK29" s="433"/>
      <c r="AL29" s="433"/>
      <c r="AM29" s="434"/>
      <c r="AN29" s="66"/>
      <c r="AO29" s="484"/>
      <c r="AP29" s="485"/>
      <c r="AQ29" s="485"/>
      <c r="AR29" s="485"/>
      <c r="AS29" s="485"/>
      <c r="AT29" s="48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25">
      <c r="A30" s="66"/>
      <c r="B30" s="458"/>
      <c r="C30" s="458"/>
      <c r="D30" s="459"/>
      <c r="E30" s="448" t="s">
        <v>271</v>
      </c>
      <c r="F30" s="449"/>
      <c r="G30" s="449"/>
      <c r="H30" s="449"/>
      <c r="I30" s="449"/>
      <c r="J30" s="417" t="str">
        <f>IF(AND('Riesgos de Gestión'!$O$13="Baja",'Riesgos de Gestión'!$S$13="Leve"),CONCATENATE("R",'Riesgos de Gestión'!$A$13),"")</f>
        <v/>
      </c>
      <c r="K30" s="418"/>
      <c r="L30" s="418" t="str">
        <f>IF(AND('Riesgos de Gestión'!$O$21="Baja",'Riesgos de Gestión'!$S$21="Leve"),CONCATENATE("R",'Riesgos de Gestión'!$A$21),"")</f>
        <v/>
      </c>
      <c r="M30" s="418"/>
      <c r="N30" s="418" t="str">
        <f>IF(AND('Riesgos de Gestión'!$O$27="Baja",'Riesgos de Gestión'!$S$27="Leve"),CONCATENATE("R",'Riesgos de Gestión'!$A$27),"")</f>
        <v/>
      </c>
      <c r="O30" s="419"/>
      <c r="P30" s="427" t="str">
        <f>IF(AND('Riesgos de Gestión'!$O$13="Baja",'Riesgos de Gestión'!$S$13="Menor"),CONCATENATE("R",'Riesgos de Gestión'!$A$13),"")</f>
        <v/>
      </c>
      <c r="Q30" s="427"/>
      <c r="R30" s="427" t="str">
        <f>IF(AND('Riesgos de Gestión'!$O$21="Baja",'Riesgos de Gestión'!$S$21="Menor"),CONCATENATE("R",'Riesgos de Gestión'!$A$21),"")</f>
        <v/>
      </c>
      <c r="S30" s="427"/>
      <c r="T30" s="427" t="str">
        <f>IF(AND('Riesgos de Gestión'!$O$27="Baja",'Riesgos de Gestión'!$S$27="Menor"),CONCATENATE("R",'Riesgos de Gestión'!$A$27),"")</f>
        <v/>
      </c>
      <c r="U30" s="428"/>
      <c r="V30" s="426" t="str">
        <f>IF(AND('Riesgos de Gestión'!$O$13="Baja",'Riesgos de Gestión'!$S$13="Moderado"),CONCATENATE("R",'Riesgos de Gestión'!$A$13),"")</f>
        <v/>
      </c>
      <c r="W30" s="427"/>
      <c r="X30" s="427" t="str">
        <f>IF(AND('Riesgos de Gestión'!$O$21="Baja",'Riesgos de Gestión'!$S$21="Moderado"),CONCATENATE("R",'Riesgos de Gestión'!$A$21),"")</f>
        <v/>
      </c>
      <c r="Y30" s="427"/>
      <c r="Z30" s="427" t="str">
        <f>IF(AND('Riesgos de Gestión'!$O$27="Baja",'Riesgos de Gestión'!$S$27="Moderado"),CONCATENATE("R",'Riesgos de Gestión'!$A$27),"")</f>
        <v/>
      </c>
      <c r="AA30" s="428"/>
      <c r="AB30" s="444" t="str">
        <f>IF(AND('Riesgos de Gestión'!$O$13="Baja",'Riesgos de Gestión'!$S$13="Mayor"),CONCATENATE("R",'Riesgos de Gestión'!$A$13),"")</f>
        <v/>
      </c>
      <c r="AC30" s="445"/>
      <c r="AD30" s="445" t="str">
        <f>IF(AND('Riesgos de Gestión'!$O$21="Baja",'Riesgos de Gestión'!$S$21="Mayor"),CONCATENATE("R",'Riesgos de Gestión'!$A$21),"")</f>
        <v/>
      </c>
      <c r="AE30" s="445"/>
      <c r="AF30" s="445" t="str">
        <f>IF(AND('Riesgos de Gestión'!$O$27="Baja",'Riesgos de Gestión'!$S$27="Mayor"),CONCATENATE("R",'Riesgos de Gestión'!$A$27),"")</f>
        <v/>
      </c>
      <c r="AG30" s="446"/>
      <c r="AH30" s="435" t="str">
        <f>IF(AND('Riesgos de Gestión'!$O$13="Baja",'Riesgos de Gestión'!$S$13="Catastrófico"),CONCATENATE("R",'Riesgos de Gestión'!$A$13),"")</f>
        <v/>
      </c>
      <c r="AI30" s="436"/>
      <c r="AJ30" s="436" t="str">
        <f>IF(AND('Riesgos de Gestión'!$O$21="Baja",'Riesgos de Gestión'!$S$21="Catastrófico"),CONCATENATE("R",'Riesgos de Gestión'!$A$21),"")</f>
        <v/>
      </c>
      <c r="AK30" s="436"/>
      <c r="AL30" s="436" t="str">
        <f>IF(AND('Riesgos de Gestión'!$O$27="Baja",'Riesgos de Gestión'!$S$27="Catastrófico"),CONCATENATE("R",'Riesgos de Gestión'!$A$27),"")</f>
        <v/>
      </c>
      <c r="AM30" s="437"/>
      <c r="AN30" s="66"/>
      <c r="AO30" s="487" t="s">
        <v>272</v>
      </c>
      <c r="AP30" s="488"/>
      <c r="AQ30" s="488"/>
      <c r="AR30" s="488"/>
      <c r="AS30" s="488"/>
      <c r="AT30" s="489"/>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25">
      <c r="A31" s="66"/>
      <c r="B31" s="458"/>
      <c r="C31" s="458"/>
      <c r="D31" s="459"/>
      <c r="E31" s="451"/>
      <c r="F31" s="452"/>
      <c r="G31" s="452"/>
      <c r="H31" s="452"/>
      <c r="I31" s="452"/>
      <c r="J31" s="411"/>
      <c r="K31" s="412"/>
      <c r="L31" s="412"/>
      <c r="M31" s="412"/>
      <c r="N31" s="412"/>
      <c r="O31" s="413"/>
      <c r="P31" s="421"/>
      <c r="Q31" s="421"/>
      <c r="R31" s="421"/>
      <c r="S31" s="421"/>
      <c r="T31" s="421"/>
      <c r="U31" s="422"/>
      <c r="V31" s="420"/>
      <c r="W31" s="421"/>
      <c r="X31" s="421"/>
      <c r="Y31" s="421"/>
      <c r="Z31" s="421"/>
      <c r="AA31" s="422"/>
      <c r="AB31" s="438"/>
      <c r="AC31" s="439"/>
      <c r="AD31" s="439"/>
      <c r="AE31" s="439"/>
      <c r="AF31" s="439"/>
      <c r="AG31" s="440"/>
      <c r="AH31" s="429"/>
      <c r="AI31" s="430"/>
      <c r="AJ31" s="430"/>
      <c r="AK31" s="430"/>
      <c r="AL31" s="430"/>
      <c r="AM31" s="431"/>
      <c r="AN31" s="66"/>
      <c r="AO31" s="490"/>
      <c r="AP31" s="491"/>
      <c r="AQ31" s="491"/>
      <c r="AR31" s="491"/>
      <c r="AS31" s="491"/>
      <c r="AT31" s="492"/>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25">
      <c r="A32" s="66"/>
      <c r="B32" s="458"/>
      <c r="C32" s="458"/>
      <c r="D32" s="459"/>
      <c r="E32" s="451"/>
      <c r="F32" s="452"/>
      <c r="G32" s="452"/>
      <c r="H32" s="452"/>
      <c r="I32" s="452"/>
      <c r="J32" s="411" t="str">
        <f>IF(AND('Riesgos de Gestión'!$O$33="Baja",'Riesgos de Gestión'!$S$33="Leve"),CONCATENATE("R",'Riesgos de Gestión'!$A$33),"")</f>
        <v/>
      </c>
      <c r="K32" s="412"/>
      <c r="L32" s="412" t="str">
        <f>IF(AND('Riesgos de Gestión'!$O$39="Baja",'Riesgos de Gestión'!$S$39="Leve"),CONCATENATE("R",'Riesgos de Gestión'!$A$39),"")</f>
        <v/>
      </c>
      <c r="M32" s="412"/>
      <c r="N32" s="412" t="str">
        <f>IF(AND('Riesgos de Gestión'!$O$45="Baja",'Riesgos de Gestión'!$S$45="Leve"),CONCATENATE("R",'Riesgos de Gestión'!$A$45),"")</f>
        <v/>
      </c>
      <c r="O32" s="413"/>
      <c r="P32" s="421" t="str">
        <f>IF(AND('Riesgos de Gestión'!$O$33="Baja",'Riesgos de Gestión'!$S$33="Menor"),CONCATENATE("R",'Riesgos de Gestión'!$A$33),"")</f>
        <v/>
      </c>
      <c r="Q32" s="421"/>
      <c r="R32" s="421" t="str">
        <f>IF(AND('Riesgos de Gestión'!$O$39="Baja",'Riesgos de Gestión'!$S$39="Menor"),CONCATENATE("R",'Riesgos de Gestión'!$A$39),"")</f>
        <v/>
      </c>
      <c r="S32" s="421"/>
      <c r="T32" s="421" t="str">
        <f>IF(AND('Riesgos de Gestión'!$O$45="Baja",'Riesgos de Gestión'!$S$45="Menor"),CONCATENATE("R",'Riesgos de Gestión'!$A$45),"")</f>
        <v/>
      </c>
      <c r="U32" s="422"/>
      <c r="V32" s="420" t="str">
        <f>IF(AND('Riesgos de Gestión'!$O$33="Baja",'Riesgos de Gestión'!$S$33="Moderado"),CONCATENATE("R",'Riesgos de Gestión'!$A$33),"")</f>
        <v/>
      </c>
      <c r="W32" s="421"/>
      <c r="X32" s="421" t="str">
        <f>IF(AND('Riesgos de Gestión'!$O$39="Baja",'Riesgos de Gestión'!$S$39="Moderado"),CONCATENATE("R",'Riesgos de Gestión'!$A$39),"")</f>
        <v/>
      </c>
      <c r="Y32" s="421"/>
      <c r="Z32" s="421" t="str">
        <f>IF(AND('Riesgos de Gestión'!$O$45="Baja",'Riesgos de Gestión'!$S$45="Moderado"),CONCATENATE("R",'Riesgos de Gestión'!$A$45),"")</f>
        <v/>
      </c>
      <c r="AA32" s="422"/>
      <c r="AB32" s="438" t="str">
        <f>IF(AND('Riesgos de Gestión'!$O$33="Baja",'Riesgos de Gestión'!$S$33="Mayor"),CONCATENATE("R",'Riesgos de Gestión'!$A$33),"")</f>
        <v/>
      </c>
      <c r="AC32" s="439"/>
      <c r="AD32" s="439" t="str">
        <f>IF(AND('Riesgos de Gestión'!$O$39="Baja",'Riesgos de Gestión'!$S$39="Mayor"),CONCATENATE("R",'Riesgos de Gestión'!$A$39),"")</f>
        <v/>
      </c>
      <c r="AE32" s="439"/>
      <c r="AF32" s="439" t="str">
        <f>IF(AND('Riesgos de Gestión'!$O$45="Baja",'Riesgos de Gestión'!$S$45="Mayor"),CONCATENATE("R",'Riesgos de Gestión'!$A$45),"")</f>
        <v/>
      </c>
      <c r="AG32" s="440"/>
      <c r="AH32" s="429" t="str">
        <f>IF(AND('Riesgos de Gestión'!$O$33="Baja",'Riesgos de Gestión'!$S$33="Catastrófico"),CONCATENATE("R",'Riesgos de Gestión'!$A$33),"")</f>
        <v/>
      </c>
      <c r="AI32" s="430"/>
      <c r="AJ32" s="430" t="str">
        <f>IF(AND('Riesgos de Gestión'!$O$39="Baja",'Riesgos de Gestión'!$S$39="Catastrófico"),CONCATENATE("R",'Riesgos de Gestión'!$A$39),"")</f>
        <v/>
      </c>
      <c r="AK32" s="430"/>
      <c r="AL32" s="430" t="str">
        <f>IF(AND('Riesgos de Gestión'!$O$45="Baja",'Riesgos de Gestión'!$S$45="Catastrófico"),CONCATENATE("R",'Riesgos de Gestión'!$A$45),"")</f>
        <v/>
      </c>
      <c r="AM32" s="431"/>
      <c r="AN32" s="66"/>
      <c r="AO32" s="490"/>
      <c r="AP32" s="491"/>
      <c r="AQ32" s="491"/>
      <c r="AR32" s="491"/>
      <c r="AS32" s="491"/>
      <c r="AT32" s="492"/>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25">
      <c r="A33" s="66"/>
      <c r="B33" s="458"/>
      <c r="C33" s="458"/>
      <c r="D33" s="459"/>
      <c r="E33" s="451"/>
      <c r="F33" s="452"/>
      <c r="G33" s="452"/>
      <c r="H33" s="452"/>
      <c r="I33" s="452"/>
      <c r="J33" s="411"/>
      <c r="K33" s="412"/>
      <c r="L33" s="412"/>
      <c r="M33" s="412"/>
      <c r="N33" s="412"/>
      <c r="O33" s="413"/>
      <c r="P33" s="421"/>
      <c r="Q33" s="421"/>
      <c r="R33" s="421"/>
      <c r="S33" s="421"/>
      <c r="T33" s="421"/>
      <c r="U33" s="422"/>
      <c r="V33" s="420"/>
      <c r="W33" s="421"/>
      <c r="X33" s="421"/>
      <c r="Y33" s="421"/>
      <c r="Z33" s="421"/>
      <c r="AA33" s="422"/>
      <c r="AB33" s="438"/>
      <c r="AC33" s="439"/>
      <c r="AD33" s="439"/>
      <c r="AE33" s="439"/>
      <c r="AF33" s="439"/>
      <c r="AG33" s="440"/>
      <c r="AH33" s="429"/>
      <c r="AI33" s="430"/>
      <c r="AJ33" s="430"/>
      <c r="AK33" s="430"/>
      <c r="AL33" s="430"/>
      <c r="AM33" s="431"/>
      <c r="AN33" s="66"/>
      <c r="AO33" s="490"/>
      <c r="AP33" s="491"/>
      <c r="AQ33" s="491"/>
      <c r="AR33" s="491"/>
      <c r="AS33" s="491"/>
      <c r="AT33" s="492"/>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25">
      <c r="A34" s="66"/>
      <c r="B34" s="458"/>
      <c r="C34" s="458"/>
      <c r="D34" s="459"/>
      <c r="E34" s="451"/>
      <c r="F34" s="452"/>
      <c r="G34" s="452"/>
      <c r="H34" s="452"/>
      <c r="I34" s="452"/>
      <c r="J34" s="411" t="str">
        <f>IF(AND('Riesgos de Gestión'!$O$51="Baja",'Riesgos de Gestión'!$S$51="Leve"),CONCATENATE("R",'Riesgos de Gestión'!$A$51),"")</f>
        <v/>
      </c>
      <c r="K34" s="412"/>
      <c r="L34" s="412" t="str">
        <f>IF(AND('Riesgos de Gestión'!$O$57="Baja",'Riesgos de Gestión'!$S$57="Leve"),CONCATENATE("R",'Riesgos de Gestión'!$A$57),"")</f>
        <v/>
      </c>
      <c r="M34" s="412"/>
      <c r="N34" s="412" t="str">
        <f>IF(AND('Riesgos de Gestión'!$O$63="Baja",'Riesgos de Gestión'!$S$63="Leve"),CONCATENATE("R",'Riesgos de Gestión'!$A$63),"")</f>
        <v/>
      </c>
      <c r="O34" s="413"/>
      <c r="P34" s="421" t="str">
        <f>IF(AND('Riesgos de Gestión'!$O$51="Baja",'Riesgos de Gestión'!$S$51="Menor"),CONCATENATE("R",'Riesgos de Gestión'!$A$51),"")</f>
        <v/>
      </c>
      <c r="Q34" s="421"/>
      <c r="R34" s="421" t="str">
        <f>IF(AND('Riesgos de Gestión'!$O$57="Baja",'Riesgos de Gestión'!$S$57="Menor"),CONCATENATE("R",'Riesgos de Gestión'!$A$57),"")</f>
        <v/>
      </c>
      <c r="S34" s="421"/>
      <c r="T34" s="421" t="str">
        <f>IF(AND('Riesgos de Gestión'!$O$63="Baja",'Riesgos de Gestión'!$S$63="Menor"),CONCATENATE("R",'Riesgos de Gestión'!$A$63),"")</f>
        <v/>
      </c>
      <c r="U34" s="422"/>
      <c r="V34" s="420" t="str">
        <f>IF(AND('Riesgos de Gestión'!$O$51="Baja",'Riesgos de Gestión'!$S$51="Moderado"),CONCATENATE("R",'Riesgos de Gestión'!$A$51),"")</f>
        <v/>
      </c>
      <c r="W34" s="421"/>
      <c r="X34" s="421" t="str">
        <f>IF(AND('Riesgos de Gestión'!$O$57="Baja",'Riesgos de Gestión'!$S$57="Moderado"),CONCATENATE("R",'Riesgos de Gestión'!$A$57),"")</f>
        <v/>
      </c>
      <c r="Y34" s="421"/>
      <c r="Z34" s="421" t="str">
        <f>IF(AND('Riesgos de Gestión'!$O$63="Baja",'Riesgos de Gestión'!$S$63="Moderado"),CONCATENATE("R",'Riesgos de Gestión'!$A$63),"")</f>
        <v/>
      </c>
      <c r="AA34" s="422"/>
      <c r="AB34" s="438" t="str">
        <f>IF(AND('Riesgos de Gestión'!$O$51="Baja",'Riesgos de Gestión'!$S$51="Mayor"),CONCATENATE("R",'Riesgos de Gestión'!$A$51),"")</f>
        <v/>
      </c>
      <c r="AC34" s="439"/>
      <c r="AD34" s="439" t="str">
        <f>IF(AND('Riesgos de Gestión'!$O$57="Baja",'Riesgos de Gestión'!$S$57="Mayor"),CONCATENATE("R",'Riesgos de Gestión'!$A$57),"")</f>
        <v/>
      </c>
      <c r="AE34" s="439"/>
      <c r="AF34" s="439" t="str">
        <f>IF(AND('Riesgos de Gestión'!$O$63="Baja",'Riesgos de Gestión'!$S$63="Mayor"),CONCATENATE("R",'Riesgos de Gestión'!$A$63),"")</f>
        <v/>
      </c>
      <c r="AG34" s="440"/>
      <c r="AH34" s="429" t="str">
        <f>IF(AND('Riesgos de Gestión'!$O$51="Baja",'Riesgos de Gestión'!$S$51="Catastrófico"),CONCATENATE("R",'Riesgos de Gestión'!$A$51),"")</f>
        <v/>
      </c>
      <c r="AI34" s="430"/>
      <c r="AJ34" s="430" t="str">
        <f>IF(AND('Riesgos de Gestión'!$O$57="Baja",'Riesgos de Gestión'!$S$57="Catastrófico"),CONCATENATE("R",'Riesgos de Gestión'!$A$57),"")</f>
        <v/>
      </c>
      <c r="AK34" s="430"/>
      <c r="AL34" s="430" t="str">
        <f>IF(AND('Riesgos de Gestión'!$O$63="Baja",'Riesgos de Gestión'!$S$63="Catastrófico"),CONCATENATE("R",'Riesgos de Gestión'!$A$63),"")</f>
        <v/>
      </c>
      <c r="AM34" s="431"/>
      <c r="AN34" s="66"/>
      <c r="AO34" s="490"/>
      <c r="AP34" s="491"/>
      <c r="AQ34" s="491"/>
      <c r="AR34" s="491"/>
      <c r="AS34" s="491"/>
      <c r="AT34" s="492"/>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25">
      <c r="A35" s="66"/>
      <c r="B35" s="458"/>
      <c r="C35" s="458"/>
      <c r="D35" s="459"/>
      <c r="E35" s="451"/>
      <c r="F35" s="452"/>
      <c r="G35" s="452"/>
      <c r="H35" s="452"/>
      <c r="I35" s="452"/>
      <c r="J35" s="411"/>
      <c r="K35" s="412"/>
      <c r="L35" s="412"/>
      <c r="M35" s="412"/>
      <c r="N35" s="412"/>
      <c r="O35" s="413"/>
      <c r="P35" s="421"/>
      <c r="Q35" s="421"/>
      <c r="R35" s="421"/>
      <c r="S35" s="421"/>
      <c r="T35" s="421"/>
      <c r="U35" s="422"/>
      <c r="V35" s="420"/>
      <c r="W35" s="421"/>
      <c r="X35" s="421"/>
      <c r="Y35" s="421"/>
      <c r="Z35" s="421"/>
      <c r="AA35" s="422"/>
      <c r="AB35" s="438"/>
      <c r="AC35" s="439"/>
      <c r="AD35" s="439"/>
      <c r="AE35" s="439"/>
      <c r="AF35" s="439"/>
      <c r="AG35" s="440"/>
      <c r="AH35" s="429"/>
      <c r="AI35" s="430"/>
      <c r="AJ35" s="430"/>
      <c r="AK35" s="430"/>
      <c r="AL35" s="430"/>
      <c r="AM35" s="431"/>
      <c r="AN35" s="66"/>
      <c r="AO35" s="490"/>
      <c r="AP35" s="491"/>
      <c r="AQ35" s="491"/>
      <c r="AR35" s="491"/>
      <c r="AS35" s="491"/>
      <c r="AT35" s="492"/>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25">
      <c r="A36" s="66"/>
      <c r="B36" s="458"/>
      <c r="C36" s="458"/>
      <c r="D36" s="459"/>
      <c r="E36" s="451"/>
      <c r="F36" s="452"/>
      <c r="G36" s="452"/>
      <c r="H36" s="452"/>
      <c r="I36" s="452"/>
      <c r="J36" s="411" t="str">
        <f>IF(AND('Riesgos de Gestión'!$O$69="Baja",'Riesgos de Gestión'!$S$69="Leve"),CONCATENATE("R",'Riesgos de Gestión'!$A$69),"")</f>
        <v/>
      </c>
      <c r="K36" s="412"/>
      <c r="L36" s="412" t="str">
        <f>IF(AND('Riesgos de Gestión'!$P$75="Baja",'Riesgos de Gestión'!$T$75="Leve"),CONCATENATE("R",'Riesgos de Gestión'!$A$75),"")</f>
        <v/>
      </c>
      <c r="M36" s="412"/>
      <c r="N36" s="412" t="str">
        <f>IF(AND('Riesgos de Gestión'!$P$81="Baja",'Riesgos de Gestión'!$T$81="Leve"),CONCATENATE("R",'Riesgos de Gestión'!$A$81),"")</f>
        <v/>
      </c>
      <c r="O36" s="413"/>
      <c r="P36" s="421" t="str">
        <f>IF(AND('Riesgos de Gestión'!$O$69="Baja",'Riesgos de Gestión'!$S$69="Menor"),CONCATENATE("R",'Riesgos de Gestión'!$A$69),"")</f>
        <v/>
      </c>
      <c r="Q36" s="421"/>
      <c r="R36" s="421" t="str">
        <f>IF(AND('Riesgos de Gestión'!$P$75="Baja",'Riesgos de Gestión'!$T$75="Menor"),CONCATENATE("R",'Riesgos de Gestión'!$A$75),"")</f>
        <v/>
      </c>
      <c r="S36" s="421"/>
      <c r="T36" s="421" t="str">
        <f>IF(AND('Riesgos de Gestión'!$P$81="Baja",'Riesgos de Gestión'!$T$81="Menor"),CONCATENATE("R",'Riesgos de Gestión'!$A$81),"")</f>
        <v/>
      </c>
      <c r="U36" s="422"/>
      <c r="V36" s="420" t="str">
        <f>IF(AND('Riesgos de Gestión'!$O$69="Baja",'Riesgos de Gestión'!$S$69="Moderado"),CONCATENATE("R",'Riesgos de Gestión'!$A$69),"")</f>
        <v/>
      </c>
      <c r="W36" s="421"/>
      <c r="X36" s="421" t="str">
        <f>IF(AND('Riesgos de Gestión'!$P$75="Baja",'Riesgos de Gestión'!$T$75="Moderado"),CONCATENATE("R",'Riesgos de Gestión'!$A$75),"")</f>
        <v/>
      </c>
      <c r="Y36" s="421"/>
      <c r="Z36" s="421" t="str">
        <f>IF(AND('Riesgos de Gestión'!$P$81="Baja",'Riesgos de Gestión'!$T$81="Moderado"),CONCATENATE("R",'Riesgos de Gestión'!$A$81),"")</f>
        <v/>
      </c>
      <c r="AA36" s="422"/>
      <c r="AB36" s="438" t="str">
        <f>IF(AND('Riesgos de Gestión'!$O$69="Baja",'Riesgos de Gestión'!$S$69="Mayor"),CONCATENATE("R",'Riesgos de Gestión'!$A$69),"")</f>
        <v/>
      </c>
      <c r="AC36" s="439"/>
      <c r="AD36" s="439" t="str">
        <f>IF(AND('Riesgos de Gestión'!$P$75="Baja",'Riesgos de Gestión'!$T$75="Mayor"),CONCATENATE("R",'Riesgos de Gestión'!$A$75),"")</f>
        <v/>
      </c>
      <c r="AE36" s="439"/>
      <c r="AF36" s="439" t="str">
        <f>IF(AND('Riesgos de Gestión'!$P$81="Baja",'Riesgos de Gestión'!$T$81="Mayor"),CONCATENATE("R",'Riesgos de Gestión'!$A$81),"")</f>
        <v/>
      </c>
      <c r="AG36" s="440"/>
      <c r="AH36" s="429" t="str">
        <f>IF(AND('Riesgos de Gestión'!$O$69="Baja",'Riesgos de Gestión'!$S$69="Catastrófico"),CONCATENATE("R",'Riesgos de Gestión'!$A$69),"")</f>
        <v/>
      </c>
      <c r="AI36" s="430"/>
      <c r="AJ36" s="430" t="str">
        <f>IF(AND('Riesgos de Gestión'!$P$75="Baja",'Riesgos de Gestión'!$T$75="Catastrófico"),CONCATENATE("R",'Riesgos de Gestión'!$A$75),"")</f>
        <v/>
      </c>
      <c r="AK36" s="430"/>
      <c r="AL36" s="430" t="str">
        <f>IF(AND('Riesgos de Gestión'!$P$81="Baja",'Riesgos de Gestión'!$T$81="Catastrófico"),CONCATENATE("R",'Riesgos de Gestión'!$A$81),"")</f>
        <v/>
      </c>
      <c r="AM36" s="431"/>
      <c r="AN36" s="66"/>
      <c r="AO36" s="490"/>
      <c r="AP36" s="491"/>
      <c r="AQ36" s="491"/>
      <c r="AR36" s="491"/>
      <c r="AS36" s="491"/>
      <c r="AT36" s="492"/>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75" thickBot="1" x14ac:dyDescent="0.3">
      <c r="A37" s="66"/>
      <c r="B37" s="458"/>
      <c r="C37" s="458"/>
      <c r="D37" s="459"/>
      <c r="E37" s="454"/>
      <c r="F37" s="455"/>
      <c r="G37" s="455"/>
      <c r="H37" s="455"/>
      <c r="I37" s="455"/>
      <c r="J37" s="414"/>
      <c r="K37" s="415"/>
      <c r="L37" s="415"/>
      <c r="M37" s="415"/>
      <c r="N37" s="415"/>
      <c r="O37" s="416"/>
      <c r="P37" s="424"/>
      <c r="Q37" s="424"/>
      <c r="R37" s="424"/>
      <c r="S37" s="424"/>
      <c r="T37" s="424"/>
      <c r="U37" s="425"/>
      <c r="V37" s="423"/>
      <c r="W37" s="424"/>
      <c r="X37" s="424"/>
      <c r="Y37" s="424"/>
      <c r="Z37" s="424"/>
      <c r="AA37" s="425"/>
      <c r="AB37" s="441"/>
      <c r="AC37" s="442"/>
      <c r="AD37" s="442"/>
      <c r="AE37" s="442"/>
      <c r="AF37" s="442"/>
      <c r="AG37" s="443"/>
      <c r="AH37" s="432"/>
      <c r="AI37" s="433"/>
      <c r="AJ37" s="433"/>
      <c r="AK37" s="433"/>
      <c r="AL37" s="433"/>
      <c r="AM37" s="434"/>
      <c r="AN37" s="66"/>
      <c r="AO37" s="493"/>
      <c r="AP37" s="494"/>
      <c r="AQ37" s="494"/>
      <c r="AR37" s="494"/>
      <c r="AS37" s="494"/>
      <c r="AT37" s="495"/>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25">
      <c r="A38" s="66"/>
      <c r="B38" s="458"/>
      <c r="C38" s="458"/>
      <c r="D38" s="459"/>
      <c r="E38" s="448" t="s">
        <v>273</v>
      </c>
      <c r="F38" s="449"/>
      <c r="G38" s="449"/>
      <c r="H38" s="449"/>
      <c r="I38" s="450"/>
      <c r="J38" s="417" t="str">
        <f>IF(AND('Riesgos de Gestión'!$O$13="Muy Baja",'Riesgos de Gestión'!$S$13="Leve"),CONCATENATE("R",'Riesgos de Gestión'!$A$13),"")</f>
        <v/>
      </c>
      <c r="K38" s="418"/>
      <c r="L38" s="418" t="str">
        <f>IF(AND('Riesgos de Gestión'!$O$21="Muy Baja",'Riesgos de Gestión'!$S$21="Leve"),CONCATENATE("R",'Riesgos de Gestión'!$A$21),"")</f>
        <v/>
      </c>
      <c r="M38" s="418"/>
      <c r="N38" s="418" t="str">
        <f>IF(AND('Riesgos de Gestión'!$O$27="Muy Baja",'Riesgos de Gestión'!$S$27="Leve"),CONCATENATE("R",'Riesgos de Gestión'!$A$27),"")</f>
        <v/>
      </c>
      <c r="O38" s="419"/>
      <c r="P38" s="417" t="str">
        <f>IF(AND('Riesgos de Gestión'!$O$13="Muy Baja",'Riesgos de Gestión'!$S$13="Menor"),CONCATENATE("R",'Riesgos de Gestión'!$A$13),"")</f>
        <v/>
      </c>
      <c r="Q38" s="418"/>
      <c r="R38" s="418" t="str">
        <f>IF(AND('Riesgos de Gestión'!$O$21="Muy Baja",'Riesgos de Gestión'!$S$21="Menor"),CONCATENATE("R",'Riesgos de Gestión'!$A$21),"")</f>
        <v/>
      </c>
      <c r="S38" s="418"/>
      <c r="T38" s="418" t="str">
        <f>IF(AND('Riesgos de Gestión'!$O$27="Muy Baja",'Riesgos de Gestión'!$S$27="Menor"),CONCATENATE("R",'Riesgos de Gestión'!$A$27),"")</f>
        <v/>
      </c>
      <c r="U38" s="419"/>
      <c r="V38" s="426" t="str">
        <f>IF(AND('Riesgos de Gestión'!$O$13="Muy Baja",'Riesgos de Gestión'!$S$13="Moderado"),CONCATENATE("R",'Riesgos de Gestión'!$A$13),"")</f>
        <v/>
      </c>
      <c r="W38" s="427"/>
      <c r="X38" s="427" t="str">
        <f>IF(AND('Riesgos de Gestión'!$O$21="Muy Baja",'Riesgos de Gestión'!$S$21="Moderado"),CONCATENATE("R",'Riesgos de Gestión'!$A$21),"")</f>
        <v/>
      </c>
      <c r="Y38" s="427"/>
      <c r="Z38" s="427" t="str">
        <f>IF(AND('Riesgos de Gestión'!$O$27="Muy Baja",'Riesgos de Gestión'!$S$27="Moderado"),CONCATENATE("R",'Riesgos de Gestión'!$A$27),"")</f>
        <v/>
      </c>
      <c r="AA38" s="428"/>
      <c r="AB38" s="444" t="str">
        <f>IF(AND('Riesgos de Gestión'!$O$13="Muy Baja",'Riesgos de Gestión'!$S$13="Mayor"),CONCATENATE("R",'Riesgos de Gestión'!$A$13),"")</f>
        <v/>
      </c>
      <c r="AC38" s="445"/>
      <c r="AD38" s="445" t="str">
        <f>IF(AND('Riesgos de Gestión'!$O$21="Muy Baja",'Riesgos de Gestión'!$S$21="Mayor"),CONCATENATE("R",'Riesgos de Gestión'!$A$21),"")</f>
        <v/>
      </c>
      <c r="AE38" s="445"/>
      <c r="AF38" s="445" t="str">
        <f>IF(AND('Riesgos de Gestión'!$O$27="Muy Baja",'Riesgos de Gestión'!$S$27="Mayor"),CONCATENATE("R",'Riesgos de Gestión'!$A$27),"")</f>
        <v/>
      </c>
      <c r="AG38" s="446"/>
      <c r="AH38" s="435" t="str">
        <f>IF(AND('Riesgos de Gestión'!$O$13="Muy Baja",'Riesgos de Gestión'!$S$13="Catastrófico"),CONCATENATE("R",'Riesgos de Gestión'!$A$13),"")</f>
        <v/>
      </c>
      <c r="AI38" s="436"/>
      <c r="AJ38" s="436" t="str">
        <f>IF(AND('Riesgos de Gestión'!$O$21="Muy Baja",'Riesgos de Gestión'!$S$21="Catastrófico"),CONCATENATE("R",'Riesgos de Gestión'!$A$21),"")</f>
        <v/>
      </c>
      <c r="AK38" s="436"/>
      <c r="AL38" s="436" t="str">
        <f>IF(AND('Riesgos de Gestión'!$O$27="Muy Baja",'Riesgos de Gestión'!$S$27="Catastrófico"),CONCATENATE("R",'Riesgos de Gestión'!$A$27),"")</f>
        <v/>
      </c>
      <c r="AM38" s="437"/>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25">
      <c r="A39" s="66"/>
      <c r="B39" s="458"/>
      <c r="C39" s="458"/>
      <c r="D39" s="459"/>
      <c r="E39" s="451"/>
      <c r="F39" s="452"/>
      <c r="G39" s="452"/>
      <c r="H39" s="452"/>
      <c r="I39" s="453"/>
      <c r="J39" s="411"/>
      <c r="K39" s="412"/>
      <c r="L39" s="412"/>
      <c r="M39" s="412"/>
      <c r="N39" s="412"/>
      <c r="O39" s="413"/>
      <c r="P39" s="411"/>
      <c r="Q39" s="412"/>
      <c r="R39" s="412"/>
      <c r="S39" s="412"/>
      <c r="T39" s="412"/>
      <c r="U39" s="413"/>
      <c r="V39" s="420"/>
      <c r="W39" s="421"/>
      <c r="X39" s="421"/>
      <c r="Y39" s="421"/>
      <c r="Z39" s="421"/>
      <c r="AA39" s="422"/>
      <c r="AB39" s="438"/>
      <c r="AC39" s="439"/>
      <c r="AD39" s="439"/>
      <c r="AE39" s="439"/>
      <c r="AF39" s="439"/>
      <c r="AG39" s="440"/>
      <c r="AH39" s="429"/>
      <c r="AI39" s="430"/>
      <c r="AJ39" s="430"/>
      <c r="AK39" s="430"/>
      <c r="AL39" s="430"/>
      <c r="AM39" s="431"/>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25">
      <c r="A40" s="66"/>
      <c r="B40" s="458"/>
      <c r="C40" s="458"/>
      <c r="D40" s="459"/>
      <c r="E40" s="451"/>
      <c r="F40" s="452"/>
      <c r="G40" s="452"/>
      <c r="H40" s="452"/>
      <c r="I40" s="453"/>
      <c r="J40" s="411" t="str">
        <f>IF(AND('Riesgos de Gestión'!$O$33="Muy Baja",'Riesgos de Gestión'!$S$33="Leve"),CONCATENATE("R",'Riesgos de Gestión'!$A$33),"")</f>
        <v/>
      </c>
      <c r="K40" s="412"/>
      <c r="L40" s="412" t="str">
        <f>IF(AND('Riesgos de Gestión'!$O$39="Muy Baja",'Riesgos de Gestión'!$S$39="Leve"),CONCATENATE("R",'Riesgos de Gestión'!$A$39),"")</f>
        <v/>
      </c>
      <c r="M40" s="412"/>
      <c r="N40" s="412" t="str">
        <f>IF(AND('Riesgos de Gestión'!$O$45="Muy Baja",'Riesgos de Gestión'!$S$45="Leve"),CONCATENATE("R",'Riesgos de Gestión'!$A$45),"")</f>
        <v/>
      </c>
      <c r="O40" s="413"/>
      <c r="P40" s="411" t="str">
        <f>IF(AND('Riesgos de Gestión'!$O$33="Muy Baja",'Riesgos de Gestión'!$S$33="Menor"),CONCATENATE("R",'Riesgos de Gestión'!$A$33),"")</f>
        <v/>
      </c>
      <c r="Q40" s="412"/>
      <c r="R40" s="412" t="str">
        <f>IF(AND('Riesgos de Gestión'!$O$39="Muy Baja",'Riesgos de Gestión'!$S$39="Menor"),CONCATENATE("R",'Riesgos de Gestión'!$A$39),"")</f>
        <v/>
      </c>
      <c r="S40" s="412"/>
      <c r="T40" s="412" t="str">
        <f>IF(AND('Riesgos de Gestión'!$O$45="Muy Baja",'Riesgos de Gestión'!$S$45="Menor"),CONCATENATE("R",'Riesgos de Gestión'!$A$45),"")</f>
        <v/>
      </c>
      <c r="U40" s="413"/>
      <c r="V40" s="420" t="str">
        <f>IF(AND('Riesgos de Gestión'!$O$33="Muy Baja",'Riesgos de Gestión'!$S$33="Moderado"),CONCATENATE("R",'Riesgos de Gestión'!$A$33),"")</f>
        <v/>
      </c>
      <c r="W40" s="421"/>
      <c r="X40" s="421" t="str">
        <f>IF(AND('Riesgos de Gestión'!$O$39="Muy Baja",'Riesgos de Gestión'!$S$39="Moderado"),CONCATENATE("R",'Riesgos de Gestión'!$A$39),"")</f>
        <v/>
      </c>
      <c r="Y40" s="421"/>
      <c r="Z40" s="421" t="str">
        <f>IF(AND('Riesgos de Gestión'!$O$45="Muy Baja",'Riesgos de Gestión'!$S$45="Moderado"),CONCATENATE("R",'Riesgos de Gestión'!$A$45),"")</f>
        <v/>
      </c>
      <c r="AA40" s="422"/>
      <c r="AB40" s="438" t="str">
        <f>IF(AND('Riesgos de Gestión'!$O$33="Muy Baja",'Riesgos de Gestión'!$S$33="Mayor"),CONCATENATE("R",'Riesgos de Gestión'!$A$33),"")</f>
        <v/>
      </c>
      <c r="AC40" s="439"/>
      <c r="AD40" s="439" t="str">
        <f>IF(AND('Riesgos de Gestión'!$O$39="Muy Baja",'Riesgos de Gestión'!$S$39="Mayor"),CONCATENATE("R",'Riesgos de Gestión'!$A$39),"")</f>
        <v/>
      </c>
      <c r="AE40" s="439"/>
      <c r="AF40" s="439" t="str">
        <f>IF(AND('Riesgos de Gestión'!$O$45="Muy Baja",'Riesgos de Gestión'!$S$45="Mayor"),CONCATENATE("R",'Riesgos de Gestión'!$A$45),"")</f>
        <v/>
      </c>
      <c r="AG40" s="440"/>
      <c r="AH40" s="429" t="str">
        <f>IF(AND('Riesgos de Gestión'!$O$33="Muy Baja",'Riesgos de Gestión'!$S$33="Catastrófico"),CONCATENATE("R",'Riesgos de Gestión'!$A$33),"")</f>
        <v/>
      </c>
      <c r="AI40" s="430"/>
      <c r="AJ40" s="430" t="str">
        <f>IF(AND('Riesgos de Gestión'!$O$39="Muy Baja",'Riesgos de Gestión'!$S$39="Catastrófico"),CONCATENATE("R",'Riesgos de Gestión'!$A$39),"")</f>
        <v/>
      </c>
      <c r="AK40" s="430"/>
      <c r="AL40" s="430" t="str">
        <f>IF(AND('Riesgos de Gestión'!$O$45="Muy Baja",'Riesgos de Gestión'!$S$45="Catastrófico"),CONCATENATE("R",'Riesgos de Gestión'!$A$45),"")</f>
        <v/>
      </c>
      <c r="AM40" s="431"/>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25">
      <c r="A41" s="66"/>
      <c r="B41" s="458"/>
      <c r="C41" s="458"/>
      <c r="D41" s="459"/>
      <c r="E41" s="451"/>
      <c r="F41" s="452"/>
      <c r="G41" s="452"/>
      <c r="H41" s="452"/>
      <c r="I41" s="453"/>
      <c r="J41" s="411"/>
      <c r="K41" s="412"/>
      <c r="L41" s="412"/>
      <c r="M41" s="412"/>
      <c r="N41" s="412"/>
      <c r="O41" s="413"/>
      <c r="P41" s="411"/>
      <c r="Q41" s="412"/>
      <c r="R41" s="412"/>
      <c r="S41" s="412"/>
      <c r="T41" s="412"/>
      <c r="U41" s="413"/>
      <c r="V41" s="420"/>
      <c r="W41" s="421"/>
      <c r="X41" s="421"/>
      <c r="Y41" s="421"/>
      <c r="Z41" s="421"/>
      <c r="AA41" s="422"/>
      <c r="AB41" s="438"/>
      <c r="AC41" s="439"/>
      <c r="AD41" s="439"/>
      <c r="AE41" s="439"/>
      <c r="AF41" s="439"/>
      <c r="AG41" s="440"/>
      <c r="AH41" s="429"/>
      <c r="AI41" s="430"/>
      <c r="AJ41" s="430"/>
      <c r="AK41" s="430"/>
      <c r="AL41" s="430"/>
      <c r="AM41" s="431"/>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25">
      <c r="A42" s="66"/>
      <c r="B42" s="458"/>
      <c r="C42" s="458"/>
      <c r="D42" s="459"/>
      <c r="E42" s="451"/>
      <c r="F42" s="452"/>
      <c r="G42" s="452"/>
      <c r="H42" s="452"/>
      <c r="I42" s="453"/>
      <c r="J42" s="411" t="str">
        <f>IF(AND('Riesgos de Gestión'!$O$51="Muy Baja",'Riesgos de Gestión'!$S$51="Leve"),CONCATENATE("R",'Riesgos de Gestión'!$A$51),"")</f>
        <v/>
      </c>
      <c r="K42" s="412"/>
      <c r="L42" s="412" t="str">
        <f>IF(AND('Riesgos de Gestión'!$O$57="Muy Baja",'Riesgos de Gestión'!$S$57="Leve"),CONCATENATE("R",'Riesgos de Gestión'!$A$57),"")</f>
        <v/>
      </c>
      <c r="M42" s="412"/>
      <c r="N42" s="412" t="str">
        <f>IF(AND('Riesgos de Gestión'!$O$63="Muy Baja",'Riesgos de Gestión'!$S$63="Leve"),CONCATENATE("R",'Riesgos de Gestión'!$A$63),"")</f>
        <v/>
      </c>
      <c r="O42" s="413"/>
      <c r="P42" s="411" t="str">
        <f>IF(AND('Riesgos de Gestión'!$O$51="Muy Baja",'Riesgos de Gestión'!$S$51="Menor"),CONCATENATE("R",'Riesgos de Gestión'!$A$51),"")</f>
        <v/>
      </c>
      <c r="Q42" s="412"/>
      <c r="R42" s="412" t="str">
        <f>IF(AND('Riesgos de Gestión'!$O$57="Muy Baja",'Riesgos de Gestión'!$S$57="Menor"),CONCATENATE("R",'Riesgos de Gestión'!$A$57),"")</f>
        <v/>
      </c>
      <c r="S42" s="412"/>
      <c r="T42" s="412" t="str">
        <f>IF(AND('Riesgos de Gestión'!$O$63="Muy Baja",'Riesgos de Gestión'!$S$63="Menor"),CONCATENATE("R",'Riesgos de Gestión'!$A$63),"")</f>
        <v/>
      </c>
      <c r="U42" s="413"/>
      <c r="V42" s="420" t="str">
        <f>IF(AND('Riesgos de Gestión'!$O$51="Muy Baja",'Riesgos de Gestión'!$S$51="Moderado"),CONCATENATE("R",'Riesgos de Gestión'!$A$51),"")</f>
        <v/>
      </c>
      <c r="W42" s="421"/>
      <c r="X42" s="421" t="str">
        <f>IF(AND('Riesgos de Gestión'!$O$57="Muy Baja",'Riesgos de Gestión'!$S$57="Moderado"),CONCATENATE("R",'Riesgos de Gestión'!$A$57),"")</f>
        <v/>
      </c>
      <c r="Y42" s="421"/>
      <c r="Z42" s="421" t="str">
        <f>IF(AND('Riesgos de Gestión'!$O$63="Muy Baja",'Riesgos de Gestión'!$S$63="Moderado"),CONCATENATE("R",'Riesgos de Gestión'!$A$63),"")</f>
        <v/>
      </c>
      <c r="AA42" s="422"/>
      <c r="AB42" s="438" t="str">
        <f>IF(AND('Riesgos de Gestión'!$O$51="Muy Baja",'Riesgos de Gestión'!$S$51="Mayor"),CONCATENATE("R",'Riesgos de Gestión'!$A$51),"")</f>
        <v/>
      </c>
      <c r="AC42" s="439"/>
      <c r="AD42" s="439" t="str">
        <f>IF(AND('Riesgos de Gestión'!$O$57="Muy Baja",'Riesgos de Gestión'!$S$57="Mayor"),CONCATENATE("R",'Riesgos de Gestión'!$A$57),"")</f>
        <v/>
      </c>
      <c r="AE42" s="439"/>
      <c r="AF42" s="439" t="str">
        <f>IF(AND('Riesgos de Gestión'!$O$63="Muy Baja",'Riesgos de Gestión'!$S$63="Mayor"),CONCATENATE("R",'Riesgos de Gestión'!$A$63),"")</f>
        <v/>
      </c>
      <c r="AG42" s="440"/>
      <c r="AH42" s="429" t="str">
        <f>IF(AND('Riesgos de Gestión'!$O$51="Muy Baja",'Riesgos de Gestión'!$S$51="Catastrófico"),CONCATENATE("R",'Riesgos de Gestión'!$A$51),"")</f>
        <v/>
      </c>
      <c r="AI42" s="430"/>
      <c r="AJ42" s="430" t="str">
        <f>IF(AND('Riesgos de Gestión'!$O$57="Muy Baja",'Riesgos de Gestión'!$S$57="Catastrófico"),CONCATENATE("R",'Riesgos de Gestión'!$A$57),"")</f>
        <v/>
      </c>
      <c r="AK42" s="430"/>
      <c r="AL42" s="430" t="str">
        <f>IF(AND('Riesgos de Gestión'!$O$63="Muy Baja",'Riesgos de Gestión'!$S$63="Catastrófico"),CONCATENATE("R",'Riesgos de Gestión'!$A$63),"")</f>
        <v/>
      </c>
      <c r="AM42" s="431"/>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25">
      <c r="A43" s="66"/>
      <c r="B43" s="458"/>
      <c r="C43" s="458"/>
      <c r="D43" s="459"/>
      <c r="E43" s="451"/>
      <c r="F43" s="452"/>
      <c r="G43" s="452"/>
      <c r="H43" s="452"/>
      <c r="I43" s="453"/>
      <c r="J43" s="411"/>
      <c r="K43" s="412"/>
      <c r="L43" s="412"/>
      <c r="M43" s="412"/>
      <c r="N43" s="412"/>
      <c r="O43" s="413"/>
      <c r="P43" s="411"/>
      <c r="Q43" s="412"/>
      <c r="R43" s="412"/>
      <c r="S43" s="412"/>
      <c r="T43" s="412"/>
      <c r="U43" s="413"/>
      <c r="V43" s="420"/>
      <c r="W43" s="421"/>
      <c r="X43" s="421"/>
      <c r="Y43" s="421"/>
      <c r="Z43" s="421"/>
      <c r="AA43" s="422"/>
      <c r="AB43" s="438"/>
      <c r="AC43" s="439"/>
      <c r="AD43" s="439"/>
      <c r="AE43" s="439"/>
      <c r="AF43" s="439"/>
      <c r="AG43" s="440"/>
      <c r="AH43" s="429"/>
      <c r="AI43" s="430"/>
      <c r="AJ43" s="430"/>
      <c r="AK43" s="430"/>
      <c r="AL43" s="430"/>
      <c r="AM43" s="431"/>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25">
      <c r="A44" s="66"/>
      <c r="B44" s="458"/>
      <c r="C44" s="458"/>
      <c r="D44" s="459"/>
      <c r="E44" s="451"/>
      <c r="F44" s="452"/>
      <c r="G44" s="452"/>
      <c r="H44" s="452"/>
      <c r="I44" s="453"/>
      <c r="J44" s="411" t="str">
        <f>IF(AND('Riesgos de Gestión'!$O$69="Muy Baja",'Riesgos de Gestión'!$S$69="Leve"),CONCATENATE("R",'Riesgos de Gestión'!$A$69),"")</f>
        <v/>
      </c>
      <c r="K44" s="412"/>
      <c r="L44" s="412" t="str">
        <f>IF(AND('Riesgos de Gestión'!$P$75="Muy Baja",'Riesgos de Gestión'!$T$75="Leve"),CONCATENATE("R",'Riesgos de Gestión'!$A$75),"")</f>
        <v/>
      </c>
      <c r="M44" s="412"/>
      <c r="N44" s="412" t="str">
        <f>IF(AND('Riesgos de Gestión'!$P$81="Muy Baja",'Riesgos de Gestión'!$T$81="Leve"),CONCATENATE("R",'Riesgos de Gestión'!$A$81),"")</f>
        <v/>
      </c>
      <c r="O44" s="413"/>
      <c r="P44" s="411" t="str">
        <f>IF(AND('Riesgos de Gestión'!$O$69="Muy Baja",'Riesgos de Gestión'!$S$69="Menor"),CONCATENATE("R",'Riesgos de Gestión'!$A$69),"")</f>
        <v/>
      </c>
      <c r="Q44" s="412"/>
      <c r="R44" s="412" t="str">
        <f>IF(AND('Riesgos de Gestión'!$P$75="Muy Baja",'Riesgos de Gestión'!$T$75="Menor"),CONCATENATE("R",'Riesgos de Gestión'!$A$75),"")</f>
        <v/>
      </c>
      <c r="S44" s="412"/>
      <c r="T44" s="412" t="str">
        <f>IF(AND('Riesgos de Gestión'!$P$81="Muy Baja",'Riesgos de Gestión'!$T$81="Menor"),CONCATENATE("R",'Riesgos de Gestión'!$A$81),"")</f>
        <v/>
      </c>
      <c r="U44" s="413"/>
      <c r="V44" s="420" t="str">
        <f>IF(AND('Riesgos de Gestión'!$O$69="Muy Baja",'Riesgos de Gestión'!$S$69="Moderado"),CONCATENATE("R",'Riesgos de Gestión'!$A$69),"")</f>
        <v/>
      </c>
      <c r="W44" s="421"/>
      <c r="X44" s="421" t="str">
        <f>IF(AND('Riesgos de Gestión'!$P$75="Muy Baja",'Riesgos de Gestión'!$T$75="Moderado"),CONCATENATE("R",'Riesgos de Gestión'!$A$75),"")</f>
        <v/>
      </c>
      <c r="Y44" s="421"/>
      <c r="Z44" s="421" t="str">
        <f>IF(AND('Riesgos de Gestión'!$P$81="Muy Baja",'Riesgos de Gestión'!$T$81="Moderado"),CONCATENATE("R",'Riesgos de Gestión'!$A$81),"")</f>
        <v/>
      </c>
      <c r="AA44" s="422"/>
      <c r="AB44" s="438" t="str">
        <f>IF(AND('Riesgos de Gestión'!$O$69="Muy Baja",'Riesgos de Gestión'!$S$69="Mayor"),CONCATENATE("R",'Riesgos de Gestión'!$A$69),"")</f>
        <v/>
      </c>
      <c r="AC44" s="439"/>
      <c r="AD44" s="439" t="str">
        <f>IF(AND('Riesgos de Gestión'!$P$75="Muy Baja",'Riesgos de Gestión'!$T$75="Mayor"),CONCATENATE("R",'Riesgos de Gestión'!$A$75),"")</f>
        <v/>
      </c>
      <c r="AE44" s="439"/>
      <c r="AF44" s="439" t="str">
        <f>IF(AND('Riesgos de Gestión'!$P$81="Muy Baja",'Riesgos de Gestión'!$T$81="Mayor"),CONCATENATE("R",'Riesgos de Gestión'!$A$81),"")</f>
        <v/>
      </c>
      <c r="AG44" s="440"/>
      <c r="AH44" s="429" t="str">
        <f>IF(AND('Riesgos de Gestión'!$O$69="Muy Baja",'Riesgos de Gestión'!$S$69="Catastrófico"),CONCATENATE("R",'Riesgos de Gestión'!$A$69),"")</f>
        <v/>
      </c>
      <c r="AI44" s="430"/>
      <c r="AJ44" s="430" t="str">
        <f>IF(AND('Riesgos de Gestión'!$P$75="Muy Baja",'Riesgos de Gestión'!$T$75="Catastrófico"),CONCATENATE("R",'Riesgos de Gestión'!$A$75),"")</f>
        <v/>
      </c>
      <c r="AK44" s="430"/>
      <c r="AL44" s="430" t="str">
        <f>IF(AND('Riesgos de Gestión'!$P$81="Muy Baja",'Riesgos de Gestión'!$T$81="Catastrófico"),CONCATENATE("R",'Riesgos de Gestión'!$A$81),"")</f>
        <v/>
      </c>
      <c r="AM44" s="431"/>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75" thickBot="1" x14ac:dyDescent="0.3">
      <c r="A45" s="66"/>
      <c r="B45" s="458"/>
      <c r="C45" s="458"/>
      <c r="D45" s="459"/>
      <c r="E45" s="454"/>
      <c r="F45" s="455"/>
      <c r="G45" s="455"/>
      <c r="H45" s="455"/>
      <c r="I45" s="456"/>
      <c r="J45" s="414"/>
      <c r="K45" s="415"/>
      <c r="L45" s="415"/>
      <c r="M45" s="415"/>
      <c r="N45" s="415"/>
      <c r="O45" s="416"/>
      <c r="P45" s="414"/>
      <c r="Q45" s="415"/>
      <c r="R45" s="415"/>
      <c r="S45" s="415"/>
      <c r="T45" s="415"/>
      <c r="U45" s="416"/>
      <c r="V45" s="423"/>
      <c r="W45" s="424"/>
      <c r="X45" s="424"/>
      <c r="Y45" s="424"/>
      <c r="Z45" s="424"/>
      <c r="AA45" s="425"/>
      <c r="AB45" s="441"/>
      <c r="AC45" s="442"/>
      <c r="AD45" s="442"/>
      <c r="AE45" s="442"/>
      <c r="AF45" s="442"/>
      <c r="AG45" s="443"/>
      <c r="AH45" s="432"/>
      <c r="AI45" s="433"/>
      <c r="AJ45" s="433"/>
      <c r="AK45" s="433"/>
      <c r="AL45" s="433"/>
      <c r="AM45" s="434"/>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25">
      <c r="A46" s="66"/>
      <c r="B46" s="66"/>
      <c r="C46" s="66"/>
      <c r="D46" s="66"/>
      <c r="E46" s="66"/>
      <c r="F46" s="66"/>
      <c r="G46" s="66"/>
      <c r="H46" s="66"/>
      <c r="I46" s="66"/>
      <c r="J46" s="448" t="s">
        <v>274</v>
      </c>
      <c r="K46" s="449"/>
      <c r="L46" s="449"/>
      <c r="M46" s="449"/>
      <c r="N46" s="449"/>
      <c r="O46" s="450"/>
      <c r="P46" s="448" t="s">
        <v>275</v>
      </c>
      <c r="Q46" s="449"/>
      <c r="R46" s="449"/>
      <c r="S46" s="449"/>
      <c r="T46" s="449"/>
      <c r="U46" s="450"/>
      <c r="V46" s="448" t="s">
        <v>276</v>
      </c>
      <c r="W46" s="449"/>
      <c r="X46" s="449"/>
      <c r="Y46" s="449"/>
      <c r="Z46" s="449"/>
      <c r="AA46" s="450"/>
      <c r="AB46" s="448" t="s">
        <v>277</v>
      </c>
      <c r="AC46" s="457"/>
      <c r="AD46" s="449"/>
      <c r="AE46" s="449"/>
      <c r="AF46" s="449"/>
      <c r="AG46" s="450"/>
      <c r="AH46" s="448" t="s">
        <v>278</v>
      </c>
      <c r="AI46" s="449"/>
      <c r="AJ46" s="449"/>
      <c r="AK46" s="449"/>
      <c r="AL46" s="449"/>
      <c r="AM46" s="450"/>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25">
      <c r="A47" s="66"/>
      <c r="B47" s="66"/>
      <c r="C47" s="66"/>
      <c r="D47" s="66"/>
      <c r="E47" s="66"/>
      <c r="F47" s="66"/>
      <c r="G47" s="66"/>
      <c r="H47" s="66"/>
      <c r="I47" s="66"/>
      <c r="J47" s="451"/>
      <c r="K47" s="452"/>
      <c r="L47" s="452"/>
      <c r="M47" s="452"/>
      <c r="N47" s="452"/>
      <c r="O47" s="453"/>
      <c r="P47" s="451"/>
      <c r="Q47" s="452"/>
      <c r="R47" s="452"/>
      <c r="S47" s="452"/>
      <c r="T47" s="452"/>
      <c r="U47" s="453"/>
      <c r="V47" s="451"/>
      <c r="W47" s="452"/>
      <c r="X47" s="452"/>
      <c r="Y47" s="452"/>
      <c r="Z47" s="452"/>
      <c r="AA47" s="453"/>
      <c r="AB47" s="451"/>
      <c r="AC47" s="452"/>
      <c r="AD47" s="452"/>
      <c r="AE47" s="452"/>
      <c r="AF47" s="452"/>
      <c r="AG47" s="453"/>
      <c r="AH47" s="451"/>
      <c r="AI47" s="452"/>
      <c r="AJ47" s="452"/>
      <c r="AK47" s="452"/>
      <c r="AL47" s="452"/>
      <c r="AM47" s="453"/>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25">
      <c r="A48" s="66"/>
      <c r="B48" s="66"/>
      <c r="C48" s="66"/>
      <c r="D48" s="66"/>
      <c r="E48" s="66"/>
      <c r="F48" s="66"/>
      <c r="G48" s="66"/>
      <c r="H48" s="66"/>
      <c r="I48" s="66"/>
      <c r="J48" s="451"/>
      <c r="K48" s="452"/>
      <c r="L48" s="452"/>
      <c r="M48" s="452"/>
      <c r="N48" s="452"/>
      <c r="O48" s="453"/>
      <c r="P48" s="451"/>
      <c r="Q48" s="452"/>
      <c r="R48" s="452"/>
      <c r="S48" s="452"/>
      <c r="T48" s="452"/>
      <c r="U48" s="453"/>
      <c r="V48" s="451"/>
      <c r="W48" s="452"/>
      <c r="X48" s="452"/>
      <c r="Y48" s="452"/>
      <c r="Z48" s="452"/>
      <c r="AA48" s="453"/>
      <c r="AB48" s="451"/>
      <c r="AC48" s="452"/>
      <c r="AD48" s="452"/>
      <c r="AE48" s="452"/>
      <c r="AF48" s="452"/>
      <c r="AG48" s="453"/>
      <c r="AH48" s="451"/>
      <c r="AI48" s="452"/>
      <c r="AJ48" s="452"/>
      <c r="AK48" s="452"/>
      <c r="AL48" s="452"/>
      <c r="AM48" s="453"/>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25">
      <c r="A49" s="66"/>
      <c r="B49" s="66"/>
      <c r="C49" s="66"/>
      <c r="D49" s="66"/>
      <c r="E49" s="66"/>
      <c r="F49" s="66"/>
      <c r="G49" s="66"/>
      <c r="H49" s="66"/>
      <c r="I49" s="66"/>
      <c r="J49" s="451"/>
      <c r="K49" s="452"/>
      <c r="L49" s="452"/>
      <c r="M49" s="452"/>
      <c r="N49" s="452"/>
      <c r="O49" s="453"/>
      <c r="P49" s="451"/>
      <c r="Q49" s="452"/>
      <c r="R49" s="452"/>
      <c r="S49" s="452"/>
      <c r="T49" s="452"/>
      <c r="U49" s="453"/>
      <c r="V49" s="451"/>
      <c r="W49" s="452"/>
      <c r="X49" s="452"/>
      <c r="Y49" s="452"/>
      <c r="Z49" s="452"/>
      <c r="AA49" s="453"/>
      <c r="AB49" s="451"/>
      <c r="AC49" s="452"/>
      <c r="AD49" s="452"/>
      <c r="AE49" s="452"/>
      <c r="AF49" s="452"/>
      <c r="AG49" s="453"/>
      <c r="AH49" s="451"/>
      <c r="AI49" s="452"/>
      <c r="AJ49" s="452"/>
      <c r="AK49" s="452"/>
      <c r="AL49" s="452"/>
      <c r="AM49" s="453"/>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25">
      <c r="A50" s="66"/>
      <c r="B50" s="66"/>
      <c r="C50" s="66"/>
      <c r="D50" s="66"/>
      <c r="E50" s="66"/>
      <c r="F50" s="66"/>
      <c r="G50" s="66"/>
      <c r="H50" s="66"/>
      <c r="I50" s="66"/>
      <c r="J50" s="451"/>
      <c r="K50" s="452"/>
      <c r="L50" s="452"/>
      <c r="M50" s="452"/>
      <c r="N50" s="452"/>
      <c r="O50" s="453"/>
      <c r="P50" s="451"/>
      <c r="Q50" s="452"/>
      <c r="R50" s="452"/>
      <c r="S50" s="452"/>
      <c r="T50" s="452"/>
      <c r="U50" s="453"/>
      <c r="V50" s="451"/>
      <c r="W50" s="452"/>
      <c r="X50" s="452"/>
      <c r="Y50" s="452"/>
      <c r="Z50" s="452"/>
      <c r="AA50" s="453"/>
      <c r="AB50" s="451"/>
      <c r="AC50" s="452"/>
      <c r="AD50" s="452"/>
      <c r="AE50" s="452"/>
      <c r="AF50" s="452"/>
      <c r="AG50" s="453"/>
      <c r="AH50" s="451"/>
      <c r="AI50" s="452"/>
      <c r="AJ50" s="452"/>
      <c r="AK50" s="452"/>
      <c r="AL50" s="452"/>
      <c r="AM50" s="453"/>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75" thickBot="1" x14ac:dyDescent="0.3">
      <c r="A51" s="66"/>
      <c r="B51" s="66"/>
      <c r="C51" s="66"/>
      <c r="D51" s="66"/>
      <c r="E51" s="66"/>
      <c r="F51" s="66"/>
      <c r="G51" s="66"/>
      <c r="H51" s="66"/>
      <c r="I51" s="66"/>
      <c r="J51" s="454"/>
      <c r="K51" s="455"/>
      <c r="L51" s="455"/>
      <c r="M51" s="455"/>
      <c r="N51" s="455"/>
      <c r="O51" s="456"/>
      <c r="P51" s="454"/>
      <c r="Q51" s="455"/>
      <c r="R51" s="455"/>
      <c r="S51" s="455"/>
      <c r="T51" s="455"/>
      <c r="U51" s="456"/>
      <c r="V51" s="454"/>
      <c r="W51" s="455"/>
      <c r="X51" s="455"/>
      <c r="Y51" s="455"/>
      <c r="Z51" s="455"/>
      <c r="AA51" s="456"/>
      <c r="AB51" s="454"/>
      <c r="AC51" s="455"/>
      <c r="AD51" s="455"/>
      <c r="AE51" s="455"/>
      <c r="AF51" s="455"/>
      <c r="AG51" s="456"/>
      <c r="AH51" s="454"/>
      <c r="AI51" s="455"/>
      <c r="AJ51" s="455"/>
      <c r="AK51" s="455"/>
      <c r="AL51" s="455"/>
      <c r="AM51" s="45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25">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2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25">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25">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25">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25">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25">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25">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25">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25">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25">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25">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25">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25">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2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25">
      <c r="B137" s="66"/>
      <c r="C137" s="66"/>
      <c r="D137" s="66"/>
      <c r="E137" s="66"/>
      <c r="F137" s="66"/>
      <c r="G137" s="66"/>
      <c r="H137" s="66"/>
      <c r="I137" s="66"/>
    </row>
    <row r="138" spans="2:63" x14ac:dyDescent="0.25">
      <c r="B138" s="66"/>
      <c r="C138" s="66"/>
      <c r="D138" s="66"/>
      <c r="E138" s="66"/>
      <c r="F138" s="66"/>
      <c r="G138" s="66"/>
      <c r="H138" s="66"/>
      <c r="I138" s="66"/>
    </row>
    <row r="139" spans="2:63" x14ac:dyDescent="0.25">
      <c r="B139" s="66"/>
      <c r="C139" s="66"/>
      <c r="D139" s="66"/>
      <c r="E139" s="66"/>
      <c r="F139" s="66"/>
      <c r="G139" s="66"/>
      <c r="H139" s="66"/>
      <c r="I139" s="66"/>
    </row>
    <row r="140" spans="2:63" x14ac:dyDescent="0.25">
      <c r="B140" s="66"/>
      <c r="C140" s="66"/>
      <c r="D140" s="66"/>
      <c r="E140" s="66"/>
      <c r="F140" s="66"/>
      <c r="G140" s="66"/>
      <c r="H140" s="66"/>
      <c r="I140" s="66"/>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zoomScale="40" zoomScaleNormal="40" workbookViewId="0">
      <selection activeCell="V27" sqref="V27:AA35"/>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25">
      <c r="A2" s="66"/>
      <c r="B2" s="525" t="s">
        <v>279</v>
      </c>
      <c r="C2" s="526"/>
      <c r="D2" s="526"/>
      <c r="E2" s="526"/>
      <c r="F2" s="526"/>
      <c r="G2" s="526"/>
      <c r="H2" s="526"/>
      <c r="I2" s="526"/>
      <c r="J2" s="447" t="s">
        <v>15</v>
      </c>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447"/>
      <c r="AM2" s="447"/>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25">
      <c r="A3" s="66"/>
      <c r="B3" s="526"/>
      <c r="C3" s="526"/>
      <c r="D3" s="526"/>
      <c r="E3" s="526"/>
      <c r="F3" s="526"/>
      <c r="G3" s="526"/>
      <c r="H3" s="526"/>
      <c r="I3" s="526"/>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7"/>
      <c r="AM3" s="447"/>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25">
      <c r="A4" s="66"/>
      <c r="B4" s="526"/>
      <c r="C4" s="526"/>
      <c r="D4" s="526"/>
      <c r="E4" s="526"/>
      <c r="F4" s="526"/>
      <c r="G4" s="526"/>
      <c r="H4" s="526"/>
      <c r="I4" s="526"/>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c r="AM4" s="447"/>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25">
      <c r="A6" s="66"/>
      <c r="B6" s="458" t="s">
        <v>264</v>
      </c>
      <c r="C6" s="458"/>
      <c r="D6" s="459"/>
      <c r="E6" s="496" t="s">
        <v>265</v>
      </c>
      <c r="F6" s="497"/>
      <c r="G6" s="497"/>
      <c r="H6" s="497"/>
      <c r="I6" s="498"/>
      <c r="J6" s="29" t="str">
        <f>IF(AND('Riesgos de Gestión'!$AF$13="Muy Alta",'Riesgos de Gestión'!$AH$13="Leve"),CONCATENATE("R1C",'Riesgos de Gestión'!$V$13),"")</f>
        <v/>
      </c>
      <c r="K6" s="30" t="str">
        <f>IF(AND('Riesgos de Gestión'!$AF$14="Muy Alta",'Riesgos de Gestión'!$AH$14="Leve"),CONCATENATE("R1C",'Riesgos de Gestión'!$V$14),"")</f>
        <v/>
      </c>
      <c r="L6" s="30" t="str">
        <f>IF(AND('Riesgos de Gestión'!$AF$15="Muy Alta",'Riesgos de Gestión'!$AH$15="Leve"),CONCATENATE("R1C",'Riesgos de Gestión'!$V$15),"")</f>
        <v/>
      </c>
      <c r="M6" s="30" t="str">
        <f>IF(AND('Riesgos de Gestión'!$AF$16="Muy Alta",'Riesgos de Gestión'!$AH$16="Leve"),CONCATENATE("R1C",'Riesgos de Gestión'!$V$16),"")</f>
        <v/>
      </c>
      <c r="N6" s="30" t="str">
        <f>IF(AND('Riesgos de Gestión'!$AF$17="Muy Alta",'Riesgos de Gestión'!$AH$17="Leve"),CONCATENATE("R1C",'Riesgos de Gestión'!$V$17),"")</f>
        <v/>
      </c>
      <c r="O6" s="31" t="str">
        <f>IF(AND('Riesgos de Gestión'!$AF$20="Muy Alta",'Riesgos de Gestión'!$AH$20="Leve"),CONCATENATE("R1C",'Riesgos de Gestión'!$V$20),"")</f>
        <v/>
      </c>
      <c r="P6" s="29" t="str">
        <f>IF(AND('Riesgos de Gestión'!$AF$13="Muy Alta",'Riesgos de Gestión'!$AH$13="Menor"),CONCATENATE("R1C",'Riesgos de Gestión'!$V$13),"")</f>
        <v/>
      </c>
      <c r="Q6" s="30" t="str">
        <f>IF(AND('Riesgos de Gestión'!$AF$14="Muy Alta",'Riesgos de Gestión'!$AH$14="Menor"),CONCATENATE("R1C",'Riesgos de Gestión'!$V$14),"")</f>
        <v/>
      </c>
      <c r="R6" s="30" t="str">
        <f>IF(AND('Riesgos de Gestión'!$AF$15="Muy Alta",'Riesgos de Gestión'!$AH$15="Menor"),CONCATENATE("R1C",'Riesgos de Gestión'!$V$15),"")</f>
        <v/>
      </c>
      <c r="S6" s="30" t="str">
        <f>IF(AND('Riesgos de Gestión'!$AF$16="Muy Alta",'Riesgos de Gestión'!$AH$16="Menor"),CONCATENATE("R1C",'Riesgos de Gestión'!$V$16),"")</f>
        <v/>
      </c>
      <c r="T6" s="30" t="str">
        <f>IF(AND('Riesgos de Gestión'!$AF$17="Muy Alta",'Riesgos de Gestión'!$AH$17="Menor"),CONCATENATE("R1C",'Riesgos de Gestión'!$V$17),"")</f>
        <v/>
      </c>
      <c r="U6" s="31" t="str">
        <f>IF(AND('Riesgos de Gestión'!$AF$20="Muy Alta",'Riesgos de Gestión'!$AH$20="Menor"),CONCATENATE("R1C",'Riesgos de Gestión'!$V$20),"")</f>
        <v/>
      </c>
      <c r="V6" s="29" t="str">
        <f>IF(AND('Riesgos de Gestión'!$AF$13="Muy Alta",'Riesgos de Gestión'!$AH$13="Moderado"),CONCATENATE("R1C",'Riesgos de Gestión'!$V$13),"")</f>
        <v/>
      </c>
      <c r="W6" s="30" t="str">
        <f>IF(AND('Riesgos de Gestión'!$AF$14="Muy Alta",'Riesgos de Gestión'!$AH$14="Moderado"),CONCATENATE("R1C",'Riesgos de Gestión'!$V$14),"")</f>
        <v/>
      </c>
      <c r="X6" s="30" t="str">
        <f>IF(AND('Riesgos de Gestión'!$AF$15="Muy Alta",'Riesgos de Gestión'!$AH$15="Moderado"),CONCATENATE("R1C",'Riesgos de Gestión'!$V$15),"")</f>
        <v/>
      </c>
      <c r="Y6" s="30" t="str">
        <f>IF(AND('Riesgos de Gestión'!$AF$16="Muy Alta",'Riesgos de Gestión'!$AH$16="Moderado"),CONCATENATE("R1C",'Riesgos de Gestión'!$V$16),"")</f>
        <v/>
      </c>
      <c r="Z6" s="30" t="str">
        <f>IF(AND('Riesgos de Gestión'!$AF$17="Muy Alta",'Riesgos de Gestión'!$AH$17="Moderado"),CONCATENATE("R1C",'Riesgos de Gestión'!$V$17),"")</f>
        <v/>
      </c>
      <c r="AA6" s="31" t="str">
        <f>IF(AND('Riesgos de Gestión'!$AF$20="Muy Alta",'Riesgos de Gestión'!$AH$20="Moderado"),CONCATENATE("R1C",'Riesgos de Gestión'!$V$20),"")</f>
        <v/>
      </c>
      <c r="AB6" s="29" t="str">
        <f>IF(AND('Riesgos de Gestión'!$AF$13="Muy Alta",'Riesgos de Gestión'!$AH$13="Mayor"),CONCATENATE("R1C",'Riesgos de Gestión'!$V$13),"")</f>
        <v/>
      </c>
      <c r="AC6" s="30" t="str">
        <f>IF(AND('Riesgos de Gestión'!$AF$14="Muy Alta",'Riesgos de Gestión'!$AH$14="Mayor"),CONCATENATE("R1C",'Riesgos de Gestión'!$V$14),"")</f>
        <v/>
      </c>
      <c r="AD6" s="30" t="str">
        <f>IF(AND('Riesgos de Gestión'!$AF$15="Muy Alta",'Riesgos de Gestión'!$AH$15="Mayor"),CONCATENATE("R1C",'Riesgos de Gestión'!$V$15),"")</f>
        <v/>
      </c>
      <c r="AE6" s="30" t="str">
        <f>IF(AND('Riesgos de Gestión'!$AF$16="Muy Alta",'Riesgos de Gestión'!$AH$16="Mayor"),CONCATENATE("R1C",'Riesgos de Gestión'!$V$16),"")</f>
        <v/>
      </c>
      <c r="AF6" s="30" t="str">
        <f>IF(AND('Riesgos de Gestión'!$AF$17="Muy Alta",'Riesgos de Gestión'!$AH$17="Mayor"),CONCATENATE("R1C",'Riesgos de Gestión'!$V$17),"")</f>
        <v/>
      </c>
      <c r="AG6" s="31" t="str">
        <f>IF(AND('Riesgos de Gestión'!$AF$20="Muy Alta",'Riesgos de Gestión'!$AH$20="Mayor"),CONCATENATE("R1C",'Riesgos de Gestión'!$V$20),"")</f>
        <v/>
      </c>
      <c r="AH6" s="32" t="str">
        <f>IF(AND('Riesgos de Gestión'!$AF$13="Muy Alta",'Riesgos de Gestión'!$AH$13="Catastrófico"),CONCATENATE("R1C",'Riesgos de Gestión'!$V$13),"")</f>
        <v/>
      </c>
      <c r="AI6" s="33" t="str">
        <f>IF(AND('Riesgos de Gestión'!$AF$14="Muy Alta",'Riesgos de Gestión'!$AH$14="Catastrófico"),CONCATENATE("R1C",'Riesgos de Gestión'!$V$14),"")</f>
        <v/>
      </c>
      <c r="AJ6" s="33" t="str">
        <f>IF(AND('Riesgos de Gestión'!$AF$15="Muy Alta",'Riesgos de Gestión'!$AH$15="Catastrófico"),CONCATENATE("R1C",'Riesgos de Gestión'!$V$15),"")</f>
        <v/>
      </c>
      <c r="AK6" s="33" t="str">
        <f>IF(AND('Riesgos de Gestión'!$AF$16="Muy Alta",'Riesgos de Gestión'!$AH$16="Catastrófico"),CONCATENATE("R1C",'Riesgos de Gestión'!$V$16),"")</f>
        <v/>
      </c>
      <c r="AL6" s="33" t="str">
        <f>IF(AND('Riesgos de Gestión'!$AF$17="Muy Alta",'Riesgos de Gestión'!$AH$17="Catastrófico"),CONCATENATE("R1C",'Riesgos de Gestión'!$V$17),"")</f>
        <v/>
      </c>
      <c r="AM6" s="34" t="str">
        <f>IF(AND('Riesgos de Gestión'!$AF$20="Muy Alta",'Riesgos de Gestión'!$AH$20="Catastrófico"),CONCATENATE("R1C",'Riesgos de Gestión'!$V$20),"")</f>
        <v/>
      </c>
      <c r="AN6" s="66"/>
      <c r="AO6" s="516" t="s">
        <v>266</v>
      </c>
      <c r="AP6" s="517"/>
      <c r="AQ6" s="517"/>
      <c r="AR6" s="517"/>
      <c r="AS6" s="517"/>
      <c r="AT6" s="518"/>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25">
      <c r="A7" s="66"/>
      <c r="B7" s="458"/>
      <c r="C7" s="458"/>
      <c r="D7" s="459"/>
      <c r="E7" s="499"/>
      <c r="F7" s="500"/>
      <c r="G7" s="500"/>
      <c r="H7" s="500"/>
      <c r="I7" s="501"/>
      <c r="J7" s="35" t="str">
        <f>IF(AND('Riesgos de Gestión'!$AF$21="Muy Alta",'Riesgos de Gestión'!$AH$21="Leve"),CONCATENATE("R2C",'Riesgos de Gestión'!$V$21),"")</f>
        <v/>
      </c>
      <c r="K7" s="36" t="str">
        <f>IF(AND('Riesgos de Gestión'!$AF$22="Muy Alta",'Riesgos de Gestión'!$AH$22="Leve"),CONCATENATE("R2C",'Riesgos de Gestión'!$V$22),"")</f>
        <v/>
      </c>
      <c r="L7" s="36" t="str">
        <f>IF(AND('Riesgos de Gestión'!$AF$23="Muy Alta",'Riesgos de Gestión'!$AH$23="Leve"),CONCATENATE("R2C",'Riesgos de Gestión'!$V$23),"")</f>
        <v/>
      </c>
      <c r="M7" s="36" t="str">
        <f>IF(AND('Riesgos de Gestión'!$AF$24="Muy Alta",'Riesgos de Gestión'!$AH$24="Leve"),CONCATENATE("R2C",'Riesgos de Gestión'!$V$24),"")</f>
        <v/>
      </c>
      <c r="N7" s="36" t="str">
        <f>IF(AND('Riesgos de Gestión'!$AF$25="Muy Alta",'Riesgos de Gestión'!$AH$25="Leve"),CONCATENATE("R2C",'Riesgos de Gestión'!$V$25),"")</f>
        <v/>
      </c>
      <c r="O7" s="37" t="str">
        <f>IF(AND('Riesgos de Gestión'!$AF$26="Muy Alta",'Riesgos de Gestión'!$AH$26="Leve"),CONCATENATE("R2C",'Riesgos de Gestión'!$V$26),"")</f>
        <v/>
      </c>
      <c r="P7" s="35" t="str">
        <f>IF(AND('Riesgos de Gestión'!$AF$21="Muy Alta",'Riesgos de Gestión'!$AH$21="Menor"),CONCATENATE("R2C",'Riesgos de Gestión'!$V$21),"")</f>
        <v/>
      </c>
      <c r="Q7" s="36" t="str">
        <f>IF(AND('Riesgos de Gestión'!$AF$22="Muy Alta",'Riesgos de Gestión'!$AH$22="Menor"),CONCATENATE("R2C",'Riesgos de Gestión'!$V$22),"")</f>
        <v/>
      </c>
      <c r="R7" s="36" t="str">
        <f>IF(AND('Riesgos de Gestión'!$AF$23="Muy Alta",'Riesgos de Gestión'!$AH$23="Menor"),CONCATENATE("R2C",'Riesgos de Gestión'!$V$23),"")</f>
        <v/>
      </c>
      <c r="S7" s="36" t="str">
        <f>IF(AND('Riesgos de Gestión'!$AF$24="Muy Alta",'Riesgos de Gestión'!$AH$24="Menor"),CONCATENATE("R2C",'Riesgos de Gestión'!$V$24),"")</f>
        <v/>
      </c>
      <c r="T7" s="36" t="str">
        <f>IF(AND('Riesgos de Gestión'!$AF$25="Muy Alta",'Riesgos de Gestión'!$AH$25="Menor"),CONCATENATE("R2C",'Riesgos de Gestión'!$V$25),"")</f>
        <v/>
      </c>
      <c r="U7" s="37" t="str">
        <f>IF(AND('Riesgos de Gestión'!$AF$26="Muy Alta",'Riesgos de Gestión'!$AH$26="Menor"),CONCATENATE("R2C",'Riesgos de Gestión'!$V$26),"")</f>
        <v/>
      </c>
      <c r="V7" s="35" t="str">
        <f>IF(AND('Riesgos de Gestión'!$AF$21="Muy Alta",'Riesgos de Gestión'!$AH$21="Moderado"),CONCATENATE("R2C",'Riesgos de Gestión'!$V$21),"")</f>
        <v/>
      </c>
      <c r="W7" s="36" t="str">
        <f>IF(AND('Riesgos de Gestión'!$AF$22="Muy Alta",'Riesgos de Gestión'!$AH$22="Moderado"),CONCATENATE("R2C",'Riesgos de Gestión'!$V$22),"")</f>
        <v/>
      </c>
      <c r="X7" s="36" t="str">
        <f>IF(AND('Riesgos de Gestión'!$AF$23="Muy Alta",'Riesgos de Gestión'!$AH$23="Moderado"),CONCATENATE("R2C",'Riesgos de Gestión'!$V$23),"")</f>
        <v/>
      </c>
      <c r="Y7" s="36" t="str">
        <f>IF(AND('Riesgos de Gestión'!$AF$24="Muy Alta",'Riesgos de Gestión'!$AH$24="Moderado"),CONCATENATE("R2C",'Riesgos de Gestión'!$V$24),"")</f>
        <v/>
      </c>
      <c r="Z7" s="36" t="str">
        <f>IF(AND('Riesgos de Gestión'!$AF$25="Muy Alta",'Riesgos de Gestión'!$AH$25="Moderado"),CONCATENATE("R2C",'Riesgos de Gestión'!$V$25),"")</f>
        <v/>
      </c>
      <c r="AA7" s="37" t="str">
        <f>IF(AND('Riesgos de Gestión'!$AF$26="Muy Alta",'Riesgos de Gestión'!$AH$26="Moderado"),CONCATENATE("R2C",'Riesgos de Gestión'!$V$26),"")</f>
        <v/>
      </c>
      <c r="AB7" s="35" t="str">
        <f>IF(AND('Riesgos de Gestión'!$AF$21="Muy Alta",'Riesgos de Gestión'!$AH$21="Mayor"),CONCATENATE("R2C",'Riesgos de Gestión'!$V$21),"")</f>
        <v/>
      </c>
      <c r="AC7" s="36" t="str">
        <f>IF(AND('Riesgos de Gestión'!$AF$22="Muy Alta",'Riesgos de Gestión'!$AH$22="Mayor"),CONCATENATE("R2C",'Riesgos de Gestión'!$V$22),"")</f>
        <v/>
      </c>
      <c r="AD7" s="36" t="str">
        <f>IF(AND('Riesgos de Gestión'!$AF$23="Muy Alta",'Riesgos de Gestión'!$AH$23="Mayor"),CONCATENATE("R2C",'Riesgos de Gestión'!$V$23),"")</f>
        <v/>
      </c>
      <c r="AE7" s="36" t="str">
        <f>IF(AND('Riesgos de Gestión'!$AF$24="Muy Alta",'Riesgos de Gestión'!$AH$24="Mayor"),CONCATENATE("R2C",'Riesgos de Gestión'!$V$24),"")</f>
        <v/>
      </c>
      <c r="AF7" s="36" t="str">
        <f>IF(AND('Riesgos de Gestión'!$AF$25="Muy Alta",'Riesgos de Gestión'!$AH$25="Mayor"),CONCATENATE("R2C",'Riesgos de Gestión'!$V$25),"")</f>
        <v/>
      </c>
      <c r="AG7" s="37" t="str">
        <f>IF(AND('Riesgos de Gestión'!$AF$26="Muy Alta",'Riesgos de Gestión'!$AH$26="Mayor"),CONCATENATE("R2C",'Riesgos de Gestión'!$V$26),"")</f>
        <v/>
      </c>
      <c r="AH7" s="38" t="str">
        <f>IF(AND('Riesgos de Gestión'!$AF$21="Muy Alta",'Riesgos de Gestión'!$AH$21="Catastrófico"),CONCATENATE("R2C",'Riesgos de Gestión'!$V$21),"")</f>
        <v/>
      </c>
      <c r="AI7" s="39" t="str">
        <f>IF(AND('Riesgos de Gestión'!$AF$22="Muy Alta",'Riesgos de Gestión'!$AH$22="Catastrófico"),CONCATENATE("R2C",'Riesgos de Gestión'!$V$22),"")</f>
        <v/>
      </c>
      <c r="AJ7" s="39" t="str">
        <f>IF(AND('Riesgos de Gestión'!$AF$23="Muy Alta",'Riesgos de Gestión'!$AH$23="Catastrófico"),CONCATENATE("R2C",'Riesgos de Gestión'!$V$23),"")</f>
        <v/>
      </c>
      <c r="AK7" s="39" t="str">
        <f>IF(AND('Riesgos de Gestión'!$AF$24="Muy Alta",'Riesgos de Gestión'!$AH$24="Catastrófico"),CONCATENATE("R2C",'Riesgos de Gestión'!$V$24),"")</f>
        <v/>
      </c>
      <c r="AL7" s="39" t="str">
        <f>IF(AND('Riesgos de Gestión'!$AF$25="Muy Alta",'Riesgos de Gestión'!$AH$25="Catastrófico"),CONCATENATE("R2C",'Riesgos de Gestión'!$V$25),"")</f>
        <v/>
      </c>
      <c r="AM7" s="40" t="str">
        <f>IF(AND('Riesgos de Gestión'!$AF$26="Muy Alta",'Riesgos de Gestión'!$AH$26="Catastrófico"),CONCATENATE("R2C",'Riesgos de Gestión'!$V$26),"")</f>
        <v/>
      </c>
      <c r="AN7" s="66"/>
      <c r="AO7" s="519"/>
      <c r="AP7" s="520"/>
      <c r="AQ7" s="520"/>
      <c r="AR7" s="520"/>
      <c r="AS7" s="520"/>
      <c r="AT7" s="521"/>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25">
      <c r="A8" s="66"/>
      <c r="B8" s="458"/>
      <c r="C8" s="458"/>
      <c r="D8" s="459"/>
      <c r="E8" s="499"/>
      <c r="F8" s="500"/>
      <c r="G8" s="500"/>
      <c r="H8" s="500"/>
      <c r="I8" s="501"/>
      <c r="J8" s="35" t="str">
        <f>IF(AND('Riesgos de Gestión'!$AF$27="Muy Alta",'Riesgos de Gestión'!$AH$27="Leve"),CONCATENATE("R3C",'Riesgos de Gestión'!$V$27),"")</f>
        <v/>
      </c>
      <c r="K8" s="36" t="str">
        <f>IF(AND('Riesgos de Gestión'!$AF$28="Muy Alta",'Riesgos de Gestión'!$AH$28="Leve"),CONCATENATE("R3C",'Riesgos de Gestión'!$V$28),"")</f>
        <v/>
      </c>
      <c r="L8" s="36" t="str">
        <f>IF(AND('Riesgos de Gestión'!$AF$29="Muy Alta",'Riesgos de Gestión'!$AH$29="Leve"),CONCATENATE("R3C",'Riesgos de Gestión'!$V$29),"")</f>
        <v/>
      </c>
      <c r="M8" s="36" t="str">
        <f>IF(AND('Riesgos de Gestión'!$AF$30="Muy Alta",'Riesgos de Gestión'!$AH$30="Leve"),CONCATENATE("R3C",'Riesgos de Gestión'!$V$30),"")</f>
        <v/>
      </c>
      <c r="N8" s="36" t="str">
        <f>IF(AND('Riesgos de Gestión'!$AF$31="Muy Alta",'Riesgos de Gestión'!$AH$31="Leve"),CONCATENATE("R3C",'Riesgos de Gestión'!$V$31),"")</f>
        <v/>
      </c>
      <c r="O8" s="37" t="str">
        <f>IF(AND('Riesgos de Gestión'!$AF$32="Muy Alta",'Riesgos de Gestión'!$AH$32="Leve"),CONCATENATE("R3C",'Riesgos de Gestión'!$V$32),"")</f>
        <v/>
      </c>
      <c r="P8" s="35" t="str">
        <f>IF(AND('Riesgos de Gestión'!$AF$27="Muy Alta",'Riesgos de Gestión'!$AH$27="Menor"),CONCATENATE("R3C",'Riesgos de Gestión'!$V$27),"")</f>
        <v/>
      </c>
      <c r="Q8" s="36" t="str">
        <f>IF(AND('Riesgos de Gestión'!$AF$28="Muy Alta",'Riesgos de Gestión'!$AH$28="Menor"),CONCATENATE("R3C",'Riesgos de Gestión'!$V$28),"")</f>
        <v/>
      </c>
      <c r="R8" s="36" t="str">
        <f>IF(AND('Riesgos de Gestión'!$AF$29="Muy Alta",'Riesgos de Gestión'!$AH$29="Menor"),CONCATENATE("R3C",'Riesgos de Gestión'!$V$29),"")</f>
        <v/>
      </c>
      <c r="S8" s="36" t="str">
        <f>IF(AND('Riesgos de Gestión'!$AF$30="Muy Alta",'Riesgos de Gestión'!$AH$30="Menor"),CONCATENATE("R3C",'Riesgos de Gestión'!$V$30),"")</f>
        <v/>
      </c>
      <c r="T8" s="36" t="str">
        <f>IF(AND('Riesgos de Gestión'!$AF$31="Muy Alta",'Riesgos de Gestión'!$AH$31="Menor"),CONCATENATE("R3C",'Riesgos de Gestión'!$V$31),"")</f>
        <v/>
      </c>
      <c r="U8" s="37" t="str">
        <f>IF(AND('Riesgos de Gestión'!$AF$32="Muy Alta",'Riesgos de Gestión'!$AH$32="Menor"),CONCATENATE("R3C",'Riesgos de Gestión'!$V$32),"")</f>
        <v/>
      </c>
      <c r="V8" s="35" t="str">
        <f>IF(AND('Riesgos de Gestión'!$AF$27="Muy Alta",'Riesgos de Gestión'!$AH$27="Moderado"),CONCATENATE("R3C",'Riesgos de Gestión'!$V$27),"")</f>
        <v/>
      </c>
      <c r="W8" s="36" t="str">
        <f>IF(AND('Riesgos de Gestión'!$AF$28="Muy Alta",'Riesgos de Gestión'!$AH$28="Moderado"),CONCATENATE("R3C",'Riesgos de Gestión'!$V$28),"")</f>
        <v/>
      </c>
      <c r="X8" s="36" t="str">
        <f>IF(AND('Riesgos de Gestión'!$AF$29="Muy Alta",'Riesgos de Gestión'!$AH$29="Moderado"),CONCATENATE("R3C",'Riesgos de Gestión'!$V$29),"")</f>
        <v/>
      </c>
      <c r="Y8" s="36" t="str">
        <f>IF(AND('Riesgos de Gestión'!$AF$30="Muy Alta",'Riesgos de Gestión'!$AH$30="Moderado"),CONCATENATE("R3C",'Riesgos de Gestión'!$V$30),"")</f>
        <v/>
      </c>
      <c r="Z8" s="36" t="str">
        <f>IF(AND('Riesgos de Gestión'!$AF$31="Muy Alta",'Riesgos de Gestión'!$AH$31="Moderado"),CONCATENATE("R3C",'Riesgos de Gestión'!$V$31),"")</f>
        <v/>
      </c>
      <c r="AA8" s="37" t="str">
        <f>IF(AND('Riesgos de Gestión'!$AF$32="Muy Alta",'Riesgos de Gestión'!$AH$32="Moderado"),CONCATENATE("R3C",'Riesgos de Gestión'!$V$32),"")</f>
        <v/>
      </c>
      <c r="AB8" s="35" t="str">
        <f>IF(AND('Riesgos de Gestión'!$AF$27="Muy Alta",'Riesgos de Gestión'!$AH$27="Mayor"),CONCATENATE("R3C",'Riesgos de Gestión'!$V$27),"")</f>
        <v/>
      </c>
      <c r="AC8" s="36" t="str">
        <f>IF(AND('Riesgos de Gestión'!$AF$28="Muy Alta",'Riesgos de Gestión'!$AH$28="Mayor"),CONCATENATE("R3C",'Riesgos de Gestión'!$V$28),"")</f>
        <v/>
      </c>
      <c r="AD8" s="36" t="str">
        <f>IF(AND('Riesgos de Gestión'!$AF$29="Muy Alta",'Riesgos de Gestión'!$AH$29="Mayor"),CONCATENATE("R3C",'Riesgos de Gestión'!$V$29),"")</f>
        <v/>
      </c>
      <c r="AE8" s="36" t="str">
        <f>IF(AND('Riesgos de Gestión'!$AF$30="Muy Alta",'Riesgos de Gestión'!$AH$30="Mayor"),CONCATENATE("R3C",'Riesgos de Gestión'!$V$30),"")</f>
        <v/>
      </c>
      <c r="AF8" s="36" t="str">
        <f>IF(AND('Riesgos de Gestión'!$AF$31="Muy Alta",'Riesgos de Gestión'!$AH$31="Mayor"),CONCATENATE("R3C",'Riesgos de Gestión'!$V$31),"")</f>
        <v/>
      </c>
      <c r="AG8" s="37" t="str">
        <f>IF(AND('Riesgos de Gestión'!$AF$32="Muy Alta",'Riesgos de Gestión'!$AH$32="Mayor"),CONCATENATE("R3C",'Riesgos de Gestión'!$V$32),"")</f>
        <v/>
      </c>
      <c r="AH8" s="38" t="str">
        <f>IF(AND('Riesgos de Gestión'!$AF$27="Muy Alta",'Riesgos de Gestión'!$AH$27="Catastrófico"),CONCATENATE("R3C",'Riesgos de Gestión'!$V$27),"")</f>
        <v/>
      </c>
      <c r="AI8" s="39" t="str">
        <f>IF(AND('Riesgos de Gestión'!$AF$28="Muy Alta",'Riesgos de Gestión'!$AH$28="Catastrófico"),CONCATENATE("R3C",'Riesgos de Gestión'!$V$28),"")</f>
        <v/>
      </c>
      <c r="AJ8" s="39" t="str">
        <f>IF(AND('Riesgos de Gestión'!$AF$29="Muy Alta",'Riesgos de Gestión'!$AH$29="Catastrófico"),CONCATENATE("R3C",'Riesgos de Gestión'!$V$29),"")</f>
        <v/>
      </c>
      <c r="AK8" s="39" t="str">
        <f>IF(AND('Riesgos de Gestión'!$AF$30="Muy Alta",'Riesgos de Gestión'!$AH$30="Catastrófico"),CONCATENATE("R3C",'Riesgos de Gestión'!$V$30),"")</f>
        <v/>
      </c>
      <c r="AL8" s="39" t="str">
        <f>IF(AND('Riesgos de Gestión'!$AF$31="Muy Alta",'Riesgos de Gestión'!$AH$31="Catastrófico"),CONCATENATE("R3C",'Riesgos de Gestión'!$V$31),"")</f>
        <v/>
      </c>
      <c r="AM8" s="40" t="str">
        <f>IF(AND('Riesgos de Gestión'!$AF$32="Muy Alta",'Riesgos de Gestión'!$AH$32="Catastrófico"),CONCATENATE("R3C",'Riesgos de Gestión'!$V$32),"")</f>
        <v/>
      </c>
      <c r="AN8" s="66"/>
      <c r="AO8" s="519"/>
      <c r="AP8" s="520"/>
      <c r="AQ8" s="520"/>
      <c r="AR8" s="520"/>
      <c r="AS8" s="520"/>
      <c r="AT8" s="521"/>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25">
      <c r="A9" s="66"/>
      <c r="B9" s="458"/>
      <c r="C9" s="458"/>
      <c r="D9" s="459"/>
      <c r="E9" s="499"/>
      <c r="F9" s="500"/>
      <c r="G9" s="500"/>
      <c r="H9" s="500"/>
      <c r="I9" s="501"/>
      <c r="J9" s="35" t="str">
        <f>IF(AND('Riesgos de Gestión'!$AF$33="Muy Alta",'Riesgos de Gestión'!$AH$33="Leve"),CONCATENATE("R4C",'Riesgos de Gestión'!$V$33),"")</f>
        <v/>
      </c>
      <c r="K9" s="36" t="str">
        <f>IF(AND('Riesgos de Gestión'!$AF$34="Muy Alta",'Riesgos de Gestión'!$AH$34="Leve"),CONCATENATE("R4C",'Riesgos de Gestión'!$V$34),"")</f>
        <v/>
      </c>
      <c r="L9" s="36" t="str">
        <f>IF(AND('Riesgos de Gestión'!$AF$35="Muy Alta",'Riesgos de Gestión'!$AH$35="Leve"),CONCATENATE("R4C",'Riesgos de Gestión'!$V$35),"")</f>
        <v/>
      </c>
      <c r="M9" s="36" t="str">
        <f>IF(AND('Riesgos de Gestión'!$AF$36="Muy Alta",'Riesgos de Gestión'!$AH$36="Leve"),CONCATENATE("R4C",'Riesgos de Gestión'!$V$36),"")</f>
        <v/>
      </c>
      <c r="N9" s="36" t="str">
        <f>IF(AND('Riesgos de Gestión'!$AF$37="Muy Alta",'Riesgos de Gestión'!$AH$37="Leve"),CONCATENATE("R4C",'Riesgos de Gestión'!$V$37),"")</f>
        <v/>
      </c>
      <c r="O9" s="37" t="str">
        <f>IF(AND('Riesgos de Gestión'!$AF$38="Muy Alta",'Riesgos de Gestión'!$AH$38="Leve"),CONCATENATE("R4C",'Riesgos de Gestión'!$V$38),"")</f>
        <v/>
      </c>
      <c r="P9" s="35" t="str">
        <f>IF(AND('Riesgos de Gestión'!$AF$33="Muy Alta",'Riesgos de Gestión'!$AH$33="Menor"),CONCATENATE("R4C",'Riesgos de Gestión'!$V$33),"")</f>
        <v/>
      </c>
      <c r="Q9" s="36" t="str">
        <f>IF(AND('Riesgos de Gestión'!$AF$34="Muy Alta",'Riesgos de Gestión'!$AH$34="Menor"),CONCATENATE("R4C",'Riesgos de Gestión'!$V$34),"")</f>
        <v/>
      </c>
      <c r="R9" s="36" t="str">
        <f>IF(AND('Riesgos de Gestión'!$AF$35="Muy Alta",'Riesgos de Gestión'!$AH$35="Menor"),CONCATENATE("R4C",'Riesgos de Gestión'!$V$35),"")</f>
        <v/>
      </c>
      <c r="S9" s="36" t="str">
        <f>IF(AND('Riesgos de Gestión'!$AF$36="Muy Alta",'Riesgos de Gestión'!$AH$36="Menor"),CONCATENATE("R4C",'Riesgos de Gestión'!$V$36),"")</f>
        <v/>
      </c>
      <c r="T9" s="36" t="str">
        <f>IF(AND('Riesgos de Gestión'!$AF$37="Muy Alta",'Riesgos de Gestión'!$AH$37="Menor"),CONCATENATE("R4C",'Riesgos de Gestión'!$V$37),"")</f>
        <v/>
      </c>
      <c r="U9" s="37" t="str">
        <f>IF(AND('Riesgos de Gestión'!$AF$38="Muy Alta",'Riesgos de Gestión'!$AH$38="Menor"),CONCATENATE("R4C",'Riesgos de Gestión'!$V$38),"")</f>
        <v/>
      </c>
      <c r="V9" s="35" t="str">
        <f>IF(AND('Riesgos de Gestión'!$AF$33="Muy Alta",'Riesgos de Gestión'!$AH$33="Moderado"),CONCATENATE("R4C",'Riesgos de Gestión'!$V$33),"")</f>
        <v/>
      </c>
      <c r="W9" s="36" t="str">
        <f>IF(AND('Riesgos de Gestión'!$AF$34="Muy Alta",'Riesgos de Gestión'!$AH$34="Moderado"),CONCATENATE("R4C",'Riesgos de Gestión'!$V$34),"")</f>
        <v/>
      </c>
      <c r="X9" s="36" t="str">
        <f>IF(AND('Riesgos de Gestión'!$AF$35="Muy Alta",'Riesgos de Gestión'!$AH$35="Moderado"),CONCATENATE("R4C",'Riesgos de Gestión'!$V$35),"")</f>
        <v/>
      </c>
      <c r="Y9" s="36" t="str">
        <f>IF(AND('Riesgos de Gestión'!$AF$36="Muy Alta",'Riesgos de Gestión'!$AH$36="Moderado"),CONCATENATE("R4C",'Riesgos de Gestión'!$V$36),"")</f>
        <v/>
      </c>
      <c r="Z9" s="36" t="str">
        <f>IF(AND('Riesgos de Gestión'!$AF$37="Muy Alta",'Riesgos de Gestión'!$AH$37="Moderado"),CONCATENATE("R4C",'Riesgos de Gestión'!$V$37),"")</f>
        <v/>
      </c>
      <c r="AA9" s="37" t="str">
        <f>IF(AND('Riesgos de Gestión'!$AF$38="Muy Alta",'Riesgos de Gestión'!$AH$38="Moderado"),CONCATENATE("R4C",'Riesgos de Gestión'!$V$38),"")</f>
        <v/>
      </c>
      <c r="AB9" s="35" t="str">
        <f>IF(AND('Riesgos de Gestión'!$AF$33="Muy Alta",'Riesgos de Gestión'!$AH$33="Mayor"),CONCATENATE("R4C",'Riesgos de Gestión'!$V$33),"")</f>
        <v/>
      </c>
      <c r="AC9" s="36" t="str">
        <f>IF(AND('Riesgos de Gestión'!$AF$34="Muy Alta",'Riesgos de Gestión'!$AH$34="Mayor"),CONCATENATE("R4C",'Riesgos de Gestión'!$V$34),"")</f>
        <v/>
      </c>
      <c r="AD9" s="36" t="str">
        <f>IF(AND('Riesgos de Gestión'!$AF$35="Muy Alta",'Riesgos de Gestión'!$AH$35="Mayor"),CONCATENATE("R4C",'Riesgos de Gestión'!$V$35),"")</f>
        <v/>
      </c>
      <c r="AE9" s="36" t="str">
        <f>IF(AND('Riesgos de Gestión'!$AF$36="Muy Alta",'Riesgos de Gestión'!$AH$36="Mayor"),CONCATENATE("R4C",'Riesgos de Gestión'!$V$36),"")</f>
        <v/>
      </c>
      <c r="AF9" s="36" t="str">
        <f>IF(AND('Riesgos de Gestión'!$AF$37="Muy Alta",'Riesgos de Gestión'!$AH$37="Mayor"),CONCATENATE("R4C",'Riesgos de Gestión'!$V$37),"")</f>
        <v/>
      </c>
      <c r="AG9" s="37" t="str">
        <f>IF(AND('Riesgos de Gestión'!$AF$38="Muy Alta",'Riesgos de Gestión'!$AH$38="Mayor"),CONCATENATE("R4C",'Riesgos de Gestión'!$V$38),"")</f>
        <v/>
      </c>
      <c r="AH9" s="38" t="str">
        <f>IF(AND('Riesgos de Gestión'!$AF$33="Muy Alta",'Riesgos de Gestión'!$AH$33="Catastrófico"),CONCATENATE("R4C",'Riesgos de Gestión'!$V$33),"")</f>
        <v/>
      </c>
      <c r="AI9" s="39" t="str">
        <f>IF(AND('Riesgos de Gestión'!$AF$34="Muy Alta",'Riesgos de Gestión'!$AH$34="Catastrófico"),CONCATENATE("R4C",'Riesgos de Gestión'!$V$34),"")</f>
        <v/>
      </c>
      <c r="AJ9" s="39" t="str">
        <f>IF(AND('Riesgos de Gestión'!$AF$35="Muy Alta",'Riesgos de Gestión'!$AH$35="Catastrófico"),CONCATENATE("R4C",'Riesgos de Gestión'!$V$35),"")</f>
        <v/>
      </c>
      <c r="AK9" s="39" t="str">
        <f>IF(AND('Riesgos de Gestión'!$AF$36="Muy Alta",'Riesgos de Gestión'!$AH$36="Catastrófico"),CONCATENATE("R4C",'Riesgos de Gestión'!$V$36),"")</f>
        <v/>
      </c>
      <c r="AL9" s="39" t="str">
        <f>IF(AND('Riesgos de Gestión'!$AF$37="Muy Alta",'Riesgos de Gestión'!$AH$37="Catastrófico"),CONCATENATE("R4C",'Riesgos de Gestión'!$V$37),"")</f>
        <v/>
      </c>
      <c r="AM9" s="40" t="str">
        <f>IF(AND('Riesgos de Gestión'!$AF$38="Muy Alta",'Riesgos de Gestión'!$AH$38="Catastrófico"),CONCATENATE("R4C",'Riesgos de Gestión'!$V$38),"")</f>
        <v/>
      </c>
      <c r="AN9" s="66"/>
      <c r="AO9" s="519"/>
      <c r="AP9" s="520"/>
      <c r="AQ9" s="520"/>
      <c r="AR9" s="520"/>
      <c r="AS9" s="520"/>
      <c r="AT9" s="521"/>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25">
      <c r="A10" s="66"/>
      <c r="B10" s="458"/>
      <c r="C10" s="458"/>
      <c r="D10" s="459"/>
      <c r="E10" s="499"/>
      <c r="F10" s="500"/>
      <c r="G10" s="500"/>
      <c r="H10" s="500"/>
      <c r="I10" s="501"/>
      <c r="J10" s="35" t="str">
        <f>IF(AND('Riesgos de Gestión'!$AF$39="Muy Alta",'Riesgos de Gestión'!$AH$39="Leve"),CONCATENATE("R5C",'Riesgos de Gestión'!$V$39),"")</f>
        <v/>
      </c>
      <c r="K10" s="36" t="str">
        <f>IF(AND('Riesgos de Gestión'!$AF$40="Muy Alta",'Riesgos de Gestión'!$AH$40="Leve"),CONCATENATE("R5C",'Riesgos de Gestión'!$V$40),"")</f>
        <v/>
      </c>
      <c r="L10" s="36" t="str">
        <f>IF(AND('Riesgos de Gestión'!$AF$41="Muy Alta",'Riesgos de Gestión'!$AH$41="Leve"),CONCATENATE("R5C",'Riesgos de Gestión'!$V$41),"")</f>
        <v/>
      </c>
      <c r="M10" s="36" t="str">
        <f>IF(AND('Riesgos de Gestión'!$AF$42="Muy Alta",'Riesgos de Gestión'!$AH$42="Leve"),CONCATENATE("R5C",'Riesgos de Gestión'!$V$42),"")</f>
        <v/>
      </c>
      <c r="N10" s="36" t="str">
        <f>IF(AND('Riesgos de Gestión'!$AF$43="Muy Alta",'Riesgos de Gestión'!$AH$43="Leve"),CONCATENATE("R5C",'Riesgos de Gestión'!$V$43),"")</f>
        <v/>
      </c>
      <c r="O10" s="37" t="str">
        <f>IF(AND('Riesgos de Gestión'!$AF$44="Muy Alta",'Riesgos de Gestión'!$AH$44="Leve"),CONCATENATE("R5C",'Riesgos de Gestión'!$V$44),"")</f>
        <v/>
      </c>
      <c r="P10" s="35" t="str">
        <f>IF(AND('Riesgos de Gestión'!$AF$39="Muy Alta",'Riesgos de Gestión'!$AH$39="Menor"),CONCATENATE("R5C",'Riesgos de Gestión'!$V$39),"")</f>
        <v/>
      </c>
      <c r="Q10" s="36" t="str">
        <f>IF(AND('Riesgos de Gestión'!$AF$40="Muy Alta",'Riesgos de Gestión'!$AH$40="Menor"),CONCATENATE("R5C",'Riesgos de Gestión'!$V$40),"")</f>
        <v/>
      </c>
      <c r="R10" s="36" t="str">
        <f>IF(AND('Riesgos de Gestión'!$AF$41="Muy Alta",'Riesgos de Gestión'!$AH$41="Menor"),CONCATENATE("R5C",'Riesgos de Gestión'!$V$41),"")</f>
        <v/>
      </c>
      <c r="S10" s="36" t="str">
        <f>IF(AND('Riesgos de Gestión'!$AF$42="Muy Alta",'Riesgos de Gestión'!$AH$42="Menor"),CONCATENATE("R5C",'Riesgos de Gestión'!$V$42),"")</f>
        <v/>
      </c>
      <c r="T10" s="36" t="str">
        <f>IF(AND('Riesgos de Gestión'!$AF$43="Muy Alta",'Riesgos de Gestión'!$AH$43="Menor"),CONCATENATE("R5C",'Riesgos de Gestión'!$V$43),"")</f>
        <v/>
      </c>
      <c r="U10" s="37" t="str">
        <f>IF(AND('Riesgos de Gestión'!$AF$44="Muy Alta",'Riesgos de Gestión'!$AH$44="Menor"),CONCATENATE("R5C",'Riesgos de Gestión'!$V$44),"")</f>
        <v/>
      </c>
      <c r="V10" s="35" t="str">
        <f>IF(AND('Riesgos de Gestión'!$AF$39="Muy Alta",'Riesgos de Gestión'!$AH$39="Moderado"),CONCATENATE("R5C",'Riesgos de Gestión'!$V$39),"")</f>
        <v/>
      </c>
      <c r="W10" s="36" t="str">
        <f>IF(AND('Riesgos de Gestión'!$AF$40="Muy Alta",'Riesgos de Gestión'!$AH$40="Moderado"),CONCATENATE("R5C",'Riesgos de Gestión'!$V$40),"")</f>
        <v/>
      </c>
      <c r="X10" s="36" t="str">
        <f>IF(AND('Riesgos de Gestión'!$AF$41="Muy Alta",'Riesgos de Gestión'!$AH$41="Moderado"),CONCATENATE("R5C",'Riesgos de Gestión'!$V$41),"")</f>
        <v/>
      </c>
      <c r="Y10" s="36" t="str">
        <f>IF(AND('Riesgos de Gestión'!$AF$42="Muy Alta",'Riesgos de Gestión'!$AH$42="Moderado"),CONCATENATE("R5C",'Riesgos de Gestión'!$V$42),"")</f>
        <v/>
      </c>
      <c r="Z10" s="36" t="str">
        <f>IF(AND('Riesgos de Gestión'!$AF$43="Muy Alta",'Riesgos de Gestión'!$AH$43="Moderado"),CONCATENATE("R5C",'Riesgos de Gestión'!$V$43),"")</f>
        <v/>
      </c>
      <c r="AA10" s="37" t="str">
        <f>IF(AND('Riesgos de Gestión'!$AF$44="Muy Alta",'Riesgos de Gestión'!$AH$44="Moderado"),CONCATENATE("R5C",'Riesgos de Gestión'!$V$44),"")</f>
        <v/>
      </c>
      <c r="AB10" s="35" t="str">
        <f>IF(AND('Riesgos de Gestión'!$AF$39="Muy Alta",'Riesgos de Gestión'!$AH$39="Mayor"),CONCATENATE("R5C",'Riesgos de Gestión'!$V$39),"")</f>
        <v/>
      </c>
      <c r="AC10" s="36" t="str">
        <f>IF(AND('Riesgos de Gestión'!$AF$40="Muy Alta",'Riesgos de Gestión'!$AH$40="Mayor"),CONCATENATE("R5C",'Riesgos de Gestión'!$V$40),"")</f>
        <v/>
      </c>
      <c r="AD10" s="36" t="str">
        <f>IF(AND('Riesgos de Gestión'!$AF$41="Muy Alta",'Riesgos de Gestión'!$AH$41="Mayor"),CONCATENATE("R5C",'Riesgos de Gestión'!$V$41),"")</f>
        <v/>
      </c>
      <c r="AE10" s="36" t="str">
        <f>IF(AND('Riesgos de Gestión'!$AF$42="Muy Alta",'Riesgos de Gestión'!$AH$42="Mayor"),CONCATENATE("R5C",'Riesgos de Gestión'!$V$42),"")</f>
        <v/>
      </c>
      <c r="AF10" s="36" t="str">
        <f>IF(AND('Riesgos de Gestión'!$AF$43="Muy Alta",'Riesgos de Gestión'!$AH$43="Mayor"),CONCATENATE("R5C",'Riesgos de Gestión'!$V$43),"")</f>
        <v/>
      </c>
      <c r="AG10" s="37" t="str">
        <f>IF(AND('Riesgos de Gestión'!$AF$44="Muy Alta",'Riesgos de Gestión'!$AH$44="Mayor"),CONCATENATE("R5C",'Riesgos de Gestión'!$V$44),"")</f>
        <v/>
      </c>
      <c r="AH10" s="38" t="str">
        <f>IF(AND('Riesgos de Gestión'!$AF$39="Muy Alta",'Riesgos de Gestión'!$AH$39="Catastrófico"),CONCATENATE("R5C",'Riesgos de Gestión'!$V$39),"")</f>
        <v/>
      </c>
      <c r="AI10" s="39" t="str">
        <f>IF(AND('Riesgos de Gestión'!$AF$40="Muy Alta",'Riesgos de Gestión'!$AH$40="Catastrófico"),CONCATENATE("R5C",'Riesgos de Gestión'!$V$40),"")</f>
        <v/>
      </c>
      <c r="AJ10" s="39" t="str">
        <f>IF(AND('Riesgos de Gestión'!$AF$41="Muy Alta",'Riesgos de Gestión'!$AH$41="Catastrófico"),CONCATENATE("R5C",'Riesgos de Gestión'!$V$41),"")</f>
        <v/>
      </c>
      <c r="AK10" s="39" t="str">
        <f>IF(AND('Riesgos de Gestión'!$AF$42="Muy Alta",'Riesgos de Gestión'!$AH$42="Catastrófico"),CONCATENATE("R5C",'Riesgos de Gestión'!$V$42),"")</f>
        <v/>
      </c>
      <c r="AL10" s="39" t="str">
        <f>IF(AND('Riesgos de Gestión'!$AF$43="Muy Alta",'Riesgos de Gestión'!$AH$43="Catastrófico"),CONCATENATE("R5C",'Riesgos de Gestión'!$V$43),"")</f>
        <v/>
      </c>
      <c r="AM10" s="40" t="str">
        <f>IF(AND('Riesgos de Gestión'!$AF$44="Muy Alta",'Riesgos de Gestión'!$AH$44="Catastrófico"),CONCATENATE("R5C",'Riesgos de Gestión'!$V$44),"")</f>
        <v/>
      </c>
      <c r="AN10" s="66"/>
      <c r="AO10" s="519"/>
      <c r="AP10" s="520"/>
      <c r="AQ10" s="520"/>
      <c r="AR10" s="520"/>
      <c r="AS10" s="520"/>
      <c r="AT10" s="521"/>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25">
      <c r="A11" s="66"/>
      <c r="B11" s="458"/>
      <c r="C11" s="458"/>
      <c r="D11" s="459"/>
      <c r="E11" s="499"/>
      <c r="F11" s="500"/>
      <c r="G11" s="500"/>
      <c r="H11" s="500"/>
      <c r="I11" s="501"/>
      <c r="J11" s="35" t="str">
        <f>IF(AND('Riesgos de Gestión'!$AF$45="Muy Alta",'Riesgos de Gestión'!$AH$45="Leve"),CONCATENATE("R6C",'Riesgos de Gestión'!$V$45),"")</f>
        <v/>
      </c>
      <c r="K11" s="36" t="str">
        <f>IF(AND('Riesgos de Gestión'!$AF$46="Muy Alta",'Riesgos de Gestión'!$AH$46="Leve"),CONCATENATE("R6C",'Riesgos de Gestión'!$V$46),"")</f>
        <v/>
      </c>
      <c r="L11" s="36" t="str">
        <f>IF(AND('Riesgos de Gestión'!$AF$47="Muy Alta",'Riesgos de Gestión'!$AH$47="Leve"),CONCATENATE("R6C",'Riesgos de Gestión'!$V$47),"")</f>
        <v/>
      </c>
      <c r="M11" s="36" t="str">
        <f>IF(AND('Riesgos de Gestión'!$AF$48="Muy Alta",'Riesgos de Gestión'!$AH$48="Leve"),CONCATENATE("R6C",'Riesgos de Gestión'!$V$48),"")</f>
        <v/>
      </c>
      <c r="N11" s="36" t="str">
        <f>IF(AND('Riesgos de Gestión'!$AF$49="Muy Alta",'Riesgos de Gestión'!$AH$49="Leve"),CONCATENATE("R6C",'Riesgos de Gestión'!$V$49),"")</f>
        <v/>
      </c>
      <c r="O11" s="37" t="str">
        <f>IF(AND('Riesgos de Gestión'!$AF$50="Muy Alta",'Riesgos de Gestión'!$AH$50="Leve"),CONCATENATE("R6C",'Riesgos de Gestión'!$V$50),"")</f>
        <v/>
      </c>
      <c r="P11" s="35" t="str">
        <f>IF(AND('Riesgos de Gestión'!$AF$45="Muy Alta",'Riesgos de Gestión'!$AH$45="Menor"),CONCATENATE("R6C",'Riesgos de Gestión'!$V$45),"")</f>
        <v/>
      </c>
      <c r="Q11" s="36" t="str">
        <f>IF(AND('Riesgos de Gestión'!$AF$46="Muy Alta",'Riesgos de Gestión'!$AH$46="Menor"),CONCATENATE("R6C",'Riesgos de Gestión'!$V$46),"")</f>
        <v/>
      </c>
      <c r="R11" s="36" t="str">
        <f>IF(AND('Riesgos de Gestión'!$AF$47="Muy Alta",'Riesgos de Gestión'!$AH$47="Menor"),CONCATENATE("R6C",'Riesgos de Gestión'!$V$47),"")</f>
        <v/>
      </c>
      <c r="S11" s="36" t="str">
        <f>IF(AND('Riesgos de Gestión'!$AF$48="Muy Alta",'Riesgos de Gestión'!$AH$48="Menor"),CONCATENATE("R6C",'Riesgos de Gestión'!$V$48),"")</f>
        <v/>
      </c>
      <c r="T11" s="36" t="str">
        <f>IF(AND('Riesgos de Gestión'!$AF$49="Muy Alta",'Riesgos de Gestión'!$AH$49="Menor"),CONCATENATE("R6C",'Riesgos de Gestión'!$V$49),"")</f>
        <v/>
      </c>
      <c r="U11" s="37" t="str">
        <f>IF(AND('Riesgos de Gestión'!$AF$50="Muy Alta",'Riesgos de Gestión'!$AH$50="Menor"),CONCATENATE("R6C",'Riesgos de Gestión'!$V$50),"")</f>
        <v/>
      </c>
      <c r="V11" s="35" t="str">
        <f>IF(AND('Riesgos de Gestión'!$AF$45="Muy Alta",'Riesgos de Gestión'!$AH$45="Moderado"),CONCATENATE("R6C",'Riesgos de Gestión'!$V$45),"")</f>
        <v/>
      </c>
      <c r="W11" s="36" t="str">
        <f>IF(AND('Riesgos de Gestión'!$AF$46="Muy Alta",'Riesgos de Gestión'!$AH$46="Moderado"),CONCATENATE("R6C",'Riesgos de Gestión'!$V$46),"")</f>
        <v/>
      </c>
      <c r="X11" s="36" t="str">
        <f>IF(AND('Riesgos de Gestión'!$AF$47="Muy Alta",'Riesgos de Gestión'!$AH$47="Moderado"),CONCATENATE("R6C",'Riesgos de Gestión'!$V$47),"")</f>
        <v/>
      </c>
      <c r="Y11" s="36" t="str">
        <f>IF(AND('Riesgos de Gestión'!$AF$48="Muy Alta",'Riesgos de Gestión'!$AH$48="Moderado"),CONCATENATE("R6C",'Riesgos de Gestión'!$V$48),"")</f>
        <v/>
      </c>
      <c r="Z11" s="36" t="str">
        <f>IF(AND('Riesgos de Gestión'!$AF$49="Muy Alta",'Riesgos de Gestión'!$AH$49="Moderado"),CONCATENATE("R6C",'Riesgos de Gestión'!$V$49),"")</f>
        <v/>
      </c>
      <c r="AA11" s="37" t="str">
        <f>IF(AND('Riesgos de Gestión'!$AF$50="Muy Alta",'Riesgos de Gestión'!$AH$50="Moderado"),CONCATENATE("R6C",'Riesgos de Gestión'!$V$50),"")</f>
        <v/>
      </c>
      <c r="AB11" s="35" t="str">
        <f>IF(AND('Riesgos de Gestión'!$AF$45="Muy Alta",'Riesgos de Gestión'!$AH$45="Mayor"),CONCATENATE("R6C",'Riesgos de Gestión'!$V$45),"")</f>
        <v/>
      </c>
      <c r="AC11" s="36" t="str">
        <f>IF(AND('Riesgos de Gestión'!$AF$46="Muy Alta",'Riesgos de Gestión'!$AH$46="Mayor"),CONCATENATE("R6C",'Riesgos de Gestión'!$V$46),"")</f>
        <v/>
      </c>
      <c r="AD11" s="36" t="str">
        <f>IF(AND('Riesgos de Gestión'!$AF$47="Muy Alta",'Riesgos de Gestión'!$AH$47="Mayor"),CONCATENATE("R6C",'Riesgos de Gestión'!$V$47),"")</f>
        <v/>
      </c>
      <c r="AE11" s="36" t="str">
        <f>IF(AND('Riesgos de Gestión'!$AF$48="Muy Alta",'Riesgos de Gestión'!$AH$48="Mayor"),CONCATENATE("R6C",'Riesgos de Gestión'!$V$48),"")</f>
        <v/>
      </c>
      <c r="AF11" s="36" t="str">
        <f>IF(AND('Riesgos de Gestión'!$AF$49="Muy Alta",'Riesgos de Gestión'!$AH$49="Mayor"),CONCATENATE("R6C",'Riesgos de Gestión'!$V$49),"")</f>
        <v/>
      </c>
      <c r="AG11" s="37" t="str">
        <f>IF(AND('Riesgos de Gestión'!$AF$50="Muy Alta",'Riesgos de Gestión'!$AH$50="Mayor"),CONCATENATE("R6C",'Riesgos de Gestión'!$V$50),"")</f>
        <v/>
      </c>
      <c r="AH11" s="38" t="str">
        <f>IF(AND('Riesgos de Gestión'!$AF$45="Muy Alta",'Riesgos de Gestión'!$AH$45="Catastrófico"),CONCATENATE("R6C",'Riesgos de Gestión'!$V$45),"")</f>
        <v/>
      </c>
      <c r="AI11" s="39" t="str">
        <f>IF(AND('Riesgos de Gestión'!$AF$46="Muy Alta",'Riesgos de Gestión'!$AH$46="Catastrófico"),CONCATENATE("R6C",'Riesgos de Gestión'!$V$46),"")</f>
        <v/>
      </c>
      <c r="AJ11" s="39" t="str">
        <f>IF(AND('Riesgos de Gestión'!$AF$47="Muy Alta",'Riesgos de Gestión'!$AH$47="Catastrófico"),CONCATENATE("R6C",'Riesgos de Gestión'!$V$47),"")</f>
        <v/>
      </c>
      <c r="AK11" s="39" t="str">
        <f>IF(AND('Riesgos de Gestión'!$AF$48="Muy Alta",'Riesgos de Gestión'!$AH$48="Catastrófico"),CONCATENATE("R6C",'Riesgos de Gestión'!$V$48),"")</f>
        <v/>
      </c>
      <c r="AL11" s="39" t="str">
        <f>IF(AND('Riesgos de Gestión'!$AF$49="Muy Alta",'Riesgos de Gestión'!$AH$49="Catastrófico"),CONCATENATE("R6C",'Riesgos de Gestión'!$V$49),"")</f>
        <v/>
      </c>
      <c r="AM11" s="40" t="str">
        <f>IF(AND('Riesgos de Gestión'!$AF$50="Muy Alta",'Riesgos de Gestión'!$AH$50="Catastrófico"),CONCATENATE("R6C",'Riesgos de Gestión'!$V$50),"")</f>
        <v/>
      </c>
      <c r="AN11" s="66"/>
      <c r="AO11" s="519"/>
      <c r="AP11" s="520"/>
      <c r="AQ11" s="520"/>
      <c r="AR11" s="520"/>
      <c r="AS11" s="520"/>
      <c r="AT11" s="521"/>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25">
      <c r="A12" s="66"/>
      <c r="B12" s="458"/>
      <c r="C12" s="458"/>
      <c r="D12" s="459"/>
      <c r="E12" s="499"/>
      <c r="F12" s="500"/>
      <c r="G12" s="500"/>
      <c r="H12" s="500"/>
      <c r="I12" s="501"/>
      <c r="J12" s="35" t="str">
        <f>IF(AND('Riesgos de Gestión'!$AF$51="Muy Alta",'Riesgos de Gestión'!$AH$51="Leve"),CONCATENATE("R7C",'Riesgos de Gestión'!$V$51),"")</f>
        <v/>
      </c>
      <c r="K12" s="36" t="str">
        <f>IF(AND('Riesgos de Gestión'!$AF$52="Muy Alta",'Riesgos de Gestión'!$AH$52="Leve"),CONCATENATE("R7C",'Riesgos de Gestión'!$V$52),"")</f>
        <v/>
      </c>
      <c r="L12" s="36" t="str">
        <f>IF(AND('Riesgos de Gestión'!$AF$53="Muy Alta",'Riesgos de Gestión'!$AH$53="Leve"),CONCATENATE("R7C",'Riesgos de Gestión'!$V$53),"")</f>
        <v/>
      </c>
      <c r="M12" s="36" t="str">
        <f>IF(AND('Riesgos de Gestión'!$AF$54="Muy Alta",'Riesgos de Gestión'!$AH$54="Leve"),CONCATENATE("R7C",'Riesgos de Gestión'!$V$54),"")</f>
        <v/>
      </c>
      <c r="N12" s="36" t="str">
        <f>IF(AND('Riesgos de Gestión'!$AF$55="Muy Alta",'Riesgos de Gestión'!$AH$55="Leve"),CONCATENATE("R7C",'Riesgos de Gestión'!$V$55),"")</f>
        <v/>
      </c>
      <c r="O12" s="37" t="str">
        <f>IF(AND('Riesgos de Gestión'!$AF$56="Muy Alta",'Riesgos de Gestión'!$AH$56="Leve"),CONCATENATE("R7C",'Riesgos de Gestión'!$V$56),"")</f>
        <v/>
      </c>
      <c r="P12" s="35" t="str">
        <f>IF(AND('Riesgos de Gestión'!$AF$51="Muy Alta",'Riesgos de Gestión'!$AH$51="Menor"),CONCATENATE("R7C",'Riesgos de Gestión'!$V$51),"")</f>
        <v/>
      </c>
      <c r="Q12" s="36" t="str">
        <f>IF(AND('Riesgos de Gestión'!$AF$52="Muy Alta",'Riesgos de Gestión'!$AH$52="Menor"),CONCATENATE("R7C",'Riesgos de Gestión'!$V$52),"")</f>
        <v/>
      </c>
      <c r="R12" s="36" t="str">
        <f>IF(AND('Riesgos de Gestión'!$AF$53="Muy Alta",'Riesgos de Gestión'!$AH$53="Menor"),CONCATENATE("R7C",'Riesgos de Gestión'!$V$53),"")</f>
        <v/>
      </c>
      <c r="S12" s="36" t="str">
        <f>IF(AND('Riesgos de Gestión'!$AF$54="Muy Alta",'Riesgos de Gestión'!$AH$54="Menor"),CONCATENATE("R7C",'Riesgos de Gestión'!$V$54),"")</f>
        <v/>
      </c>
      <c r="T12" s="36" t="str">
        <f>IF(AND('Riesgos de Gestión'!$AF$55="Muy Alta",'Riesgos de Gestión'!$AH$55="Menor"),CONCATENATE("R7C",'Riesgos de Gestión'!$V$55),"")</f>
        <v/>
      </c>
      <c r="U12" s="37" t="str">
        <f>IF(AND('Riesgos de Gestión'!$AF$56="Muy Alta",'Riesgos de Gestión'!$AH$56="Menor"),CONCATENATE("R7C",'Riesgos de Gestión'!$V$56),"")</f>
        <v/>
      </c>
      <c r="V12" s="35" t="str">
        <f>IF(AND('Riesgos de Gestión'!$AF$51="Muy Alta",'Riesgos de Gestión'!$AH$51="Moderado"),CONCATENATE("R7C",'Riesgos de Gestión'!$V$51),"")</f>
        <v/>
      </c>
      <c r="W12" s="36" t="str">
        <f>IF(AND('Riesgos de Gestión'!$AF$52="Muy Alta",'Riesgos de Gestión'!$AH$52="Moderado"),CONCATENATE("R7C",'Riesgos de Gestión'!$V$52),"")</f>
        <v/>
      </c>
      <c r="X12" s="36" t="str">
        <f>IF(AND('Riesgos de Gestión'!$AF$53="Muy Alta",'Riesgos de Gestión'!$AH$53="Moderado"),CONCATENATE("R7C",'Riesgos de Gestión'!$V$53),"")</f>
        <v/>
      </c>
      <c r="Y12" s="36" t="str">
        <f>IF(AND('Riesgos de Gestión'!$AF$54="Muy Alta",'Riesgos de Gestión'!$AH$54="Moderado"),CONCATENATE("R7C",'Riesgos de Gestión'!$V$54),"")</f>
        <v/>
      </c>
      <c r="Z12" s="36" t="str">
        <f>IF(AND('Riesgos de Gestión'!$AF$55="Muy Alta",'Riesgos de Gestión'!$AH$55="Moderado"),CONCATENATE("R7C",'Riesgos de Gestión'!$V$55),"")</f>
        <v/>
      </c>
      <c r="AA12" s="37" t="str">
        <f>IF(AND('Riesgos de Gestión'!$AF$56="Muy Alta",'Riesgos de Gestión'!$AH$56="Moderado"),CONCATENATE("R7C",'Riesgos de Gestión'!$V$56),"")</f>
        <v/>
      </c>
      <c r="AB12" s="35" t="str">
        <f>IF(AND('Riesgos de Gestión'!$AF$51="Muy Alta",'Riesgos de Gestión'!$AH$51="Mayor"),CONCATENATE("R7C",'Riesgos de Gestión'!$V$51),"")</f>
        <v/>
      </c>
      <c r="AC12" s="36" t="str">
        <f>IF(AND('Riesgos de Gestión'!$AF$52="Muy Alta",'Riesgos de Gestión'!$AH$52="Mayor"),CONCATENATE("R7C",'Riesgos de Gestión'!$V$52),"")</f>
        <v/>
      </c>
      <c r="AD12" s="36" t="str">
        <f>IF(AND('Riesgos de Gestión'!$AF$53="Muy Alta",'Riesgos de Gestión'!$AH$53="Mayor"),CONCATENATE("R7C",'Riesgos de Gestión'!$V$53),"")</f>
        <v/>
      </c>
      <c r="AE12" s="36" t="str">
        <f>IF(AND('Riesgos de Gestión'!$AF$54="Muy Alta",'Riesgos de Gestión'!$AH$54="Mayor"),CONCATENATE("R7C",'Riesgos de Gestión'!$V$54),"")</f>
        <v/>
      </c>
      <c r="AF12" s="36" t="str">
        <f>IF(AND('Riesgos de Gestión'!$AF$55="Muy Alta",'Riesgos de Gestión'!$AH$55="Mayor"),CONCATENATE("R7C",'Riesgos de Gestión'!$V$55),"")</f>
        <v/>
      </c>
      <c r="AG12" s="37" t="str">
        <f>IF(AND('Riesgos de Gestión'!$AF$56="Muy Alta",'Riesgos de Gestión'!$AH$56="Mayor"),CONCATENATE("R7C",'Riesgos de Gestión'!$V$56),"")</f>
        <v/>
      </c>
      <c r="AH12" s="38" t="str">
        <f>IF(AND('Riesgos de Gestión'!$AF$51="Muy Alta",'Riesgos de Gestión'!$AH$51="Catastrófico"),CONCATENATE("R7C",'Riesgos de Gestión'!$V$51),"")</f>
        <v/>
      </c>
      <c r="AI12" s="39" t="str">
        <f>IF(AND('Riesgos de Gestión'!$AF$52="Muy Alta",'Riesgos de Gestión'!$AH$52="Catastrófico"),CONCATENATE("R7C",'Riesgos de Gestión'!$V$52),"")</f>
        <v/>
      </c>
      <c r="AJ12" s="39" t="str">
        <f>IF(AND('Riesgos de Gestión'!$AF$53="Muy Alta",'Riesgos de Gestión'!$AH$53="Catastrófico"),CONCATENATE("R7C",'Riesgos de Gestión'!$V$53),"")</f>
        <v/>
      </c>
      <c r="AK12" s="39" t="str">
        <f>IF(AND('Riesgos de Gestión'!$AF$54="Muy Alta",'Riesgos de Gestión'!$AH$54="Catastrófico"),CONCATENATE("R7C",'Riesgos de Gestión'!$V$54),"")</f>
        <v/>
      </c>
      <c r="AL12" s="39" t="str">
        <f>IF(AND('Riesgos de Gestión'!$AF$55="Muy Alta",'Riesgos de Gestión'!$AH$55="Catastrófico"),CONCATENATE("R7C",'Riesgos de Gestión'!$V$55),"")</f>
        <v/>
      </c>
      <c r="AM12" s="40" t="str">
        <f>IF(AND('Riesgos de Gestión'!$AF$56="Muy Alta",'Riesgos de Gestión'!$AH$56="Catastrófico"),CONCATENATE("R7C",'Riesgos de Gestión'!$V$56),"")</f>
        <v/>
      </c>
      <c r="AN12" s="66"/>
      <c r="AO12" s="519"/>
      <c r="AP12" s="520"/>
      <c r="AQ12" s="520"/>
      <c r="AR12" s="520"/>
      <c r="AS12" s="520"/>
      <c r="AT12" s="521"/>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25">
      <c r="A13" s="66"/>
      <c r="B13" s="458"/>
      <c r="C13" s="458"/>
      <c r="D13" s="459"/>
      <c r="E13" s="499"/>
      <c r="F13" s="500"/>
      <c r="G13" s="500"/>
      <c r="H13" s="500"/>
      <c r="I13" s="501"/>
      <c r="J13" s="35" t="str">
        <f>IF(AND('Riesgos de Gestión'!$AF$57="Muy Alta",'Riesgos de Gestión'!$AH$57="Leve"),CONCATENATE("R8C",'Riesgos de Gestión'!$V$57),"")</f>
        <v/>
      </c>
      <c r="K13" s="36" t="str">
        <f>IF(AND('Riesgos de Gestión'!$AF$58="Muy Alta",'Riesgos de Gestión'!$AH$58="Leve"),CONCATENATE("R8C",'Riesgos de Gestión'!$V$58),"")</f>
        <v/>
      </c>
      <c r="L13" s="36" t="str">
        <f>IF(AND('Riesgos de Gestión'!$AF$59="Muy Alta",'Riesgos de Gestión'!$AH$59="Leve"),CONCATENATE("R8C",'Riesgos de Gestión'!$V$59),"")</f>
        <v/>
      </c>
      <c r="M13" s="36" t="str">
        <f>IF(AND('Riesgos de Gestión'!$AF$60="Muy Alta",'Riesgos de Gestión'!$AH$60="Leve"),CONCATENATE("R8C",'Riesgos de Gestión'!$V$60),"")</f>
        <v/>
      </c>
      <c r="N13" s="36" t="str">
        <f>IF(AND('Riesgos de Gestión'!$AF$61="Muy Alta",'Riesgos de Gestión'!$AH$61="Leve"),CONCATENATE("R8C",'Riesgos de Gestión'!$V$61),"")</f>
        <v/>
      </c>
      <c r="O13" s="37" t="str">
        <f>IF(AND('Riesgos de Gestión'!$AF$62="Muy Alta",'Riesgos de Gestión'!$AH$62="Leve"),CONCATENATE("R8C",'Riesgos de Gestión'!$V$62),"")</f>
        <v/>
      </c>
      <c r="P13" s="35" t="str">
        <f>IF(AND('Riesgos de Gestión'!$AF$57="Muy Alta",'Riesgos de Gestión'!$AH$57="Menor"),CONCATENATE("R8C",'Riesgos de Gestión'!$V$57),"")</f>
        <v/>
      </c>
      <c r="Q13" s="36" t="str">
        <f>IF(AND('Riesgos de Gestión'!$AF$58="Muy Alta",'Riesgos de Gestión'!$AH$58="Menor"),CONCATENATE("R8C",'Riesgos de Gestión'!$V$58),"")</f>
        <v/>
      </c>
      <c r="R13" s="36" t="str">
        <f>IF(AND('Riesgos de Gestión'!$AF$59="Muy Alta",'Riesgos de Gestión'!$AH$59="Menor"),CONCATENATE("R8C",'Riesgos de Gestión'!$V$59),"")</f>
        <v/>
      </c>
      <c r="S13" s="36" t="str">
        <f>IF(AND('Riesgos de Gestión'!$AF$60="Muy Alta",'Riesgos de Gestión'!$AH$60="Menor"),CONCATENATE("R8C",'Riesgos de Gestión'!$V$60),"")</f>
        <v/>
      </c>
      <c r="T13" s="36" t="str">
        <f>IF(AND('Riesgos de Gestión'!$AF$61="Muy Alta",'Riesgos de Gestión'!$AH$61="Menor"),CONCATENATE("R8C",'Riesgos de Gestión'!$V$61),"")</f>
        <v/>
      </c>
      <c r="U13" s="37" t="str">
        <f>IF(AND('Riesgos de Gestión'!$AF$62="Muy Alta",'Riesgos de Gestión'!$AH$62="Menor"),CONCATENATE("R8C",'Riesgos de Gestión'!$V$62),"")</f>
        <v/>
      </c>
      <c r="V13" s="35" t="str">
        <f>IF(AND('Riesgos de Gestión'!$AF$57="Muy Alta",'Riesgos de Gestión'!$AH$57="Moderado"),CONCATENATE("R8C",'Riesgos de Gestión'!$V$57),"")</f>
        <v/>
      </c>
      <c r="W13" s="36" t="str">
        <f>IF(AND('Riesgos de Gestión'!$AF$58="Muy Alta",'Riesgos de Gestión'!$AH$58="Moderado"),CONCATENATE("R8C",'Riesgos de Gestión'!$V$58),"")</f>
        <v/>
      </c>
      <c r="X13" s="36" t="str">
        <f>IF(AND('Riesgos de Gestión'!$AF$59="Muy Alta",'Riesgos de Gestión'!$AH$59="Moderado"),CONCATENATE("R8C",'Riesgos de Gestión'!$V$59),"")</f>
        <v/>
      </c>
      <c r="Y13" s="36" t="str">
        <f>IF(AND('Riesgos de Gestión'!$AF$60="Muy Alta",'Riesgos de Gestión'!$AH$60="Moderado"),CONCATENATE("R8C",'Riesgos de Gestión'!$V$60),"")</f>
        <v/>
      </c>
      <c r="Z13" s="36" t="str">
        <f>IF(AND('Riesgos de Gestión'!$AF$61="Muy Alta",'Riesgos de Gestión'!$AH$61="Moderado"),CONCATENATE("R8C",'Riesgos de Gestión'!$V$61),"")</f>
        <v/>
      </c>
      <c r="AA13" s="37" t="str">
        <f>IF(AND('Riesgos de Gestión'!$AF$62="Muy Alta",'Riesgos de Gestión'!$AH$62="Moderado"),CONCATENATE("R8C",'Riesgos de Gestión'!$V$62),"")</f>
        <v/>
      </c>
      <c r="AB13" s="35" t="str">
        <f>IF(AND('Riesgos de Gestión'!$AF$57="Muy Alta",'Riesgos de Gestión'!$AH$57="Mayor"),CONCATENATE("R8C",'Riesgos de Gestión'!$V$57),"")</f>
        <v/>
      </c>
      <c r="AC13" s="36" t="str">
        <f>IF(AND('Riesgos de Gestión'!$AF$58="Muy Alta",'Riesgos de Gestión'!$AH$58="Mayor"),CONCATENATE("R8C",'Riesgos de Gestión'!$V$58),"")</f>
        <v/>
      </c>
      <c r="AD13" s="36" t="str">
        <f>IF(AND('Riesgos de Gestión'!$AF$59="Muy Alta",'Riesgos de Gestión'!$AH$59="Mayor"),CONCATENATE("R8C",'Riesgos de Gestión'!$V$59),"")</f>
        <v/>
      </c>
      <c r="AE13" s="36" t="str">
        <f>IF(AND('Riesgos de Gestión'!$AF$60="Muy Alta",'Riesgos de Gestión'!$AH$60="Mayor"),CONCATENATE("R8C",'Riesgos de Gestión'!$V$60),"")</f>
        <v/>
      </c>
      <c r="AF13" s="36" t="str">
        <f>IF(AND('Riesgos de Gestión'!$AF$61="Muy Alta",'Riesgos de Gestión'!$AH$61="Mayor"),CONCATENATE("R8C",'Riesgos de Gestión'!$V$61),"")</f>
        <v/>
      </c>
      <c r="AG13" s="37" t="str">
        <f>IF(AND('Riesgos de Gestión'!$AF$62="Muy Alta",'Riesgos de Gestión'!$AH$62="Mayor"),CONCATENATE("R8C",'Riesgos de Gestión'!$V$62),"")</f>
        <v/>
      </c>
      <c r="AH13" s="38" t="str">
        <f>IF(AND('Riesgos de Gestión'!$AF$57="Muy Alta",'Riesgos de Gestión'!$AH$57="Catastrófico"),CONCATENATE("R8C",'Riesgos de Gestión'!$V$57),"")</f>
        <v/>
      </c>
      <c r="AI13" s="39" t="str">
        <f>IF(AND('Riesgos de Gestión'!$AF$58="Muy Alta",'Riesgos de Gestión'!$AH$58="Catastrófico"),CONCATENATE("R8C",'Riesgos de Gestión'!$V$58),"")</f>
        <v/>
      </c>
      <c r="AJ13" s="39" t="str">
        <f>IF(AND('Riesgos de Gestión'!$AF$59="Muy Alta",'Riesgos de Gestión'!$AH$59="Catastrófico"),CONCATENATE("R8C",'Riesgos de Gestión'!$V$59),"")</f>
        <v/>
      </c>
      <c r="AK13" s="39" t="str">
        <f>IF(AND('Riesgos de Gestión'!$AF$60="Muy Alta",'Riesgos de Gestión'!$AH$60="Catastrófico"),CONCATENATE("R8C",'Riesgos de Gestión'!$V$60),"")</f>
        <v/>
      </c>
      <c r="AL13" s="39" t="str">
        <f>IF(AND('Riesgos de Gestión'!$AF$61="Muy Alta",'Riesgos de Gestión'!$AH$61="Catastrófico"),CONCATENATE("R8C",'Riesgos de Gestión'!$V$61),"")</f>
        <v/>
      </c>
      <c r="AM13" s="40" t="str">
        <f>IF(AND('Riesgos de Gestión'!$AF$62="Muy Alta",'Riesgos de Gestión'!$AH$62="Catastrófico"),CONCATENATE("R8C",'Riesgos de Gestión'!$V$62),"")</f>
        <v/>
      </c>
      <c r="AN13" s="66"/>
      <c r="AO13" s="519"/>
      <c r="AP13" s="520"/>
      <c r="AQ13" s="520"/>
      <c r="AR13" s="520"/>
      <c r="AS13" s="520"/>
      <c r="AT13" s="521"/>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25">
      <c r="A14" s="66"/>
      <c r="B14" s="458"/>
      <c r="C14" s="458"/>
      <c r="D14" s="459"/>
      <c r="E14" s="499"/>
      <c r="F14" s="500"/>
      <c r="G14" s="500"/>
      <c r="H14" s="500"/>
      <c r="I14" s="501"/>
      <c r="J14" s="35" t="str">
        <f>IF(AND('Riesgos de Gestión'!$AF$63="Muy Alta",'Riesgos de Gestión'!$AH$63="Leve"),CONCATENATE("R9C",'Riesgos de Gestión'!$V$63),"")</f>
        <v/>
      </c>
      <c r="K14" s="36" t="str">
        <f>IF(AND('Riesgos de Gestión'!$AF$64="Muy Alta",'Riesgos de Gestión'!$AH$64="Leve"),CONCATENATE("R9C",'Riesgos de Gestión'!$V$64),"")</f>
        <v/>
      </c>
      <c r="L14" s="36" t="str">
        <f>IF(AND('Riesgos de Gestión'!$AF$65="Muy Alta",'Riesgos de Gestión'!$AH$65="Leve"),CONCATENATE("R9C",'Riesgos de Gestión'!$V$65),"")</f>
        <v/>
      </c>
      <c r="M14" s="36" t="str">
        <f>IF(AND('Riesgos de Gestión'!$AF$66="Muy Alta",'Riesgos de Gestión'!$AH$66="Leve"),CONCATENATE("R9C",'Riesgos de Gestión'!$V$66),"")</f>
        <v/>
      </c>
      <c r="N14" s="36" t="str">
        <f>IF(AND('Riesgos de Gestión'!$AF$67="Muy Alta",'Riesgos de Gestión'!$AH$67="Leve"),CONCATENATE("R9C",'Riesgos de Gestión'!$V$67),"")</f>
        <v/>
      </c>
      <c r="O14" s="37" t="str">
        <f>IF(AND('Riesgos de Gestión'!$AF$68="Muy Alta",'Riesgos de Gestión'!$AH$68="Leve"),CONCATENATE("R9C",'Riesgos de Gestión'!$V$68),"")</f>
        <v/>
      </c>
      <c r="P14" s="35" t="str">
        <f>IF(AND('Riesgos de Gestión'!$AF$63="Muy Alta",'Riesgos de Gestión'!$AH$63="Menor"),CONCATENATE("R9C",'Riesgos de Gestión'!$V$63),"")</f>
        <v/>
      </c>
      <c r="Q14" s="36" t="str">
        <f>IF(AND('Riesgos de Gestión'!$AF$64="Muy Alta",'Riesgos de Gestión'!$AH$64="Menor"),CONCATENATE("R9C",'Riesgos de Gestión'!$V$64),"")</f>
        <v/>
      </c>
      <c r="R14" s="36" t="str">
        <f>IF(AND('Riesgos de Gestión'!$AF$65="Muy Alta",'Riesgos de Gestión'!$AH$65="Menor"),CONCATENATE("R9C",'Riesgos de Gestión'!$V$65),"")</f>
        <v/>
      </c>
      <c r="S14" s="36" t="str">
        <f>IF(AND('Riesgos de Gestión'!$AF$66="Muy Alta",'Riesgos de Gestión'!$AH$66="Menor"),CONCATENATE("R9C",'Riesgos de Gestión'!$V$66),"")</f>
        <v/>
      </c>
      <c r="T14" s="36" t="str">
        <f>IF(AND('Riesgos de Gestión'!$AF$67="Muy Alta",'Riesgos de Gestión'!$AH$67="Menor"),CONCATENATE("R9C",'Riesgos de Gestión'!$V$67),"")</f>
        <v/>
      </c>
      <c r="U14" s="37" t="str">
        <f>IF(AND('Riesgos de Gestión'!$AF$68="Muy Alta",'Riesgos de Gestión'!$AH$68="Menor"),CONCATENATE("R9C",'Riesgos de Gestión'!$V$68),"")</f>
        <v/>
      </c>
      <c r="V14" s="35" t="str">
        <f>IF(AND('Riesgos de Gestión'!$AF$63="Muy Alta",'Riesgos de Gestión'!$AH$63="Moderado"),CONCATENATE("R9C",'Riesgos de Gestión'!$V$63),"")</f>
        <v/>
      </c>
      <c r="W14" s="36" t="str">
        <f>IF(AND('Riesgos de Gestión'!$AF$64="Muy Alta",'Riesgos de Gestión'!$AH$64="Moderado"),CONCATENATE("R9C",'Riesgos de Gestión'!$V$64),"")</f>
        <v/>
      </c>
      <c r="X14" s="36" t="str">
        <f>IF(AND('Riesgos de Gestión'!$AF$65="Muy Alta",'Riesgos de Gestión'!$AH$65="Moderado"),CONCATENATE("R9C",'Riesgos de Gestión'!$V$65),"")</f>
        <v/>
      </c>
      <c r="Y14" s="36" t="str">
        <f>IF(AND('Riesgos de Gestión'!$AF$66="Muy Alta",'Riesgos de Gestión'!$AH$66="Moderado"),CONCATENATE("R9C",'Riesgos de Gestión'!$V$66),"")</f>
        <v/>
      </c>
      <c r="Z14" s="36" t="str">
        <f>IF(AND('Riesgos de Gestión'!$AF$67="Muy Alta",'Riesgos de Gestión'!$AH$67="Moderado"),CONCATENATE("R9C",'Riesgos de Gestión'!$V$67),"")</f>
        <v/>
      </c>
      <c r="AA14" s="37" t="str">
        <f>IF(AND('Riesgos de Gestión'!$AF$68="Muy Alta",'Riesgos de Gestión'!$AH$68="Moderado"),CONCATENATE("R9C",'Riesgos de Gestión'!$V$68),"")</f>
        <v/>
      </c>
      <c r="AB14" s="35" t="str">
        <f>IF(AND('Riesgos de Gestión'!$AF$63="Muy Alta",'Riesgos de Gestión'!$AH$63="Mayor"),CONCATENATE("R9C",'Riesgos de Gestión'!$V$63),"")</f>
        <v/>
      </c>
      <c r="AC14" s="36" t="str">
        <f>IF(AND('Riesgos de Gestión'!$AF$64="Muy Alta",'Riesgos de Gestión'!$AH$64="Mayor"),CONCATENATE("R9C",'Riesgos de Gestión'!$V$64),"")</f>
        <v/>
      </c>
      <c r="AD14" s="36" t="str">
        <f>IF(AND('Riesgos de Gestión'!$AF$65="Muy Alta",'Riesgos de Gestión'!$AH$65="Mayor"),CONCATENATE("R9C",'Riesgos de Gestión'!$V$65),"")</f>
        <v/>
      </c>
      <c r="AE14" s="36" t="str">
        <f>IF(AND('Riesgos de Gestión'!$AF$66="Muy Alta",'Riesgos de Gestión'!$AH$66="Mayor"),CONCATENATE("R9C",'Riesgos de Gestión'!$V$66),"")</f>
        <v/>
      </c>
      <c r="AF14" s="36" t="str">
        <f>IF(AND('Riesgos de Gestión'!$AF$67="Muy Alta",'Riesgos de Gestión'!$AH$67="Mayor"),CONCATENATE("R9C",'Riesgos de Gestión'!$V$67),"")</f>
        <v/>
      </c>
      <c r="AG14" s="37" t="str">
        <f>IF(AND('Riesgos de Gestión'!$AF$68="Muy Alta",'Riesgos de Gestión'!$AH$68="Mayor"),CONCATENATE("R9C",'Riesgos de Gestión'!$V$68),"")</f>
        <v/>
      </c>
      <c r="AH14" s="38" t="str">
        <f>IF(AND('Riesgos de Gestión'!$AF$63="Muy Alta",'Riesgos de Gestión'!$AH$63="Catastrófico"),CONCATENATE("R9C",'Riesgos de Gestión'!$V$63),"")</f>
        <v/>
      </c>
      <c r="AI14" s="39" t="str">
        <f>IF(AND('Riesgos de Gestión'!$AF$64="Muy Alta",'Riesgos de Gestión'!$AH$64="Catastrófico"),CONCATENATE("R9C",'Riesgos de Gestión'!$V$64),"")</f>
        <v/>
      </c>
      <c r="AJ14" s="39" t="str">
        <f>IF(AND('Riesgos de Gestión'!$AF$65="Muy Alta",'Riesgos de Gestión'!$AH$65="Catastrófico"),CONCATENATE("R9C",'Riesgos de Gestión'!$V$65),"")</f>
        <v/>
      </c>
      <c r="AK14" s="39" t="str">
        <f>IF(AND('Riesgos de Gestión'!$AF$66="Muy Alta",'Riesgos de Gestión'!$AH$66="Catastrófico"),CONCATENATE("R9C",'Riesgos de Gestión'!$V$66),"")</f>
        <v/>
      </c>
      <c r="AL14" s="39" t="str">
        <f>IF(AND('Riesgos de Gestión'!$AF$67="Muy Alta",'Riesgos de Gestión'!$AH$67="Catastrófico"),CONCATENATE("R9C",'Riesgos de Gestión'!$V$67),"")</f>
        <v/>
      </c>
      <c r="AM14" s="40" t="str">
        <f>IF(AND('Riesgos de Gestión'!$AF$68="Muy Alta",'Riesgos de Gestión'!$AH$68="Catastrófico"),CONCATENATE("R9C",'Riesgos de Gestión'!$V$68),"")</f>
        <v/>
      </c>
      <c r="AN14" s="66"/>
      <c r="AO14" s="519"/>
      <c r="AP14" s="520"/>
      <c r="AQ14" s="520"/>
      <c r="AR14" s="520"/>
      <c r="AS14" s="520"/>
      <c r="AT14" s="521"/>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
      <c r="A15" s="66"/>
      <c r="B15" s="458"/>
      <c r="C15" s="458"/>
      <c r="D15" s="459"/>
      <c r="E15" s="502"/>
      <c r="F15" s="503"/>
      <c r="G15" s="503"/>
      <c r="H15" s="503"/>
      <c r="I15" s="504"/>
      <c r="J15" s="41" t="str">
        <f>IF(AND('Riesgos de Gestión'!$AF$69="Muy Alta",'Riesgos de Gestión'!$AH$69="Leve"),CONCATENATE("R10C",'Riesgos de Gestión'!$V$69),"")</f>
        <v/>
      </c>
      <c r="K15" s="42" t="str">
        <f>IF(AND('Riesgos de Gestión'!$AF$70="Muy Alta",'Riesgos de Gestión'!$AH$70="Leve"),CONCATENATE("R10C",'Riesgos de Gestión'!$V$70),"")</f>
        <v/>
      </c>
      <c r="L15" s="42" t="str">
        <f>IF(AND('Riesgos de Gestión'!$AF$71="Muy Alta",'Riesgos de Gestión'!$AH$71="Leve"),CONCATENATE("R10C",'Riesgos de Gestión'!$V$71),"")</f>
        <v/>
      </c>
      <c r="M15" s="42" t="str">
        <f>IF(AND('Riesgos de Gestión'!$AF$72="Muy Alta",'Riesgos de Gestión'!$AH$72="Leve"),CONCATENATE("R10C",'Riesgos de Gestión'!$V$72),"")</f>
        <v/>
      </c>
      <c r="N15" s="42" t="str">
        <f>IF(AND('Riesgos de Gestión'!$AF$73="Muy Alta",'Riesgos de Gestión'!$AH$73="Leve"),CONCATENATE("R10C",'Riesgos de Gestión'!$V$73),"")</f>
        <v/>
      </c>
      <c r="O15" s="43" t="str">
        <f>IF(AND('Riesgos de Gestión'!$AF$74="Muy Alta",'Riesgos de Gestión'!$AH$74="Leve"),CONCATENATE("R10C",'Riesgos de Gestión'!$V$74),"")</f>
        <v/>
      </c>
      <c r="P15" s="35" t="str">
        <f>IF(AND('Riesgos de Gestión'!$AF$69="Muy Alta",'Riesgos de Gestión'!$AH$69="Menor"),CONCATENATE("R10C",'Riesgos de Gestión'!$V$69),"")</f>
        <v/>
      </c>
      <c r="Q15" s="36" t="str">
        <f>IF(AND('Riesgos de Gestión'!$AF$70="Muy Alta",'Riesgos de Gestión'!$AH$70="Menor"),CONCATENATE("R10C",'Riesgos de Gestión'!$V$70),"")</f>
        <v/>
      </c>
      <c r="R15" s="36" t="str">
        <f>IF(AND('Riesgos de Gestión'!$AF$71="Muy Alta",'Riesgos de Gestión'!$AH$71="Menor"),CONCATENATE("R10C",'Riesgos de Gestión'!$V$71),"")</f>
        <v/>
      </c>
      <c r="S15" s="36" t="str">
        <f>IF(AND('Riesgos de Gestión'!$AF$72="Muy Alta",'Riesgos de Gestión'!$AH$72="Menor"),CONCATENATE("R10C",'Riesgos de Gestión'!$V$72),"")</f>
        <v/>
      </c>
      <c r="T15" s="36" t="str">
        <f>IF(AND('Riesgos de Gestión'!$AF$73="Muy Alta",'Riesgos de Gestión'!$AH$73="Menor"),CONCATENATE("R10C",'Riesgos de Gestión'!$V$73),"")</f>
        <v/>
      </c>
      <c r="U15" s="37" t="str">
        <f>IF(AND('Riesgos de Gestión'!$AF$74="Muy Alta",'Riesgos de Gestión'!$AH$74="Menor"),CONCATENATE("R10C",'Riesgos de Gestión'!$V$74),"")</f>
        <v/>
      </c>
      <c r="V15" s="41" t="str">
        <f>IF(AND('Riesgos de Gestión'!$AF$69="Muy Alta",'Riesgos de Gestión'!$AH$69="Moderado"),CONCATENATE("R10C",'Riesgos de Gestión'!$V$69),"")</f>
        <v/>
      </c>
      <c r="W15" s="42" t="str">
        <f>IF(AND('Riesgos de Gestión'!$AF$70="Muy Alta",'Riesgos de Gestión'!$AH$70="Moderado"),CONCATENATE("R10C",'Riesgos de Gestión'!$V$70),"")</f>
        <v/>
      </c>
      <c r="X15" s="42" t="str">
        <f>IF(AND('Riesgos de Gestión'!$AF$71="Muy Alta",'Riesgos de Gestión'!$AH$71="Moderado"),CONCATENATE("R10C",'Riesgos de Gestión'!$V$71),"")</f>
        <v/>
      </c>
      <c r="Y15" s="42" t="str">
        <f>IF(AND('Riesgos de Gestión'!$AF$72="Muy Alta",'Riesgos de Gestión'!$AH$72="Moderado"),CONCATENATE("R10C",'Riesgos de Gestión'!$V$72),"")</f>
        <v/>
      </c>
      <c r="Z15" s="42" t="str">
        <f>IF(AND('Riesgos de Gestión'!$AF$73="Muy Alta",'Riesgos de Gestión'!$AH$73="Moderado"),CONCATENATE("R10C",'Riesgos de Gestión'!$V$73),"")</f>
        <v/>
      </c>
      <c r="AA15" s="43" t="str">
        <f>IF(AND('Riesgos de Gestión'!$AF$74="Muy Alta",'Riesgos de Gestión'!$AH$74="Moderado"),CONCATENATE("R10C",'Riesgos de Gestión'!$V$74),"")</f>
        <v/>
      </c>
      <c r="AB15" s="35" t="str">
        <f>IF(AND('Riesgos de Gestión'!$AF$69="Muy Alta",'Riesgos de Gestión'!$AH$69="Mayor"),CONCATENATE("R10C",'Riesgos de Gestión'!$V$69),"")</f>
        <v/>
      </c>
      <c r="AC15" s="36" t="str">
        <f>IF(AND('Riesgos de Gestión'!$AF$70="Muy Alta",'Riesgos de Gestión'!$AH$70="Mayor"),CONCATENATE("R10C",'Riesgos de Gestión'!$V$70),"")</f>
        <v/>
      </c>
      <c r="AD15" s="36" t="str">
        <f>IF(AND('Riesgos de Gestión'!$AF$71="Muy Alta",'Riesgos de Gestión'!$AH$71="Mayor"),CONCATENATE("R10C",'Riesgos de Gestión'!$V$71),"")</f>
        <v/>
      </c>
      <c r="AE15" s="36" t="str">
        <f>IF(AND('Riesgos de Gestión'!$AF$72="Muy Alta",'Riesgos de Gestión'!$AH$72="Mayor"),CONCATENATE("R10C",'Riesgos de Gestión'!$V$72),"")</f>
        <v/>
      </c>
      <c r="AF15" s="36" t="str">
        <f>IF(AND('Riesgos de Gestión'!$AF$73="Muy Alta",'Riesgos de Gestión'!$AH$73="Mayor"),CONCATENATE("R10C",'Riesgos de Gestión'!$V$73),"")</f>
        <v/>
      </c>
      <c r="AG15" s="37" t="str">
        <f>IF(AND('Riesgos de Gestión'!$AF$74="Muy Alta",'Riesgos de Gestión'!$AH$74="Mayor"),CONCATENATE("R10C",'Riesgos de Gestión'!$V$74),"")</f>
        <v/>
      </c>
      <c r="AH15" s="44" t="str">
        <f>IF(AND('Riesgos de Gestión'!$AF$69="Muy Alta",'Riesgos de Gestión'!$AH$69="Catastrófico"),CONCATENATE("R10C",'Riesgos de Gestión'!$V$69),"")</f>
        <v/>
      </c>
      <c r="AI15" s="45" t="str">
        <f>IF(AND('Riesgos de Gestión'!$AF$70="Muy Alta",'Riesgos de Gestión'!$AH$70="Catastrófico"),CONCATENATE("R10C",'Riesgos de Gestión'!$V$70),"")</f>
        <v/>
      </c>
      <c r="AJ15" s="45" t="str">
        <f>IF(AND('Riesgos de Gestión'!$AF$71="Muy Alta",'Riesgos de Gestión'!$AH$71="Catastrófico"),CONCATENATE("R10C",'Riesgos de Gestión'!$V$71),"")</f>
        <v/>
      </c>
      <c r="AK15" s="45" t="str">
        <f>IF(AND('Riesgos de Gestión'!$AF$72="Muy Alta",'Riesgos de Gestión'!$AH$72="Catastrófico"),CONCATENATE("R10C",'Riesgos de Gestión'!$V$72),"")</f>
        <v/>
      </c>
      <c r="AL15" s="45" t="str">
        <f>IF(AND('Riesgos de Gestión'!$AF$73="Muy Alta",'Riesgos de Gestión'!$AH$73="Catastrófico"),CONCATENATE("R10C",'Riesgos de Gestión'!$V$73),"")</f>
        <v/>
      </c>
      <c r="AM15" s="46" t="str">
        <f>IF(AND('Riesgos de Gestión'!$AF$74="Muy Alta",'Riesgos de Gestión'!$AH$74="Catastrófico"),CONCATENATE("R10C",'Riesgos de Gestión'!$V$74),"")</f>
        <v/>
      </c>
      <c r="AN15" s="66"/>
      <c r="AO15" s="522"/>
      <c r="AP15" s="523"/>
      <c r="AQ15" s="523"/>
      <c r="AR15" s="523"/>
      <c r="AS15" s="523"/>
      <c r="AT15" s="524"/>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25">
      <c r="A16" s="66"/>
      <c r="B16" s="458"/>
      <c r="C16" s="458"/>
      <c r="D16" s="459"/>
      <c r="E16" s="496" t="s">
        <v>267</v>
      </c>
      <c r="F16" s="497"/>
      <c r="G16" s="497"/>
      <c r="H16" s="497"/>
      <c r="I16" s="497"/>
      <c r="J16" s="47" t="str">
        <f>IF(AND('Riesgos de Gestión'!$AF$13="Alta",'Riesgos de Gestión'!$AH$13="Leve"),CONCATENATE("R1C",'Riesgos de Gestión'!$V$13),"")</f>
        <v/>
      </c>
      <c r="K16" s="48" t="str">
        <f>IF(AND('Riesgos de Gestión'!$AF$14="Alta",'Riesgos de Gestión'!$AH$14="Leve"),CONCATENATE("R1C",'Riesgos de Gestión'!$V$14),"")</f>
        <v/>
      </c>
      <c r="L16" s="48" t="str">
        <f>IF(AND('Riesgos de Gestión'!$AF$15="Alta",'Riesgos de Gestión'!$AH$15="Leve"),CONCATENATE("R1C",'Riesgos de Gestión'!$V$15),"")</f>
        <v/>
      </c>
      <c r="M16" s="48" t="str">
        <f>IF(AND('Riesgos de Gestión'!$AF$16="Alta",'Riesgos de Gestión'!$AH$16="Leve"),CONCATENATE("R1C",'Riesgos de Gestión'!$V$16),"")</f>
        <v/>
      </c>
      <c r="N16" s="48" t="str">
        <f>IF(AND('Riesgos de Gestión'!$AF$17="Alta",'Riesgos de Gestión'!$AH$17="Leve"),CONCATENATE("R1C",'Riesgos de Gestión'!$V$17),"")</f>
        <v/>
      </c>
      <c r="O16" s="49" t="str">
        <f>IF(AND('Riesgos de Gestión'!$AF$20="Alta",'Riesgos de Gestión'!$AH$20="Leve"),CONCATENATE("R1C",'Riesgos de Gestión'!$V$20),"")</f>
        <v/>
      </c>
      <c r="P16" s="47" t="str">
        <f>IF(AND('Riesgos de Gestión'!$AF$13="Alta",'Riesgos de Gestión'!$AH$13="Menor"),CONCATENATE("R1C",'Riesgos de Gestión'!$V$13),"")</f>
        <v/>
      </c>
      <c r="Q16" s="48" t="str">
        <f>IF(AND('Riesgos de Gestión'!$AF$14="Alta",'Riesgos de Gestión'!$AH$14="Menor"),CONCATENATE("R1C",'Riesgos de Gestión'!$V$14),"")</f>
        <v/>
      </c>
      <c r="R16" s="48" t="str">
        <f>IF(AND('Riesgos de Gestión'!$AF$15="Alta",'Riesgos de Gestión'!$AH$15="Menor"),CONCATENATE("R1C",'Riesgos de Gestión'!$V$15),"")</f>
        <v/>
      </c>
      <c r="S16" s="48" t="str">
        <f>IF(AND('Riesgos de Gestión'!$AF$16="Alta",'Riesgos de Gestión'!$AH$16="Menor"),CONCATENATE("R1C",'Riesgos de Gestión'!$V$16),"")</f>
        <v/>
      </c>
      <c r="T16" s="48" t="str">
        <f>IF(AND('Riesgos de Gestión'!$AF$17="Alta",'Riesgos de Gestión'!$AH$17="Menor"),CONCATENATE("R1C",'Riesgos de Gestión'!$V$17),"")</f>
        <v/>
      </c>
      <c r="U16" s="49" t="str">
        <f>IF(AND('Riesgos de Gestión'!$AF$20="Alta",'Riesgos de Gestión'!$AH$20="Menor"),CONCATENATE("R1C",'Riesgos de Gestión'!$V$20),"")</f>
        <v/>
      </c>
      <c r="V16" s="29" t="str">
        <f>IF(AND('Riesgos de Gestión'!$AF$13="Alta",'Riesgos de Gestión'!$AH$13="Moderado"),CONCATENATE("R1C",'Riesgos de Gestión'!$V$13),"")</f>
        <v/>
      </c>
      <c r="W16" s="30" t="str">
        <f>IF(AND('Riesgos de Gestión'!$AF$14="Alta",'Riesgos de Gestión'!$AH$14="Moderado"),CONCATENATE("R1C",'Riesgos de Gestión'!$V$14),"")</f>
        <v/>
      </c>
      <c r="X16" s="30" t="str">
        <f>IF(AND('Riesgos de Gestión'!$AF$15="Alta",'Riesgos de Gestión'!$AH$15="Moderado"),CONCATENATE("R1C",'Riesgos de Gestión'!$V$15),"")</f>
        <v/>
      </c>
      <c r="Y16" s="30" t="str">
        <f>IF(AND('Riesgos de Gestión'!$AF$16="Alta",'Riesgos de Gestión'!$AH$16="Moderado"),CONCATENATE("R1C",'Riesgos de Gestión'!$V$16),"")</f>
        <v/>
      </c>
      <c r="Z16" s="30" t="str">
        <f>IF(AND('Riesgos de Gestión'!$AF$17="Alta",'Riesgos de Gestión'!$AH$17="Moderado"),CONCATENATE("R1C",'Riesgos de Gestión'!$V$17),"")</f>
        <v/>
      </c>
      <c r="AA16" s="31" t="str">
        <f>IF(AND('Riesgos de Gestión'!$AF$20="Alta",'Riesgos de Gestión'!$AH$20="Moderado"),CONCATENATE("R1C",'Riesgos de Gestión'!$V$20),"")</f>
        <v/>
      </c>
      <c r="AB16" s="29" t="str">
        <f>IF(AND('Riesgos de Gestión'!$AF$13="Alta",'Riesgos de Gestión'!$AH$13="Mayor"),CONCATENATE("R1C",'Riesgos de Gestión'!$V$13),"")</f>
        <v/>
      </c>
      <c r="AC16" s="30" t="str">
        <f>IF(AND('Riesgos de Gestión'!$AF$14="Alta",'Riesgos de Gestión'!$AH$14="Mayor"),CONCATENATE("R1C",'Riesgos de Gestión'!$V$14),"")</f>
        <v/>
      </c>
      <c r="AD16" s="30" t="str">
        <f>IF(AND('Riesgos de Gestión'!$AF$15="Alta",'Riesgos de Gestión'!$AH$15="Mayor"),CONCATENATE("R1C",'Riesgos de Gestión'!$V$15),"")</f>
        <v/>
      </c>
      <c r="AE16" s="30" t="str">
        <f>IF(AND('Riesgos de Gestión'!$AF$16="Alta",'Riesgos de Gestión'!$AH$16="Mayor"),CONCATENATE("R1C",'Riesgos de Gestión'!$V$16),"")</f>
        <v/>
      </c>
      <c r="AF16" s="30" t="str">
        <f>IF(AND('Riesgos de Gestión'!$AF$17="Alta",'Riesgos de Gestión'!$AH$17="Mayor"),CONCATENATE("R1C",'Riesgos de Gestión'!$V$17),"")</f>
        <v/>
      </c>
      <c r="AG16" s="31" t="str">
        <f>IF(AND('Riesgos de Gestión'!$AF$20="Alta",'Riesgos de Gestión'!$AH$20="Mayor"),CONCATENATE("R1C",'Riesgos de Gestión'!$V$20),"")</f>
        <v/>
      </c>
      <c r="AH16" s="32" t="str">
        <f>IF(AND('Riesgos de Gestión'!$AF$13="Alta",'Riesgos de Gestión'!$AH$13="Catastrófico"),CONCATENATE("R1C",'Riesgos de Gestión'!$V$13),"")</f>
        <v/>
      </c>
      <c r="AI16" s="33" t="str">
        <f>IF(AND('Riesgos de Gestión'!$AF$14="Alta",'Riesgos de Gestión'!$AH$14="Catastrófico"),CONCATENATE("R1C",'Riesgos de Gestión'!$V$14),"")</f>
        <v/>
      </c>
      <c r="AJ16" s="33" t="str">
        <f>IF(AND('Riesgos de Gestión'!$AF$15="Alta",'Riesgos de Gestión'!$AH$15="Catastrófico"),CONCATENATE("R1C",'Riesgos de Gestión'!$V$15),"")</f>
        <v/>
      </c>
      <c r="AK16" s="33" t="str">
        <f>IF(AND('Riesgos de Gestión'!$AF$16="Alta",'Riesgos de Gestión'!$AH$16="Catastrófico"),CONCATENATE("R1C",'Riesgos de Gestión'!$V$16),"")</f>
        <v/>
      </c>
      <c r="AL16" s="33" t="str">
        <f>IF(AND('Riesgos de Gestión'!$AF$17="Alta",'Riesgos de Gestión'!$AH$17="Catastrófico"),CONCATENATE("R1C",'Riesgos de Gestión'!$V$17),"")</f>
        <v/>
      </c>
      <c r="AM16" s="34" t="str">
        <f>IF(AND('Riesgos de Gestión'!$AF$20="Alta",'Riesgos de Gestión'!$AH$20="Catastrófico"),CONCATENATE("R1C",'Riesgos de Gestión'!$V$20),"")</f>
        <v/>
      </c>
      <c r="AN16" s="66"/>
      <c r="AO16" s="506" t="s">
        <v>268</v>
      </c>
      <c r="AP16" s="507"/>
      <c r="AQ16" s="507"/>
      <c r="AR16" s="507"/>
      <c r="AS16" s="507"/>
      <c r="AT16" s="508"/>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25">
      <c r="A17" s="66"/>
      <c r="B17" s="458"/>
      <c r="C17" s="458"/>
      <c r="D17" s="459"/>
      <c r="E17" s="515"/>
      <c r="F17" s="500"/>
      <c r="G17" s="500"/>
      <c r="H17" s="500"/>
      <c r="I17" s="500"/>
      <c r="J17" s="50" t="str">
        <f>IF(AND('Riesgos de Gestión'!$AF$21="Alta",'Riesgos de Gestión'!$AH$21="Leve"),CONCATENATE("R2C",'Riesgos de Gestión'!$V$21),"")</f>
        <v/>
      </c>
      <c r="K17" s="51" t="str">
        <f>IF(AND('Riesgos de Gestión'!$AF$22="Alta",'Riesgos de Gestión'!$AH$22="Leve"),CONCATENATE("R2C",'Riesgos de Gestión'!$V$22),"")</f>
        <v/>
      </c>
      <c r="L17" s="51" t="str">
        <f>IF(AND('Riesgos de Gestión'!$AF$23="Alta",'Riesgos de Gestión'!$AH$23="Leve"),CONCATENATE("R2C",'Riesgos de Gestión'!$V$23),"")</f>
        <v/>
      </c>
      <c r="M17" s="51" t="str">
        <f>IF(AND('Riesgos de Gestión'!$AF$24="Alta",'Riesgos de Gestión'!$AH$24="Leve"),CONCATENATE("R2C",'Riesgos de Gestión'!$V$24),"")</f>
        <v/>
      </c>
      <c r="N17" s="51" t="str">
        <f>IF(AND('Riesgos de Gestión'!$AF$25="Alta",'Riesgos de Gestión'!$AH$25="Leve"),CONCATENATE("R2C",'Riesgos de Gestión'!$V$25),"")</f>
        <v/>
      </c>
      <c r="O17" s="52" t="str">
        <f>IF(AND('Riesgos de Gestión'!$AF$26="Alta",'Riesgos de Gestión'!$AH$26="Leve"),CONCATENATE("R2C",'Riesgos de Gestión'!$V$26),"")</f>
        <v/>
      </c>
      <c r="P17" s="50" t="str">
        <f>IF(AND('Riesgos de Gestión'!$AF$21="Alta",'Riesgos de Gestión'!$AH$21="Menor"),CONCATENATE("R2C",'Riesgos de Gestión'!$V$21),"")</f>
        <v/>
      </c>
      <c r="Q17" s="51" t="str">
        <f>IF(AND('Riesgos de Gestión'!$AF$22="Alta",'Riesgos de Gestión'!$AH$22="Menor"),CONCATENATE("R2C",'Riesgos de Gestión'!$V$22),"")</f>
        <v/>
      </c>
      <c r="R17" s="51" t="str">
        <f>IF(AND('Riesgos de Gestión'!$AF$23="Alta",'Riesgos de Gestión'!$AH$23="Menor"),CONCATENATE("R2C",'Riesgos de Gestión'!$V$23),"")</f>
        <v/>
      </c>
      <c r="S17" s="51" t="str">
        <f>IF(AND('Riesgos de Gestión'!$AF$24="Alta",'Riesgos de Gestión'!$AH$24="Menor"),CONCATENATE("R2C",'Riesgos de Gestión'!$V$24),"")</f>
        <v/>
      </c>
      <c r="T17" s="51" t="str">
        <f>IF(AND('Riesgos de Gestión'!$AF$25="Alta",'Riesgos de Gestión'!$AH$25="Menor"),CONCATENATE("R2C",'Riesgos de Gestión'!$V$25),"")</f>
        <v/>
      </c>
      <c r="U17" s="52" t="str">
        <f>IF(AND('Riesgos de Gestión'!$AF$26="Alta",'Riesgos de Gestión'!$AH$26="Menor"),CONCATENATE("R2C",'Riesgos de Gestión'!$V$26),"")</f>
        <v/>
      </c>
      <c r="V17" s="35" t="str">
        <f>IF(AND('Riesgos de Gestión'!$AF$21="Alta",'Riesgos de Gestión'!$AH$21="Moderado"),CONCATENATE("R2C",'Riesgos de Gestión'!$V$21),"")</f>
        <v/>
      </c>
      <c r="W17" s="36" t="str">
        <f>IF(AND('Riesgos de Gestión'!$AF$22="Alta",'Riesgos de Gestión'!$AH$22="Moderado"),CONCATENATE("R2C",'Riesgos de Gestión'!$V$22),"")</f>
        <v/>
      </c>
      <c r="X17" s="36" t="str">
        <f>IF(AND('Riesgos de Gestión'!$AF$23="Alta",'Riesgos de Gestión'!$AH$23="Moderado"),CONCATENATE("R2C",'Riesgos de Gestión'!$V$23),"")</f>
        <v/>
      </c>
      <c r="Y17" s="36" t="str">
        <f>IF(AND('Riesgos de Gestión'!$AF$24="Alta",'Riesgos de Gestión'!$AH$24="Moderado"),CONCATENATE("R2C",'Riesgos de Gestión'!$V$24),"")</f>
        <v/>
      </c>
      <c r="Z17" s="36" t="str">
        <f>IF(AND('Riesgos de Gestión'!$AF$25="Alta",'Riesgos de Gestión'!$AH$25="Moderado"),CONCATENATE("R2C",'Riesgos de Gestión'!$V$25),"")</f>
        <v/>
      </c>
      <c r="AA17" s="37" t="str">
        <f>IF(AND('Riesgos de Gestión'!$AF$26="Alta",'Riesgos de Gestión'!$AH$26="Moderado"),CONCATENATE("R2C",'Riesgos de Gestión'!$V$26),"")</f>
        <v/>
      </c>
      <c r="AB17" s="35" t="str">
        <f>IF(AND('Riesgos de Gestión'!$AF$21="Alta",'Riesgos de Gestión'!$AH$21="Mayor"),CONCATENATE("R2C",'Riesgos de Gestión'!$V$21),"")</f>
        <v/>
      </c>
      <c r="AC17" s="36" t="str">
        <f>IF(AND('Riesgos de Gestión'!$AF$22="Alta",'Riesgos de Gestión'!$AH$22="Mayor"),CONCATENATE("R2C",'Riesgos de Gestión'!$V$22),"")</f>
        <v/>
      </c>
      <c r="AD17" s="36" t="str">
        <f>IF(AND('Riesgos de Gestión'!$AF$23="Alta",'Riesgos de Gestión'!$AH$23="Mayor"),CONCATENATE("R2C",'Riesgos de Gestión'!$V$23),"")</f>
        <v/>
      </c>
      <c r="AE17" s="36" t="str">
        <f>IF(AND('Riesgos de Gestión'!$AF$24="Alta",'Riesgos de Gestión'!$AH$24="Mayor"),CONCATENATE("R2C",'Riesgos de Gestión'!$V$24),"")</f>
        <v/>
      </c>
      <c r="AF17" s="36" t="str">
        <f>IF(AND('Riesgos de Gestión'!$AF$25="Alta",'Riesgos de Gestión'!$AH$25="Mayor"),CONCATENATE("R2C",'Riesgos de Gestión'!$V$25),"")</f>
        <v/>
      </c>
      <c r="AG17" s="37" t="str">
        <f>IF(AND('Riesgos de Gestión'!$AF$26="Alta",'Riesgos de Gestión'!$AH$26="Mayor"),CONCATENATE("R2C",'Riesgos de Gestión'!$V$26),"")</f>
        <v/>
      </c>
      <c r="AH17" s="38" t="str">
        <f>IF(AND('Riesgos de Gestión'!$AF$21="Alta",'Riesgos de Gestión'!$AH$21="Catastrófico"),CONCATENATE("R2C",'Riesgos de Gestión'!$V$21),"")</f>
        <v/>
      </c>
      <c r="AI17" s="39" t="str">
        <f>IF(AND('Riesgos de Gestión'!$AF$22="Alta",'Riesgos de Gestión'!$AH$22="Catastrófico"),CONCATENATE("R2C",'Riesgos de Gestión'!$V$22),"")</f>
        <v/>
      </c>
      <c r="AJ17" s="39" t="str">
        <f>IF(AND('Riesgos de Gestión'!$AF$23="Alta",'Riesgos de Gestión'!$AH$23="Catastrófico"),CONCATENATE("R2C",'Riesgos de Gestión'!$V$23),"")</f>
        <v/>
      </c>
      <c r="AK17" s="39" t="str">
        <f>IF(AND('Riesgos de Gestión'!$AF$24="Alta",'Riesgos de Gestión'!$AH$24="Catastrófico"),CONCATENATE("R2C",'Riesgos de Gestión'!$V$24),"")</f>
        <v/>
      </c>
      <c r="AL17" s="39" t="str">
        <f>IF(AND('Riesgos de Gestión'!$AF$25="Alta",'Riesgos de Gestión'!$AH$25="Catastrófico"),CONCATENATE("R2C",'Riesgos de Gestión'!$V$25),"")</f>
        <v/>
      </c>
      <c r="AM17" s="40" t="str">
        <f>IF(AND('Riesgos de Gestión'!$AF$26="Alta",'Riesgos de Gestión'!$AH$26="Catastrófico"),CONCATENATE("R2C",'Riesgos de Gestión'!$V$26),"")</f>
        <v/>
      </c>
      <c r="AN17" s="66"/>
      <c r="AO17" s="509"/>
      <c r="AP17" s="510"/>
      <c r="AQ17" s="510"/>
      <c r="AR17" s="510"/>
      <c r="AS17" s="510"/>
      <c r="AT17" s="511"/>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25">
      <c r="A18" s="66"/>
      <c r="B18" s="458"/>
      <c r="C18" s="458"/>
      <c r="D18" s="459"/>
      <c r="E18" s="499"/>
      <c r="F18" s="500"/>
      <c r="G18" s="500"/>
      <c r="H18" s="500"/>
      <c r="I18" s="500"/>
      <c r="J18" s="50" t="str">
        <f>IF(AND('Riesgos de Gestión'!$AF$27="Alta",'Riesgos de Gestión'!$AH$27="Leve"),CONCATENATE("R3C",'Riesgos de Gestión'!$V$27),"")</f>
        <v/>
      </c>
      <c r="K18" s="51" t="str">
        <f>IF(AND('Riesgos de Gestión'!$AF$28="Alta",'Riesgos de Gestión'!$AH$28="Leve"),CONCATENATE("R3C",'Riesgos de Gestión'!$V$28),"")</f>
        <v/>
      </c>
      <c r="L18" s="51" t="str">
        <f>IF(AND('Riesgos de Gestión'!$AF$29="Alta",'Riesgos de Gestión'!$AH$29="Leve"),CONCATENATE("R3C",'Riesgos de Gestión'!$V$29),"")</f>
        <v/>
      </c>
      <c r="M18" s="51" t="str">
        <f>IF(AND('Riesgos de Gestión'!$AF$30="Alta",'Riesgos de Gestión'!$AH$30="Leve"),CONCATENATE("R3C",'Riesgos de Gestión'!$V$30),"")</f>
        <v/>
      </c>
      <c r="N18" s="51" t="str">
        <f>IF(AND('Riesgos de Gestión'!$AF$31="Alta",'Riesgos de Gestión'!$AH$31="Leve"),CONCATENATE("R3C",'Riesgos de Gestión'!$V$31),"")</f>
        <v/>
      </c>
      <c r="O18" s="52" t="str">
        <f>IF(AND('Riesgos de Gestión'!$AF$32="Alta",'Riesgos de Gestión'!$AH$32="Leve"),CONCATENATE("R3C",'Riesgos de Gestión'!$V$32),"")</f>
        <v/>
      </c>
      <c r="P18" s="50" t="str">
        <f>IF(AND('Riesgos de Gestión'!$AF$27="Alta",'Riesgos de Gestión'!$AH$27="Menor"),CONCATENATE("R3C",'Riesgos de Gestión'!$V$27),"")</f>
        <v/>
      </c>
      <c r="Q18" s="51" t="str">
        <f>IF(AND('Riesgos de Gestión'!$AF$28="Alta",'Riesgos de Gestión'!$AH$28="Menor"),CONCATENATE("R3C",'Riesgos de Gestión'!$V$28),"")</f>
        <v/>
      </c>
      <c r="R18" s="51" t="str">
        <f>IF(AND('Riesgos de Gestión'!$AF$29="Alta",'Riesgos de Gestión'!$AH$29="Menor"),CONCATENATE("R3C",'Riesgos de Gestión'!$V$29),"")</f>
        <v/>
      </c>
      <c r="S18" s="51" t="str">
        <f>IF(AND('Riesgos de Gestión'!$AF$30="Alta",'Riesgos de Gestión'!$AH$30="Menor"),CONCATENATE("R3C",'Riesgos de Gestión'!$V$30),"")</f>
        <v/>
      </c>
      <c r="T18" s="51" t="str">
        <f>IF(AND('Riesgos de Gestión'!$AF$31="Alta",'Riesgos de Gestión'!$AH$31="Menor"),CONCATENATE("R3C",'Riesgos de Gestión'!$V$31),"")</f>
        <v/>
      </c>
      <c r="U18" s="52" t="str">
        <f>IF(AND('Riesgos de Gestión'!$AF$32="Alta",'Riesgos de Gestión'!$AH$32="Menor"),CONCATENATE("R3C",'Riesgos de Gestión'!$V$32),"")</f>
        <v/>
      </c>
      <c r="V18" s="35" t="str">
        <f>IF(AND('Riesgos de Gestión'!$AF$27="Alta",'Riesgos de Gestión'!$AH$27="Moderado"),CONCATENATE("R3C",'Riesgos de Gestión'!$V$27),"")</f>
        <v/>
      </c>
      <c r="W18" s="36" t="str">
        <f>IF(AND('Riesgos de Gestión'!$AF$28="Alta",'Riesgos de Gestión'!$AH$28="Moderado"),CONCATENATE("R3C",'Riesgos de Gestión'!$V$28),"")</f>
        <v/>
      </c>
      <c r="X18" s="36" t="str">
        <f>IF(AND('Riesgos de Gestión'!$AF$29="Alta",'Riesgos de Gestión'!$AH$29="Moderado"),CONCATENATE("R3C",'Riesgos de Gestión'!$V$29),"")</f>
        <v/>
      </c>
      <c r="Y18" s="36" t="str">
        <f>IF(AND('Riesgos de Gestión'!$AF$30="Alta",'Riesgos de Gestión'!$AH$30="Moderado"),CONCATENATE("R3C",'Riesgos de Gestión'!$V$30),"")</f>
        <v/>
      </c>
      <c r="Z18" s="36" t="str">
        <f>IF(AND('Riesgos de Gestión'!$AF$31="Alta",'Riesgos de Gestión'!$AH$31="Moderado"),CONCATENATE("R3C",'Riesgos de Gestión'!$V$31),"")</f>
        <v/>
      </c>
      <c r="AA18" s="37" t="str">
        <f>IF(AND('Riesgos de Gestión'!$AF$32="Alta",'Riesgos de Gestión'!$AH$32="Moderado"),CONCATENATE("R3C",'Riesgos de Gestión'!$V$32),"")</f>
        <v/>
      </c>
      <c r="AB18" s="35" t="str">
        <f>IF(AND('Riesgos de Gestión'!$AF$27="Alta",'Riesgos de Gestión'!$AH$27="Mayor"),CONCATENATE("R3C",'Riesgos de Gestión'!$V$27),"")</f>
        <v/>
      </c>
      <c r="AC18" s="36" t="str">
        <f>IF(AND('Riesgos de Gestión'!$AF$28="Alta",'Riesgos de Gestión'!$AH$28="Mayor"),CONCATENATE("R3C",'Riesgos de Gestión'!$V$28),"")</f>
        <v/>
      </c>
      <c r="AD18" s="36" t="str">
        <f>IF(AND('Riesgos de Gestión'!$AF$29="Alta",'Riesgos de Gestión'!$AH$29="Mayor"),CONCATENATE("R3C",'Riesgos de Gestión'!$V$29),"")</f>
        <v/>
      </c>
      <c r="AE18" s="36" t="str">
        <f>IF(AND('Riesgos de Gestión'!$AF$30="Alta",'Riesgos de Gestión'!$AH$30="Mayor"),CONCATENATE("R3C",'Riesgos de Gestión'!$V$30),"")</f>
        <v/>
      </c>
      <c r="AF18" s="36" t="str">
        <f>IF(AND('Riesgos de Gestión'!$AF$31="Alta",'Riesgos de Gestión'!$AH$31="Mayor"),CONCATENATE("R3C",'Riesgos de Gestión'!$V$31),"")</f>
        <v/>
      </c>
      <c r="AG18" s="37" t="str">
        <f>IF(AND('Riesgos de Gestión'!$AF$32="Alta",'Riesgos de Gestión'!$AH$32="Mayor"),CONCATENATE("R3C",'Riesgos de Gestión'!$V$32),"")</f>
        <v/>
      </c>
      <c r="AH18" s="38" t="str">
        <f>IF(AND('Riesgos de Gestión'!$AF$27="Alta",'Riesgos de Gestión'!$AH$27="Catastrófico"),CONCATENATE("R3C",'Riesgos de Gestión'!$V$27),"")</f>
        <v/>
      </c>
      <c r="AI18" s="39" t="str">
        <f>IF(AND('Riesgos de Gestión'!$AF$28="Alta",'Riesgos de Gestión'!$AH$28="Catastrófico"),CONCATENATE("R3C",'Riesgos de Gestión'!$V$28),"")</f>
        <v/>
      </c>
      <c r="AJ18" s="39" t="str">
        <f>IF(AND('Riesgos de Gestión'!$AF$29="Alta",'Riesgos de Gestión'!$AH$29="Catastrófico"),CONCATENATE("R3C",'Riesgos de Gestión'!$V$29),"")</f>
        <v/>
      </c>
      <c r="AK18" s="39" t="str">
        <f>IF(AND('Riesgos de Gestión'!$AF$30="Alta",'Riesgos de Gestión'!$AH$30="Catastrófico"),CONCATENATE("R3C",'Riesgos de Gestión'!$V$30),"")</f>
        <v/>
      </c>
      <c r="AL18" s="39" t="str">
        <f>IF(AND('Riesgos de Gestión'!$AF$31="Alta",'Riesgos de Gestión'!$AH$31="Catastrófico"),CONCATENATE("R3C",'Riesgos de Gestión'!$V$31),"")</f>
        <v/>
      </c>
      <c r="AM18" s="40" t="str">
        <f>IF(AND('Riesgos de Gestión'!$AF$32="Alta",'Riesgos de Gestión'!$AH$32="Catastrófico"),CONCATENATE("R3C",'Riesgos de Gestión'!$V$32),"")</f>
        <v/>
      </c>
      <c r="AN18" s="66"/>
      <c r="AO18" s="509"/>
      <c r="AP18" s="510"/>
      <c r="AQ18" s="510"/>
      <c r="AR18" s="510"/>
      <c r="AS18" s="510"/>
      <c r="AT18" s="511"/>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25">
      <c r="A19" s="66"/>
      <c r="B19" s="458"/>
      <c r="C19" s="458"/>
      <c r="D19" s="459"/>
      <c r="E19" s="499"/>
      <c r="F19" s="500"/>
      <c r="G19" s="500"/>
      <c r="H19" s="500"/>
      <c r="I19" s="500"/>
      <c r="J19" s="50" t="str">
        <f>IF(AND('Riesgos de Gestión'!$AF$33="Alta",'Riesgos de Gestión'!$AH$33="Leve"),CONCATENATE("R4C",'Riesgos de Gestión'!$V$33),"")</f>
        <v/>
      </c>
      <c r="K19" s="51" t="str">
        <f>IF(AND('Riesgos de Gestión'!$AF$34="Alta",'Riesgos de Gestión'!$AH$34="Leve"),CONCATENATE("R4C",'Riesgos de Gestión'!$V$34),"")</f>
        <v/>
      </c>
      <c r="L19" s="51" t="str">
        <f>IF(AND('Riesgos de Gestión'!$AF$35="Alta",'Riesgos de Gestión'!$AH$35="Leve"),CONCATENATE("R4C",'Riesgos de Gestión'!$V$35),"")</f>
        <v/>
      </c>
      <c r="M19" s="51" t="str">
        <f>IF(AND('Riesgos de Gestión'!$AF$36="Alta",'Riesgos de Gestión'!$AH$36="Leve"),CONCATENATE("R4C",'Riesgos de Gestión'!$V$36),"")</f>
        <v/>
      </c>
      <c r="N19" s="51" t="str">
        <f>IF(AND('Riesgos de Gestión'!$AF$37="Alta",'Riesgos de Gestión'!$AH$37="Leve"),CONCATENATE("R4C",'Riesgos de Gestión'!$V$37),"")</f>
        <v/>
      </c>
      <c r="O19" s="52" t="str">
        <f>IF(AND('Riesgos de Gestión'!$AF$38="Alta",'Riesgos de Gestión'!$AH$38="Leve"),CONCATENATE("R4C",'Riesgos de Gestión'!$V$38),"")</f>
        <v/>
      </c>
      <c r="P19" s="50" t="str">
        <f>IF(AND('Riesgos de Gestión'!$AF$33="Alta",'Riesgos de Gestión'!$AH$33="Menor"),CONCATENATE("R4C",'Riesgos de Gestión'!$V$33),"")</f>
        <v/>
      </c>
      <c r="Q19" s="51" t="str">
        <f>IF(AND('Riesgos de Gestión'!$AF$34="Alta",'Riesgos de Gestión'!$AH$34="Menor"),CONCATENATE("R4C",'Riesgos de Gestión'!$V$34),"")</f>
        <v/>
      </c>
      <c r="R19" s="51" t="str">
        <f>IF(AND('Riesgos de Gestión'!$AF$35="Alta",'Riesgos de Gestión'!$AH$35="Menor"),CONCATENATE("R4C",'Riesgos de Gestión'!$V$35),"")</f>
        <v/>
      </c>
      <c r="S19" s="51" t="str">
        <f>IF(AND('Riesgos de Gestión'!$AF$36="Alta",'Riesgos de Gestión'!$AH$36="Menor"),CONCATENATE("R4C",'Riesgos de Gestión'!$V$36),"")</f>
        <v/>
      </c>
      <c r="T19" s="51" t="str">
        <f>IF(AND('Riesgos de Gestión'!$AF$37="Alta",'Riesgos de Gestión'!$AH$37="Menor"),CONCATENATE("R4C",'Riesgos de Gestión'!$V$37),"")</f>
        <v/>
      </c>
      <c r="U19" s="52" t="str">
        <f>IF(AND('Riesgos de Gestión'!$AF$38="Alta",'Riesgos de Gestión'!$AH$38="Menor"),CONCATENATE("R4C",'Riesgos de Gestión'!$V$38),"")</f>
        <v/>
      </c>
      <c r="V19" s="35" t="str">
        <f>IF(AND('Riesgos de Gestión'!$AF$33="Alta",'Riesgos de Gestión'!$AH$33="Moderado"),CONCATENATE("R4C",'Riesgos de Gestión'!$V$33),"")</f>
        <v/>
      </c>
      <c r="W19" s="36" t="str">
        <f>IF(AND('Riesgos de Gestión'!$AF$34="Alta",'Riesgos de Gestión'!$AH$34="Moderado"),CONCATENATE("R4C",'Riesgos de Gestión'!$V$34),"")</f>
        <v/>
      </c>
      <c r="X19" s="36" t="str">
        <f>IF(AND('Riesgos de Gestión'!$AF$35="Alta",'Riesgos de Gestión'!$AH$35="Moderado"),CONCATENATE("R4C",'Riesgos de Gestión'!$V$35),"")</f>
        <v/>
      </c>
      <c r="Y19" s="36" t="str">
        <f>IF(AND('Riesgos de Gestión'!$AF$36="Alta",'Riesgos de Gestión'!$AH$36="Moderado"),CONCATENATE("R4C",'Riesgos de Gestión'!$V$36),"")</f>
        <v/>
      </c>
      <c r="Z19" s="36" t="str">
        <f>IF(AND('Riesgos de Gestión'!$AF$37="Alta",'Riesgos de Gestión'!$AH$37="Moderado"),CONCATENATE("R4C",'Riesgos de Gestión'!$V$37),"")</f>
        <v/>
      </c>
      <c r="AA19" s="37" t="str">
        <f>IF(AND('Riesgos de Gestión'!$AF$38="Alta",'Riesgos de Gestión'!$AH$38="Moderado"),CONCATENATE("R4C",'Riesgos de Gestión'!$V$38),"")</f>
        <v/>
      </c>
      <c r="AB19" s="35" t="str">
        <f>IF(AND('Riesgos de Gestión'!$AF$33="Alta",'Riesgos de Gestión'!$AH$33="Mayor"),CONCATENATE("R4C",'Riesgos de Gestión'!$V$33),"")</f>
        <v/>
      </c>
      <c r="AC19" s="36" t="str">
        <f>IF(AND('Riesgos de Gestión'!$AF$34="Alta",'Riesgos de Gestión'!$AH$34="Mayor"),CONCATENATE("R4C",'Riesgos de Gestión'!$V$34),"")</f>
        <v/>
      </c>
      <c r="AD19" s="36" t="str">
        <f>IF(AND('Riesgos de Gestión'!$AF$35="Alta",'Riesgos de Gestión'!$AH$35="Mayor"),CONCATENATE("R4C",'Riesgos de Gestión'!$V$35),"")</f>
        <v/>
      </c>
      <c r="AE19" s="36" t="str">
        <f>IF(AND('Riesgos de Gestión'!$AF$36="Alta",'Riesgos de Gestión'!$AH$36="Mayor"),CONCATENATE("R4C",'Riesgos de Gestión'!$V$36),"")</f>
        <v/>
      </c>
      <c r="AF19" s="36" t="str">
        <f>IF(AND('Riesgos de Gestión'!$AF$37="Alta",'Riesgos de Gestión'!$AH$37="Mayor"),CONCATENATE("R4C",'Riesgos de Gestión'!$V$37),"")</f>
        <v/>
      </c>
      <c r="AG19" s="37" t="str">
        <f>IF(AND('Riesgos de Gestión'!$AF$38="Alta",'Riesgos de Gestión'!$AH$38="Mayor"),CONCATENATE("R4C",'Riesgos de Gestión'!$V$38),"")</f>
        <v/>
      </c>
      <c r="AH19" s="38" t="str">
        <f>IF(AND('Riesgos de Gestión'!$AF$33="Alta",'Riesgos de Gestión'!$AH$33="Catastrófico"),CONCATENATE("R4C",'Riesgos de Gestión'!$V$33),"")</f>
        <v/>
      </c>
      <c r="AI19" s="39" t="str">
        <f>IF(AND('Riesgos de Gestión'!$AF$34="Alta",'Riesgos de Gestión'!$AH$34="Catastrófico"),CONCATENATE("R4C",'Riesgos de Gestión'!$V$34),"")</f>
        <v/>
      </c>
      <c r="AJ19" s="39" t="str">
        <f>IF(AND('Riesgos de Gestión'!$AF$35="Alta",'Riesgos de Gestión'!$AH$35="Catastrófico"),CONCATENATE("R4C",'Riesgos de Gestión'!$V$35),"")</f>
        <v/>
      </c>
      <c r="AK19" s="39" t="str">
        <f>IF(AND('Riesgos de Gestión'!$AF$36="Alta",'Riesgos de Gestión'!$AH$36="Catastrófico"),CONCATENATE("R4C",'Riesgos de Gestión'!$V$36),"")</f>
        <v/>
      </c>
      <c r="AL19" s="39" t="str">
        <f>IF(AND('Riesgos de Gestión'!$AF$37="Alta",'Riesgos de Gestión'!$AH$37="Catastrófico"),CONCATENATE("R4C",'Riesgos de Gestión'!$V$37),"")</f>
        <v/>
      </c>
      <c r="AM19" s="40" t="str">
        <f>IF(AND('Riesgos de Gestión'!$AF$38="Alta",'Riesgos de Gestión'!$AH$38="Catastrófico"),CONCATENATE("R4C",'Riesgos de Gestión'!$V$38),"")</f>
        <v/>
      </c>
      <c r="AN19" s="66"/>
      <c r="AO19" s="509"/>
      <c r="AP19" s="510"/>
      <c r="AQ19" s="510"/>
      <c r="AR19" s="510"/>
      <c r="AS19" s="510"/>
      <c r="AT19" s="511"/>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25">
      <c r="A20" s="66"/>
      <c r="B20" s="458"/>
      <c r="C20" s="458"/>
      <c r="D20" s="459"/>
      <c r="E20" s="499"/>
      <c r="F20" s="500"/>
      <c r="G20" s="500"/>
      <c r="H20" s="500"/>
      <c r="I20" s="500"/>
      <c r="J20" s="50" t="str">
        <f>IF(AND('Riesgos de Gestión'!$AF$39="Alta",'Riesgos de Gestión'!$AH$39="Leve"),CONCATENATE("R5C",'Riesgos de Gestión'!$V$39),"")</f>
        <v/>
      </c>
      <c r="K20" s="51" t="str">
        <f>IF(AND('Riesgos de Gestión'!$AF$40="Alta",'Riesgos de Gestión'!$AH$40="Leve"),CONCATENATE("R5C",'Riesgos de Gestión'!$V$40),"")</f>
        <v/>
      </c>
      <c r="L20" s="51" t="str">
        <f>IF(AND('Riesgos de Gestión'!$AF$41="Alta",'Riesgos de Gestión'!$AH$41="Leve"),CONCATENATE("R5C",'Riesgos de Gestión'!$V$41),"")</f>
        <v/>
      </c>
      <c r="M20" s="51" t="str">
        <f>IF(AND('Riesgos de Gestión'!$AF$42="Alta",'Riesgos de Gestión'!$AH$42="Leve"),CONCATENATE("R5C",'Riesgos de Gestión'!$V$42),"")</f>
        <v/>
      </c>
      <c r="N20" s="51" t="str">
        <f>IF(AND('Riesgos de Gestión'!$AF$43="Alta",'Riesgos de Gestión'!$AH$43="Leve"),CONCATENATE("R5C",'Riesgos de Gestión'!$V$43),"")</f>
        <v/>
      </c>
      <c r="O20" s="52" t="str">
        <f>IF(AND('Riesgos de Gestión'!$AF$44="Alta",'Riesgos de Gestión'!$AH$44="Leve"),CONCATENATE("R5C",'Riesgos de Gestión'!$V$44),"")</f>
        <v/>
      </c>
      <c r="P20" s="50" t="str">
        <f>IF(AND('Riesgos de Gestión'!$AF$39="Alta",'Riesgos de Gestión'!$AH$39="Menor"),CONCATENATE("R5C",'Riesgos de Gestión'!$V$39),"")</f>
        <v/>
      </c>
      <c r="Q20" s="51" t="str">
        <f>IF(AND('Riesgos de Gestión'!$AF$40="Alta",'Riesgos de Gestión'!$AH$40="Menor"),CONCATENATE("R5C",'Riesgos de Gestión'!$V$40),"")</f>
        <v/>
      </c>
      <c r="R20" s="51" t="str">
        <f>IF(AND('Riesgos de Gestión'!$AF$41="Alta",'Riesgos de Gestión'!$AH$41="Menor"),CONCATENATE("R5C",'Riesgos de Gestión'!$V$41),"")</f>
        <v/>
      </c>
      <c r="S20" s="51" t="str">
        <f>IF(AND('Riesgos de Gestión'!$AF$42="Alta",'Riesgos de Gestión'!$AH$42="Menor"),CONCATENATE("R5C",'Riesgos de Gestión'!$V$42),"")</f>
        <v/>
      </c>
      <c r="T20" s="51" t="str">
        <f>IF(AND('Riesgos de Gestión'!$AF$43="Alta",'Riesgos de Gestión'!$AH$43="Menor"),CONCATENATE("R5C",'Riesgos de Gestión'!$V$43),"")</f>
        <v/>
      </c>
      <c r="U20" s="52" t="str">
        <f>IF(AND('Riesgos de Gestión'!$AF$44="Alta",'Riesgos de Gestión'!$AH$44="Menor"),CONCATENATE("R5C",'Riesgos de Gestión'!$V$44),"")</f>
        <v/>
      </c>
      <c r="V20" s="35" t="str">
        <f>IF(AND('Riesgos de Gestión'!$AF$39="Alta",'Riesgos de Gestión'!$AH$39="Moderado"),CONCATENATE("R5C",'Riesgos de Gestión'!$V$39),"")</f>
        <v/>
      </c>
      <c r="W20" s="36" t="str">
        <f>IF(AND('Riesgos de Gestión'!$AF$40="Alta",'Riesgos de Gestión'!$AH$40="Moderado"),CONCATENATE("R5C",'Riesgos de Gestión'!$V$40),"")</f>
        <v/>
      </c>
      <c r="X20" s="36" t="str">
        <f>IF(AND('Riesgos de Gestión'!$AF$41="Alta",'Riesgos de Gestión'!$AH$41="Moderado"),CONCATENATE("R5C",'Riesgos de Gestión'!$V$41),"")</f>
        <v/>
      </c>
      <c r="Y20" s="36" t="str">
        <f>IF(AND('Riesgos de Gestión'!$AF$42="Alta",'Riesgos de Gestión'!$AH$42="Moderado"),CONCATENATE("R5C",'Riesgos de Gestión'!$V$42),"")</f>
        <v/>
      </c>
      <c r="Z20" s="36" t="str">
        <f>IF(AND('Riesgos de Gestión'!$AF$43="Alta",'Riesgos de Gestión'!$AH$43="Moderado"),CONCATENATE("R5C",'Riesgos de Gestión'!$V$43),"")</f>
        <v/>
      </c>
      <c r="AA20" s="37" t="str">
        <f>IF(AND('Riesgos de Gestión'!$AF$44="Alta",'Riesgos de Gestión'!$AH$44="Moderado"),CONCATENATE("R5C",'Riesgos de Gestión'!$V$44),"")</f>
        <v/>
      </c>
      <c r="AB20" s="35" t="str">
        <f>IF(AND('Riesgos de Gestión'!$AF$39="Alta",'Riesgos de Gestión'!$AH$39="Mayor"),CONCATENATE("R5C",'Riesgos de Gestión'!$V$39),"")</f>
        <v/>
      </c>
      <c r="AC20" s="36" t="str">
        <f>IF(AND('Riesgos de Gestión'!$AF$40="Alta",'Riesgos de Gestión'!$AH$40="Mayor"),CONCATENATE("R5C",'Riesgos de Gestión'!$V$40),"")</f>
        <v/>
      </c>
      <c r="AD20" s="36" t="str">
        <f>IF(AND('Riesgos de Gestión'!$AF$41="Alta",'Riesgos de Gestión'!$AH$41="Mayor"),CONCATENATE("R5C",'Riesgos de Gestión'!$V$41),"")</f>
        <v/>
      </c>
      <c r="AE20" s="36" t="str">
        <f>IF(AND('Riesgos de Gestión'!$AF$42="Alta",'Riesgos de Gestión'!$AH$42="Mayor"),CONCATENATE("R5C",'Riesgos de Gestión'!$V$42),"")</f>
        <v/>
      </c>
      <c r="AF20" s="36" t="str">
        <f>IF(AND('Riesgos de Gestión'!$AF$43="Alta",'Riesgos de Gestión'!$AH$43="Mayor"),CONCATENATE("R5C",'Riesgos de Gestión'!$V$43),"")</f>
        <v/>
      </c>
      <c r="AG20" s="37" t="str">
        <f>IF(AND('Riesgos de Gestión'!$AF$44="Alta",'Riesgos de Gestión'!$AH$44="Mayor"),CONCATENATE("R5C",'Riesgos de Gestión'!$V$44),"")</f>
        <v/>
      </c>
      <c r="AH20" s="38" t="str">
        <f>IF(AND('Riesgos de Gestión'!$AF$39="Alta",'Riesgos de Gestión'!$AH$39="Catastrófico"),CONCATENATE("R5C",'Riesgos de Gestión'!$V$39),"")</f>
        <v/>
      </c>
      <c r="AI20" s="39" t="str">
        <f>IF(AND('Riesgos de Gestión'!$AF$40="Alta",'Riesgos de Gestión'!$AH$40="Catastrófico"),CONCATENATE("R5C",'Riesgos de Gestión'!$V$40),"")</f>
        <v/>
      </c>
      <c r="AJ20" s="39" t="str">
        <f>IF(AND('Riesgos de Gestión'!$AF$41="Alta",'Riesgos de Gestión'!$AH$41="Catastrófico"),CONCATENATE("R5C",'Riesgos de Gestión'!$V$41),"")</f>
        <v/>
      </c>
      <c r="AK20" s="39" t="str">
        <f>IF(AND('Riesgos de Gestión'!$AF$42="Alta",'Riesgos de Gestión'!$AH$42="Catastrófico"),CONCATENATE("R5C",'Riesgos de Gestión'!$V$42),"")</f>
        <v/>
      </c>
      <c r="AL20" s="39" t="str">
        <f>IF(AND('Riesgos de Gestión'!$AF$43="Alta",'Riesgos de Gestión'!$AH$43="Catastrófico"),CONCATENATE("R5C",'Riesgos de Gestión'!$V$43),"")</f>
        <v/>
      </c>
      <c r="AM20" s="40" t="str">
        <f>IF(AND('Riesgos de Gestión'!$AF$44="Alta",'Riesgos de Gestión'!$AH$44="Catastrófico"),CONCATENATE("R5C",'Riesgos de Gestión'!$V$44),"")</f>
        <v/>
      </c>
      <c r="AN20" s="66"/>
      <c r="AO20" s="509"/>
      <c r="AP20" s="510"/>
      <c r="AQ20" s="510"/>
      <c r="AR20" s="510"/>
      <c r="AS20" s="510"/>
      <c r="AT20" s="511"/>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25">
      <c r="A21" s="66"/>
      <c r="B21" s="458"/>
      <c r="C21" s="458"/>
      <c r="D21" s="459"/>
      <c r="E21" s="499"/>
      <c r="F21" s="500"/>
      <c r="G21" s="500"/>
      <c r="H21" s="500"/>
      <c r="I21" s="500"/>
      <c r="J21" s="50" t="str">
        <f>IF(AND('Riesgos de Gestión'!$AF$45="Alta",'Riesgos de Gestión'!$AH$45="Leve"),CONCATENATE("R6C",'Riesgos de Gestión'!$V$45),"")</f>
        <v/>
      </c>
      <c r="K21" s="51" t="str">
        <f>IF(AND('Riesgos de Gestión'!$AF$46="Alta",'Riesgos de Gestión'!$AH$46="Leve"),CONCATENATE("R6C",'Riesgos de Gestión'!$V$46),"")</f>
        <v/>
      </c>
      <c r="L21" s="51" t="str">
        <f>IF(AND('Riesgos de Gestión'!$AF$47="Alta",'Riesgos de Gestión'!$AH$47="Leve"),CONCATENATE("R6C",'Riesgos de Gestión'!$V$47),"")</f>
        <v/>
      </c>
      <c r="M21" s="51" t="str">
        <f>IF(AND('Riesgos de Gestión'!$AF$48="Alta",'Riesgos de Gestión'!$AH$48="Leve"),CONCATENATE("R6C",'Riesgos de Gestión'!$V$48),"")</f>
        <v/>
      </c>
      <c r="N21" s="51" t="str">
        <f>IF(AND('Riesgos de Gestión'!$AF$49="Alta",'Riesgos de Gestión'!$AH$49="Leve"),CONCATENATE("R6C",'Riesgos de Gestión'!$V$49),"")</f>
        <v/>
      </c>
      <c r="O21" s="52" t="str">
        <f>IF(AND('Riesgos de Gestión'!$AF$50="Alta",'Riesgos de Gestión'!$AH$50="Leve"),CONCATENATE("R6C",'Riesgos de Gestión'!$V$50),"")</f>
        <v/>
      </c>
      <c r="P21" s="50" t="str">
        <f>IF(AND('Riesgos de Gestión'!$AF$45="Alta",'Riesgos de Gestión'!$AH$45="Menor"),CONCATENATE("R6C",'Riesgos de Gestión'!$V$45),"")</f>
        <v/>
      </c>
      <c r="Q21" s="51" t="str">
        <f>IF(AND('Riesgos de Gestión'!$AF$46="Alta",'Riesgos de Gestión'!$AH$46="Menor"),CONCATENATE("R6C",'Riesgos de Gestión'!$V$46),"")</f>
        <v/>
      </c>
      <c r="R21" s="51" t="str">
        <f>IF(AND('Riesgos de Gestión'!$AF$47="Alta",'Riesgos de Gestión'!$AH$47="Menor"),CONCATENATE("R6C",'Riesgos de Gestión'!$V$47),"")</f>
        <v/>
      </c>
      <c r="S21" s="51" t="str">
        <f>IF(AND('Riesgos de Gestión'!$AF$48="Alta",'Riesgos de Gestión'!$AH$48="Menor"),CONCATENATE("R6C",'Riesgos de Gestión'!$V$48),"")</f>
        <v/>
      </c>
      <c r="T21" s="51" t="str">
        <f>IF(AND('Riesgos de Gestión'!$AF$49="Alta",'Riesgos de Gestión'!$AH$49="Menor"),CONCATENATE("R6C",'Riesgos de Gestión'!$V$49),"")</f>
        <v/>
      </c>
      <c r="U21" s="52" t="str">
        <f>IF(AND('Riesgos de Gestión'!$AF$50="Alta",'Riesgos de Gestión'!$AH$50="Menor"),CONCATENATE("R6C",'Riesgos de Gestión'!$V$50),"")</f>
        <v/>
      </c>
      <c r="V21" s="35" t="str">
        <f>IF(AND('Riesgos de Gestión'!$AF$45="Alta",'Riesgos de Gestión'!$AH$45="Moderado"),CONCATENATE("R6C",'Riesgos de Gestión'!$V$45),"")</f>
        <v/>
      </c>
      <c r="W21" s="36" t="str">
        <f>IF(AND('Riesgos de Gestión'!$AF$46="Alta",'Riesgos de Gestión'!$AH$46="Moderado"),CONCATENATE("R6C",'Riesgos de Gestión'!$V$46),"")</f>
        <v/>
      </c>
      <c r="X21" s="36" t="str">
        <f>IF(AND('Riesgos de Gestión'!$AF$47="Alta",'Riesgos de Gestión'!$AH$47="Moderado"),CONCATENATE("R6C",'Riesgos de Gestión'!$V$47),"")</f>
        <v/>
      </c>
      <c r="Y21" s="36" t="str">
        <f>IF(AND('Riesgos de Gestión'!$AF$48="Alta",'Riesgos de Gestión'!$AH$48="Moderado"),CONCATENATE("R6C",'Riesgos de Gestión'!$V$48),"")</f>
        <v/>
      </c>
      <c r="Z21" s="36" t="str">
        <f>IF(AND('Riesgos de Gestión'!$AF$49="Alta",'Riesgos de Gestión'!$AH$49="Moderado"),CONCATENATE("R6C",'Riesgos de Gestión'!$V$49),"")</f>
        <v/>
      </c>
      <c r="AA21" s="37" t="str">
        <f>IF(AND('Riesgos de Gestión'!$AF$50="Alta",'Riesgos de Gestión'!$AH$50="Moderado"),CONCATENATE("R6C",'Riesgos de Gestión'!$V$50),"")</f>
        <v/>
      </c>
      <c r="AB21" s="35" t="str">
        <f>IF(AND('Riesgos de Gestión'!$AF$45="Alta",'Riesgos de Gestión'!$AH$45="Mayor"),CONCATENATE("R6C",'Riesgos de Gestión'!$V$45),"")</f>
        <v/>
      </c>
      <c r="AC21" s="36" t="str">
        <f>IF(AND('Riesgos de Gestión'!$AF$46="Alta",'Riesgos de Gestión'!$AH$46="Mayor"),CONCATENATE("R6C",'Riesgos de Gestión'!$V$46),"")</f>
        <v/>
      </c>
      <c r="AD21" s="36" t="str">
        <f>IF(AND('Riesgos de Gestión'!$AF$47="Alta",'Riesgos de Gestión'!$AH$47="Mayor"),CONCATENATE("R6C",'Riesgos de Gestión'!$V$47),"")</f>
        <v/>
      </c>
      <c r="AE21" s="36" t="str">
        <f>IF(AND('Riesgos de Gestión'!$AF$48="Alta",'Riesgos de Gestión'!$AH$48="Mayor"),CONCATENATE("R6C",'Riesgos de Gestión'!$V$48),"")</f>
        <v/>
      </c>
      <c r="AF21" s="36" t="str">
        <f>IF(AND('Riesgos de Gestión'!$AF$49="Alta",'Riesgos de Gestión'!$AH$49="Mayor"),CONCATENATE("R6C",'Riesgos de Gestión'!$V$49),"")</f>
        <v/>
      </c>
      <c r="AG21" s="37" t="str">
        <f>IF(AND('Riesgos de Gestión'!$AF$50="Alta",'Riesgos de Gestión'!$AH$50="Mayor"),CONCATENATE("R6C",'Riesgos de Gestión'!$V$50),"")</f>
        <v/>
      </c>
      <c r="AH21" s="38" t="str">
        <f>IF(AND('Riesgos de Gestión'!$AF$45="Alta",'Riesgos de Gestión'!$AH$45="Catastrófico"),CONCATENATE("R6C",'Riesgos de Gestión'!$V$45),"")</f>
        <v/>
      </c>
      <c r="AI21" s="39" t="str">
        <f>IF(AND('Riesgos de Gestión'!$AF$46="Alta",'Riesgos de Gestión'!$AH$46="Catastrófico"),CONCATENATE("R6C",'Riesgos de Gestión'!$V$46),"")</f>
        <v/>
      </c>
      <c r="AJ21" s="39" t="str">
        <f>IF(AND('Riesgos de Gestión'!$AF$47="Alta",'Riesgos de Gestión'!$AH$47="Catastrófico"),CONCATENATE("R6C",'Riesgos de Gestión'!$V$47),"")</f>
        <v/>
      </c>
      <c r="AK21" s="39" t="str">
        <f>IF(AND('Riesgos de Gestión'!$AF$48="Alta",'Riesgos de Gestión'!$AH$48="Catastrófico"),CONCATENATE("R6C",'Riesgos de Gestión'!$V$48),"")</f>
        <v/>
      </c>
      <c r="AL21" s="39" t="str">
        <f>IF(AND('Riesgos de Gestión'!$AF$49="Alta",'Riesgos de Gestión'!$AH$49="Catastrófico"),CONCATENATE("R6C",'Riesgos de Gestión'!$V$49),"")</f>
        <v/>
      </c>
      <c r="AM21" s="40" t="str">
        <f>IF(AND('Riesgos de Gestión'!$AF$50="Alta",'Riesgos de Gestión'!$AH$50="Catastrófico"),CONCATENATE("R6C",'Riesgos de Gestión'!$V$50),"")</f>
        <v/>
      </c>
      <c r="AN21" s="66"/>
      <c r="AO21" s="509"/>
      <c r="AP21" s="510"/>
      <c r="AQ21" s="510"/>
      <c r="AR21" s="510"/>
      <c r="AS21" s="510"/>
      <c r="AT21" s="511"/>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25">
      <c r="A22" s="66"/>
      <c r="B22" s="458"/>
      <c r="C22" s="458"/>
      <c r="D22" s="459"/>
      <c r="E22" s="499"/>
      <c r="F22" s="500"/>
      <c r="G22" s="500"/>
      <c r="H22" s="500"/>
      <c r="I22" s="500"/>
      <c r="J22" s="50" t="str">
        <f>IF(AND('Riesgos de Gestión'!$AF$51="Alta",'Riesgos de Gestión'!$AH$51="Leve"),CONCATENATE("R7C",'Riesgos de Gestión'!$V$51),"")</f>
        <v/>
      </c>
      <c r="K22" s="51" t="str">
        <f>IF(AND('Riesgos de Gestión'!$AF$52="Alta",'Riesgos de Gestión'!$AH$52="Leve"),CONCATENATE("R7C",'Riesgos de Gestión'!$V$52),"")</f>
        <v/>
      </c>
      <c r="L22" s="51" t="str">
        <f>IF(AND('Riesgos de Gestión'!$AF$53="Alta",'Riesgos de Gestión'!$AH$53="Leve"),CONCATENATE("R7C",'Riesgos de Gestión'!$V$53),"")</f>
        <v/>
      </c>
      <c r="M22" s="51" t="str">
        <f>IF(AND('Riesgos de Gestión'!$AF$54="Alta",'Riesgos de Gestión'!$AH$54="Leve"),CONCATENATE("R7C",'Riesgos de Gestión'!$V$54),"")</f>
        <v/>
      </c>
      <c r="N22" s="51" t="str">
        <f>IF(AND('Riesgos de Gestión'!$AF$55="Alta",'Riesgos de Gestión'!$AH$55="Leve"),CONCATENATE("R7C",'Riesgos de Gestión'!$V$55),"")</f>
        <v/>
      </c>
      <c r="O22" s="52" t="str">
        <f>IF(AND('Riesgos de Gestión'!$AF$56="Alta",'Riesgos de Gestión'!$AH$56="Leve"),CONCATENATE("R7C",'Riesgos de Gestión'!$V$56),"")</f>
        <v/>
      </c>
      <c r="P22" s="50" t="str">
        <f>IF(AND('Riesgos de Gestión'!$AF$51="Alta",'Riesgos de Gestión'!$AH$51="Menor"),CONCATENATE("R7C",'Riesgos de Gestión'!$V$51),"")</f>
        <v/>
      </c>
      <c r="Q22" s="51" t="str">
        <f>IF(AND('Riesgos de Gestión'!$AF$52="Alta",'Riesgos de Gestión'!$AH$52="Menor"),CONCATENATE("R7C",'Riesgos de Gestión'!$V$52),"")</f>
        <v/>
      </c>
      <c r="R22" s="51" t="str">
        <f>IF(AND('Riesgos de Gestión'!$AF$53="Alta",'Riesgos de Gestión'!$AH$53="Menor"),CONCATENATE("R7C",'Riesgos de Gestión'!$V$53),"")</f>
        <v/>
      </c>
      <c r="S22" s="51" t="str">
        <f>IF(AND('Riesgos de Gestión'!$AF$54="Alta",'Riesgos de Gestión'!$AH$54="Menor"),CONCATENATE("R7C",'Riesgos de Gestión'!$V$54),"")</f>
        <v/>
      </c>
      <c r="T22" s="51" t="str">
        <f>IF(AND('Riesgos de Gestión'!$AF$55="Alta",'Riesgos de Gestión'!$AH$55="Menor"),CONCATENATE("R7C",'Riesgos de Gestión'!$V$55),"")</f>
        <v/>
      </c>
      <c r="U22" s="52" t="str">
        <f>IF(AND('Riesgos de Gestión'!$AF$56="Alta",'Riesgos de Gestión'!$AH$56="Menor"),CONCATENATE("R7C",'Riesgos de Gestión'!$V$56),"")</f>
        <v/>
      </c>
      <c r="V22" s="35" t="str">
        <f>IF(AND('Riesgos de Gestión'!$AF$51="Alta",'Riesgos de Gestión'!$AH$51="Moderado"),CONCATENATE("R7C",'Riesgos de Gestión'!$V$51),"")</f>
        <v/>
      </c>
      <c r="W22" s="36" t="str">
        <f>IF(AND('Riesgos de Gestión'!$AF$52="Alta",'Riesgos de Gestión'!$AH$52="Moderado"),CONCATENATE("R7C",'Riesgos de Gestión'!$V$52),"")</f>
        <v/>
      </c>
      <c r="X22" s="36" t="str">
        <f>IF(AND('Riesgos de Gestión'!$AF$53="Alta",'Riesgos de Gestión'!$AH$53="Moderado"),CONCATENATE("R7C",'Riesgos de Gestión'!$V$53),"")</f>
        <v/>
      </c>
      <c r="Y22" s="36" t="str">
        <f>IF(AND('Riesgos de Gestión'!$AF$54="Alta",'Riesgos de Gestión'!$AH$54="Moderado"),CONCATENATE("R7C",'Riesgos de Gestión'!$V$54),"")</f>
        <v/>
      </c>
      <c r="Z22" s="36" t="str">
        <f>IF(AND('Riesgos de Gestión'!$AF$55="Alta",'Riesgos de Gestión'!$AH$55="Moderado"),CONCATENATE("R7C",'Riesgos de Gestión'!$V$55),"")</f>
        <v/>
      </c>
      <c r="AA22" s="37" t="str">
        <f>IF(AND('Riesgos de Gestión'!$AF$56="Alta",'Riesgos de Gestión'!$AH$56="Moderado"),CONCATENATE("R7C",'Riesgos de Gestión'!$V$56),"")</f>
        <v/>
      </c>
      <c r="AB22" s="35" t="str">
        <f>IF(AND('Riesgos de Gestión'!$AF$51="Alta",'Riesgos de Gestión'!$AH$51="Mayor"),CONCATENATE("R7C",'Riesgos de Gestión'!$V$51),"")</f>
        <v/>
      </c>
      <c r="AC22" s="36" t="str">
        <f>IF(AND('Riesgos de Gestión'!$AF$52="Alta",'Riesgos de Gestión'!$AH$52="Mayor"),CONCATENATE("R7C",'Riesgos de Gestión'!$V$52),"")</f>
        <v/>
      </c>
      <c r="AD22" s="36" t="str">
        <f>IF(AND('Riesgos de Gestión'!$AF$53="Alta",'Riesgos de Gestión'!$AH$53="Mayor"),CONCATENATE("R7C",'Riesgos de Gestión'!$V$53),"")</f>
        <v/>
      </c>
      <c r="AE22" s="36" t="str">
        <f>IF(AND('Riesgos de Gestión'!$AF$54="Alta",'Riesgos de Gestión'!$AH$54="Mayor"),CONCATENATE("R7C",'Riesgos de Gestión'!$V$54),"")</f>
        <v/>
      </c>
      <c r="AF22" s="36" t="str">
        <f>IF(AND('Riesgos de Gestión'!$AF$55="Alta",'Riesgos de Gestión'!$AH$55="Mayor"),CONCATENATE("R7C",'Riesgos de Gestión'!$V$55),"")</f>
        <v/>
      </c>
      <c r="AG22" s="37" t="str">
        <f>IF(AND('Riesgos de Gestión'!$AF$56="Alta",'Riesgos de Gestión'!$AH$56="Mayor"),CONCATENATE("R7C",'Riesgos de Gestión'!$V$56),"")</f>
        <v/>
      </c>
      <c r="AH22" s="38" t="str">
        <f>IF(AND('Riesgos de Gestión'!$AF$51="Alta",'Riesgos de Gestión'!$AH$51="Catastrófico"),CONCATENATE("R7C",'Riesgos de Gestión'!$V$51),"")</f>
        <v/>
      </c>
      <c r="AI22" s="39" t="str">
        <f>IF(AND('Riesgos de Gestión'!$AF$52="Alta",'Riesgos de Gestión'!$AH$52="Catastrófico"),CONCATENATE("R7C",'Riesgos de Gestión'!$V$52),"")</f>
        <v/>
      </c>
      <c r="AJ22" s="39" t="str">
        <f>IF(AND('Riesgos de Gestión'!$AF$53="Alta",'Riesgos de Gestión'!$AH$53="Catastrófico"),CONCATENATE("R7C",'Riesgos de Gestión'!$V$53),"")</f>
        <v/>
      </c>
      <c r="AK22" s="39" t="str">
        <f>IF(AND('Riesgos de Gestión'!$AF$54="Alta",'Riesgos de Gestión'!$AH$54="Catastrófico"),CONCATENATE("R7C",'Riesgos de Gestión'!$V$54),"")</f>
        <v/>
      </c>
      <c r="AL22" s="39" t="str">
        <f>IF(AND('Riesgos de Gestión'!$AF$55="Alta",'Riesgos de Gestión'!$AH$55="Catastrófico"),CONCATENATE("R7C",'Riesgos de Gestión'!$V$55),"")</f>
        <v/>
      </c>
      <c r="AM22" s="40" t="str">
        <f>IF(AND('Riesgos de Gestión'!$AF$56="Alta",'Riesgos de Gestión'!$AH$56="Catastrófico"),CONCATENATE("R7C",'Riesgos de Gestión'!$V$56),"")</f>
        <v/>
      </c>
      <c r="AN22" s="66"/>
      <c r="AO22" s="509"/>
      <c r="AP22" s="510"/>
      <c r="AQ22" s="510"/>
      <c r="AR22" s="510"/>
      <c r="AS22" s="510"/>
      <c r="AT22" s="511"/>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25">
      <c r="A23" s="66"/>
      <c r="B23" s="458"/>
      <c r="C23" s="458"/>
      <c r="D23" s="459"/>
      <c r="E23" s="499"/>
      <c r="F23" s="500"/>
      <c r="G23" s="500"/>
      <c r="H23" s="500"/>
      <c r="I23" s="500"/>
      <c r="J23" s="50" t="str">
        <f>IF(AND('Riesgos de Gestión'!$AF$57="Alta",'Riesgos de Gestión'!$AH$57="Leve"),CONCATENATE("R8C",'Riesgos de Gestión'!$V$57),"")</f>
        <v/>
      </c>
      <c r="K23" s="51" t="str">
        <f>IF(AND('Riesgos de Gestión'!$AF$58="Alta",'Riesgos de Gestión'!$AH$58="Leve"),CONCATENATE("R8C",'Riesgos de Gestión'!$V$58),"")</f>
        <v/>
      </c>
      <c r="L23" s="51" t="str">
        <f>IF(AND('Riesgos de Gestión'!$AF$59="Alta",'Riesgos de Gestión'!$AH$59="Leve"),CONCATENATE("R8C",'Riesgos de Gestión'!$V$59),"")</f>
        <v/>
      </c>
      <c r="M23" s="51" t="str">
        <f>IF(AND('Riesgos de Gestión'!$AF$60="Alta",'Riesgos de Gestión'!$AH$60="Leve"),CONCATENATE("R8C",'Riesgos de Gestión'!$V$60),"")</f>
        <v/>
      </c>
      <c r="N23" s="51" t="str">
        <f>IF(AND('Riesgos de Gestión'!$AF$61="Alta",'Riesgos de Gestión'!$AH$61="Leve"),CONCATENATE("R8C",'Riesgos de Gestión'!$V$61),"")</f>
        <v/>
      </c>
      <c r="O23" s="52" t="str">
        <f>IF(AND('Riesgos de Gestión'!$AF$62="Alta",'Riesgos de Gestión'!$AH$62="Leve"),CONCATENATE("R8C",'Riesgos de Gestión'!$V$62),"")</f>
        <v/>
      </c>
      <c r="P23" s="50" t="str">
        <f>IF(AND('Riesgos de Gestión'!$AF$57="Alta",'Riesgos de Gestión'!$AH$57="Menor"),CONCATENATE("R8C",'Riesgos de Gestión'!$V$57),"")</f>
        <v/>
      </c>
      <c r="Q23" s="51" t="str">
        <f>IF(AND('Riesgos de Gestión'!$AF$58="Alta",'Riesgos de Gestión'!$AH$58="Menor"),CONCATENATE("R8C",'Riesgos de Gestión'!$V$58),"")</f>
        <v/>
      </c>
      <c r="R23" s="51" t="str">
        <f>IF(AND('Riesgos de Gestión'!$AF$59="Alta",'Riesgos de Gestión'!$AH$59="Menor"),CONCATENATE("R8C",'Riesgos de Gestión'!$V$59),"")</f>
        <v/>
      </c>
      <c r="S23" s="51" t="str">
        <f>IF(AND('Riesgos de Gestión'!$AF$60="Alta",'Riesgos de Gestión'!$AH$60="Menor"),CONCATENATE("R8C",'Riesgos de Gestión'!$V$60),"")</f>
        <v/>
      </c>
      <c r="T23" s="51" t="str">
        <f>IF(AND('Riesgos de Gestión'!$AF$61="Alta",'Riesgos de Gestión'!$AH$61="Menor"),CONCATENATE("R8C",'Riesgos de Gestión'!$V$61),"")</f>
        <v/>
      </c>
      <c r="U23" s="52" t="str">
        <f>IF(AND('Riesgos de Gestión'!$AF$62="Alta",'Riesgos de Gestión'!$AH$62="Menor"),CONCATENATE("R8C",'Riesgos de Gestión'!$V$62),"")</f>
        <v/>
      </c>
      <c r="V23" s="35" t="str">
        <f>IF(AND('Riesgos de Gestión'!$AF$57="Alta",'Riesgos de Gestión'!$AH$57="Moderado"),CONCATENATE("R8C",'Riesgos de Gestión'!$V$57),"")</f>
        <v/>
      </c>
      <c r="W23" s="36" t="str">
        <f>IF(AND('Riesgos de Gestión'!$AF$58="Alta",'Riesgos de Gestión'!$AH$58="Moderado"),CONCATENATE("R8C",'Riesgos de Gestión'!$V$58),"")</f>
        <v/>
      </c>
      <c r="X23" s="36" t="str">
        <f>IF(AND('Riesgos de Gestión'!$AF$59="Alta",'Riesgos de Gestión'!$AH$59="Moderado"),CONCATENATE("R8C",'Riesgos de Gestión'!$V$59),"")</f>
        <v/>
      </c>
      <c r="Y23" s="36" t="str">
        <f>IF(AND('Riesgos de Gestión'!$AF$60="Alta",'Riesgos de Gestión'!$AH$60="Moderado"),CONCATENATE("R8C",'Riesgos de Gestión'!$V$60),"")</f>
        <v/>
      </c>
      <c r="Z23" s="36" t="str">
        <f>IF(AND('Riesgos de Gestión'!$AF$61="Alta",'Riesgos de Gestión'!$AH$61="Moderado"),CONCATENATE("R8C",'Riesgos de Gestión'!$V$61),"")</f>
        <v/>
      </c>
      <c r="AA23" s="37" t="str">
        <f>IF(AND('Riesgos de Gestión'!$AF$62="Alta",'Riesgos de Gestión'!$AH$62="Moderado"),CONCATENATE("R8C",'Riesgos de Gestión'!$V$62),"")</f>
        <v/>
      </c>
      <c r="AB23" s="35" t="str">
        <f>IF(AND('Riesgos de Gestión'!$AF$57="Alta",'Riesgos de Gestión'!$AH$57="Mayor"),CONCATENATE("R8C",'Riesgos de Gestión'!$V$57),"")</f>
        <v/>
      </c>
      <c r="AC23" s="36" t="str">
        <f>IF(AND('Riesgos de Gestión'!$AF$58="Alta",'Riesgos de Gestión'!$AH$58="Mayor"),CONCATENATE("R8C",'Riesgos de Gestión'!$V$58),"")</f>
        <v/>
      </c>
      <c r="AD23" s="36" t="str">
        <f>IF(AND('Riesgos de Gestión'!$AF$59="Alta",'Riesgos de Gestión'!$AH$59="Mayor"),CONCATENATE("R8C",'Riesgos de Gestión'!$V$59),"")</f>
        <v/>
      </c>
      <c r="AE23" s="36" t="str">
        <f>IF(AND('Riesgos de Gestión'!$AF$60="Alta",'Riesgos de Gestión'!$AH$60="Mayor"),CONCATENATE("R8C",'Riesgos de Gestión'!$V$60),"")</f>
        <v/>
      </c>
      <c r="AF23" s="36" t="str">
        <f>IF(AND('Riesgos de Gestión'!$AF$61="Alta",'Riesgos de Gestión'!$AH$61="Mayor"),CONCATENATE("R8C",'Riesgos de Gestión'!$V$61),"")</f>
        <v/>
      </c>
      <c r="AG23" s="37" t="str">
        <f>IF(AND('Riesgos de Gestión'!$AF$62="Alta",'Riesgos de Gestión'!$AH$62="Mayor"),CONCATENATE("R8C",'Riesgos de Gestión'!$V$62),"")</f>
        <v/>
      </c>
      <c r="AH23" s="38" t="str">
        <f>IF(AND('Riesgos de Gestión'!$AF$57="Alta",'Riesgos de Gestión'!$AH$57="Catastrófico"),CONCATENATE("R8C",'Riesgos de Gestión'!$V$57),"")</f>
        <v/>
      </c>
      <c r="AI23" s="39" t="str">
        <f>IF(AND('Riesgos de Gestión'!$AF$58="Alta",'Riesgos de Gestión'!$AH$58="Catastrófico"),CONCATENATE("R8C",'Riesgos de Gestión'!$V$58),"")</f>
        <v/>
      </c>
      <c r="AJ23" s="39" t="str">
        <f>IF(AND('Riesgos de Gestión'!$AF$59="Alta",'Riesgos de Gestión'!$AH$59="Catastrófico"),CONCATENATE("R8C",'Riesgos de Gestión'!$V$59),"")</f>
        <v/>
      </c>
      <c r="AK23" s="39" t="str">
        <f>IF(AND('Riesgos de Gestión'!$AF$60="Alta",'Riesgos de Gestión'!$AH$60="Catastrófico"),CONCATENATE("R8C",'Riesgos de Gestión'!$V$60),"")</f>
        <v/>
      </c>
      <c r="AL23" s="39" t="str">
        <f>IF(AND('Riesgos de Gestión'!$AF$61="Alta",'Riesgos de Gestión'!$AH$61="Catastrófico"),CONCATENATE("R8C",'Riesgos de Gestión'!$V$61),"")</f>
        <v/>
      </c>
      <c r="AM23" s="40" t="str">
        <f>IF(AND('Riesgos de Gestión'!$AF$62="Alta",'Riesgos de Gestión'!$AH$62="Catastrófico"),CONCATENATE("R8C",'Riesgos de Gestión'!$V$62),"")</f>
        <v/>
      </c>
      <c r="AN23" s="66"/>
      <c r="AO23" s="509"/>
      <c r="AP23" s="510"/>
      <c r="AQ23" s="510"/>
      <c r="AR23" s="510"/>
      <c r="AS23" s="510"/>
      <c r="AT23" s="511"/>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25">
      <c r="A24" s="66"/>
      <c r="B24" s="458"/>
      <c r="C24" s="458"/>
      <c r="D24" s="459"/>
      <c r="E24" s="499"/>
      <c r="F24" s="500"/>
      <c r="G24" s="500"/>
      <c r="H24" s="500"/>
      <c r="I24" s="500"/>
      <c r="J24" s="50" t="str">
        <f>IF(AND('Riesgos de Gestión'!$AF$63="Alta",'Riesgos de Gestión'!$AH$63="Leve"),CONCATENATE("R9C",'Riesgos de Gestión'!$V$63),"")</f>
        <v/>
      </c>
      <c r="K24" s="51" t="str">
        <f>IF(AND('Riesgos de Gestión'!$AF$64="Alta",'Riesgos de Gestión'!$AH$64="Leve"),CONCATENATE("R9C",'Riesgos de Gestión'!$V$64),"")</f>
        <v/>
      </c>
      <c r="L24" s="51" t="str">
        <f>IF(AND('Riesgos de Gestión'!$AF$65="Alta",'Riesgos de Gestión'!$AH$65="Leve"),CONCATENATE("R9C",'Riesgos de Gestión'!$V$65),"")</f>
        <v/>
      </c>
      <c r="M24" s="51" t="str">
        <f>IF(AND('Riesgos de Gestión'!$AF$66="Alta",'Riesgos de Gestión'!$AH$66="Leve"),CONCATENATE("R9C",'Riesgos de Gestión'!$V$66),"")</f>
        <v/>
      </c>
      <c r="N24" s="51" t="str">
        <f>IF(AND('Riesgos de Gestión'!$AF$67="Alta",'Riesgos de Gestión'!$AH$67="Leve"),CONCATENATE("R9C",'Riesgos de Gestión'!$V$67),"")</f>
        <v/>
      </c>
      <c r="O24" s="52" t="str">
        <f>IF(AND('Riesgos de Gestión'!$AF$68="Alta",'Riesgos de Gestión'!$AH$68="Leve"),CONCATENATE("R9C",'Riesgos de Gestión'!$V$68),"")</f>
        <v/>
      </c>
      <c r="P24" s="50" t="str">
        <f>IF(AND('Riesgos de Gestión'!$AF$63="Alta",'Riesgos de Gestión'!$AH$63="Menor"),CONCATENATE("R9C",'Riesgos de Gestión'!$V$63),"")</f>
        <v/>
      </c>
      <c r="Q24" s="51" t="str">
        <f>IF(AND('Riesgos de Gestión'!$AF$64="Alta",'Riesgos de Gestión'!$AH$64="Menor"),CONCATENATE("R9C",'Riesgos de Gestión'!$V$64),"")</f>
        <v/>
      </c>
      <c r="R24" s="51" t="str">
        <f>IF(AND('Riesgos de Gestión'!$AF$65="Alta",'Riesgos de Gestión'!$AH$65="Menor"),CONCATENATE("R9C",'Riesgos de Gestión'!$V$65),"")</f>
        <v/>
      </c>
      <c r="S24" s="51" t="str">
        <f>IF(AND('Riesgos de Gestión'!$AF$66="Alta",'Riesgos de Gestión'!$AH$66="Menor"),CONCATENATE("R9C",'Riesgos de Gestión'!$V$66),"")</f>
        <v/>
      </c>
      <c r="T24" s="51" t="str">
        <f>IF(AND('Riesgos de Gestión'!$AF$67="Alta",'Riesgos de Gestión'!$AH$67="Menor"),CONCATENATE("R9C",'Riesgos de Gestión'!$V$67),"")</f>
        <v/>
      </c>
      <c r="U24" s="52" t="str">
        <f>IF(AND('Riesgos de Gestión'!$AF$68="Alta",'Riesgos de Gestión'!$AH$68="Menor"),CONCATENATE("R9C",'Riesgos de Gestión'!$V$68),"")</f>
        <v/>
      </c>
      <c r="V24" s="35" t="str">
        <f>IF(AND('Riesgos de Gestión'!$AF$63="Alta",'Riesgos de Gestión'!$AH$63="Moderado"),CONCATENATE("R9C",'Riesgos de Gestión'!$V$63),"")</f>
        <v/>
      </c>
      <c r="W24" s="36" t="str">
        <f>IF(AND('Riesgos de Gestión'!$AF$64="Alta",'Riesgos de Gestión'!$AH$64="Moderado"),CONCATENATE("R9C",'Riesgos de Gestión'!$V$64),"")</f>
        <v/>
      </c>
      <c r="X24" s="36" t="str">
        <f>IF(AND('Riesgos de Gestión'!$AF$65="Alta",'Riesgos de Gestión'!$AH$65="Moderado"),CONCATENATE("R9C",'Riesgos de Gestión'!$V$65),"")</f>
        <v/>
      </c>
      <c r="Y24" s="36" t="str">
        <f>IF(AND('Riesgos de Gestión'!$AF$66="Alta",'Riesgos de Gestión'!$AH$66="Moderado"),CONCATENATE("R9C",'Riesgos de Gestión'!$V$66),"")</f>
        <v/>
      </c>
      <c r="Z24" s="36" t="str">
        <f>IF(AND('Riesgos de Gestión'!$AF$67="Alta",'Riesgos de Gestión'!$AH$67="Moderado"),CONCATENATE("R9C",'Riesgos de Gestión'!$V$67),"")</f>
        <v/>
      </c>
      <c r="AA24" s="37" t="str">
        <f>IF(AND('Riesgos de Gestión'!$AF$68="Alta",'Riesgos de Gestión'!$AH$68="Moderado"),CONCATENATE("R9C",'Riesgos de Gestión'!$V$68),"")</f>
        <v/>
      </c>
      <c r="AB24" s="35" t="str">
        <f>IF(AND('Riesgos de Gestión'!$AF$63="Alta",'Riesgos de Gestión'!$AH$63="Mayor"),CONCATENATE("R9C",'Riesgos de Gestión'!$V$63),"")</f>
        <v/>
      </c>
      <c r="AC24" s="36" t="str">
        <f>IF(AND('Riesgos de Gestión'!$AF$64="Alta",'Riesgos de Gestión'!$AH$64="Mayor"),CONCATENATE("R9C",'Riesgos de Gestión'!$V$64),"")</f>
        <v/>
      </c>
      <c r="AD24" s="36" t="str">
        <f>IF(AND('Riesgos de Gestión'!$AF$65="Alta",'Riesgos de Gestión'!$AH$65="Mayor"),CONCATENATE("R9C",'Riesgos de Gestión'!$V$65),"")</f>
        <v/>
      </c>
      <c r="AE24" s="36" t="str">
        <f>IF(AND('Riesgos de Gestión'!$AF$66="Alta",'Riesgos de Gestión'!$AH$66="Mayor"),CONCATENATE("R9C",'Riesgos de Gestión'!$V$66),"")</f>
        <v/>
      </c>
      <c r="AF24" s="36" t="str">
        <f>IF(AND('Riesgos de Gestión'!$AF$67="Alta",'Riesgos de Gestión'!$AH$67="Mayor"),CONCATENATE("R9C",'Riesgos de Gestión'!$V$67),"")</f>
        <v/>
      </c>
      <c r="AG24" s="37" t="str">
        <f>IF(AND('Riesgos de Gestión'!$AF$68="Alta",'Riesgos de Gestión'!$AH$68="Mayor"),CONCATENATE("R9C",'Riesgos de Gestión'!$V$68),"")</f>
        <v/>
      </c>
      <c r="AH24" s="38" t="str">
        <f>IF(AND('Riesgos de Gestión'!$AF$63="Alta",'Riesgos de Gestión'!$AH$63="Catastrófico"),CONCATENATE("R9C",'Riesgos de Gestión'!$V$63),"")</f>
        <v/>
      </c>
      <c r="AI24" s="39" t="str">
        <f>IF(AND('Riesgos de Gestión'!$AF$64="Alta",'Riesgos de Gestión'!$AH$64="Catastrófico"),CONCATENATE("R9C",'Riesgos de Gestión'!$V$64),"")</f>
        <v/>
      </c>
      <c r="AJ24" s="39" t="str">
        <f>IF(AND('Riesgos de Gestión'!$AF$65="Alta",'Riesgos de Gestión'!$AH$65="Catastrófico"),CONCATENATE("R9C",'Riesgos de Gestión'!$V$65),"")</f>
        <v/>
      </c>
      <c r="AK24" s="39" t="str">
        <f>IF(AND('Riesgos de Gestión'!$AF$66="Alta",'Riesgos de Gestión'!$AH$66="Catastrófico"),CONCATENATE("R9C",'Riesgos de Gestión'!$V$66),"")</f>
        <v/>
      </c>
      <c r="AL24" s="39" t="str">
        <f>IF(AND('Riesgos de Gestión'!$AF$67="Alta",'Riesgos de Gestión'!$AH$67="Catastrófico"),CONCATENATE("R9C",'Riesgos de Gestión'!$V$67),"")</f>
        <v/>
      </c>
      <c r="AM24" s="40" t="str">
        <f>IF(AND('Riesgos de Gestión'!$AF$68="Alta",'Riesgos de Gestión'!$AH$68="Catastrófico"),CONCATENATE("R9C",'Riesgos de Gestión'!$V$68),"")</f>
        <v/>
      </c>
      <c r="AN24" s="66"/>
      <c r="AO24" s="509"/>
      <c r="AP24" s="510"/>
      <c r="AQ24" s="510"/>
      <c r="AR24" s="510"/>
      <c r="AS24" s="510"/>
      <c r="AT24" s="511"/>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
      <c r="A25" s="66"/>
      <c r="B25" s="458"/>
      <c r="C25" s="458"/>
      <c r="D25" s="459"/>
      <c r="E25" s="502"/>
      <c r="F25" s="503"/>
      <c r="G25" s="503"/>
      <c r="H25" s="503"/>
      <c r="I25" s="503"/>
      <c r="J25" s="53" t="str">
        <f>IF(AND('Riesgos de Gestión'!$AF$69="Alta",'Riesgos de Gestión'!$AH$69="Leve"),CONCATENATE("R10C",'Riesgos de Gestión'!$V$69),"")</f>
        <v/>
      </c>
      <c r="K25" s="54" t="str">
        <f>IF(AND('Riesgos de Gestión'!$AF$70="Alta",'Riesgos de Gestión'!$AH$70="Leve"),CONCATENATE("R10C",'Riesgos de Gestión'!$V$70),"")</f>
        <v/>
      </c>
      <c r="L25" s="54" t="str">
        <f>IF(AND('Riesgos de Gestión'!$AF$71="Alta",'Riesgos de Gestión'!$AH$71="Leve"),CONCATENATE("R10C",'Riesgos de Gestión'!$V$71),"")</f>
        <v/>
      </c>
      <c r="M25" s="54" t="str">
        <f>IF(AND('Riesgos de Gestión'!$AF$72="Alta",'Riesgos de Gestión'!$AH$72="Leve"),CONCATENATE("R10C",'Riesgos de Gestión'!$V$72),"")</f>
        <v/>
      </c>
      <c r="N25" s="54" t="str">
        <f>IF(AND('Riesgos de Gestión'!$AF$73="Alta",'Riesgos de Gestión'!$AH$73="Leve"),CONCATENATE("R10C",'Riesgos de Gestión'!$V$73),"")</f>
        <v/>
      </c>
      <c r="O25" s="55" t="str">
        <f>IF(AND('Riesgos de Gestión'!$AF$74="Alta",'Riesgos de Gestión'!$AH$74="Leve"),CONCATENATE("R10C",'Riesgos de Gestión'!$V$74),"")</f>
        <v/>
      </c>
      <c r="P25" s="53" t="str">
        <f>IF(AND('Riesgos de Gestión'!$AF$69="Alta",'Riesgos de Gestión'!$AH$69="Menor"),CONCATENATE("R10C",'Riesgos de Gestión'!$V$69),"")</f>
        <v/>
      </c>
      <c r="Q25" s="54" t="str">
        <f>IF(AND('Riesgos de Gestión'!$AF$70="Alta",'Riesgos de Gestión'!$AH$70="Menor"),CONCATENATE("R10C",'Riesgos de Gestión'!$V$70),"")</f>
        <v/>
      </c>
      <c r="R25" s="54" t="str">
        <f>IF(AND('Riesgos de Gestión'!$AF$71="Alta",'Riesgos de Gestión'!$AH$71="Menor"),CONCATENATE("R10C",'Riesgos de Gestión'!$V$71),"")</f>
        <v/>
      </c>
      <c r="S25" s="54" t="str">
        <f>IF(AND('Riesgos de Gestión'!$AF$72="Alta",'Riesgos de Gestión'!$AH$72="Menor"),CONCATENATE("R10C",'Riesgos de Gestión'!$V$72),"")</f>
        <v/>
      </c>
      <c r="T25" s="54" t="str">
        <f>IF(AND('Riesgos de Gestión'!$AF$73="Alta",'Riesgos de Gestión'!$AH$73="Menor"),CONCATENATE("R10C",'Riesgos de Gestión'!$V$73),"")</f>
        <v/>
      </c>
      <c r="U25" s="55" t="str">
        <f>IF(AND('Riesgos de Gestión'!$AF$74="Alta",'Riesgos de Gestión'!$AH$74="Menor"),CONCATENATE("R10C",'Riesgos de Gestión'!$V$74),"")</f>
        <v/>
      </c>
      <c r="V25" s="41" t="str">
        <f>IF(AND('Riesgos de Gestión'!$AF$69="Alta",'Riesgos de Gestión'!$AH$69="Moderado"),CONCATENATE("R10C",'Riesgos de Gestión'!$V$69),"")</f>
        <v/>
      </c>
      <c r="W25" s="42" t="str">
        <f>IF(AND('Riesgos de Gestión'!$AF$70="Alta",'Riesgos de Gestión'!$AH$70="Moderado"),CONCATENATE("R10C",'Riesgos de Gestión'!$V$70),"")</f>
        <v/>
      </c>
      <c r="X25" s="42" t="str">
        <f>IF(AND('Riesgos de Gestión'!$AF$71="Alta",'Riesgos de Gestión'!$AH$71="Moderado"),CONCATENATE("R10C",'Riesgos de Gestión'!$V$71),"")</f>
        <v/>
      </c>
      <c r="Y25" s="42" t="str">
        <f>IF(AND('Riesgos de Gestión'!$AF$72="Alta",'Riesgos de Gestión'!$AH$72="Moderado"),CONCATENATE("R10C",'Riesgos de Gestión'!$V$72),"")</f>
        <v/>
      </c>
      <c r="Z25" s="42" t="str">
        <f>IF(AND('Riesgos de Gestión'!$AF$73="Alta",'Riesgos de Gestión'!$AH$73="Moderado"),CONCATENATE("R10C",'Riesgos de Gestión'!$V$73),"")</f>
        <v/>
      </c>
      <c r="AA25" s="43" t="str">
        <f>IF(AND('Riesgos de Gestión'!$AF$74="Alta",'Riesgos de Gestión'!$AH$74="Moderado"),CONCATENATE("R10C",'Riesgos de Gestión'!$V$74),"")</f>
        <v/>
      </c>
      <c r="AB25" s="41" t="str">
        <f>IF(AND('Riesgos de Gestión'!$AF$69="Alta",'Riesgos de Gestión'!$AH$69="Mayor"),CONCATENATE("R10C",'Riesgos de Gestión'!$V$69),"")</f>
        <v/>
      </c>
      <c r="AC25" s="42" t="str">
        <f>IF(AND('Riesgos de Gestión'!$AF$70="Alta",'Riesgos de Gestión'!$AH$70="Mayor"),CONCATENATE("R10C",'Riesgos de Gestión'!$V$70),"")</f>
        <v/>
      </c>
      <c r="AD25" s="42" t="str">
        <f>IF(AND('Riesgos de Gestión'!$AF$71="Alta",'Riesgos de Gestión'!$AH$71="Mayor"),CONCATENATE("R10C",'Riesgos de Gestión'!$V$71),"")</f>
        <v/>
      </c>
      <c r="AE25" s="42" t="str">
        <f>IF(AND('Riesgos de Gestión'!$AF$72="Alta",'Riesgos de Gestión'!$AH$72="Mayor"),CONCATENATE("R10C",'Riesgos de Gestión'!$V$72),"")</f>
        <v/>
      </c>
      <c r="AF25" s="42" t="str">
        <f>IF(AND('Riesgos de Gestión'!$AF$73="Alta",'Riesgos de Gestión'!$AH$73="Mayor"),CONCATENATE("R10C",'Riesgos de Gestión'!$V$73),"")</f>
        <v/>
      </c>
      <c r="AG25" s="43" t="str">
        <f>IF(AND('Riesgos de Gestión'!$AF$74="Alta",'Riesgos de Gestión'!$AH$74="Mayor"),CONCATENATE("R10C",'Riesgos de Gestión'!$V$74),"")</f>
        <v/>
      </c>
      <c r="AH25" s="44" t="str">
        <f>IF(AND('Riesgos de Gestión'!$AF$69="Alta",'Riesgos de Gestión'!$AH$69="Catastrófico"),CONCATENATE("R10C",'Riesgos de Gestión'!$V$69),"")</f>
        <v/>
      </c>
      <c r="AI25" s="45" t="str">
        <f>IF(AND('Riesgos de Gestión'!$AF$70="Alta",'Riesgos de Gestión'!$AH$70="Catastrófico"),CONCATENATE("R10C",'Riesgos de Gestión'!$V$70),"")</f>
        <v/>
      </c>
      <c r="AJ25" s="45" t="str">
        <f>IF(AND('Riesgos de Gestión'!$AF$71="Alta",'Riesgos de Gestión'!$AH$71="Catastrófico"),CONCATENATE("R10C",'Riesgos de Gestión'!$V$71),"")</f>
        <v/>
      </c>
      <c r="AK25" s="45" t="str">
        <f>IF(AND('Riesgos de Gestión'!$AF$72="Alta",'Riesgos de Gestión'!$AH$72="Catastrófico"),CONCATENATE("R10C",'Riesgos de Gestión'!$V$72),"")</f>
        <v/>
      </c>
      <c r="AL25" s="45" t="str">
        <f>IF(AND('Riesgos de Gestión'!$AF$73="Alta",'Riesgos de Gestión'!$AH$73="Catastrófico"),CONCATENATE("R10C",'Riesgos de Gestión'!$V$73),"")</f>
        <v/>
      </c>
      <c r="AM25" s="46" t="str">
        <f>IF(AND('Riesgos de Gestión'!$AF$74="Alta",'Riesgos de Gestión'!$AH$74="Catastrófico"),CONCATENATE("R10C",'Riesgos de Gestión'!$V$74),"")</f>
        <v/>
      </c>
      <c r="AN25" s="66"/>
      <c r="AO25" s="512"/>
      <c r="AP25" s="513"/>
      <c r="AQ25" s="513"/>
      <c r="AR25" s="513"/>
      <c r="AS25" s="513"/>
      <c r="AT25" s="514"/>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5">
      <c r="A26" s="66"/>
      <c r="B26" s="458"/>
      <c r="C26" s="458"/>
      <c r="D26" s="459"/>
      <c r="E26" s="496" t="s">
        <v>269</v>
      </c>
      <c r="F26" s="497"/>
      <c r="G26" s="497"/>
      <c r="H26" s="497"/>
      <c r="I26" s="498"/>
      <c r="J26" s="47" t="str">
        <f>IF(AND('Riesgos de Gestión'!$AF$13="Media",'Riesgos de Gestión'!$AH$13="Leve"),CONCATENATE("R1C",'Riesgos de Gestión'!$V$13),"")</f>
        <v/>
      </c>
      <c r="K26" s="48" t="str">
        <f>IF(AND('Riesgos de Gestión'!$AF$14="Media",'Riesgos de Gestión'!$AH$14="Leve"),CONCATENATE("R1C",'Riesgos de Gestión'!$V$14),"")</f>
        <v/>
      </c>
      <c r="L26" s="48" t="str">
        <f>IF(AND('Riesgos de Gestión'!$AF$15="Media",'Riesgos de Gestión'!$AH$15="Leve"),CONCATENATE("R1C",'Riesgos de Gestión'!$V$15),"")</f>
        <v/>
      </c>
      <c r="M26" s="48" t="str">
        <f>IF(AND('Riesgos de Gestión'!$AF$16="Media",'Riesgos de Gestión'!$AH$16="Leve"),CONCATENATE("R1C",'Riesgos de Gestión'!$V$16),"")</f>
        <v/>
      </c>
      <c r="N26" s="48" t="str">
        <f>IF(AND('Riesgos de Gestión'!$AF$17="Media",'Riesgos de Gestión'!$AH$17="Leve"),CONCATENATE("R1C",'Riesgos de Gestión'!$V$17),"")</f>
        <v/>
      </c>
      <c r="O26" s="49" t="str">
        <f>IF(AND('Riesgos de Gestión'!$AF$20="Media",'Riesgos de Gestión'!$AH$20="Leve"),CONCATENATE("R1C",'Riesgos de Gestión'!$V$20),"")</f>
        <v/>
      </c>
      <c r="P26" s="47" t="str">
        <f>IF(AND('Riesgos de Gestión'!$AF$13="Media",'Riesgos de Gestión'!$AH$13="Menor"),CONCATENATE("R1C",'Riesgos de Gestión'!$V$13),"")</f>
        <v>R1C1</v>
      </c>
      <c r="Q26" s="48" t="str">
        <f>IF(AND('Riesgos de Gestión'!$AF$14="Media",'Riesgos de Gestión'!$AH$14="Menor"),CONCATENATE("R1C",'Riesgos de Gestión'!$V$14),"")</f>
        <v/>
      </c>
      <c r="R26" s="48" t="str">
        <f>IF(AND('Riesgos de Gestión'!$AF$15="Media",'Riesgos de Gestión'!$AH$15="Menor"),CONCATENATE("R1C",'Riesgos de Gestión'!$V$15),"")</f>
        <v/>
      </c>
      <c r="S26" s="48" t="str">
        <f>IF(AND('Riesgos de Gestión'!$AF$16="Media",'Riesgos de Gestión'!$AH$16="Menor"),CONCATENATE("R1C",'Riesgos de Gestión'!$V$16),"")</f>
        <v/>
      </c>
      <c r="T26" s="48" t="str">
        <f>IF(AND('Riesgos de Gestión'!$AF$17="Media",'Riesgos de Gestión'!$AH$17="Menor"),CONCATENATE("R1C",'Riesgos de Gestión'!$V$17),"")</f>
        <v/>
      </c>
      <c r="U26" s="49" t="str">
        <f>IF(AND('Riesgos de Gestión'!$AF$20="Media",'Riesgos de Gestión'!$AH$20="Menor"),CONCATENATE("R1C",'Riesgos de Gestión'!$V$20),"")</f>
        <v/>
      </c>
      <c r="V26" s="47" t="str">
        <f>IF(AND('Riesgos de Gestión'!$AF$13="Media",'Riesgos de Gestión'!$AH$13="Moderado"),CONCATENATE("R1C",'Riesgos de Gestión'!$V$13),"")</f>
        <v/>
      </c>
      <c r="W26" s="48" t="str">
        <f>IF(AND('Riesgos de Gestión'!$AF$14="Media",'Riesgos de Gestión'!$AH$14="Moderado"),CONCATENATE("R1C",'Riesgos de Gestión'!$V$14),"")</f>
        <v/>
      </c>
      <c r="X26" s="48" t="str">
        <f>IF(AND('Riesgos de Gestión'!$AF$15="Media",'Riesgos de Gestión'!$AH$15="Moderado"),CONCATENATE("R1C",'Riesgos de Gestión'!$V$15),"")</f>
        <v/>
      </c>
      <c r="Y26" s="48" t="str">
        <f>IF(AND('Riesgos de Gestión'!$AF$16="Media",'Riesgos de Gestión'!$AH$16="Moderado"),CONCATENATE("R1C",'Riesgos de Gestión'!$V$16),"")</f>
        <v/>
      </c>
      <c r="Z26" s="48" t="str">
        <f>IF(AND('Riesgos de Gestión'!$AF$17="Media",'Riesgos de Gestión'!$AH$17="Moderado"),CONCATENATE("R1C",'Riesgos de Gestión'!$V$17),"")</f>
        <v/>
      </c>
      <c r="AA26" s="49" t="str">
        <f>IF(AND('Riesgos de Gestión'!$AF$20="Media",'Riesgos de Gestión'!$AH$20="Moderado"),CONCATENATE("R1C",'Riesgos de Gestión'!$V$20),"")</f>
        <v/>
      </c>
      <c r="AB26" s="29" t="str">
        <f>IF(AND('Riesgos de Gestión'!$AF$13="Media",'Riesgos de Gestión'!$AH$13="Mayor"),CONCATENATE("R1C",'Riesgos de Gestión'!$V$13),"")</f>
        <v/>
      </c>
      <c r="AC26" s="30" t="str">
        <f>IF(AND('Riesgos de Gestión'!$AF$14="Media",'Riesgos de Gestión'!$AH$14="Mayor"),CONCATENATE("R1C",'Riesgos de Gestión'!$V$14),"")</f>
        <v/>
      </c>
      <c r="AD26" s="30" t="str">
        <f>IF(AND('Riesgos de Gestión'!$AF$15="Media",'Riesgos de Gestión'!$AH$15="Mayor"),CONCATENATE("R1C",'Riesgos de Gestión'!$V$15),"")</f>
        <v/>
      </c>
      <c r="AE26" s="30" t="str">
        <f>IF(AND('Riesgos de Gestión'!$AF$16="Media",'Riesgos de Gestión'!$AH$16="Mayor"),CONCATENATE("R1C",'Riesgos de Gestión'!$V$16),"")</f>
        <v/>
      </c>
      <c r="AF26" s="30" t="str">
        <f>IF(AND('Riesgos de Gestión'!$AF$17="Media",'Riesgos de Gestión'!$AH$17="Mayor"),CONCATENATE("R1C",'Riesgos de Gestión'!$V$17),"")</f>
        <v/>
      </c>
      <c r="AG26" s="31" t="str">
        <f>IF(AND('Riesgos de Gestión'!$AF$20="Media",'Riesgos de Gestión'!$AH$20="Mayor"),CONCATENATE("R1C",'Riesgos de Gestión'!$V$20),"")</f>
        <v/>
      </c>
      <c r="AH26" s="32" t="str">
        <f>IF(AND('Riesgos de Gestión'!$AF$13="Media",'Riesgos de Gestión'!$AH$13="Catastrófico"),CONCATENATE("R1C",'Riesgos de Gestión'!$V$13),"")</f>
        <v/>
      </c>
      <c r="AI26" s="33" t="str">
        <f>IF(AND('Riesgos de Gestión'!$AF$14="Media",'Riesgos de Gestión'!$AH$14="Catastrófico"),CONCATENATE("R1C",'Riesgos de Gestión'!$V$14),"")</f>
        <v/>
      </c>
      <c r="AJ26" s="33" t="str">
        <f>IF(AND('Riesgos de Gestión'!$AF$15="Media",'Riesgos de Gestión'!$AH$15="Catastrófico"),CONCATENATE("R1C",'Riesgos de Gestión'!$V$15),"")</f>
        <v/>
      </c>
      <c r="AK26" s="33" t="str">
        <f>IF(AND('Riesgos de Gestión'!$AF$16="Media",'Riesgos de Gestión'!$AH$16="Catastrófico"),CONCATENATE("R1C",'Riesgos de Gestión'!$V$16),"")</f>
        <v/>
      </c>
      <c r="AL26" s="33" t="str">
        <f>IF(AND('Riesgos de Gestión'!$AF$17="Media",'Riesgos de Gestión'!$AH$17="Catastrófico"),CONCATENATE("R1C",'Riesgos de Gestión'!$V$17),"")</f>
        <v/>
      </c>
      <c r="AM26" s="34" t="str">
        <f>IF(AND('Riesgos de Gestión'!$AF$20="Media",'Riesgos de Gestión'!$AH$20="Catastrófico"),CONCATENATE("R1C",'Riesgos de Gestión'!$V$20),"")</f>
        <v/>
      </c>
      <c r="AN26" s="66"/>
      <c r="AO26" s="536" t="s">
        <v>270</v>
      </c>
      <c r="AP26" s="537"/>
      <c r="AQ26" s="537"/>
      <c r="AR26" s="537"/>
      <c r="AS26" s="537"/>
      <c r="AT26" s="538"/>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25">
      <c r="A27" s="66"/>
      <c r="B27" s="458"/>
      <c r="C27" s="458"/>
      <c r="D27" s="459"/>
      <c r="E27" s="515"/>
      <c r="F27" s="500"/>
      <c r="G27" s="500"/>
      <c r="H27" s="500"/>
      <c r="I27" s="501"/>
      <c r="J27" s="50" t="str">
        <f>IF(AND('Riesgos de Gestión'!$AF$21="Media",'Riesgos de Gestión'!$AH$21="Leve"),CONCATENATE("R2C",'Riesgos de Gestión'!$V$21),"")</f>
        <v/>
      </c>
      <c r="K27" s="51" t="str">
        <f>IF(AND('Riesgos de Gestión'!$AF$22="Media",'Riesgos de Gestión'!$AH$22="Leve"),CONCATENATE("R2C",'Riesgos de Gestión'!$V$22),"")</f>
        <v/>
      </c>
      <c r="L27" s="51" t="str">
        <f>IF(AND('Riesgos de Gestión'!$AF$23="Media",'Riesgos de Gestión'!$AH$23="Leve"),CONCATENATE("R2C",'Riesgos de Gestión'!$V$23),"")</f>
        <v/>
      </c>
      <c r="M27" s="51" t="str">
        <f>IF(AND('Riesgos de Gestión'!$AF$24="Media",'Riesgos de Gestión'!$AH$24="Leve"),CONCATENATE("R2C",'Riesgos de Gestión'!$V$24),"")</f>
        <v/>
      </c>
      <c r="N27" s="51" t="str">
        <f>IF(AND('Riesgos de Gestión'!$AF$25="Media",'Riesgos de Gestión'!$AH$25="Leve"),CONCATENATE("R2C",'Riesgos de Gestión'!$V$25),"")</f>
        <v/>
      </c>
      <c r="O27" s="52" t="str">
        <f>IF(AND('Riesgos de Gestión'!$AF$26="Media",'Riesgos de Gestión'!$AH$26="Leve"),CONCATENATE("R2C",'Riesgos de Gestión'!$V$26),"")</f>
        <v/>
      </c>
      <c r="P27" s="50" t="str">
        <f>IF(AND('Riesgos de Gestión'!$AF$21="Media",'Riesgos de Gestión'!$AH$21="Menor"),CONCATENATE("R2C",'Riesgos de Gestión'!$V$21),"")</f>
        <v/>
      </c>
      <c r="Q27" s="51" t="str">
        <f>IF(AND('Riesgos de Gestión'!$AF$22="Media",'Riesgos de Gestión'!$AH$22="Menor"),CONCATENATE("R2C",'Riesgos de Gestión'!$V$22),"")</f>
        <v/>
      </c>
      <c r="R27" s="51" t="str">
        <f>IF(AND('Riesgos de Gestión'!$AF$23="Media",'Riesgos de Gestión'!$AH$23="Menor"),CONCATENATE("R2C",'Riesgos de Gestión'!$V$23),"")</f>
        <v/>
      </c>
      <c r="S27" s="51" t="str">
        <f>IF(AND('Riesgos de Gestión'!$AF$24="Media",'Riesgos de Gestión'!$AH$24="Menor"),CONCATENATE("R2C",'Riesgos de Gestión'!$V$24),"")</f>
        <v/>
      </c>
      <c r="T27" s="51" t="str">
        <f>IF(AND('Riesgos de Gestión'!$AF$25="Media",'Riesgos de Gestión'!$AH$25="Menor"),CONCATENATE("R2C",'Riesgos de Gestión'!$V$25),"")</f>
        <v/>
      </c>
      <c r="U27" s="52" t="str">
        <f>IF(AND('Riesgos de Gestión'!$AF$26="Media",'Riesgos de Gestión'!$AH$26="Menor"),CONCATENATE("R2C",'Riesgos de Gestión'!$V$26),"")</f>
        <v/>
      </c>
      <c r="V27" s="50" t="str">
        <f>IF(AND('Riesgos de Gestión'!$AF$21="Media",'Riesgos de Gestión'!$AH$21="Moderado"),CONCATENATE("R2C",'Riesgos de Gestión'!$V$21),"")</f>
        <v/>
      </c>
      <c r="W27" s="51" t="str">
        <f>IF(AND('Riesgos de Gestión'!$AF$22="Media",'Riesgos de Gestión'!$AH$22="Moderado"),CONCATENATE("R2C",'Riesgos de Gestión'!$V$22),"")</f>
        <v/>
      </c>
      <c r="X27" s="51" t="str">
        <f>IF(AND('Riesgos de Gestión'!$AF$23="Media",'Riesgos de Gestión'!$AH$23="Moderado"),CONCATENATE("R2C",'Riesgos de Gestión'!$V$23),"")</f>
        <v/>
      </c>
      <c r="Y27" s="51" t="str">
        <f>IF(AND('Riesgos de Gestión'!$AF$24="Media",'Riesgos de Gestión'!$AH$24="Moderado"),CONCATENATE("R2C",'Riesgos de Gestión'!$V$24),"")</f>
        <v/>
      </c>
      <c r="Z27" s="51" t="str">
        <f>IF(AND('Riesgos de Gestión'!$AF$25="Media",'Riesgos de Gestión'!$AH$25="Moderado"),CONCATENATE("R2C",'Riesgos de Gestión'!$V$25),"")</f>
        <v/>
      </c>
      <c r="AA27" s="52" t="str">
        <f>IF(AND('Riesgos de Gestión'!$AF$26="Media",'Riesgos de Gestión'!$AH$26="Moderado"),CONCATENATE("R2C",'Riesgos de Gestión'!$V$26),"")</f>
        <v/>
      </c>
      <c r="AB27" s="35" t="str">
        <f>IF(AND('Riesgos de Gestión'!$AF$21="Media",'Riesgos de Gestión'!$AH$21="Mayor"),CONCATENATE("R2C",'Riesgos de Gestión'!$V$21),"")</f>
        <v/>
      </c>
      <c r="AC27" s="36" t="str">
        <f>IF(AND('Riesgos de Gestión'!$AF$22="Media",'Riesgos de Gestión'!$AH$22="Mayor"),CONCATENATE("R2C",'Riesgos de Gestión'!$V$22),"")</f>
        <v/>
      </c>
      <c r="AD27" s="36" t="str">
        <f>IF(AND('Riesgos de Gestión'!$AF$23="Media",'Riesgos de Gestión'!$AH$23="Mayor"),CONCATENATE("R2C",'Riesgos de Gestión'!$V$23),"")</f>
        <v/>
      </c>
      <c r="AE27" s="36" t="str">
        <f>IF(AND('Riesgos de Gestión'!$AF$24="Media",'Riesgos de Gestión'!$AH$24="Mayor"),CONCATENATE("R2C",'Riesgos de Gestión'!$V$24),"")</f>
        <v/>
      </c>
      <c r="AF27" s="36" t="str">
        <f>IF(AND('Riesgos de Gestión'!$AF$25="Media",'Riesgos de Gestión'!$AH$25="Mayor"),CONCATENATE("R2C",'Riesgos de Gestión'!$V$25),"")</f>
        <v/>
      </c>
      <c r="AG27" s="37" t="str">
        <f>IF(AND('Riesgos de Gestión'!$AF$26="Media",'Riesgos de Gestión'!$AH$26="Mayor"),CONCATENATE("R2C",'Riesgos de Gestión'!$V$26),"")</f>
        <v/>
      </c>
      <c r="AH27" s="38" t="str">
        <f>IF(AND('Riesgos de Gestión'!$AF$21="Media",'Riesgos de Gestión'!$AH$21="Catastrófico"),CONCATENATE("R2C",'Riesgos de Gestión'!$V$21),"")</f>
        <v/>
      </c>
      <c r="AI27" s="39" t="str">
        <f>IF(AND('Riesgos de Gestión'!$AF$22="Media",'Riesgos de Gestión'!$AH$22="Catastrófico"),CONCATENATE("R2C",'Riesgos de Gestión'!$V$22),"")</f>
        <v/>
      </c>
      <c r="AJ27" s="39" t="str">
        <f>IF(AND('Riesgos de Gestión'!$AF$23="Media",'Riesgos de Gestión'!$AH$23="Catastrófico"),CONCATENATE("R2C",'Riesgos de Gestión'!$V$23),"")</f>
        <v/>
      </c>
      <c r="AK27" s="39" t="str">
        <f>IF(AND('Riesgos de Gestión'!$AF$24="Media",'Riesgos de Gestión'!$AH$24="Catastrófico"),CONCATENATE("R2C",'Riesgos de Gestión'!$V$24),"")</f>
        <v/>
      </c>
      <c r="AL27" s="39" t="str">
        <f>IF(AND('Riesgos de Gestión'!$AF$25="Media",'Riesgos de Gestión'!$AH$25="Catastrófico"),CONCATENATE("R2C",'Riesgos de Gestión'!$V$25),"")</f>
        <v/>
      </c>
      <c r="AM27" s="40" t="str">
        <f>IF(AND('Riesgos de Gestión'!$AF$26="Media",'Riesgos de Gestión'!$AH$26="Catastrófico"),CONCATENATE("R2C",'Riesgos de Gestión'!$V$26),"")</f>
        <v/>
      </c>
      <c r="AN27" s="66"/>
      <c r="AO27" s="539"/>
      <c r="AP27" s="540"/>
      <c r="AQ27" s="540"/>
      <c r="AR27" s="540"/>
      <c r="AS27" s="540"/>
      <c r="AT27" s="541"/>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25">
      <c r="A28" s="66"/>
      <c r="B28" s="458"/>
      <c r="C28" s="458"/>
      <c r="D28" s="459"/>
      <c r="E28" s="499"/>
      <c r="F28" s="500"/>
      <c r="G28" s="500"/>
      <c r="H28" s="500"/>
      <c r="I28" s="501"/>
      <c r="J28" s="50" t="str">
        <f>IF(AND('Riesgos de Gestión'!$AF$27="Media",'Riesgos de Gestión'!$AH$27="Leve"),CONCATENATE("R3C",'Riesgos de Gestión'!$V$27),"")</f>
        <v/>
      </c>
      <c r="K28" s="51" t="str">
        <f>IF(AND('Riesgos de Gestión'!$AF$28="Media",'Riesgos de Gestión'!$AH$28="Leve"),CONCATENATE("R3C",'Riesgos de Gestión'!$V$28),"")</f>
        <v/>
      </c>
      <c r="L28" s="51" t="str">
        <f>IF(AND('Riesgos de Gestión'!$AF$29="Media",'Riesgos de Gestión'!$AH$29="Leve"),CONCATENATE("R3C",'Riesgos de Gestión'!$V$29),"")</f>
        <v/>
      </c>
      <c r="M28" s="51" t="str">
        <f>IF(AND('Riesgos de Gestión'!$AF$30="Media",'Riesgos de Gestión'!$AH$30="Leve"),CONCATENATE("R3C",'Riesgos de Gestión'!$V$30),"")</f>
        <v/>
      </c>
      <c r="N28" s="51" t="str">
        <f>IF(AND('Riesgos de Gestión'!$AF$31="Media",'Riesgos de Gestión'!$AH$31="Leve"),CONCATENATE("R3C",'Riesgos de Gestión'!$V$31),"")</f>
        <v/>
      </c>
      <c r="O28" s="52" t="str">
        <f>IF(AND('Riesgos de Gestión'!$AF$32="Media",'Riesgos de Gestión'!$AH$32="Leve"),CONCATENATE("R3C",'Riesgos de Gestión'!$V$32),"")</f>
        <v/>
      </c>
      <c r="P28" s="50" t="str">
        <f>IF(AND('Riesgos de Gestión'!$AF$27="Media",'Riesgos de Gestión'!$AH$27="Menor"),CONCATENATE("R3C",'Riesgos de Gestión'!$V$27),"")</f>
        <v/>
      </c>
      <c r="Q28" s="51" t="str">
        <f>IF(AND('Riesgos de Gestión'!$AF$28="Media",'Riesgos de Gestión'!$AH$28="Menor"),CONCATENATE("R3C",'Riesgos de Gestión'!$V$28),"")</f>
        <v/>
      </c>
      <c r="R28" s="51" t="str">
        <f>IF(AND('Riesgos de Gestión'!$AF$29="Media",'Riesgos de Gestión'!$AH$29="Menor"),CONCATENATE("R3C",'Riesgos de Gestión'!$V$29),"")</f>
        <v/>
      </c>
      <c r="S28" s="51" t="str">
        <f>IF(AND('Riesgos de Gestión'!$AF$30="Media",'Riesgos de Gestión'!$AH$30="Menor"),CONCATENATE("R3C",'Riesgos de Gestión'!$V$30),"")</f>
        <v/>
      </c>
      <c r="T28" s="51" t="str">
        <f>IF(AND('Riesgos de Gestión'!$AF$31="Media",'Riesgos de Gestión'!$AH$31="Menor"),CONCATENATE("R3C",'Riesgos de Gestión'!$V$31),"")</f>
        <v/>
      </c>
      <c r="U28" s="52" t="str">
        <f>IF(AND('Riesgos de Gestión'!$AF$32="Media",'Riesgos de Gestión'!$AH$32="Menor"),CONCATENATE("R3C",'Riesgos de Gestión'!$V$32),"")</f>
        <v/>
      </c>
      <c r="V28" s="50" t="str">
        <f>IF(AND('Riesgos de Gestión'!$AF$27="Media",'Riesgos de Gestión'!$AH$27="Moderado"),CONCATENATE("R3C",'Riesgos de Gestión'!$V$27),"")</f>
        <v/>
      </c>
      <c r="W28" s="51" t="str">
        <f>IF(AND('Riesgos de Gestión'!$AF$28="Media",'Riesgos de Gestión'!$AH$28="Moderado"),CONCATENATE("R3C",'Riesgos de Gestión'!$V$28),"")</f>
        <v/>
      </c>
      <c r="X28" s="51" t="str">
        <f>IF(AND('Riesgos de Gestión'!$AF$29="Media",'Riesgos de Gestión'!$AH$29="Moderado"),CONCATENATE("R3C",'Riesgos de Gestión'!$V$29),"")</f>
        <v/>
      </c>
      <c r="Y28" s="51" t="str">
        <f>IF(AND('Riesgos de Gestión'!$AF$30="Media",'Riesgos de Gestión'!$AH$30="Moderado"),CONCATENATE("R3C",'Riesgos de Gestión'!$V$30),"")</f>
        <v/>
      </c>
      <c r="Z28" s="51" t="str">
        <f>IF(AND('Riesgos de Gestión'!$AF$31="Media",'Riesgos de Gestión'!$AH$31="Moderado"),CONCATENATE("R3C",'Riesgos de Gestión'!$V$31),"")</f>
        <v/>
      </c>
      <c r="AA28" s="52" t="str">
        <f>IF(AND('Riesgos de Gestión'!$AF$32="Media",'Riesgos de Gestión'!$AH$32="Moderado"),CONCATENATE("R3C",'Riesgos de Gestión'!$V$32),"")</f>
        <v/>
      </c>
      <c r="AB28" s="35" t="str">
        <f>IF(AND('Riesgos de Gestión'!$AF$27="Media",'Riesgos de Gestión'!$AH$27="Mayor"),CONCATENATE("R3C",'Riesgos de Gestión'!$V$27),"")</f>
        <v/>
      </c>
      <c r="AC28" s="36" t="str">
        <f>IF(AND('Riesgos de Gestión'!$AF$28="Media",'Riesgos de Gestión'!$AH$28="Mayor"),CONCATENATE("R3C",'Riesgos de Gestión'!$V$28),"")</f>
        <v/>
      </c>
      <c r="AD28" s="36" t="str">
        <f>IF(AND('Riesgos de Gestión'!$AF$29="Media",'Riesgos de Gestión'!$AH$29="Mayor"),CONCATENATE("R3C",'Riesgos de Gestión'!$V$29),"")</f>
        <v/>
      </c>
      <c r="AE28" s="36" t="str">
        <f>IF(AND('Riesgos de Gestión'!$AF$30="Media",'Riesgos de Gestión'!$AH$30="Mayor"),CONCATENATE("R3C",'Riesgos de Gestión'!$V$30),"")</f>
        <v/>
      </c>
      <c r="AF28" s="36" t="str">
        <f>IF(AND('Riesgos de Gestión'!$AF$31="Media",'Riesgos de Gestión'!$AH$31="Mayor"),CONCATENATE("R3C",'Riesgos de Gestión'!$V$31),"")</f>
        <v/>
      </c>
      <c r="AG28" s="37" t="str">
        <f>IF(AND('Riesgos de Gestión'!$AF$32="Media",'Riesgos de Gestión'!$AH$32="Mayor"),CONCATENATE("R3C",'Riesgos de Gestión'!$V$32),"")</f>
        <v/>
      </c>
      <c r="AH28" s="38" t="str">
        <f>IF(AND('Riesgos de Gestión'!$AF$27="Media",'Riesgos de Gestión'!$AH$27="Catastrófico"),CONCATENATE("R3C",'Riesgos de Gestión'!$V$27),"")</f>
        <v/>
      </c>
      <c r="AI28" s="39" t="str">
        <f>IF(AND('Riesgos de Gestión'!$AF$28="Media",'Riesgos de Gestión'!$AH$28="Catastrófico"),CONCATENATE("R3C",'Riesgos de Gestión'!$V$28),"")</f>
        <v/>
      </c>
      <c r="AJ28" s="39" t="str">
        <f>IF(AND('Riesgos de Gestión'!$AF$29="Media",'Riesgos de Gestión'!$AH$29="Catastrófico"),CONCATENATE("R3C",'Riesgos de Gestión'!$V$29),"")</f>
        <v/>
      </c>
      <c r="AK28" s="39" t="str">
        <f>IF(AND('Riesgos de Gestión'!$AF$30="Media",'Riesgos de Gestión'!$AH$30="Catastrófico"),CONCATENATE("R3C",'Riesgos de Gestión'!$V$30),"")</f>
        <v/>
      </c>
      <c r="AL28" s="39" t="str">
        <f>IF(AND('Riesgos de Gestión'!$AF$31="Media",'Riesgos de Gestión'!$AH$31="Catastrófico"),CONCATENATE("R3C",'Riesgos de Gestión'!$V$31),"")</f>
        <v/>
      </c>
      <c r="AM28" s="40" t="str">
        <f>IF(AND('Riesgos de Gestión'!$AF$32="Media",'Riesgos de Gestión'!$AH$32="Catastrófico"),CONCATENATE("R3C",'Riesgos de Gestión'!$V$32),"")</f>
        <v/>
      </c>
      <c r="AN28" s="66"/>
      <c r="AO28" s="539"/>
      <c r="AP28" s="540"/>
      <c r="AQ28" s="540"/>
      <c r="AR28" s="540"/>
      <c r="AS28" s="540"/>
      <c r="AT28" s="541"/>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25">
      <c r="A29" s="66"/>
      <c r="B29" s="458"/>
      <c r="C29" s="458"/>
      <c r="D29" s="459"/>
      <c r="E29" s="499"/>
      <c r="F29" s="500"/>
      <c r="G29" s="500"/>
      <c r="H29" s="500"/>
      <c r="I29" s="501"/>
      <c r="J29" s="50" t="str">
        <f>IF(AND('Riesgos de Gestión'!$AF$33="Media",'Riesgos de Gestión'!$AH$33="Leve"),CONCATENATE("R4C",'Riesgos de Gestión'!$V$33),"")</f>
        <v/>
      </c>
      <c r="K29" s="51" t="str">
        <f>IF(AND('Riesgos de Gestión'!$AF$34="Media",'Riesgos de Gestión'!$AH$34="Leve"),CONCATENATE("R4C",'Riesgos de Gestión'!$V$34),"")</f>
        <v/>
      </c>
      <c r="L29" s="51" t="str">
        <f>IF(AND('Riesgos de Gestión'!$AF$35="Media",'Riesgos de Gestión'!$AH$35="Leve"),CONCATENATE("R4C",'Riesgos de Gestión'!$V$35),"")</f>
        <v/>
      </c>
      <c r="M29" s="51" t="str">
        <f>IF(AND('Riesgos de Gestión'!$AF$36="Media",'Riesgos de Gestión'!$AH$36="Leve"),CONCATENATE("R4C",'Riesgos de Gestión'!$V$36),"")</f>
        <v/>
      </c>
      <c r="N29" s="51" t="str">
        <f>IF(AND('Riesgos de Gestión'!$AF$37="Media",'Riesgos de Gestión'!$AH$37="Leve"),CONCATENATE("R4C",'Riesgos de Gestión'!$V$37),"")</f>
        <v/>
      </c>
      <c r="O29" s="52" t="str">
        <f>IF(AND('Riesgos de Gestión'!$AF$38="Media",'Riesgos de Gestión'!$AH$38="Leve"),CONCATENATE("R4C",'Riesgos de Gestión'!$V$38),"")</f>
        <v/>
      </c>
      <c r="P29" s="50" t="str">
        <f>IF(AND('Riesgos de Gestión'!$AF$33="Media",'Riesgos de Gestión'!$AH$33="Menor"),CONCATENATE("R4C",'Riesgos de Gestión'!$V$33),"")</f>
        <v/>
      </c>
      <c r="Q29" s="51" t="str">
        <f>IF(AND('Riesgos de Gestión'!$AF$34="Media",'Riesgos de Gestión'!$AH$34="Menor"),CONCATENATE("R4C",'Riesgos de Gestión'!$V$34),"")</f>
        <v/>
      </c>
      <c r="R29" s="51" t="str">
        <f>IF(AND('Riesgos de Gestión'!$AF$35="Media",'Riesgos de Gestión'!$AH$35="Menor"),CONCATENATE("R4C",'Riesgos de Gestión'!$V$35),"")</f>
        <v/>
      </c>
      <c r="S29" s="51" t="str">
        <f>IF(AND('Riesgos de Gestión'!$AF$36="Media",'Riesgos de Gestión'!$AH$36="Menor"),CONCATENATE("R4C",'Riesgos de Gestión'!$V$36),"")</f>
        <v/>
      </c>
      <c r="T29" s="51" t="str">
        <f>IF(AND('Riesgos de Gestión'!$AF$37="Media",'Riesgos de Gestión'!$AH$37="Menor"),CONCATENATE("R4C",'Riesgos de Gestión'!$V$37),"")</f>
        <v/>
      </c>
      <c r="U29" s="52" t="str">
        <f>IF(AND('Riesgos de Gestión'!$AF$38="Media",'Riesgos de Gestión'!$AH$38="Menor"),CONCATENATE("R4C",'Riesgos de Gestión'!$V$38),"")</f>
        <v/>
      </c>
      <c r="V29" s="50" t="str">
        <f>IF(AND('Riesgos de Gestión'!$AF$33="Media",'Riesgos de Gestión'!$AH$33="Moderado"),CONCATENATE("R4C",'Riesgos de Gestión'!$V$33),"")</f>
        <v/>
      </c>
      <c r="W29" s="51" t="str">
        <f>IF(AND('Riesgos de Gestión'!$AF$34="Media",'Riesgos de Gestión'!$AH$34="Moderado"),CONCATENATE("R4C",'Riesgos de Gestión'!$V$34),"")</f>
        <v/>
      </c>
      <c r="X29" s="51" t="str">
        <f>IF(AND('Riesgos de Gestión'!$AF$35="Media",'Riesgos de Gestión'!$AH$35="Moderado"),CONCATENATE("R4C",'Riesgos de Gestión'!$V$35),"")</f>
        <v/>
      </c>
      <c r="Y29" s="51" t="str">
        <f>IF(AND('Riesgos de Gestión'!$AF$36="Media",'Riesgos de Gestión'!$AH$36="Moderado"),CONCATENATE("R4C",'Riesgos de Gestión'!$V$36),"")</f>
        <v/>
      </c>
      <c r="Z29" s="51" t="str">
        <f>IF(AND('Riesgos de Gestión'!$AF$37="Media",'Riesgos de Gestión'!$AH$37="Moderado"),CONCATENATE("R4C",'Riesgos de Gestión'!$V$37),"")</f>
        <v/>
      </c>
      <c r="AA29" s="52" t="str">
        <f>IF(AND('Riesgos de Gestión'!$AF$38="Media",'Riesgos de Gestión'!$AH$38="Moderado"),CONCATENATE("R4C",'Riesgos de Gestión'!$V$38),"")</f>
        <v/>
      </c>
      <c r="AB29" s="35" t="str">
        <f>IF(AND('Riesgos de Gestión'!$AF$33="Media",'Riesgos de Gestión'!$AH$33="Mayor"),CONCATENATE("R4C",'Riesgos de Gestión'!$V$33),"")</f>
        <v/>
      </c>
      <c r="AC29" s="36" t="str">
        <f>IF(AND('Riesgos de Gestión'!$AF$34="Media",'Riesgos de Gestión'!$AH$34="Mayor"),CONCATENATE("R4C",'Riesgos de Gestión'!$V$34),"")</f>
        <v/>
      </c>
      <c r="AD29" s="36" t="str">
        <f>IF(AND('Riesgos de Gestión'!$AF$35="Media",'Riesgos de Gestión'!$AH$35="Mayor"),CONCATENATE("R4C",'Riesgos de Gestión'!$V$35),"")</f>
        <v/>
      </c>
      <c r="AE29" s="36" t="str">
        <f>IF(AND('Riesgos de Gestión'!$AF$36="Media",'Riesgos de Gestión'!$AH$36="Mayor"),CONCATENATE("R4C",'Riesgos de Gestión'!$V$36),"")</f>
        <v/>
      </c>
      <c r="AF29" s="36" t="str">
        <f>IF(AND('Riesgos de Gestión'!$AF$37="Media",'Riesgos de Gestión'!$AH$37="Mayor"),CONCATENATE("R4C",'Riesgos de Gestión'!$V$37),"")</f>
        <v/>
      </c>
      <c r="AG29" s="37" t="str">
        <f>IF(AND('Riesgos de Gestión'!$AF$38="Media",'Riesgos de Gestión'!$AH$38="Mayor"),CONCATENATE("R4C",'Riesgos de Gestión'!$V$38),"")</f>
        <v/>
      </c>
      <c r="AH29" s="38" t="str">
        <f>IF(AND('Riesgos de Gestión'!$AF$33="Media",'Riesgos de Gestión'!$AH$33="Catastrófico"),CONCATENATE("R4C",'Riesgos de Gestión'!$V$33),"")</f>
        <v/>
      </c>
      <c r="AI29" s="39" t="str">
        <f>IF(AND('Riesgos de Gestión'!$AF$34="Media",'Riesgos de Gestión'!$AH$34="Catastrófico"),CONCATENATE("R4C",'Riesgos de Gestión'!$V$34),"")</f>
        <v/>
      </c>
      <c r="AJ29" s="39" t="str">
        <f>IF(AND('Riesgos de Gestión'!$AF$35="Media",'Riesgos de Gestión'!$AH$35="Catastrófico"),CONCATENATE("R4C",'Riesgos de Gestión'!$V$35),"")</f>
        <v/>
      </c>
      <c r="AK29" s="39" t="str">
        <f>IF(AND('Riesgos de Gestión'!$AF$36="Media",'Riesgos de Gestión'!$AH$36="Catastrófico"),CONCATENATE("R4C",'Riesgos de Gestión'!$V$36),"")</f>
        <v/>
      </c>
      <c r="AL29" s="39" t="str">
        <f>IF(AND('Riesgos de Gestión'!$AF$37="Media",'Riesgos de Gestión'!$AH$37="Catastrófico"),CONCATENATE("R4C",'Riesgos de Gestión'!$V$37),"")</f>
        <v/>
      </c>
      <c r="AM29" s="40" t="str">
        <f>IF(AND('Riesgos de Gestión'!$AF$38="Media",'Riesgos de Gestión'!$AH$38="Catastrófico"),CONCATENATE("R4C",'Riesgos de Gestión'!$V$38),"")</f>
        <v/>
      </c>
      <c r="AN29" s="66"/>
      <c r="AO29" s="539"/>
      <c r="AP29" s="540"/>
      <c r="AQ29" s="540"/>
      <c r="AR29" s="540"/>
      <c r="AS29" s="540"/>
      <c r="AT29" s="541"/>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25">
      <c r="A30" s="66"/>
      <c r="B30" s="458"/>
      <c r="C30" s="458"/>
      <c r="D30" s="459"/>
      <c r="E30" s="499"/>
      <c r="F30" s="500"/>
      <c r="G30" s="500"/>
      <c r="H30" s="500"/>
      <c r="I30" s="501"/>
      <c r="J30" s="50" t="str">
        <f>IF(AND('Riesgos de Gestión'!$AF$39="Media",'Riesgos de Gestión'!$AH$39="Leve"),CONCATENATE("R5C",'Riesgos de Gestión'!$V$39),"")</f>
        <v/>
      </c>
      <c r="K30" s="51" t="str">
        <f>IF(AND('Riesgos de Gestión'!$AF$40="Media",'Riesgos de Gestión'!$AH$40="Leve"),CONCATENATE("R5C",'Riesgos de Gestión'!$V$40),"")</f>
        <v/>
      </c>
      <c r="L30" s="51" t="str">
        <f>IF(AND('Riesgos de Gestión'!$AF$41="Media",'Riesgos de Gestión'!$AH$41="Leve"),CONCATENATE("R5C",'Riesgos de Gestión'!$V$41),"")</f>
        <v/>
      </c>
      <c r="M30" s="51" t="str">
        <f>IF(AND('Riesgos de Gestión'!$AF$42="Media",'Riesgos de Gestión'!$AH$42="Leve"),CONCATENATE("R5C",'Riesgos de Gestión'!$V$42),"")</f>
        <v/>
      </c>
      <c r="N30" s="51" t="str">
        <f>IF(AND('Riesgos de Gestión'!$AF$43="Media",'Riesgos de Gestión'!$AH$43="Leve"),CONCATENATE("R5C",'Riesgos de Gestión'!$V$43),"")</f>
        <v/>
      </c>
      <c r="O30" s="52" t="str">
        <f>IF(AND('Riesgos de Gestión'!$AF$44="Media",'Riesgos de Gestión'!$AH$44="Leve"),CONCATENATE("R5C",'Riesgos de Gestión'!$V$44),"")</f>
        <v/>
      </c>
      <c r="P30" s="50" t="str">
        <f>IF(AND('Riesgos de Gestión'!$AF$39="Media",'Riesgos de Gestión'!$AH$39="Menor"),CONCATENATE("R5C",'Riesgos de Gestión'!$V$39),"")</f>
        <v/>
      </c>
      <c r="Q30" s="51" t="str">
        <f>IF(AND('Riesgos de Gestión'!$AF$40="Media",'Riesgos de Gestión'!$AH$40="Menor"),CONCATENATE("R5C",'Riesgos de Gestión'!$V$40),"")</f>
        <v/>
      </c>
      <c r="R30" s="51" t="str">
        <f>IF(AND('Riesgos de Gestión'!$AF$41="Media",'Riesgos de Gestión'!$AH$41="Menor"),CONCATENATE("R5C",'Riesgos de Gestión'!$V$41),"")</f>
        <v/>
      </c>
      <c r="S30" s="51" t="str">
        <f>IF(AND('Riesgos de Gestión'!$AF$42="Media",'Riesgos de Gestión'!$AH$42="Menor"),CONCATENATE("R5C",'Riesgos de Gestión'!$V$42),"")</f>
        <v/>
      </c>
      <c r="T30" s="51" t="str">
        <f>IF(AND('Riesgos de Gestión'!$AF$43="Media",'Riesgos de Gestión'!$AH$43="Menor"),CONCATENATE("R5C",'Riesgos de Gestión'!$V$43),"")</f>
        <v/>
      </c>
      <c r="U30" s="52" t="str">
        <f>IF(AND('Riesgos de Gestión'!$AF$44="Media",'Riesgos de Gestión'!$AH$44="Menor"),CONCATENATE("R5C",'Riesgos de Gestión'!$V$44),"")</f>
        <v/>
      </c>
      <c r="V30" s="50" t="str">
        <f>IF(AND('Riesgos de Gestión'!$AF$39="Media",'Riesgos de Gestión'!$AH$39="Moderado"),CONCATENATE("R5C",'Riesgos de Gestión'!$V$39),"")</f>
        <v/>
      </c>
      <c r="W30" s="51" t="str">
        <f>IF(AND('Riesgos de Gestión'!$AF$40="Media",'Riesgos de Gestión'!$AH$40="Moderado"),CONCATENATE("R5C",'Riesgos de Gestión'!$V$40),"")</f>
        <v/>
      </c>
      <c r="X30" s="51" t="str">
        <f>IF(AND('Riesgos de Gestión'!$AF$41="Media",'Riesgos de Gestión'!$AH$41="Moderado"),CONCATENATE("R5C",'Riesgos de Gestión'!$V$41),"")</f>
        <v/>
      </c>
      <c r="Y30" s="51" t="str">
        <f>IF(AND('Riesgos de Gestión'!$AF$42="Media",'Riesgos de Gestión'!$AH$42="Moderado"),CONCATENATE("R5C",'Riesgos de Gestión'!$V$42),"")</f>
        <v/>
      </c>
      <c r="Z30" s="51" t="str">
        <f>IF(AND('Riesgos de Gestión'!$AF$43="Media",'Riesgos de Gestión'!$AH$43="Moderado"),CONCATENATE("R5C",'Riesgos de Gestión'!$V$43),"")</f>
        <v/>
      </c>
      <c r="AA30" s="52" t="str">
        <f>IF(AND('Riesgos de Gestión'!$AF$44="Media",'Riesgos de Gestión'!$AH$44="Moderado"),CONCATENATE("R5C",'Riesgos de Gestión'!$V$44),"")</f>
        <v/>
      </c>
      <c r="AB30" s="35" t="str">
        <f>IF(AND('Riesgos de Gestión'!$AF$39="Media",'Riesgos de Gestión'!$AH$39="Mayor"),CONCATENATE("R5C",'Riesgos de Gestión'!$V$39),"")</f>
        <v/>
      </c>
      <c r="AC30" s="36" t="str">
        <f>IF(AND('Riesgos de Gestión'!$AF$40="Media",'Riesgos de Gestión'!$AH$40="Mayor"),CONCATENATE("R5C",'Riesgos de Gestión'!$V$40),"")</f>
        <v/>
      </c>
      <c r="AD30" s="36" t="str">
        <f>IF(AND('Riesgos de Gestión'!$AF$41="Media",'Riesgos de Gestión'!$AH$41="Mayor"),CONCATENATE("R5C",'Riesgos de Gestión'!$V$41),"")</f>
        <v/>
      </c>
      <c r="AE30" s="36" t="str">
        <f>IF(AND('Riesgos de Gestión'!$AF$42="Media",'Riesgos de Gestión'!$AH$42="Mayor"),CONCATENATE("R5C",'Riesgos de Gestión'!$V$42),"")</f>
        <v/>
      </c>
      <c r="AF30" s="36" t="str">
        <f>IF(AND('Riesgos de Gestión'!$AF$43="Media",'Riesgos de Gestión'!$AH$43="Mayor"),CONCATENATE("R5C",'Riesgos de Gestión'!$V$43),"")</f>
        <v/>
      </c>
      <c r="AG30" s="37" t="str">
        <f>IF(AND('Riesgos de Gestión'!$AF$44="Media",'Riesgos de Gestión'!$AH$44="Mayor"),CONCATENATE("R5C",'Riesgos de Gestión'!$V$44),"")</f>
        <v/>
      </c>
      <c r="AH30" s="38" t="str">
        <f>IF(AND('Riesgos de Gestión'!$AF$39="Media",'Riesgos de Gestión'!$AH$39="Catastrófico"),CONCATENATE("R5C",'Riesgos de Gestión'!$V$39),"")</f>
        <v/>
      </c>
      <c r="AI30" s="39" t="str">
        <f>IF(AND('Riesgos de Gestión'!$AF$40="Media",'Riesgos de Gestión'!$AH$40="Catastrófico"),CONCATENATE("R5C",'Riesgos de Gestión'!$V$40),"")</f>
        <v/>
      </c>
      <c r="AJ30" s="39" t="str">
        <f>IF(AND('Riesgos de Gestión'!$AF$41="Media",'Riesgos de Gestión'!$AH$41="Catastrófico"),CONCATENATE("R5C",'Riesgos de Gestión'!$V$41),"")</f>
        <v/>
      </c>
      <c r="AK30" s="39" t="str">
        <f>IF(AND('Riesgos de Gestión'!$AF$42="Media",'Riesgos de Gestión'!$AH$42="Catastrófico"),CONCATENATE("R5C",'Riesgos de Gestión'!$V$42),"")</f>
        <v/>
      </c>
      <c r="AL30" s="39" t="str">
        <f>IF(AND('Riesgos de Gestión'!$AF$43="Media",'Riesgos de Gestión'!$AH$43="Catastrófico"),CONCATENATE("R5C",'Riesgos de Gestión'!$V$43),"")</f>
        <v/>
      </c>
      <c r="AM30" s="40" t="str">
        <f>IF(AND('Riesgos de Gestión'!$AF$44="Media",'Riesgos de Gestión'!$AH$44="Catastrófico"),CONCATENATE("R5C",'Riesgos de Gestión'!$V$44),"")</f>
        <v/>
      </c>
      <c r="AN30" s="66"/>
      <c r="AO30" s="539"/>
      <c r="AP30" s="540"/>
      <c r="AQ30" s="540"/>
      <c r="AR30" s="540"/>
      <c r="AS30" s="540"/>
      <c r="AT30" s="541"/>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25">
      <c r="A31" s="66"/>
      <c r="B31" s="458"/>
      <c r="C31" s="458"/>
      <c r="D31" s="459"/>
      <c r="E31" s="499"/>
      <c r="F31" s="500"/>
      <c r="G31" s="500"/>
      <c r="H31" s="500"/>
      <c r="I31" s="501"/>
      <c r="J31" s="50" t="str">
        <f>IF(AND('Riesgos de Gestión'!$AF$45="Media",'Riesgos de Gestión'!$AH$45="Leve"),CONCATENATE("R6C",'Riesgos de Gestión'!$V$45),"")</f>
        <v/>
      </c>
      <c r="K31" s="51" t="str">
        <f>IF(AND('Riesgos de Gestión'!$AF$46="Media",'Riesgos de Gestión'!$AH$46="Leve"),CONCATENATE("R6C",'Riesgos de Gestión'!$V$46),"")</f>
        <v/>
      </c>
      <c r="L31" s="51" t="str">
        <f>IF(AND('Riesgos de Gestión'!$AF$47="Media",'Riesgos de Gestión'!$AH$47="Leve"),CONCATENATE("R6C",'Riesgos de Gestión'!$V$47),"")</f>
        <v/>
      </c>
      <c r="M31" s="51" t="str">
        <f>IF(AND('Riesgos de Gestión'!$AF$48="Media",'Riesgos de Gestión'!$AH$48="Leve"),CONCATENATE("R6C",'Riesgos de Gestión'!$V$48),"")</f>
        <v/>
      </c>
      <c r="N31" s="51" t="str">
        <f>IF(AND('Riesgos de Gestión'!$AF$49="Media",'Riesgos de Gestión'!$AH$49="Leve"),CONCATENATE("R6C",'Riesgos de Gestión'!$V$49),"")</f>
        <v/>
      </c>
      <c r="O31" s="52" t="str">
        <f>IF(AND('Riesgos de Gestión'!$AF$50="Media",'Riesgos de Gestión'!$AH$50="Leve"),CONCATENATE("R6C",'Riesgos de Gestión'!$V$50),"")</f>
        <v/>
      </c>
      <c r="P31" s="50" t="str">
        <f>IF(AND('Riesgos de Gestión'!$AF$45="Media",'Riesgos de Gestión'!$AH$45="Menor"),CONCATENATE("R6C",'Riesgos de Gestión'!$V$45),"")</f>
        <v/>
      </c>
      <c r="Q31" s="51" t="str">
        <f>IF(AND('Riesgos de Gestión'!$AF$46="Media",'Riesgos de Gestión'!$AH$46="Menor"),CONCATENATE("R6C",'Riesgos de Gestión'!$V$46),"")</f>
        <v/>
      </c>
      <c r="R31" s="51" t="str">
        <f>IF(AND('Riesgos de Gestión'!$AF$47="Media",'Riesgos de Gestión'!$AH$47="Menor"),CONCATENATE("R6C",'Riesgos de Gestión'!$V$47),"")</f>
        <v/>
      </c>
      <c r="S31" s="51" t="str">
        <f>IF(AND('Riesgos de Gestión'!$AF$48="Media",'Riesgos de Gestión'!$AH$48="Menor"),CONCATENATE("R6C",'Riesgos de Gestión'!$V$48),"")</f>
        <v/>
      </c>
      <c r="T31" s="51" t="str">
        <f>IF(AND('Riesgos de Gestión'!$AF$49="Media",'Riesgos de Gestión'!$AH$49="Menor"),CONCATENATE("R6C",'Riesgos de Gestión'!$V$49),"")</f>
        <v/>
      </c>
      <c r="U31" s="52" t="str">
        <f>IF(AND('Riesgos de Gestión'!$AF$50="Media",'Riesgos de Gestión'!$AH$50="Menor"),CONCATENATE("R6C",'Riesgos de Gestión'!$V$50),"")</f>
        <v/>
      </c>
      <c r="V31" s="50" t="str">
        <f>IF(AND('Riesgos de Gestión'!$AF$45="Media",'Riesgos de Gestión'!$AH$45="Moderado"),CONCATENATE("R6C",'Riesgos de Gestión'!$V$45),"")</f>
        <v/>
      </c>
      <c r="W31" s="51" t="str">
        <f>IF(AND('Riesgos de Gestión'!$AF$46="Media",'Riesgos de Gestión'!$AH$46="Moderado"),CONCATENATE("R6C",'Riesgos de Gestión'!$V$46),"")</f>
        <v/>
      </c>
      <c r="X31" s="51" t="str">
        <f>IF(AND('Riesgos de Gestión'!$AF$47="Media",'Riesgos de Gestión'!$AH$47="Moderado"),CONCATENATE("R6C",'Riesgos de Gestión'!$V$47),"")</f>
        <v/>
      </c>
      <c r="Y31" s="51" t="str">
        <f>IF(AND('Riesgos de Gestión'!$AF$48="Media",'Riesgos de Gestión'!$AH$48="Moderado"),CONCATENATE("R6C",'Riesgos de Gestión'!$V$48),"")</f>
        <v/>
      </c>
      <c r="Z31" s="51" t="str">
        <f>IF(AND('Riesgos de Gestión'!$AF$49="Media",'Riesgos de Gestión'!$AH$49="Moderado"),CONCATENATE("R6C",'Riesgos de Gestión'!$V$49),"")</f>
        <v/>
      </c>
      <c r="AA31" s="52" t="str">
        <f>IF(AND('Riesgos de Gestión'!$AF$50="Media",'Riesgos de Gestión'!$AH$50="Moderado"),CONCATENATE("R6C",'Riesgos de Gestión'!$V$50),"")</f>
        <v/>
      </c>
      <c r="AB31" s="35" t="str">
        <f>IF(AND('Riesgos de Gestión'!$AF$45="Media",'Riesgos de Gestión'!$AH$45="Mayor"),CONCATENATE("R6C",'Riesgos de Gestión'!$V$45),"")</f>
        <v/>
      </c>
      <c r="AC31" s="36" t="str">
        <f>IF(AND('Riesgos de Gestión'!$AF$46="Media",'Riesgos de Gestión'!$AH$46="Mayor"),CONCATENATE("R6C",'Riesgos de Gestión'!$V$46),"")</f>
        <v/>
      </c>
      <c r="AD31" s="36" t="str">
        <f>IF(AND('Riesgos de Gestión'!$AF$47="Media",'Riesgos de Gestión'!$AH$47="Mayor"),CONCATENATE("R6C",'Riesgos de Gestión'!$V$47),"")</f>
        <v/>
      </c>
      <c r="AE31" s="36" t="str">
        <f>IF(AND('Riesgos de Gestión'!$AF$48="Media",'Riesgos de Gestión'!$AH$48="Mayor"),CONCATENATE("R6C",'Riesgos de Gestión'!$V$48),"")</f>
        <v/>
      </c>
      <c r="AF31" s="36" t="str">
        <f>IF(AND('Riesgos de Gestión'!$AF$49="Media",'Riesgos de Gestión'!$AH$49="Mayor"),CONCATENATE("R6C",'Riesgos de Gestión'!$V$49),"")</f>
        <v/>
      </c>
      <c r="AG31" s="37" t="str">
        <f>IF(AND('Riesgos de Gestión'!$AF$50="Media",'Riesgos de Gestión'!$AH$50="Mayor"),CONCATENATE("R6C",'Riesgos de Gestión'!$V$50),"")</f>
        <v/>
      </c>
      <c r="AH31" s="38" t="str">
        <f>IF(AND('Riesgos de Gestión'!$AF$45="Media",'Riesgos de Gestión'!$AH$45="Catastrófico"),CONCATENATE("R6C",'Riesgos de Gestión'!$V$45),"")</f>
        <v/>
      </c>
      <c r="AI31" s="39" t="str">
        <f>IF(AND('Riesgos de Gestión'!$AF$46="Media",'Riesgos de Gestión'!$AH$46="Catastrófico"),CONCATENATE("R6C",'Riesgos de Gestión'!$V$46),"")</f>
        <v/>
      </c>
      <c r="AJ31" s="39" t="str">
        <f>IF(AND('Riesgos de Gestión'!$AF$47="Media",'Riesgos de Gestión'!$AH$47="Catastrófico"),CONCATENATE("R6C",'Riesgos de Gestión'!$V$47),"")</f>
        <v/>
      </c>
      <c r="AK31" s="39" t="str">
        <f>IF(AND('Riesgos de Gestión'!$AF$48="Media",'Riesgos de Gestión'!$AH$48="Catastrófico"),CONCATENATE("R6C",'Riesgos de Gestión'!$V$48),"")</f>
        <v/>
      </c>
      <c r="AL31" s="39" t="str">
        <f>IF(AND('Riesgos de Gestión'!$AF$49="Media",'Riesgos de Gestión'!$AH$49="Catastrófico"),CONCATENATE("R6C",'Riesgos de Gestión'!$V$49),"")</f>
        <v/>
      </c>
      <c r="AM31" s="40" t="str">
        <f>IF(AND('Riesgos de Gestión'!$AF$50="Media",'Riesgos de Gestión'!$AH$50="Catastrófico"),CONCATENATE("R6C",'Riesgos de Gestión'!$V$50),"")</f>
        <v/>
      </c>
      <c r="AN31" s="66"/>
      <c r="AO31" s="539"/>
      <c r="AP31" s="540"/>
      <c r="AQ31" s="540"/>
      <c r="AR31" s="540"/>
      <c r="AS31" s="540"/>
      <c r="AT31" s="541"/>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25">
      <c r="A32" s="66"/>
      <c r="B32" s="458"/>
      <c r="C32" s="458"/>
      <c r="D32" s="459"/>
      <c r="E32" s="499"/>
      <c r="F32" s="500"/>
      <c r="G32" s="500"/>
      <c r="H32" s="500"/>
      <c r="I32" s="501"/>
      <c r="J32" s="50" t="str">
        <f>IF(AND('Riesgos de Gestión'!$AF$51="Media",'Riesgos de Gestión'!$AH$51="Leve"),CONCATENATE("R7C",'Riesgos de Gestión'!$V$51),"")</f>
        <v/>
      </c>
      <c r="K32" s="51" t="str">
        <f>IF(AND('Riesgos de Gestión'!$AF$52="Media",'Riesgos de Gestión'!$AH$52="Leve"),CONCATENATE("R7C",'Riesgos de Gestión'!$V$52),"")</f>
        <v/>
      </c>
      <c r="L32" s="51" t="str">
        <f>IF(AND('Riesgos de Gestión'!$AF$53="Media",'Riesgos de Gestión'!$AH$53="Leve"),CONCATENATE("R7C",'Riesgos de Gestión'!$V$53),"")</f>
        <v/>
      </c>
      <c r="M32" s="51" t="str">
        <f>IF(AND('Riesgos de Gestión'!$AF$54="Media",'Riesgos de Gestión'!$AH$54="Leve"),CONCATENATE("R7C",'Riesgos de Gestión'!$V$54),"")</f>
        <v/>
      </c>
      <c r="N32" s="51" t="str">
        <f>IF(AND('Riesgos de Gestión'!$AF$55="Media",'Riesgos de Gestión'!$AH$55="Leve"),CONCATENATE("R7C",'Riesgos de Gestión'!$V$55),"")</f>
        <v/>
      </c>
      <c r="O32" s="52" t="str">
        <f>IF(AND('Riesgos de Gestión'!$AF$56="Media",'Riesgos de Gestión'!$AH$56="Leve"),CONCATENATE("R7C",'Riesgos de Gestión'!$V$56),"")</f>
        <v/>
      </c>
      <c r="P32" s="50" t="str">
        <f>IF(AND('Riesgos de Gestión'!$AF$51="Media",'Riesgos de Gestión'!$AH$51="Menor"),CONCATENATE("R7C",'Riesgos de Gestión'!$V$51),"")</f>
        <v/>
      </c>
      <c r="Q32" s="51" t="str">
        <f>IF(AND('Riesgos de Gestión'!$AF$52="Media",'Riesgos de Gestión'!$AH$52="Menor"),CONCATENATE("R7C",'Riesgos de Gestión'!$V$52),"")</f>
        <v/>
      </c>
      <c r="R32" s="51" t="str">
        <f>IF(AND('Riesgos de Gestión'!$AF$53="Media",'Riesgos de Gestión'!$AH$53="Menor"),CONCATENATE("R7C",'Riesgos de Gestión'!$V$53),"")</f>
        <v/>
      </c>
      <c r="S32" s="51" t="str">
        <f>IF(AND('Riesgos de Gestión'!$AF$54="Media",'Riesgos de Gestión'!$AH$54="Menor"),CONCATENATE("R7C",'Riesgos de Gestión'!$V$54),"")</f>
        <v/>
      </c>
      <c r="T32" s="51" t="str">
        <f>IF(AND('Riesgos de Gestión'!$AF$55="Media",'Riesgos de Gestión'!$AH$55="Menor"),CONCATENATE("R7C",'Riesgos de Gestión'!$V$55),"")</f>
        <v/>
      </c>
      <c r="U32" s="52" t="str">
        <f>IF(AND('Riesgos de Gestión'!$AF$56="Media",'Riesgos de Gestión'!$AH$56="Menor"),CONCATENATE("R7C",'Riesgos de Gestión'!$V$56),"")</f>
        <v/>
      </c>
      <c r="V32" s="50" t="str">
        <f>IF(AND('Riesgos de Gestión'!$AF$51="Media",'Riesgos de Gestión'!$AH$51="Moderado"),CONCATENATE("R7C",'Riesgos de Gestión'!$V$51),"")</f>
        <v/>
      </c>
      <c r="W32" s="51" t="str">
        <f>IF(AND('Riesgos de Gestión'!$AF$52="Media",'Riesgos de Gestión'!$AH$52="Moderado"),CONCATENATE("R7C",'Riesgos de Gestión'!$V$52),"")</f>
        <v/>
      </c>
      <c r="X32" s="51" t="str">
        <f>IF(AND('Riesgos de Gestión'!$AF$53="Media",'Riesgos de Gestión'!$AH$53="Moderado"),CONCATENATE("R7C",'Riesgos de Gestión'!$V$53),"")</f>
        <v/>
      </c>
      <c r="Y32" s="51" t="str">
        <f>IF(AND('Riesgos de Gestión'!$AF$54="Media",'Riesgos de Gestión'!$AH$54="Moderado"),CONCATENATE("R7C",'Riesgos de Gestión'!$V$54),"")</f>
        <v/>
      </c>
      <c r="Z32" s="51" t="str">
        <f>IF(AND('Riesgos de Gestión'!$AF$55="Media",'Riesgos de Gestión'!$AH$55="Moderado"),CONCATENATE("R7C",'Riesgos de Gestión'!$V$55),"")</f>
        <v/>
      </c>
      <c r="AA32" s="52" t="str">
        <f>IF(AND('Riesgos de Gestión'!$AF$56="Media",'Riesgos de Gestión'!$AH$56="Moderado"),CONCATENATE("R7C",'Riesgos de Gestión'!$V$56),"")</f>
        <v/>
      </c>
      <c r="AB32" s="35" t="str">
        <f>IF(AND('Riesgos de Gestión'!$AF$51="Media",'Riesgos de Gestión'!$AH$51="Mayor"),CONCATENATE("R7C",'Riesgos de Gestión'!$V$51),"")</f>
        <v/>
      </c>
      <c r="AC32" s="36" t="str">
        <f>IF(AND('Riesgos de Gestión'!$AF$52="Media",'Riesgos de Gestión'!$AH$52="Mayor"),CONCATENATE("R7C",'Riesgos de Gestión'!$V$52),"")</f>
        <v/>
      </c>
      <c r="AD32" s="36" t="str">
        <f>IF(AND('Riesgos de Gestión'!$AF$53="Media",'Riesgos de Gestión'!$AH$53="Mayor"),CONCATENATE("R7C",'Riesgos de Gestión'!$V$53),"")</f>
        <v/>
      </c>
      <c r="AE32" s="36" t="str">
        <f>IF(AND('Riesgos de Gestión'!$AF$54="Media",'Riesgos de Gestión'!$AH$54="Mayor"),CONCATENATE("R7C",'Riesgos de Gestión'!$V$54),"")</f>
        <v/>
      </c>
      <c r="AF32" s="36" t="str">
        <f>IF(AND('Riesgos de Gestión'!$AF$55="Media",'Riesgos de Gestión'!$AH$55="Mayor"),CONCATENATE("R7C",'Riesgos de Gestión'!$V$55),"")</f>
        <v/>
      </c>
      <c r="AG32" s="37" t="str">
        <f>IF(AND('Riesgos de Gestión'!$AF$56="Media",'Riesgos de Gestión'!$AH$56="Mayor"),CONCATENATE("R7C",'Riesgos de Gestión'!$V$56),"")</f>
        <v/>
      </c>
      <c r="AH32" s="38" t="str">
        <f>IF(AND('Riesgos de Gestión'!$AF$51="Media",'Riesgos de Gestión'!$AH$51="Catastrófico"),CONCATENATE("R7C",'Riesgos de Gestión'!$V$51),"")</f>
        <v/>
      </c>
      <c r="AI32" s="39" t="str">
        <f>IF(AND('Riesgos de Gestión'!$AF$52="Media",'Riesgos de Gestión'!$AH$52="Catastrófico"),CONCATENATE("R7C",'Riesgos de Gestión'!$V$52),"")</f>
        <v/>
      </c>
      <c r="AJ32" s="39" t="str">
        <f>IF(AND('Riesgos de Gestión'!$AF$53="Media",'Riesgos de Gestión'!$AH$53="Catastrófico"),CONCATENATE("R7C",'Riesgos de Gestión'!$V$53),"")</f>
        <v/>
      </c>
      <c r="AK32" s="39" t="str">
        <f>IF(AND('Riesgos de Gestión'!$AF$54="Media",'Riesgos de Gestión'!$AH$54="Catastrófico"),CONCATENATE("R7C",'Riesgos de Gestión'!$V$54),"")</f>
        <v/>
      </c>
      <c r="AL32" s="39" t="str">
        <f>IF(AND('Riesgos de Gestión'!$AF$55="Media",'Riesgos de Gestión'!$AH$55="Catastrófico"),CONCATENATE("R7C",'Riesgos de Gestión'!$V$55),"")</f>
        <v/>
      </c>
      <c r="AM32" s="40" t="str">
        <f>IF(AND('Riesgos de Gestión'!$AF$56="Media",'Riesgos de Gestión'!$AH$56="Catastrófico"),CONCATENATE("R7C",'Riesgos de Gestión'!$V$56),"")</f>
        <v/>
      </c>
      <c r="AN32" s="66"/>
      <c r="AO32" s="539"/>
      <c r="AP32" s="540"/>
      <c r="AQ32" s="540"/>
      <c r="AR32" s="540"/>
      <c r="AS32" s="540"/>
      <c r="AT32" s="541"/>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25">
      <c r="A33" s="66"/>
      <c r="B33" s="458"/>
      <c r="C33" s="458"/>
      <c r="D33" s="459"/>
      <c r="E33" s="499"/>
      <c r="F33" s="500"/>
      <c r="G33" s="500"/>
      <c r="H33" s="500"/>
      <c r="I33" s="501"/>
      <c r="J33" s="50" t="str">
        <f>IF(AND('Riesgos de Gestión'!$AF$57="Media",'Riesgos de Gestión'!$AH$57="Leve"),CONCATENATE("R8C",'Riesgos de Gestión'!$V$57),"")</f>
        <v/>
      </c>
      <c r="K33" s="51" t="str">
        <f>IF(AND('Riesgos de Gestión'!$AF$58="Media",'Riesgos de Gestión'!$AH$58="Leve"),CONCATENATE("R8C",'Riesgos de Gestión'!$V$58),"")</f>
        <v/>
      </c>
      <c r="L33" s="51" t="str">
        <f>IF(AND('Riesgos de Gestión'!$AF$59="Media",'Riesgos de Gestión'!$AH$59="Leve"),CONCATENATE("R8C",'Riesgos de Gestión'!$V$59),"")</f>
        <v/>
      </c>
      <c r="M33" s="51" t="str">
        <f>IF(AND('Riesgos de Gestión'!$AF$60="Media",'Riesgos de Gestión'!$AH$60="Leve"),CONCATENATE("R8C",'Riesgos de Gestión'!$V$60),"")</f>
        <v/>
      </c>
      <c r="N33" s="51" t="str">
        <f>IF(AND('Riesgos de Gestión'!$AF$61="Media",'Riesgos de Gestión'!$AH$61="Leve"),CONCATENATE("R8C",'Riesgos de Gestión'!$V$61),"")</f>
        <v/>
      </c>
      <c r="O33" s="52" t="str">
        <f>IF(AND('Riesgos de Gestión'!$AF$62="Media",'Riesgos de Gestión'!$AH$62="Leve"),CONCATENATE("R8C",'Riesgos de Gestión'!$V$62),"")</f>
        <v/>
      </c>
      <c r="P33" s="50" t="str">
        <f>IF(AND('Riesgos de Gestión'!$AF$57="Media",'Riesgos de Gestión'!$AH$57="Menor"),CONCATENATE("R8C",'Riesgos de Gestión'!$V$57),"")</f>
        <v/>
      </c>
      <c r="Q33" s="51" t="str">
        <f>IF(AND('Riesgos de Gestión'!$AF$58="Media",'Riesgos de Gestión'!$AH$58="Menor"),CONCATENATE("R8C",'Riesgos de Gestión'!$V$58),"")</f>
        <v/>
      </c>
      <c r="R33" s="51" t="str">
        <f>IF(AND('Riesgos de Gestión'!$AF$59="Media",'Riesgos de Gestión'!$AH$59="Menor"),CONCATENATE("R8C",'Riesgos de Gestión'!$V$59),"")</f>
        <v/>
      </c>
      <c r="S33" s="51" t="str">
        <f>IF(AND('Riesgos de Gestión'!$AF$60="Media",'Riesgos de Gestión'!$AH$60="Menor"),CONCATENATE("R8C",'Riesgos de Gestión'!$V$60),"")</f>
        <v/>
      </c>
      <c r="T33" s="51" t="str">
        <f>IF(AND('Riesgos de Gestión'!$AF$61="Media",'Riesgos de Gestión'!$AH$61="Menor"),CONCATENATE("R8C",'Riesgos de Gestión'!$V$61),"")</f>
        <v/>
      </c>
      <c r="U33" s="52" t="str">
        <f>IF(AND('Riesgos de Gestión'!$AF$62="Media",'Riesgos de Gestión'!$AH$62="Menor"),CONCATENATE("R8C",'Riesgos de Gestión'!$V$62),"")</f>
        <v/>
      </c>
      <c r="V33" s="50" t="str">
        <f>IF(AND('Riesgos de Gestión'!$AF$57="Media",'Riesgos de Gestión'!$AH$57="Moderado"),CONCATENATE("R8C",'Riesgos de Gestión'!$V$57),"")</f>
        <v/>
      </c>
      <c r="W33" s="51" t="str">
        <f>IF(AND('Riesgos de Gestión'!$AF$58="Media",'Riesgos de Gestión'!$AH$58="Moderado"),CONCATENATE("R8C",'Riesgos de Gestión'!$V$58),"")</f>
        <v/>
      </c>
      <c r="X33" s="51" t="str">
        <f>IF(AND('Riesgos de Gestión'!$AF$59="Media",'Riesgos de Gestión'!$AH$59="Moderado"),CONCATENATE("R8C",'Riesgos de Gestión'!$V$59),"")</f>
        <v/>
      </c>
      <c r="Y33" s="51" t="str">
        <f>IF(AND('Riesgos de Gestión'!$AF$60="Media",'Riesgos de Gestión'!$AH$60="Moderado"),CONCATENATE("R8C",'Riesgos de Gestión'!$V$60),"")</f>
        <v/>
      </c>
      <c r="Z33" s="51" t="str">
        <f>IF(AND('Riesgos de Gestión'!$AF$61="Media",'Riesgos de Gestión'!$AH$61="Moderado"),CONCATENATE("R8C",'Riesgos de Gestión'!$V$61),"")</f>
        <v/>
      </c>
      <c r="AA33" s="52" t="str">
        <f>IF(AND('Riesgos de Gestión'!$AF$62="Media",'Riesgos de Gestión'!$AH$62="Moderado"),CONCATENATE("R8C",'Riesgos de Gestión'!$V$62),"")</f>
        <v/>
      </c>
      <c r="AB33" s="35" t="str">
        <f>IF(AND('Riesgos de Gestión'!$AF$57="Media",'Riesgos de Gestión'!$AH$57="Mayor"),CONCATENATE("R8C",'Riesgos de Gestión'!$V$57),"")</f>
        <v/>
      </c>
      <c r="AC33" s="36" t="str">
        <f>IF(AND('Riesgos de Gestión'!$AF$58="Media",'Riesgos de Gestión'!$AH$58="Mayor"),CONCATENATE("R8C",'Riesgos de Gestión'!$V$58),"")</f>
        <v/>
      </c>
      <c r="AD33" s="36" t="str">
        <f>IF(AND('Riesgos de Gestión'!$AF$59="Media",'Riesgos de Gestión'!$AH$59="Mayor"),CONCATENATE("R8C",'Riesgos de Gestión'!$V$59),"")</f>
        <v/>
      </c>
      <c r="AE33" s="36" t="str">
        <f>IF(AND('Riesgos de Gestión'!$AF$60="Media",'Riesgos de Gestión'!$AH$60="Mayor"),CONCATENATE("R8C",'Riesgos de Gestión'!$V$60),"")</f>
        <v/>
      </c>
      <c r="AF33" s="36" t="str">
        <f>IF(AND('Riesgos de Gestión'!$AF$61="Media",'Riesgos de Gestión'!$AH$61="Mayor"),CONCATENATE("R8C",'Riesgos de Gestión'!$V$61),"")</f>
        <v/>
      </c>
      <c r="AG33" s="37" t="str">
        <f>IF(AND('Riesgos de Gestión'!$AF$62="Media",'Riesgos de Gestión'!$AH$62="Mayor"),CONCATENATE("R8C",'Riesgos de Gestión'!$V$62),"")</f>
        <v/>
      </c>
      <c r="AH33" s="38" t="str">
        <f>IF(AND('Riesgos de Gestión'!$AF$57="Media",'Riesgos de Gestión'!$AH$57="Catastrófico"),CONCATENATE("R8C",'Riesgos de Gestión'!$V$57),"")</f>
        <v/>
      </c>
      <c r="AI33" s="39" t="str">
        <f>IF(AND('Riesgos de Gestión'!$AF$58="Media",'Riesgos de Gestión'!$AH$58="Catastrófico"),CONCATENATE("R8C",'Riesgos de Gestión'!$V$58),"")</f>
        <v/>
      </c>
      <c r="AJ33" s="39" t="str">
        <f>IF(AND('Riesgos de Gestión'!$AF$59="Media",'Riesgos de Gestión'!$AH$59="Catastrófico"),CONCATENATE("R8C",'Riesgos de Gestión'!$V$59),"")</f>
        <v/>
      </c>
      <c r="AK33" s="39" t="str">
        <f>IF(AND('Riesgos de Gestión'!$AF$60="Media",'Riesgos de Gestión'!$AH$60="Catastrófico"),CONCATENATE("R8C",'Riesgos de Gestión'!$V$60),"")</f>
        <v/>
      </c>
      <c r="AL33" s="39" t="str">
        <f>IF(AND('Riesgos de Gestión'!$AF$61="Media",'Riesgos de Gestión'!$AH$61="Catastrófico"),CONCATENATE("R8C",'Riesgos de Gestión'!$V$61),"")</f>
        <v/>
      </c>
      <c r="AM33" s="40" t="str">
        <f>IF(AND('Riesgos de Gestión'!$AF$62="Media",'Riesgos de Gestión'!$AH$62="Catastrófico"),CONCATENATE("R8C",'Riesgos de Gestión'!$V$62),"")</f>
        <v/>
      </c>
      <c r="AN33" s="66"/>
      <c r="AO33" s="539"/>
      <c r="AP33" s="540"/>
      <c r="AQ33" s="540"/>
      <c r="AR33" s="540"/>
      <c r="AS33" s="540"/>
      <c r="AT33" s="541"/>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25">
      <c r="A34" s="66"/>
      <c r="B34" s="458"/>
      <c r="C34" s="458"/>
      <c r="D34" s="459"/>
      <c r="E34" s="499"/>
      <c r="F34" s="500"/>
      <c r="G34" s="500"/>
      <c r="H34" s="500"/>
      <c r="I34" s="501"/>
      <c r="J34" s="50" t="str">
        <f>IF(AND('Riesgos de Gestión'!$AF$63="Media",'Riesgos de Gestión'!$AH$63="Leve"),CONCATENATE("R9C",'Riesgos de Gestión'!$V$63),"")</f>
        <v/>
      </c>
      <c r="K34" s="51" t="str">
        <f>IF(AND('Riesgos de Gestión'!$AF$64="Media",'Riesgos de Gestión'!$AH$64="Leve"),CONCATENATE("R9C",'Riesgos de Gestión'!$V$64),"")</f>
        <v/>
      </c>
      <c r="L34" s="51" t="str">
        <f>IF(AND('Riesgos de Gestión'!$AF$65="Media",'Riesgos de Gestión'!$AH$65="Leve"),CONCATENATE("R9C",'Riesgos de Gestión'!$V$65),"")</f>
        <v/>
      </c>
      <c r="M34" s="51" t="str">
        <f>IF(AND('Riesgos de Gestión'!$AF$66="Media",'Riesgos de Gestión'!$AH$66="Leve"),CONCATENATE("R9C",'Riesgos de Gestión'!$V$66),"")</f>
        <v/>
      </c>
      <c r="N34" s="51" t="str">
        <f>IF(AND('Riesgos de Gestión'!$AF$67="Media",'Riesgos de Gestión'!$AH$67="Leve"),CONCATENATE("R9C",'Riesgos de Gestión'!$V$67),"")</f>
        <v/>
      </c>
      <c r="O34" s="52" t="str">
        <f>IF(AND('Riesgos de Gestión'!$AF$68="Media",'Riesgos de Gestión'!$AH$68="Leve"),CONCATENATE("R9C",'Riesgos de Gestión'!$V$68),"")</f>
        <v/>
      </c>
      <c r="P34" s="50" t="str">
        <f>IF(AND('Riesgos de Gestión'!$AF$63="Media",'Riesgos de Gestión'!$AH$63="Menor"),CONCATENATE("R9C",'Riesgos de Gestión'!$V$63),"")</f>
        <v/>
      </c>
      <c r="Q34" s="51" t="str">
        <f>IF(AND('Riesgos de Gestión'!$AF$64="Media",'Riesgos de Gestión'!$AH$64="Menor"),CONCATENATE("R9C",'Riesgos de Gestión'!$V$64),"")</f>
        <v/>
      </c>
      <c r="R34" s="51" t="str">
        <f>IF(AND('Riesgos de Gestión'!$AF$65="Media",'Riesgos de Gestión'!$AH$65="Menor"),CONCATENATE("R9C",'Riesgos de Gestión'!$V$65),"")</f>
        <v/>
      </c>
      <c r="S34" s="51" t="str">
        <f>IF(AND('Riesgos de Gestión'!$AF$66="Media",'Riesgos de Gestión'!$AH$66="Menor"),CONCATENATE("R9C",'Riesgos de Gestión'!$V$66),"")</f>
        <v/>
      </c>
      <c r="T34" s="51" t="str">
        <f>IF(AND('Riesgos de Gestión'!$AF$67="Media",'Riesgos de Gestión'!$AH$67="Menor"),CONCATENATE("R9C",'Riesgos de Gestión'!$V$67),"")</f>
        <v/>
      </c>
      <c r="U34" s="52" t="str">
        <f>IF(AND('Riesgos de Gestión'!$AF$68="Media",'Riesgos de Gestión'!$AH$68="Menor"),CONCATENATE("R9C",'Riesgos de Gestión'!$V$68),"")</f>
        <v/>
      </c>
      <c r="V34" s="50" t="str">
        <f>IF(AND('Riesgos de Gestión'!$AF$63="Media",'Riesgos de Gestión'!$AH$63="Moderado"),CONCATENATE("R9C",'Riesgos de Gestión'!$V$63),"")</f>
        <v/>
      </c>
      <c r="W34" s="51" t="str">
        <f>IF(AND('Riesgos de Gestión'!$AF$64="Media",'Riesgos de Gestión'!$AH$64="Moderado"),CONCATENATE("R9C",'Riesgos de Gestión'!$V$64),"")</f>
        <v/>
      </c>
      <c r="X34" s="51" t="str">
        <f>IF(AND('Riesgos de Gestión'!$AF$65="Media",'Riesgos de Gestión'!$AH$65="Moderado"),CONCATENATE("R9C",'Riesgos de Gestión'!$V$65),"")</f>
        <v/>
      </c>
      <c r="Y34" s="51" t="str">
        <f>IF(AND('Riesgos de Gestión'!$AF$66="Media",'Riesgos de Gestión'!$AH$66="Moderado"),CONCATENATE("R9C",'Riesgos de Gestión'!$V$66),"")</f>
        <v/>
      </c>
      <c r="Z34" s="51" t="str">
        <f>IF(AND('Riesgos de Gestión'!$AF$67="Media",'Riesgos de Gestión'!$AH$67="Moderado"),CONCATENATE("R9C",'Riesgos de Gestión'!$V$67),"")</f>
        <v/>
      </c>
      <c r="AA34" s="52" t="str">
        <f>IF(AND('Riesgos de Gestión'!$AF$68="Media",'Riesgos de Gestión'!$AH$68="Moderado"),CONCATENATE("R9C",'Riesgos de Gestión'!$V$68),"")</f>
        <v/>
      </c>
      <c r="AB34" s="35" t="str">
        <f>IF(AND('Riesgos de Gestión'!$AF$63="Media",'Riesgos de Gestión'!$AH$63="Mayor"),CONCATENATE("R9C",'Riesgos de Gestión'!$V$63),"")</f>
        <v/>
      </c>
      <c r="AC34" s="36" t="str">
        <f>IF(AND('Riesgos de Gestión'!$AF$64="Media",'Riesgos de Gestión'!$AH$64="Mayor"),CONCATENATE("R9C",'Riesgos de Gestión'!$V$64),"")</f>
        <v/>
      </c>
      <c r="AD34" s="36" t="str">
        <f>IF(AND('Riesgos de Gestión'!$AF$65="Media",'Riesgos de Gestión'!$AH$65="Mayor"),CONCATENATE("R9C",'Riesgos de Gestión'!$V$65),"")</f>
        <v/>
      </c>
      <c r="AE34" s="36" t="str">
        <f>IF(AND('Riesgos de Gestión'!$AF$66="Media",'Riesgos de Gestión'!$AH$66="Mayor"),CONCATENATE("R9C",'Riesgos de Gestión'!$V$66),"")</f>
        <v/>
      </c>
      <c r="AF34" s="36" t="str">
        <f>IF(AND('Riesgos de Gestión'!$AF$67="Media",'Riesgos de Gestión'!$AH$67="Mayor"),CONCATENATE("R9C",'Riesgos de Gestión'!$V$67),"")</f>
        <v/>
      </c>
      <c r="AG34" s="37" t="str">
        <f>IF(AND('Riesgos de Gestión'!$AF$68="Media",'Riesgos de Gestión'!$AH$68="Mayor"),CONCATENATE("R9C",'Riesgos de Gestión'!$V$68),"")</f>
        <v/>
      </c>
      <c r="AH34" s="38" t="str">
        <f>IF(AND('Riesgos de Gestión'!$AF$63="Media",'Riesgos de Gestión'!$AH$63="Catastrófico"),CONCATENATE("R9C",'Riesgos de Gestión'!$V$63),"")</f>
        <v/>
      </c>
      <c r="AI34" s="39" t="str">
        <f>IF(AND('Riesgos de Gestión'!$AF$64="Media",'Riesgos de Gestión'!$AH$64="Catastrófico"),CONCATENATE("R9C",'Riesgos de Gestión'!$V$64),"")</f>
        <v/>
      </c>
      <c r="AJ34" s="39" t="str">
        <f>IF(AND('Riesgos de Gestión'!$AF$65="Media",'Riesgos de Gestión'!$AH$65="Catastrófico"),CONCATENATE("R9C",'Riesgos de Gestión'!$V$65),"")</f>
        <v/>
      </c>
      <c r="AK34" s="39" t="str">
        <f>IF(AND('Riesgos de Gestión'!$AF$66="Media",'Riesgos de Gestión'!$AH$66="Catastrófico"),CONCATENATE("R9C",'Riesgos de Gestión'!$V$66),"")</f>
        <v/>
      </c>
      <c r="AL34" s="39" t="str">
        <f>IF(AND('Riesgos de Gestión'!$AF$67="Media",'Riesgos de Gestión'!$AH$67="Catastrófico"),CONCATENATE("R9C",'Riesgos de Gestión'!$V$67),"")</f>
        <v/>
      </c>
      <c r="AM34" s="40" t="str">
        <f>IF(AND('Riesgos de Gestión'!$AF$68="Media",'Riesgos de Gestión'!$AH$68="Catastrófico"),CONCATENATE("R9C",'Riesgos de Gestión'!$V$68),"")</f>
        <v/>
      </c>
      <c r="AN34" s="66"/>
      <c r="AO34" s="539"/>
      <c r="AP34" s="540"/>
      <c r="AQ34" s="540"/>
      <c r="AR34" s="540"/>
      <c r="AS34" s="540"/>
      <c r="AT34" s="541"/>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
      <c r="A35" s="66"/>
      <c r="B35" s="458"/>
      <c r="C35" s="458"/>
      <c r="D35" s="459"/>
      <c r="E35" s="502"/>
      <c r="F35" s="503"/>
      <c r="G35" s="503"/>
      <c r="H35" s="503"/>
      <c r="I35" s="504"/>
      <c r="J35" s="50" t="str">
        <f>IF(AND('Riesgos de Gestión'!$AF$69="Media",'Riesgos de Gestión'!$AH$69="Leve"),CONCATENATE("R10C",'Riesgos de Gestión'!$V$69),"")</f>
        <v/>
      </c>
      <c r="K35" s="51" t="str">
        <f>IF(AND('Riesgos de Gestión'!$AF$70="Media",'Riesgos de Gestión'!$AH$70="Leve"),CONCATENATE("R10C",'Riesgos de Gestión'!$V$70),"")</f>
        <v/>
      </c>
      <c r="L35" s="51" t="str">
        <f>IF(AND('Riesgos de Gestión'!$AF$71="Media",'Riesgos de Gestión'!$AH$71="Leve"),CONCATENATE("R10C",'Riesgos de Gestión'!$V$71),"")</f>
        <v/>
      </c>
      <c r="M35" s="51" t="str">
        <f>IF(AND('Riesgos de Gestión'!$AF$72="Media",'Riesgos de Gestión'!$AH$72="Leve"),CONCATENATE("R10C",'Riesgos de Gestión'!$V$72),"")</f>
        <v/>
      </c>
      <c r="N35" s="51" t="str">
        <f>IF(AND('Riesgos de Gestión'!$AF$73="Media",'Riesgos de Gestión'!$AH$73="Leve"),CONCATENATE("R10C",'Riesgos de Gestión'!$V$73),"")</f>
        <v/>
      </c>
      <c r="O35" s="52" t="str">
        <f>IF(AND('Riesgos de Gestión'!$AF$74="Media",'Riesgos de Gestión'!$AH$74="Leve"),CONCATENATE("R10C",'Riesgos de Gestión'!$V$74),"")</f>
        <v/>
      </c>
      <c r="P35" s="50" t="str">
        <f>IF(AND('Riesgos de Gestión'!$AF$69="Media",'Riesgos de Gestión'!$AH$69="Menor"),CONCATENATE("R10C",'Riesgos de Gestión'!$V$69),"")</f>
        <v/>
      </c>
      <c r="Q35" s="51" t="str">
        <f>IF(AND('Riesgos de Gestión'!$AF$70="Media",'Riesgos de Gestión'!$AH$70="Menor"),CONCATENATE("R10C",'Riesgos de Gestión'!$V$70),"")</f>
        <v/>
      </c>
      <c r="R35" s="51" t="str">
        <f>IF(AND('Riesgos de Gestión'!$AF$71="Media",'Riesgos de Gestión'!$AH$71="Menor"),CONCATENATE("R10C",'Riesgos de Gestión'!$V$71),"")</f>
        <v/>
      </c>
      <c r="S35" s="51" t="str">
        <f>IF(AND('Riesgos de Gestión'!$AF$72="Media",'Riesgos de Gestión'!$AH$72="Menor"),CONCATENATE("R10C",'Riesgos de Gestión'!$V$72),"")</f>
        <v/>
      </c>
      <c r="T35" s="51" t="str">
        <f>IF(AND('Riesgos de Gestión'!$AF$73="Media",'Riesgos de Gestión'!$AH$73="Menor"),CONCATENATE("R10C",'Riesgos de Gestión'!$V$73),"")</f>
        <v/>
      </c>
      <c r="U35" s="52" t="str">
        <f>IF(AND('Riesgos de Gestión'!$AF$74="Media",'Riesgos de Gestión'!$AH$74="Menor"),CONCATENATE("R10C",'Riesgos de Gestión'!$V$74),"")</f>
        <v/>
      </c>
      <c r="V35" s="50" t="str">
        <f>IF(AND('Riesgos de Gestión'!$AF$69="Media",'Riesgos de Gestión'!$AH$69="Moderado"),CONCATENATE("R10C",'Riesgos de Gestión'!$V$69),"")</f>
        <v/>
      </c>
      <c r="W35" s="51" t="str">
        <f>IF(AND('Riesgos de Gestión'!$AF$70="Media",'Riesgos de Gestión'!$AH$70="Moderado"),CONCATENATE("R10C",'Riesgos de Gestión'!$V$70),"")</f>
        <v/>
      </c>
      <c r="X35" s="51" t="str">
        <f>IF(AND('Riesgos de Gestión'!$AF$71="Media",'Riesgos de Gestión'!$AH$71="Moderado"),CONCATENATE("R10C",'Riesgos de Gestión'!$V$71),"")</f>
        <v/>
      </c>
      <c r="Y35" s="51" t="str">
        <f>IF(AND('Riesgos de Gestión'!$AF$72="Media",'Riesgos de Gestión'!$AH$72="Moderado"),CONCATENATE("R10C",'Riesgos de Gestión'!$V$72),"")</f>
        <v/>
      </c>
      <c r="Z35" s="51" t="str">
        <f>IF(AND('Riesgos de Gestión'!$AF$73="Media",'Riesgos de Gestión'!$AH$73="Moderado"),CONCATENATE("R10C",'Riesgos de Gestión'!$V$73),"")</f>
        <v/>
      </c>
      <c r="AA35" s="52" t="str">
        <f>IF(AND('Riesgos de Gestión'!$AF$74="Media",'Riesgos de Gestión'!$AH$74="Moderado"),CONCATENATE("R10C",'Riesgos de Gestión'!$V$74),"")</f>
        <v/>
      </c>
      <c r="AB35" s="41" t="str">
        <f>IF(AND('Riesgos de Gestión'!$AF$69="Media",'Riesgos de Gestión'!$AH$69="Mayor"),CONCATENATE("R10C",'Riesgos de Gestión'!$V$69),"")</f>
        <v/>
      </c>
      <c r="AC35" s="42" t="str">
        <f>IF(AND('Riesgos de Gestión'!$AF$70="Media",'Riesgos de Gestión'!$AH$70="Mayor"),CONCATENATE("R10C",'Riesgos de Gestión'!$V$70),"")</f>
        <v/>
      </c>
      <c r="AD35" s="42" t="str">
        <f>IF(AND('Riesgos de Gestión'!$AF$71="Media",'Riesgos de Gestión'!$AH$71="Mayor"),CONCATENATE("R10C",'Riesgos de Gestión'!$V$71),"")</f>
        <v/>
      </c>
      <c r="AE35" s="42" t="str">
        <f>IF(AND('Riesgos de Gestión'!$AF$72="Media",'Riesgos de Gestión'!$AH$72="Mayor"),CONCATENATE("R10C",'Riesgos de Gestión'!$V$72),"")</f>
        <v/>
      </c>
      <c r="AF35" s="42" t="str">
        <f>IF(AND('Riesgos de Gestión'!$AF$73="Media",'Riesgos de Gestión'!$AH$73="Mayor"),CONCATENATE("R10C",'Riesgos de Gestión'!$V$73),"")</f>
        <v/>
      </c>
      <c r="AG35" s="43" t="str">
        <f>IF(AND('Riesgos de Gestión'!$AF$74="Media",'Riesgos de Gestión'!$AH$74="Mayor"),CONCATENATE("R10C",'Riesgos de Gestión'!$V$74),"")</f>
        <v/>
      </c>
      <c r="AH35" s="44" t="str">
        <f>IF(AND('Riesgos de Gestión'!$AF$69="Media",'Riesgos de Gestión'!$AH$69="Catastrófico"),CONCATENATE("R10C",'Riesgos de Gestión'!$V$69),"")</f>
        <v/>
      </c>
      <c r="AI35" s="45" t="str">
        <f>IF(AND('Riesgos de Gestión'!$AF$70="Media",'Riesgos de Gestión'!$AH$70="Catastrófico"),CONCATENATE("R10C",'Riesgos de Gestión'!$V$70),"")</f>
        <v/>
      </c>
      <c r="AJ35" s="45" t="str">
        <f>IF(AND('Riesgos de Gestión'!$AF$71="Media",'Riesgos de Gestión'!$AH$71="Catastrófico"),CONCATENATE("R10C",'Riesgos de Gestión'!$V$71),"")</f>
        <v/>
      </c>
      <c r="AK35" s="45" t="str">
        <f>IF(AND('Riesgos de Gestión'!$AF$72="Media",'Riesgos de Gestión'!$AH$72="Catastrófico"),CONCATENATE("R10C",'Riesgos de Gestión'!$V$72),"")</f>
        <v/>
      </c>
      <c r="AL35" s="45" t="str">
        <f>IF(AND('Riesgos de Gestión'!$AF$73="Media",'Riesgos de Gestión'!$AH$73="Catastrófico"),CONCATENATE("R10C",'Riesgos de Gestión'!$V$73),"")</f>
        <v/>
      </c>
      <c r="AM35" s="46" t="str">
        <f>IF(AND('Riesgos de Gestión'!$AF$74="Media",'Riesgos de Gestión'!$AH$74="Catastrófico"),CONCATENATE("R10C",'Riesgos de Gestión'!$V$74),"")</f>
        <v/>
      </c>
      <c r="AN35" s="66"/>
      <c r="AO35" s="542"/>
      <c r="AP35" s="543"/>
      <c r="AQ35" s="543"/>
      <c r="AR35" s="543"/>
      <c r="AS35" s="543"/>
      <c r="AT35" s="544"/>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25">
      <c r="A36" s="66"/>
      <c r="B36" s="458"/>
      <c r="C36" s="458"/>
      <c r="D36" s="459"/>
      <c r="E36" s="496" t="s">
        <v>271</v>
      </c>
      <c r="F36" s="497"/>
      <c r="G36" s="497"/>
      <c r="H36" s="497"/>
      <c r="I36" s="497"/>
      <c r="J36" s="56" t="str">
        <f>IF(AND('Riesgos de Gestión'!$AF$13="Baja",'Riesgos de Gestión'!$AH$13="Leve"),CONCATENATE("R1C",'Riesgos de Gestión'!$V$13),"")</f>
        <v/>
      </c>
      <c r="K36" s="57" t="str">
        <f>IF(AND('Riesgos de Gestión'!$AF$14="Baja",'Riesgos de Gestión'!$AH$14="Leve"),CONCATENATE("R1C",'Riesgos de Gestión'!$V$14),"")</f>
        <v/>
      </c>
      <c r="L36" s="57" t="str">
        <f>IF(AND('Riesgos de Gestión'!$AF$15="Baja",'Riesgos de Gestión'!$AH$15="Leve"),CONCATENATE("R1C",'Riesgos de Gestión'!$V$15),"")</f>
        <v/>
      </c>
      <c r="M36" s="57" t="str">
        <f>IF(AND('Riesgos de Gestión'!$AF$16="Baja",'Riesgos de Gestión'!$AH$16="Leve"),CONCATENATE("R1C",'Riesgos de Gestión'!$V$16),"")</f>
        <v/>
      </c>
      <c r="N36" s="57" t="str">
        <f>IF(AND('Riesgos de Gestión'!$AF$17="Baja",'Riesgos de Gestión'!$AH$17="Leve"),CONCATENATE("R1C",'Riesgos de Gestión'!$V$17),"")</f>
        <v/>
      </c>
      <c r="O36" s="58" t="str">
        <f>IF(AND('Riesgos de Gestión'!$AF$20="Baja",'Riesgos de Gestión'!$AH$20="Leve"),CONCATENATE("R1C",'Riesgos de Gestión'!$V$20),"")</f>
        <v/>
      </c>
      <c r="P36" s="47" t="str">
        <f>IF(AND('Riesgos de Gestión'!$AF$13="Baja",'Riesgos de Gestión'!$AH$13="Menor"),CONCATENATE("R1C",'Riesgos de Gestión'!$V$13),"")</f>
        <v/>
      </c>
      <c r="Q36" s="48" t="str">
        <f>IF(AND('Riesgos de Gestión'!$AF$14="Baja",'Riesgos de Gestión'!$AH$14="Menor"),CONCATENATE("R1C",'Riesgos de Gestión'!$V$14),"")</f>
        <v>R1C2</v>
      </c>
      <c r="R36" s="48" t="str">
        <f>IF(AND('Riesgos de Gestión'!$AF$15="Baja",'Riesgos de Gestión'!$AH$15="Menor"),CONCATENATE("R1C",'Riesgos de Gestión'!$V$15),"")</f>
        <v>R1C3</v>
      </c>
      <c r="S36" s="48" t="str">
        <f>IF(AND('Riesgos de Gestión'!$AF$16="Baja",'Riesgos de Gestión'!$AH$16="Menor"),CONCATENATE("R1C",'Riesgos de Gestión'!$V$16),"")</f>
        <v/>
      </c>
      <c r="T36" s="48" t="str">
        <f>IF(AND('Riesgos de Gestión'!$AF$17="Baja",'Riesgos de Gestión'!$AH$17="Menor"),CONCATENATE("R1C",'Riesgos de Gestión'!$V$17),"")</f>
        <v/>
      </c>
      <c r="U36" s="49" t="str">
        <f>IF(AND('Riesgos de Gestión'!$AF$20="Baja",'Riesgos de Gestión'!$AH$20="Menor"),CONCATENATE("R1C",'Riesgos de Gestión'!$V$20),"")</f>
        <v/>
      </c>
      <c r="V36" s="47" t="str">
        <f>IF(AND('Riesgos de Gestión'!$AF$13="Baja",'Riesgos de Gestión'!$AH$13="Moderado"),CONCATENATE("R1C",'Riesgos de Gestión'!$V$13),"")</f>
        <v/>
      </c>
      <c r="W36" s="48" t="str">
        <f>IF(AND('Riesgos de Gestión'!$AF$14="Baja",'Riesgos de Gestión'!$AH$14="Moderado"),CONCATENATE("R1C",'Riesgos de Gestión'!$V$14),"")</f>
        <v/>
      </c>
      <c r="X36" s="48" t="str">
        <f>IF(AND('Riesgos de Gestión'!$AF$15="Baja",'Riesgos de Gestión'!$AH$15="Moderado"),CONCATENATE("R1C",'Riesgos de Gestión'!$V$15),"")</f>
        <v/>
      </c>
      <c r="Y36" s="48" t="str">
        <f>IF(AND('Riesgos de Gestión'!$AF$16="Baja",'Riesgos de Gestión'!$AH$16="Moderado"),CONCATENATE("R1C",'Riesgos de Gestión'!$V$16),"")</f>
        <v/>
      </c>
      <c r="Z36" s="48" t="str">
        <f>IF(AND('Riesgos de Gestión'!$AF$17="Baja",'Riesgos de Gestión'!$AH$17="Moderado"),CONCATENATE("R1C",'Riesgos de Gestión'!$V$17),"")</f>
        <v/>
      </c>
      <c r="AA36" s="49" t="str">
        <f>IF(AND('Riesgos de Gestión'!$AF$20="Baja",'Riesgos de Gestión'!$AH$20="Moderado"),CONCATENATE("R1C",'Riesgos de Gestión'!$V$20),"")</f>
        <v/>
      </c>
      <c r="AB36" s="29" t="str">
        <f>IF(AND('Riesgos de Gestión'!$AF$13="Baja",'Riesgos de Gestión'!$AH$13="Mayor"),CONCATENATE("R1C",'Riesgos de Gestión'!$V$13),"")</f>
        <v/>
      </c>
      <c r="AC36" s="30" t="str">
        <f>IF(AND('Riesgos de Gestión'!$AF$14="Baja",'Riesgos de Gestión'!$AH$14="Mayor"),CONCATENATE("R1C",'Riesgos de Gestión'!$V$14),"")</f>
        <v/>
      </c>
      <c r="AD36" s="30" t="str">
        <f>IF(AND('Riesgos de Gestión'!$AF$15="Baja",'Riesgos de Gestión'!$AH$15="Mayor"),CONCATENATE("R1C",'Riesgos de Gestión'!$V$15),"")</f>
        <v/>
      </c>
      <c r="AE36" s="30" t="str">
        <f>IF(AND('Riesgos de Gestión'!$AF$16="Baja",'Riesgos de Gestión'!$AH$16="Mayor"),CONCATENATE("R1C",'Riesgos de Gestión'!$V$16),"")</f>
        <v/>
      </c>
      <c r="AF36" s="30" t="str">
        <f>IF(AND('Riesgos de Gestión'!$AF$17="Baja",'Riesgos de Gestión'!$AH$17="Mayor"),CONCATENATE("R1C",'Riesgos de Gestión'!$V$17),"")</f>
        <v/>
      </c>
      <c r="AG36" s="31" t="str">
        <f>IF(AND('Riesgos de Gestión'!$AF$20="Baja",'Riesgos de Gestión'!$AH$20="Mayor"),CONCATENATE("R1C",'Riesgos de Gestión'!$V$20),"")</f>
        <v/>
      </c>
      <c r="AH36" s="32" t="str">
        <f>IF(AND('Riesgos de Gestión'!$AF$13="Baja",'Riesgos de Gestión'!$AH$13="Catastrófico"),CONCATENATE("R1C",'Riesgos de Gestión'!$V$13),"")</f>
        <v/>
      </c>
      <c r="AI36" s="33" t="str">
        <f>IF(AND('Riesgos de Gestión'!$AF$14="Baja",'Riesgos de Gestión'!$AH$14="Catastrófico"),CONCATENATE("R1C",'Riesgos de Gestión'!$V$14),"")</f>
        <v/>
      </c>
      <c r="AJ36" s="33" t="str">
        <f>IF(AND('Riesgos de Gestión'!$AF$15="Baja",'Riesgos de Gestión'!$AH$15="Catastrófico"),CONCATENATE("R1C",'Riesgos de Gestión'!$V$15),"")</f>
        <v/>
      </c>
      <c r="AK36" s="33" t="str">
        <f>IF(AND('Riesgos de Gestión'!$AF$16="Baja",'Riesgos de Gestión'!$AH$16="Catastrófico"),CONCATENATE("R1C",'Riesgos de Gestión'!$V$16),"")</f>
        <v/>
      </c>
      <c r="AL36" s="33" t="str">
        <f>IF(AND('Riesgos de Gestión'!$AF$17="Baja",'Riesgos de Gestión'!$AH$17="Catastrófico"),CONCATENATE("R1C",'Riesgos de Gestión'!$V$17),"")</f>
        <v/>
      </c>
      <c r="AM36" s="34" t="str">
        <f>IF(AND('Riesgos de Gestión'!$AF$20="Baja",'Riesgos de Gestión'!$AH$20="Catastrófico"),CONCATENATE("R1C",'Riesgos de Gestión'!$V$20),"")</f>
        <v/>
      </c>
      <c r="AN36" s="66"/>
      <c r="AO36" s="527" t="s">
        <v>272</v>
      </c>
      <c r="AP36" s="528"/>
      <c r="AQ36" s="528"/>
      <c r="AR36" s="528"/>
      <c r="AS36" s="528"/>
      <c r="AT36" s="529"/>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25">
      <c r="A37" s="66"/>
      <c r="B37" s="458"/>
      <c r="C37" s="458"/>
      <c r="D37" s="459"/>
      <c r="E37" s="515"/>
      <c r="F37" s="500"/>
      <c r="G37" s="500"/>
      <c r="H37" s="500"/>
      <c r="I37" s="500"/>
      <c r="J37" s="59" t="str">
        <f>IF(AND('Riesgos de Gestión'!$AF$21="Baja",'Riesgos de Gestión'!$AH$21="Leve"),CONCATENATE("R2C",'Riesgos de Gestión'!$V$21),"")</f>
        <v/>
      </c>
      <c r="K37" s="60" t="str">
        <f>IF(AND('Riesgos de Gestión'!$AF$22="Baja",'Riesgos de Gestión'!$AH$22="Leve"),CONCATENATE("R2C",'Riesgos de Gestión'!$V$22),"")</f>
        <v/>
      </c>
      <c r="L37" s="60" t="str">
        <f>IF(AND('Riesgos de Gestión'!$AF$23="Baja",'Riesgos de Gestión'!$AH$23="Leve"),CONCATENATE("R2C",'Riesgos de Gestión'!$V$23),"")</f>
        <v/>
      </c>
      <c r="M37" s="60" t="str">
        <f>IF(AND('Riesgos de Gestión'!$AF$24="Baja",'Riesgos de Gestión'!$AH$24="Leve"),CONCATENATE("R2C",'Riesgos de Gestión'!$V$24),"")</f>
        <v/>
      </c>
      <c r="N37" s="60" t="str">
        <f>IF(AND('Riesgos de Gestión'!$AF$25="Baja",'Riesgos de Gestión'!$AH$25="Leve"),CONCATENATE("R2C",'Riesgos de Gestión'!$V$25),"")</f>
        <v/>
      </c>
      <c r="O37" s="61" t="str">
        <f>IF(AND('Riesgos de Gestión'!$AF$26="Baja",'Riesgos de Gestión'!$AH$26="Leve"),CONCATENATE("R2C",'Riesgos de Gestión'!$V$26),"")</f>
        <v/>
      </c>
      <c r="P37" s="50" t="str">
        <f>IF(AND('Riesgos de Gestión'!$AF$21="Baja",'Riesgos de Gestión'!$AH$21="Menor"),CONCATENATE("R2C",'Riesgos de Gestión'!$V$21),"")</f>
        <v>R2C1</v>
      </c>
      <c r="Q37" s="51" t="str">
        <f>IF(AND('Riesgos de Gestión'!$AF$22="Baja",'Riesgos de Gestión'!$AH$22="Menor"),CONCATENATE("R2C",'Riesgos de Gestión'!$V$22),"")</f>
        <v>R2C2</v>
      </c>
      <c r="R37" s="51" t="str">
        <f>IF(AND('Riesgos de Gestión'!$AF$23="Baja",'Riesgos de Gestión'!$AH$23="Menor"),CONCATENATE("R2C",'Riesgos de Gestión'!$V$23),"")</f>
        <v/>
      </c>
      <c r="S37" s="51" t="str">
        <f>IF(AND('Riesgos de Gestión'!$AF$24="Baja",'Riesgos de Gestión'!$AH$24="Menor"),CONCATENATE("R2C",'Riesgos de Gestión'!$V$24),"")</f>
        <v/>
      </c>
      <c r="T37" s="51" t="str">
        <f>IF(AND('Riesgos de Gestión'!$AF$25="Baja",'Riesgos de Gestión'!$AH$25="Menor"),CONCATENATE("R2C",'Riesgos de Gestión'!$V$25),"")</f>
        <v/>
      </c>
      <c r="U37" s="52" t="str">
        <f>IF(AND('Riesgos de Gestión'!$AF$26="Baja",'Riesgos de Gestión'!$AH$26="Menor"),CONCATENATE("R2C",'Riesgos de Gestión'!$V$26),"")</f>
        <v/>
      </c>
      <c r="V37" s="50" t="str">
        <f>IF(AND('Riesgos de Gestión'!$AF$21="Baja",'Riesgos de Gestión'!$AH$21="Moderado"),CONCATENATE("R2C",'Riesgos de Gestión'!$V$21),"")</f>
        <v/>
      </c>
      <c r="W37" s="51" t="str">
        <f>IF(AND('Riesgos de Gestión'!$AF$22="Baja",'Riesgos de Gestión'!$AH$22="Moderado"),CONCATENATE("R2C",'Riesgos de Gestión'!$V$22),"")</f>
        <v/>
      </c>
      <c r="X37" s="51" t="str">
        <f>IF(AND('Riesgos de Gestión'!$AF$23="Baja",'Riesgos de Gestión'!$AH$23="Moderado"),CONCATENATE("R2C",'Riesgos de Gestión'!$V$23),"")</f>
        <v/>
      </c>
      <c r="Y37" s="51" t="str">
        <f>IF(AND('Riesgos de Gestión'!$AF$24="Baja",'Riesgos de Gestión'!$AH$24="Moderado"),CONCATENATE("R2C",'Riesgos de Gestión'!$V$24),"")</f>
        <v/>
      </c>
      <c r="Z37" s="51" t="str">
        <f>IF(AND('Riesgos de Gestión'!$AF$25="Baja",'Riesgos de Gestión'!$AH$25="Moderado"),CONCATENATE("R2C",'Riesgos de Gestión'!$V$25),"")</f>
        <v/>
      </c>
      <c r="AA37" s="52" t="str">
        <f>IF(AND('Riesgos de Gestión'!$AF$26="Baja",'Riesgos de Gestión'!$AH$26="Moderado"),CONCATENATE("R2C",'Riesgos de Gestión'!$V$26),"")</f>
        <v/>
      </c>
      <c r="AB37" s="35" t="str">
        <f>IF(AND('Riesgos de Gestión'!$AF$21="Baja",'Riesgos de Gestión'!$AH$21="Mayor"),CONCATENATE("R2C",'Riesgos de Gestión'!$V$21),"")</f>
        <v/>
      </c>
      <c r="AC37" s="36" t="str">
        <f>IF(AND('Riesgos de Gestión'!$AF$22="Baja",'Riesgos de Gestión'!$AH$22="Mayor"),CONCATENATE("R2C",'Riesgos de Gestión'!$V$22),"")</f>
        <v/>
      </c>
      <c r="AD37" s="36" t="str">
        <f>IF(AND('Riesgos de Gestión'!$AF$23="Baja",'Riesgos de Gestión'!$AH$23="Mayor"),CONCATENATE("R2C",'Riesgos de Gestión'!$V$23),"")</f>
        <v/>
      </c>
      <c r="AE37" s="36" t="str">
        <f>IF(AND('Riesgos de Gestión'!$AF$24="Baja",'Riesgos de Gestión'!$AH$24="Mayor"),CONCATENATE("R2C",'Riesgos de Gestión'!$V$24),"")</f>
        <v/>
      </c>
      <c r="AF37" s="36" t="str">
        <f>IF(AND('Riesgos de Gestión'!$AF$25="Baja",'Riesgos de Gestión'!$AH$25="Mayor"),CONCATENATE("R2C",'Riesgos de Gestión'!$V$25),"")</f>
        <v/>
      </c>
      <c r="AG37" s="37" t="str">
        <f>IF(AND('Riesgos de Gestión'!$AF$26="Baja",'Riesgos de Gestión'!$AH$26="Mayor"),CONCATENATE("R2C",'Riesgos de Gestión'!$V$26),"")</f>
        <v/>
      </c>
      <c r="AH37" s="38" t="str">
        <f>IF(AND('Riesgos de Gestión'!$AF$21="Baja",'Riesgos de Gestión'!$AH$21="Catastrófico"),CONCATENATE("R2C",'Riesgos de Gestión'!$V$21),"")</f>
        <v/>
      </c>
      <c r="AI37" s="39" t="str">
        <f>IF(AND('Riesgos de Gestión'!$AF$22="Baja",'Riesgos de Gestión'!$AH$22="Catastrófico"),CONCATENATE("R2C",'Riesgos de Gestión'!$V$22),"")</f>
        <v/>
      </c>
      <c r="AJ37" s="39" t="str">
        <f>IF(AND('Riesgos de Gestión'!$AF$23="Baja",'Riesgos de Gestión'!$AH$23="Catastrófico"),CONCATENATE("R2C",'Riesgos de Gestión'!$V$23),"")</f>
        <v/>
      </c>
      <c r="AK37" s="39" t="str">
        <f>IF(AND('Riesgos de Gestión'!$AF$24="Baja",'Riesgos de Gestión'!$AH$24="Catastrófico"),CONCATENATE("R2C",'Riesgos de Gestión'!$V$24),"")</f>
        <v/>
      </c>
      <c r="AL37" s="39" t="str">
        <f>IF(AND('Riesgos de Gestión'!$AF$25="Baja",'Riesgos de Gestión'!$AH$25="Catastrófico"),CONCATENATE("R2C",'Riesgos de Gestión'!$V$25),"")</f>
        <v/>
      </c>
      <c r="AM37" s="40" t="str">
        <f>IF(AND('Riesgos de Gestión'!$AF$26="Baja",'Riesgos de Gestión'!$AH$26="Catastrófico"),CONCATENATE("R2C",'Riesgos de Gestión'!$V$26),"")</f>
        <v/>
      </c>
      <c r="AN37" s="66"/>
      <c r="AO37" s="530"/>
      <c r="AP37" s="531"/>
      <c r="AQ37" s="531"/>
      <c r="AR37" s="531"/>
      <c r="AS37" s="531"/>
      <c r="AT37" s="532"/>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25">
      <c r="A38" s="66"/>
      <c r="B38" s="458"/>
      <c r="C38" s="458"/>
      <c r="D38" s="459"/>
      <c r="E38" s="499"/>
      <c r="F38" s="500"/>
      <c r="G38" s="500"/>
      <c r="H38" s="500"/>
      <c r="I38" s="500"/>
      <c r="J38" s="59" t="str">
        <f>IF(AND('Riesgos de Gestión'!$AF$27="Baja",'Riesgos de Gestión'!$AH$27="Leve"),CONCATENATE("R3C",'Riesgos de Gestión'!$V$27),"")</f>
        <v/>
      </c>
      <c r="K38" s="60" t="str">
        <f>IF(AND('Riesgos de Gestión'!$AF$28="Baja",'Riesgos de Gestión'!$AH$28="Leve"),CONCATENATE("R3C",'Riesgos de Gestión'!$V$28),"")</f>
        <v/>
      </c>
      <c r="L38" s="60" t="str">
        <f>IF(AND('Riesgos de Gestión'!$AF$29="Baja",'Riesgos de Gestión'!$AH$29="Leve"),CONCATENATE("R3C",'Riesgos de Gestión'!$V$29),"")</f>
        <v/>
      </c>
      <c r="M38" s="60" t="str">
        <f>IF(AND('Riesgos de Gestión'!$AF$30="Baja",'Riesgos de Gestión'!$AH$30="Leve"),CONCATENATE("R3C",'Riesgos de Gestión'!$V$30),"")</f>
        <v/>
      </c>
      <c r="N38" s="60" t="str">
        <f>IF(AND('Riesgos de Gestión'!$AF$31="Baja",'Riesgos de Gestión'!$AH$31="Leve"),CONCATENATE("R3C",'Riesgos de Gestión'!$V$31),"")</f>
        <v/>
      </c>
      <c r="O38" s="61" t="str">
        <f>IF(AND('Riesgos de Gestión'!$AF$32="Baja",'Riesgos de Gestión'!$AH$32="Leve"),CONCATENATE("R3C",'Riesgos de Gestión'!$V$32),"")</f>
        <v/>
      </c>
      <c r="P38" s="50" t="str">
        <f>IF(AND('Riesgos de Gestión'!$AF$27="Baja",'Riesgos de Gestión'!$AH$27="Menor"),CONCATENATE("R3C",'Riesgos de Gestión'!$V$27),"")</f>
        <v/>
      </c>
      <c r="Q38" s="51" t="str">
        <f>IF(AND('Riesgos de Gestión'!$AF$28="Baja",'Riesgos de Gestión'!$AH$28="Menor"),CONCATENATE("R3C",'Riesgos de Gestión'!$V$28),"")</f>
        <v/>
      </c>
      <c r="R38" s="51" t="str">
        <f>IF(AND('Riesgos de Gestión'!$AF$29="Baja",'Riesgos de Gestión'!$AH$29="Menor"),CONCATENATE("R3C",'Riesgos de Gestión'!$V$29),"")</f>
        <v/>
      </c>
      <c r="S38" s="51" t="str">
        <f>IF(AND('Riesgos de Gestión'!$AF$30="Baja",'Riesgos de Gestión'!$AH$30="Menor"),CONCATENATE("R3C",'Riesgos de Gestión'!$V$30),"")</f>
        <v/>
      </c>
      <c r="T38" s="51" t="str">
        <f>IF(AND('Riesgos de Gestión'!$AF$31="Baja",'Riesgos de Gestión'!$AH$31="Menor"),CONCATENATE("R3C",'Riesgos de Gestión'!$V$31),"")</f>
        <v/>
      </c>
      <c r="U38" s="52" t="str">
        <f>IF(AND('Riesgos de Gestión'!$AF$32="Baja",'Riesgos de Gestión'!$AH$32="Menor"),CONCATENATE("R3C",'Riesgos de Gestión'!$V$32),"")</f>
        <v/>
      </c>
      <c r="V38" s="50" t="str">
        <f>IF(AND('Riesgos de Gestión'!$AF$27="Baja",'Riesgos de Gestión'!$AH$27="Moderado"),CONCATENATE("R3C",'Riesgos de Gestión'!$V$27),"")</f>
        <v/>
      </c>
      <c r="W38" s="51" t="str">
        <f>IF(AND('Riesgos de Gestión'!$AF$28="Baja",'Riesgos de Gestión'!$AH$28="Moderado"),CONCATENATE("R3C",'Riesgos de Gestión'!$V$28),"")</f>
        <v/>
      </c>
      <c r="X38" s="51" t="str">
        <f>IF(AND('Riesgos de Gestión'!$AF$29="Baja",'Riesgos de Gestión'!$AH$29="Moderado"),CONCATENATE("R3C",'Riesgos de Gestión'!$V$29),"")</f>
        <v/>
      </c>
      <c r="Y38" s="51" t="str">
        <f>IF(AND('Riesgos de Gestión'!$AF$30="Baja",'Riesgos de Gestión'!$AH$30="Moderado"),CONCATENATE("R3C",'Riesgos de Gestión'!$V$30),"")</f>
        <v/>
      </c>
      <c r="Z38" s="51" t="str">
        <f>IF(AND('Riesgos de Gestión'!$AF$31="Baja",'Riesgos de Gestión'!$AH$31="Moderado"),CONCATENATE("R3C",'Riesgos de Gestión'!$V$31),"")</f>
        <v/>
      </c>
      <c r="AA38" s="52" t="str">
        <f>IF(AND('Riesgos de Gestión'!$AF$32="Baja",'Riesgos de Gestión'!$AH$32="Moderado"),CONCATENATE("R3C",'Riesgos de Gestión'!$V$32),"")</f>
        <v/>
      </c>
      <c r="AB38" s="35" t="str">
        <f>IF(AND('Riesgos de Gestión'!$AF$27="Baja",'Riesgos de Gestión'!$AH$27="Mayor"),CONCATENATE("R3C",'Riesgos de Gestión'!$V$27),"")</f>
        <v/>
      </c>
      <c r="AC38" s="36" t="str">
        <f>IF(AND('Riesgos de Gestión'!$AF$28="Baja",'Riesgos de Gestión'!$AH$28="Mayor"),CONCATENATE("R3C",'Riesgos de Gestión'!$V$28),"")</f>
        <v/>
      </c>
      <c r="AD38" s="36" t="str">
        <f>IF(AND('Riesgos de Gestión'!$AF$29="Baja",'Riesgos de Gestión'!$AH$29="Mayor"),CONCATENATE("R3C",'Riesgos de Gestión'!$V$29),"")</f>
        <v/>
      </c>
      <c r="AE38" s="36" t="str">
        <f>IF(AND('Riesgos de Gestión'!$AF$30="Baja",'Riesgos de Gestión'!$AH$30="Mayor"),CONCATENATE("R3C",'Riesgos de Gestión'!$V$30),"")</f>
        <v/>
      </c>
      <c r="AF38" s="36" t="str">
        <f>IF(AND('Riesgos de Gestión'!$AF$31="Baja",'Riesgos de Gestión'!$AH$31="Mayor"),CONCATENATE("R3C",'Riesgos de Gestión'!$V$31),"")</f>
        <v/>
      </c>
      <c r="AG38" s="37" t="str">
        <f>IF(AND('Riesgos de Gestión'!$AF$32="Baja",'Riesgos de Gestión'!$AH$32="Mayor"),CONCATENATE("R3C",'Riesgos de Gestión'!$V$32),"")</f>
        <v/>
      </c>
      <c r="AH38" s="38" t="str">
        <f>IF(AND('Riesgos de Gestión'!$AF$27="Baja",'Riesgos de Gestión'!$AH$27="Catastrófico"),CONCATENATE("R3C",'Riesgos de Gestión'!$V$27),"")</f>
        <v/>
      </c>
      <c r="AI38" s="39" t="str">
        <f>IF(AND('Riesgos de Gestión'!$AF$28="Baja",'Riesgos de Gestión'!$AH$28="Catastrófico"),CONCATENATE("R3C",'Riesgos de Gestión'!$V$28),"")</f>
        <v/>
      </c>
      <c r="AJ38" s="39" t="str">
        <f>IF(AND('Riesgos de Gestión'!$AF$29="Baja",'Riesgos de Gestión'!$AH$29="Catastrófico"),CONCATENATE("R3C",'Riesgos de Gestión'!$V$29),"")</f>
        <v/>
      </c>
      <c r="AK38" s="39" t="str">
        <f>IF(AND('Riesgos de Gestión'!$AF$30="Baja",'Riesgos de Gestión'!$AH$30="Catastrófico"),CONCATENATE("R3C",'Riesgos de Gestión'!$V$30),"")</f>
        <v/>
      </c>
      <c r="AL38" s="39" t="str">
        <f>IF(AND('Riesgos de Gestión'!$AF$31="Baja",'Riesgos de Gestión'!$AH$31="Catastrófico"),CONCATENATE("R3C",'Riesgos de Gestión'!$V$31),"")</f>
        <v/>
      </c>
      <c r="AM38" s="40" t="str">
        <f>IF(AND('Riesgos de Gestión'!$AF$32="Baja",'Riesgos de Gestión'!$AH$32="Catastrófico"),CONCATENATE("R3C",'Riesgos de Gestión'!$V$32),"")</f>
        <v/>
      </c>
      <c r="AN38" s="66"/>
      <c r="AO38" s="530"/>
      <c r="AP38" s="531"/>
      <c r="AQ38" s="531"/>
      <c r="AR38" s="531"/>
      <c r="AS38" s="531"/>
      <c r="AT38" s="532"/>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25">
      <c r="A39" s="66"/>
      <c r="B39" s="458"/>
      <c r="C39" s="458"/>
      <c r="D39" s="459"/>
      <c r="E39" s="499"/>
      <c r="F39" s="500"/>
      <c r="G39" s="500"/>
      <c r="H39" s="500"/>
      <c r="I39" s="500"/>
      <c r="J39" s="59" t="str">
        <f>IF(AND('Riesgos de Gestión'!$AF$33="Baja",'Riesgos de Gestión'!$AH$33="Leve"),CONCATENATE("R4C",'Riesgos de Gestión'!$V$33),"")</f>
        <v/>
      </c>
      <c r="K39" s="60" t="str">
        <f>IF(AND('Riesgos de Gestión'!$AF$34="Baja",'Riesgos de Gestión'!$AH$34="Leve"),CONCATENATE("R4C",'Riesgos de Gestión'!$V$34),"")</f>
        <v/>
      </c>
      <c r="L39" s="60" t="str">
        <f>IF(AND('Riesgos de Gestión'!$AF$35="Baja",'Riesgos de Gestión'!$AH$35="Leve"),CONCATENATE("R4C",'Riesgos de Gestión'!$V$35),"")</f>
        <v/>
      </c>
      <c r="M39" s="60" t="str">
        <f>IF(AND('Riesgos de Gestión'!$AF$36="Baja",'Riesgos de Gestión'!$AH$36="Leve"),CONCATENATE("R4C",'Riesgos de Gestión'!$V$36),"")</f>
        <v/>
      </c>
      <c r="N39" s="60" t="str">
        <f>IF(AND('Riesgos de Gestión'!$AF$37="Baja",'Riesgos de Gestión'!$AH$37="Leve"),CONCATENATE("R4C",'Riesgos de Gestión'!$V$37),"")</f>
        <v/>
      </c>
      <c r="O39" s="61" t="str">
        <f>IF(AND('Riesgos de Gestión'!$AF$38="Baja",'Riesgos de Gestión'!$AH$38="Leve"),CONCATENATE("R4C",'Riesgos de Gestión'!$V$38),"")</f>
        <v/>
      </c>
      <c r="P39" s="50" t="str">
        <f>IF(AND('Riesgos de Gestión'!$AF$33="Baja",'Riesgos de Gestión'!$AH$33="Menor"),CONCATENATE("R4C",'Riesgos de Gestión'!$V$33),"")</f>
        <v/>
      </c>
      <c r="Q39" s="51" t="str">
        <f>IF(AND('Riesgos de Gestión'!$AF$34="Baja",'Riesgos de Gestión'!$AH$34="Menor"),CONCATENATE("R4C",'Riesgos de Gestión'!$V$34),"")</f>
        <v/>
      </c>
      <c r="R39" s="51" t="str">
        <f>IF(AND('Riesgos de Gestión'!$AF$35="Baja",'Riesgos de Gestión'!$AH$35="Menor"),CONCATENATE("R4C",'Riesgos de Gestión'!$V$35),"")</f>
        <v/>
      </c>
      <c r="S39" s="51" t="str">
        <f>IF(AND('Riesgos de Gestión'!$AF$36="Baja",'Riesgos de Gestión'!$AH$36="Menor"),CONCATENATE("R4C",'Riesgos de Gestión'!$V$36),"")</f>
        <v/>
      </c>
      <c r="T39" s="51" t="str">
        <f>IF(AND('Riesgos de Gestión'!$AF$37="Baja",'Riesgos de Gestión'!$AH$37="Menor"),CONCATENATE("R4C",'Riesgos de Gestión'!$V$37),"")</f>
        <v/>
      </c>
      <c r="U39" s="52" t="str">
        <f>IF(AND('Riesgos de Gestión'!$AF$38="Baja",'Riesgos de Gestión'!$AH$38="Menor"),CONCATENATE("R4C",'Riesgos de Gestión'!$V$38),"")</f>
        <v/>
      </c>
      <c r="V39" s="50" t="str">
        <f>IF(AND('Riesgos de Gestión'!$AF$33="Baja",'Riesgos de Gestión'!$AH$33="Moderado"),CONCATENATE("R4C",'Riesgos de Gestión'!$V$33),"")</f>
        <v/>
      </c>
      <c r="W39" s="51" t="str">
        <f>IF(AND('Riesgos de Gestión'!$AF$34="Baja",'Riesgos de Gestión'!$AH$34="Moderado"),CONCATENATE("R4C",'Riesgos de Gestión'!$V$34),"")</f>
        <v/>
      </c>
      <c r="X39" s="51" t="str">
        <f>IF(AND('Riesgos de Gestión'!$AF$35="Baja",'Riesgos de Gestión'!$AH$35="Moderado"),CONCATENATE("R4C",'Riesgos de Gestión'!$V$35),"")</f>
        <v/>
      </c>
      <c r="Y39" s="51" t="str">
        <f>IF(AND('Riesgos de Gestión'!$AF$36="Baja",'Riesgos de Gestión'!$AH$36="Moderado"),CONCATENATE("R4C",'Riesgos de Gestión'!$V$36),"")</f>
        <v/>
      </c>
      <c r="Z39" s="51" t="str">
        <f>IF(AND('Riesgos de Gestión'!$AF$37="Baja",'Riesgos de Gestión'!$AH$37="Moderado"),CONCATENATE("R4C",'Riesgos de Gestión'!$V$37),"")</f>
        <v/>
      </c>
      <c r="AA39" s="52" t="str">
        <f>IF(AND('Riesgos de Gestión'!$AF$38="Baja",'Riesgos de Gestión'!$AH$38="Moderado"),CONCATENATE("R4C",'Riesgos de Gestión'!$V$38),"")</f>
        <v/>
      </c>
      <c r="AB39" s="35" t="str">
        <f>IF(AND('Riesgos de Gestión'!$AF$33="Baja",'Riesgos de Gestión'!$AH$33="Mayor"),CONCATENATE("R4C",'Riesgos de Gestión'!$V$33),"")</f>
        <v/>
      </c>
      <c r="AC39" s="36" t="str">
        <f>IF(AND('Riesgos de Gestión'!$AF$34="Baja",'Riesgos de Gestión'!$AH$34="Mayor"),CONCATENATE("R4C",'Riesgos de Gestión'!$V$34),"")</f>
        <v/>
      </c>
      <c r="AD39" s="36" t="str">
        <f>IF(AND('Riesgos de Gestión'!$AF$35="Baja",'Riesgos de Gestión'!$AH$35="Mayor"),CONCATENATE("R4C",'Riesgos de Gestión'!$V$35),"")</f>
        <v/>
      </c>
      <c r="AE39" s="36" t="str">
        <f>IF(AND('Riesgos de Gestión'!$AF$36="Baja",'Riesgos de Gestión'!$AH$36="Mayor"),CONCATENATE("R4C",'Riesgos de Gestión'!$V$36),"")</f>
        <v/>
      </c>
      <c r="AF39" s="36" t="str">
        <f>IF(AND('Riesgos de Gestión'!$AF$37="Baja",'Riesgos de Gestión'!$AH$37="Mayor"),CONCATENATE("R4C",'Riesgos de Gestión'!$V$37),"")</f>
        <v/>
      </c>
      <c r="AG39" s="37" t="str">
        <f>IF(AND('Riesgos de Gestión'!$AF$38="Baja",'Riesgos de Gestión'!$AH$38="Mayor"),CONCATENATE("R4C",'Riesgos de Gestión'!$V$38),"")</f>
        <v/>
      </c>
      <c r="AH39" s="38" t="str">
        <f>IF(AND('Riesgos de Gestión'!$AF$33="Baja",'Riesgos de Gestión'!$AH$33="Catastrófico"),CONCATENATE("R4C",'Riesgos de Gestión'!$V$33),"")</f>
        <v/>
      </c>
      <c r="AI39" s="39" t="str">
        <f>IF(AND('Riesgos de Gestión'!$AF$34="Baja",'Riesgos de Gestión'!$AH$34="Catastrófico"),CONCATENATE("R4C",'Riesgos de Gestión'!$V$34),"")</f>
        <v/>
      </c>
      <c r="AJ39" s="39" t="str">
        <f>IF(AND('Riesgos de Gestión'!$AF$35="Baja",'Riesgos de Gestión'!$AH$35="Catastrófico"),CONCATENATE("R4C",'Riesgos de Gestión'!$V$35),"")</f>
        <v/>
      </c>
      <c r="AK39" s="39" t="str">
        <f>IF(AND('Riesgos de Gestión'!$AF$36="Baja",'Riesgos de Gestión'!$AH$36="Catastrófico"),CONCATENATE("R4C",'Riesgos de Gestión'!$V$36),"")</f>
        <v/>
      </c>
      <c r="AL39" s="39" t="str">
        <f>IF(AND('Riesgos de Gestión'!$AF$37="Baja",'Riesgos de Gestión'!$AH$37="Catastrófico"),CONCATENATE("R4C",'Riesgos de Gestión'!$V$37),"")</f>
        <v/>
      </c>
      <c r="AM39" s="40" t="str">
        <f>IF(AND('Riesgos de Gestión'!$AF$38="Baja",'Riesgos de Gestión'!$AH$38="Catastrófico"),CONCATENATE("R4C",'Riesgos de Gestión'!$V$38),"")</f>
        <v/>
      </c>
      <c r="AN39" s="66"/>
      <c r="AO39" s="530"/>
      <c r="AP39" s="531"/>
      <c r="AQ39" s="531"/>
      <c r="AR39" s="531"/>
      <c r="AS39" s="531"/>
      <c r="AT39" s="532"/>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25">
      <c r="A40" s="66"/>
      <c r="B40" s="458"/>
      <c r="C40" s="458"/>
      <c r="D40" s="459"/>
      <c r="E40" s="499"/>
      <c r="F40" s="500"/>
      <c r="G40" s="500"/>
      <c r="H40" s="500"/>
      <c r="I40" s="500"/>
      <c r="J40" s="59" t="str">
        <f>IF(AND('Riesgos de Gestión'!$AF$39="Baja",'Riesgos de Gestión'!$AH$39="Leve"),CONCATENATE("R5C",'Riesgos de Gestión'!$V$39),"")</f>
        <v/>
      </c>
      <c r="K40" s="60" t="str">
        <f>IF(AND('Riesgos de Gestión'!$AF$40="Baja",'Riesgos de Gestión'!$AH$40="Leve"),CONCATENATE("R5C",'Riesgos de Gestión'!$V$40),"")</f>
        <v/>
      </c>
      <c r="L40" s="60" t="str">
        <f>IF(AND('Riesgos de Gestión'!$AF$41="Baja",'Riesgos de Gestión'!$AH$41="Leve"),CONCATENATE("R5C",'Riesgos de Gestión'!$V$41),"")</f>
        <v/>
      </c>
      <c r="M40" s="60" t="str">
        <f>IF(AND('Riesgos de Gestión'!$AF$42="Baja",'Riesgos de Gestión'!$AH$42="Leve"),CONCATENATE("R5C",'Riesgos de Gestión'!$V$42),"")</f>
        <v/>
      </c>
      <c r="N40" s="60" t="str">
        <f>IF(AND('Riesgos de Gestión'!$AF$43="Baja",'Riesgos de Gestión'!$AH$43="Leve"),CONCATENATE("R5C",'Riesgos de Gestión'!$V$43),"")</f>
        <v/>
      </c>
      <c r="O40" s="61" t="str">
        <f>IF(AND('Riesgos de Gestión'!$AF$44="Baja",'Riesgos de Gestión'!$AH$44="Leve"),CONCATENATE("R5C",'Riesgos de Gestión'!$V$44),"")</f>
        <v/>
      </c>
      <c r="P40" s="50" t="str">
        <f>IF(AND('Riesgos de Gestión'!$AF$39="Baja",'Riesgos de Gestión'!$AH$39="Menor"),CONCATENATE("R5C",'Riesgos de Gestión'!$V$39),"")</f>
        <v/>
      </c>
      <c r="Q40" s="51" t="str">
        <f>IF(AND('Riesgos de Gestión'!$AF$40="Baja",'Riesgos de Gestión'!$AH$40="Menor"),CONCATENATE("R5C",'Riesgos de Gestión'!$V$40),"")</f>
        <v/>
      </c>
      <c r="R40" s="51" t="str">
        <f>IF(AND('Riesgos de Gestión'!$AF$41="Baja",'Riesgos de Gestión'!$AH$41="Menor"),CONCATENATE("R5C",'Riesgos de Gestión'!$V$41),"")</f>
        <v/>
      </c>
      <c r="S40" s="51" t="str">
        <f>IF(AND('Riesgos de Gestión'!$AF$42="Baja",'Riesgos de Gestión'!$AH$42="Menor"),CONCATENATE("R5C",'Riesgos de Gestión'!$V$42),"")</f>
        <v/>
      </c>
      <c r="T40" s="51" t="str">
        <f>IF(AND('Riesgos de Gestión'!$AF$43="Baja",'Riesgos de Gestión'!$AH$43="Menor"),CONCATENATE("R5C",'Riesgos de Gestión'!$V$43),"")</f>
        <v/>
      </c>
      <c r="U40" s="52" t="str">
        <f>IF(AND('Riesgos de Gestión'!$AF$44="Baja",'Riesgos de Gestión'!$AH$44="Menor"),CONCATENATE("R5C",'Riesgos de Gestión'!$V$44),"")</f>
        <v/>
      </c>
      <c r="V40" s="50" t="str">
        <f>IF(AND('Riesgos de Gestión'!$AF$39="Baja",'Riesgos de Gestión'!$AH$39="Moderado"),CONCATENATE("R5C",'Riesgos de Gestión'!$V$39),"")</f>
        <v/>
      </c>
      <c r="W40" s="51" t="str">
        <f>IF(AND('Riesgos de Gestión'!$AF$40="Baja",'Riesgos de Gestión'!$AH$40="Moderado"),CONCATENATE("R5C",'Riesgos de Gestión'!$V$40),"")</f>
        <v/>
      </c>
      <c r="X40" s="51" t="str">
        <f>IF(AND('Riesgos de Gestión'!$AF$41="Baja",'Riesgos de Gestión'!$AH$41="Moderado"),CONCATENATE("R5C",'Riesgos de Gestión'!$V$41),"")</f>
        <v/>
      </c>
      <c r="Y40" s="51" t="str">
        <f>IF(AND('Riesgos de Gestión'!$AF$42="Baja",'Riesgos de Gestión'!$AH$42="Moderado"),CONCATENATE("R5C",'Riesgos de Gestión'!$V$42),"")</f>
        <v/>
      </c>
      <c r="Z40" s="51" t="str">
        <f>IF(AND('Riesgos de Gestión'!$AF$43="Baja",'Riesgos de Gestión'!$AH$43="Moderado"),CONCATENATE("R5C",'Riesgos de Gestión'!$V$43),"")</f>
        <v/>
      </c>
      <c r="AA40" s="52" t="str">
        <f>IF(AND('Riesgos de Gestión'!$AF$44="Baja",'Riesgos de Gestión'!$AH$44="Moderado"),CONCATENATE("R5C",'Riesgos de Gestión'!$V$44),"")</f>
        <v/>
      </c>
      <c r="AB40" s="35" t="str">
        <f>IF(AND('Riesgos de Gestión'!$AF$39="Baja",'Riesgos de Gestión'!$AH$39="Mayor"),CONCATENATE("R5C",'Riesgos de Gestión'!$V$39),"")</f>
        <v/>
      </c>
      <c r="AC40" s="36" t="str">
        <f>IF(AND('Riesgos de Gestión'!$AF$40="Baja",'Riesgos de Gestión'!$AH$40="Mayor"),CONCATENATE("R5C",'Riesgos de Gestión'!$V$40),"")</f>
        <v/>
      </c>
      <c r="AD40" s="36" t="str">
        <f>IF(AND('Riesgos de Gestión'!$AF$41="Baja",'Riesgos de Gestión'!$AH$41="Mayor"),CONCATENATE("R5C",'Riesgos de Gestión'!$V$41),"")</f>
        <v/>
      </c>
      <c r="AE40" s="36" t="str">
        <f>IF(AND('Riesgos de Gestión'!$AF$42="Baja",'Riesgos de Gestión'!$AH$42="Mayor"),CONCATENATE("R5C",'Riesgos de Gestión'!$V$42),"")</f>
        <v/>
      </c>
      <c r="AF40" s="36" t="str">
        <f>IF(AND('Riesgos de Gestión'!$AF$43="Baja",'Riesgos de Gestión'!$AH$43="Mayor"),CONCATENATE("R5C",'Riesgos de Gestión'!$V$43),"")</f>
        <v/>
      </c>
      <c r="AG40" s="37" t="str">
        <f>IF(AND('Riesgos de Gestión'!$AF$44="Baja",'Riesgos de Gestión'!$AH$44="Mayor"),CONCATENATE("R5C",'Riesgos de Gestión'!$V$44),"")</f>
        <v/>
      </c>
      <c r="AH40" s="38" t="str">
        <f>IF(AND('Riesgos de Gestión'!$AF$39="Baja",'Riesgos de Gestión'!$AH$39="Catastrófico"),CONCATENATE("R5C",'Riesgos de Gestión'!$V$39),"")</f>
        <v/>
      </c>
      <c r="AI40" s="39" t="str">
        <f>IF(AND('Riesgos de Gestión'!$AF$40="Baja",'Riesgos de Gestión'!$AH$40="Catastrófico"),CONCATENATE("R5C",'Riesgos de Gestión'!$V$40),"")</f>
        <v/>
      </c>
      <c r="AJ40" s="39" t="str">
        <f>IF(AND('Riesgos de Gestión'!$AF$41="Baja",'Riesgos de Gestión'!$AH$41="Catastrófico"),CONCATENATE("R5C",'Riesgos de Gestión'!$V$41),"")</f>
        <v/>
      </c>
      <c r="AK40" s="39" t="str">
        <f>IF(AND('Riesgos de Gestión'!$AF$42="Baja",'Riesgos de Gestión'!$AH$42="Catastrófico"),CONCATENATE("R5C",'Riesgos de Gestión'!$V$42),"")</f>
        <v/>
      </c>
      <c r="AL40" s="39" t="str">
        <f>IF(AND('Riesgos de Gestión'!$AF$43="Baja",'Riesgos de Gestión'!$AH$43="Catastrófico"),CONCATENATE("R5C",'Riesgos de Gestión'!$V$43),"")</f>
        <v/>
      </c>
      <c r="AM40" s="40" t="str">
        <f>IF(AND('Riesgos de Gestión'!$AF$44="Baja",'Riesgos de Gestión'!$AH$44="Catastrófico"),CONCATENATE("R5C",'Riesgos de Gestión'!$V$44),"")</f>
        <v/>
      </c>
      <c r="AN40" s="66"/>
      <c r="AO40" s="530"/>
      <c r="AP40" s="531"/>
      <c r="AQ40" s="531"/>
      <c r="AR40" s="531"/>
      <c r="AS40" s="531"/>
      <c r="AT40" s="532"/>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25">
      <c r="A41" s="66"/>
      <c r="B41" s="458"/>
      <c r="C41" s="458"/>
      <c r="D41" s="459"/>
      <c r="E41" s="499"/>
      <c r="F41" s="500"/>
      <c r="G41" s="500"/>
      <c r="H41" s="500"/>
      <c r="I41" s="500"/>
      <c r="J41" s="59" t="str">
        <f>IF(AND('Riesgos de Gestión'!$AF$45="Baja",'Riesgos de Gestión'!$AH$45="Leve"),CONCATENATE("R6C",'Riesgos de Gestión'!$V$45),"")</f>
        <v/>
      </c>
      <c r="K41" s="60" t="str">
        <f>IF(AND('Riesgos de Gestión'!$AF$46="Baja",'Riesgos de Gestión'!$AH$46="Leve"),CONCATENATE("R6C",'Riesgos de Gestión'!$V$46),"")</f>
        <v/>
      </c>
      <c r="L41" s="60" t="str">
        <f>IF(AND('Riesgos de Gestión'!$AF$47="Baja",'Riesgos de Gestión'!$AH$47="Leve"),CONCATENATE("R6C",'Riesgos de Gestión'!$V$47),"")</f>
        <v/>
      </c>
      <c r="M41" s="60" t="str">
        <f>IF(AND('Riesgos de Gestión'!$AF$48="Baja",'Riesgos de Gestión'!$AH$48="Leve"),CONCATENATE("R6C",'Riesgos de Gestión'!$V$48),"")</f>
        <v/>
      </c>
      <c r="N41" s="60" t="str">
        <f>IF(AND('Riesgos de Gestión'!$AF$49="Baja",'Riesgos de Gestión'!$AH$49="Leve"),CONCATENATE("R6C",'Riesgos de Gestión'!$V$49),"")</f>
        <v/>
      </c>
      <c r="O41" s="61" t="str">
        <f>IF(AND('Riesgos de Gestión'!$AF$50="Baja",'Riesgos de Gestión'!$AH$50="Leve"),CONCATENATE("R6C",'Riesgos de Gestión'!$V$50),"")</f>
        <v/>
      </c>
      <c r="P41" s="50" t="str">
        <f>IF(AND('Riesgos de Gestión'!$AF$45="Baja",'Riesgos de Gestión'!$AH$45="Menor"),CONCATENATE("R6C",'Riesgos de Gestión'!$V$45),"")</f>
        <v/>
      </c>
      <c r="Q41" s="51" t="str">
        <f>IF(AND('Riesgos de Gestión'!$AF$46="Baja",'Riesgos de Gestión'!$AH$46="Menor"),CONCATENATE("R6C",'Riesgos de Gestión'!$V$46),"")</f>
        <v/>
      </c>
      <c r="R41" s="51" t="str">
        <f>IF(AND('Riesgos de Gestión'!$AF$47="Baja",'Riesgos de Gestión'!$AH$47="Menor"),CONCATENATE("R6C",'Riesgos de Gestión'!$V$47),"")</f>
        <v/>
      </c>
      <c r="S41" s="51" t="str">
        <f>IF(AND('Riesgos de Gestión'!$AF$48="Baja",'Riesgos de Gestión'!$AH$48="Menor"),CONCATENATE("R6C",'Riesgos de Gestión'!$V$48),"")</f>
        <v/>
      </c>
      <c r="T41" s="51" t="str">
        <f>IF(AND('Riesgos de Gestión'!$AF$49="Baja",'Riesgos de Gestión'!$AH$49="Menor"),CONCATENATE("R6C",'Riesgos de Gestión'!$V$49),"")</f>
        <v/>
      </c>
      <c r="U41" s="52" t="str">
        <f>IF(AND('Riesgos de Gestión'!$AF$50="Baja",'Riesgos de Gestión'!$AH$50="Menor"),CONCATENATE("R6C",'Riesgos de Gestión'!$V$50),"")</f>
        <v/>
      </c>
      <c r="V41" s="50" t="str">
        <f>IF(AND('Riesgos de Gestión'!$AF$45="Baja",'Riesgos de Gestión'!$AH$45="Moderado"),CONCATENATE("R6C",'Riesgos de Gestión'!$V$45),"")</f>
        <v/>
      </c>
      <c r="W41" s="51" t="str">
        <f>IF(AND('Riesgos de Gestión'!$AF$46="Baja",'Riesgos de Gestión'!$AH$46="Moderado"),CONCATENATE("R6C",'Riesgos de Gestión'!$V$46),"")</f>
        <v/>
      </c>
      <c r="X41" s="51" t="str">
        <f>IF(AND('Riesgos de Gestión'!$AF$47="Baja",'Riesgos de Gestión'!$AH$47="Moderado"),CONCATENATE("R6C",'Riesgos de Gestión'!$V$47),"")</f>
        <v/>
      </c>
      <c r="Y41" s="51" t="str">
        <f>IF(AND('Riesgos de Gestión'!$AF$48="Baja",'Riesgos de Gestión'!$AH$48="Moderado"),CONCATENATE("R6C",'Riesgos de Gestión'!$V$48),"")</f>
        <v/>
      </c>
      <c r="Z41" s="51" t="str">
        <f>IF(AND('Riesgos de Gestión'!$AF$49="Baja",'Riesgos de Gestión'!$AH$49="Moderado"),CONCATENATE("R6C",'Riesgos de Gestión'!$V$49),"")</f>
        <v/>
      </c>
      <c r="AA41" s="52" t="str">
        <f>IF(AND('Riesgos de Gestión'!$AF$50="Baja",'Riesgos de Gestión'!$AH$50="Moderado"),CONCATENATE("R6C",'Riesgos de Gestión'!$V$50),"")</f>
        <v/>
      </c>
      <c r="AB41" s="35" t="str">
        <f>IF(AND('Riesgos de Gestión'!$AF$45="Baja",'Riesgos de Gestión'!$AH$45="Mayor"),CONCATENATE("R6C",'Riesgos de Gestión'!$V$45),"")</f>
        <v/>
      </c>
      <c r="AC41" s="36" t="str">
        <f>IF(AND('Riesgos de Gestión'!$AF$46="Baja",'Riesgos de Gestión'!$AH$46="Mayor"),CONCATENATE("R6C",'Riesgos de Gestión'!$V$46),"")</f>
        <v/>
      </c>
      <c r="AD41" s="36" t="str">
        <f>IF(AND('Riesgos de Gestión'!$AF$47="Baja",'Riesgos de Gestión'!$AH$47="Mayor"),CONCATENATE("R6C",'Riesgos de Gestión'!$V$47),"")</f>
        <v/>
      </c>
      <c r="AE41" s="36" t="str">
        <f>IF(AND('Riesgos de Gestión'!$AF$48="Baja",'Riesgos de Gestión'!$AH$48="Mayor"),CONCATENATE("R6C",'Riesgos de Gestión'!$V$48),"")</f>
        <v/>
      </c>
      <c r="AF41" s="36" t="str">
        <f>IF(AND('Riesgos de Gestión'!$AF$49="Baja",'Riesgos de Gestión'!$AH$49="Mayor"),CONCATENATE("R6C",'Riesgos de Gestión'!$V$49),"")</f>
        <v/>
      </c>
      <c r="AG41" s="37" t="str">
        <f>IF(AND('Riesgos de Gestión'!$AF$50="Baja",'Riesgos de Gestión'!$AH$50="Mayor"),CONCATENATE("R6C",'Riesgos de Gestión'!$V$50),"")</f>
        <v/>
      </c>
      <c r="AH41" s="38" t="str">
        <f>IF(AND('Riesgos de Gestión'!$AF$45="Baja",'Riesgos de Gestión'!$AH$45="Catastrófico"),CONCATENATE("R6C",'Riesgos de Gestión'!$V$45),"")</f>
        <v/>
      </c>
      <c r="AI41" s="39" t="str">
        <f>IF(AND('Riesgos de Gestión'!$AF$46="Baja",'Riesgos de Gestión'!$AH$46="Catastrófico"),CONCATENATE("R6C",'Riesgos de Gestión'!$V$46),"")</f>
        <v/>
      </c>
      <c r="AJ41" s="39" t="str">
        <f>IF(AND('Riesgos de Gestión'!$AF$47="Baja",'Riesgos de Gestión'!$AH$47="Catastrófico"),CONCATENATE("R6C",'Riesgos de Gestión'!$V$47),"")</f>
        <v/>
      </c>
      <c r="AK41" s="39" t="str">
        <f>IF(AND('Riesgos de Gestión'!$AF$48="Baja",'Riesgos de Gestión'!$AH$48="Catastrófico"),CONCATENATE("R6C",'Riesgos de Gestión'!$V$48),"")</f>
        <v/>
      </c>
      <c r="AL41" s="39" t="str">
        <f>IF(AND('Riesgos de Gestión'!$AF$49="Baja",'Riesgos de Gestión'!$AH$49="Catastrófico"),CONCATENATE("R6C",'Riesgos de Gestión'!$V$49),"")</f>
        <v/>
      </c>
      <c r="AM41" s="40" t="str">
        <f>IF(AND('Riesgos de Gestión'!$AF$50="Baja",'Riesgos de Gestión'!$AH$50="Catastrófico"),CONCATENATE("R6C",'Riesgos de Gestión'!$V$50),"")</f>
        <v/>
      </c>
      <c r="AN41" s="66"/>
      <c r="AO41" s="530"/>
      <c r="AP41" s="531"/>
      <c r="AQ41" s="531"/>
      <c r="AR41" s="531"/>
      <c r="AS41" s="531"/>
      <c r="AT41" s="532"/>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25">
      <c r="A42" s="66"/>
      <c r="B42" s="458"/>
      <c r="C42" s="458"/>
      <c r="D42" s="459"/>
      <c r="E42" s="499"/>
      <c r="F42" s="500"/>
      <c r="G42" s="500"/>
      <c r="H42" s="500"/>
      <c r="I42" s="500"/>
      <c r="J42" s="59" t="str">
        <f>IF(AND('Riesgos de Gestión'!$AF$51="Baja",'Riesgos de Gestión'!$AH$51="Leve"),CONCATENATE("R7C",'Riesgos de Gestión'!$V$51),"")</f>
        <v/>
      </c>
      <c r="K42" s="60" t="str">
        <f>IF(AND('Riesgos de Gestión'!$AF$52="Baja",'Riesgos de Gestión'!$AH$52="Leve"),CONCATENATE("R7C",'Riesgos de Gestión'!$V$52),"")</f>
        <v/>
      </c>
      <c r="L42" s="60" t="str">
        <f>IF(AND('Riesgos de Gestión'!$AF$53="Baja",'Riesgos de Gestión'!$AH$53="Leve"),CONCATENATE("R7C",'Riesgos de Gestión'!$V$53),"")</f>
        <v/>
      </c>
      <c r="M42" s="60" t="str">
        <f>IF(AND('Riesgos de Gestión'!$AF$54="Baja",'Riesgos de Gestión'!$AH$54="Leve"),CONCATENATE("R7C",'Riesgos de Gestión'!$V$54),"")</f>
        <v/>
      </c>
      <c r="N42" s="60" t="str">
        <f>IF(AND('Riesgos de Gestión'!$AF$55="Baja",'Riesgos de Gestión'!$AH$55="Leve"),CONCATENATE("R7C",'Riesgos de Gestión'!$V$55),"")</f>
        <v/>
      </c>
      <c r="O42" s="61" t="str">
        <f>IF(AND('Riesgos de Gestión'!$AF$56="Baja",'Riesgos de Gestión'!$AH$56="Leve"),CONCATENATE("R7C",'Riesgos de Gestión'!$V$56),"")</f>
        <v/>
      </c>
      <c r="P42" s="50" t="str">
        <f>IF(AND('Riesgos de Gestión'!$AF$51="Baja",'Riesgos de Gestión'!$AH$51="Menor"),CONCATENATE("R7C",'Riesgos de Gestión'!$V$51),"")</f>
        <v/>
      </c>
      <c r="Q42" s="51" t="str">
        <f>IF(AND('Riesgos de Gestión'!$AF$52="Baja",'Riesgos de Gestión'!$AH$52="Menor"),CONCATENATE("R7C",'Riesgos de Gestión'!$V$52),"")</f>
        <v/>
      </c>
      <c r="R42" s="51" t="str">
        <f>IF(AND('Riesgos de Gestión'!$AF$53="Baja",'Riesgos de Gestión'!$AH$53="Menor"),CONCATENATE("R7C",'Riesgos de Gestión'!$V$53),"")</f>
        <v/>
      </c>
      <c r="S42" s="51" t="str">
        <f>IF(AND('Riesgos de Gestión'!$AF$54="Baja",'Riesgos de Gestión'!$AH$54="Menor"),CONCATENATE("R7C",'Riesgos de Gestión'!$V$54),"")</f>
        <v/>
      </c>
      <c r="T42" s="51" t="str">
        <f>IF(AND('Riesgos de Gestión'!$AF$55="Baja",'Riesgos de Gestión'!$AH$55="Menor"),CONCATENATE("R7C",'Riesgos de Gestión'!$V$55),"")</f>
        <v/>
      </c>
      <c r="U42" s="52" t="str">
        <f>IF(AND('Riesgos de Gestión'!$AF$56="Baja",'Riesgos de Gestión'!$AH$56="Menor"),CONCATENATE("R7C",'Riesgos de Gestión'!$V$56),"")</f>
        <v/>
      </c>
      <c r="V42" s="50" t="str">
        <f>IF(AND('Riesgos de Gestión'!$AF$51="Baja",'Riesgos de Gestión'!$AH$51="Moderado"),CONCATENATE("R7C",'Riesgos de Gestión'!$V$51),"")</f>
        <v/>
      </c>
      <c r="W42" s="51" t="str">
        <f>IF(AND('Riesgos de Gestión'!$AF$52="Baja",'Riesgos de Gestión'!$AH$52="Moderado"),CONCATENATE("R7C",'Riesgos de Gestión'!$V$52),"")</f>
        <v/>
      </c>
      <c r="X42" s="51" t="str">
        <f>IF(AND('Riesgos de Gestión'!$AF$53="Baja",'Riesgos de Gestión'!$AH$53="Moderado"),CONCATENATE("R7C",'Riesgos de Gestión'!$V$53),"")</f>
        <v/>
      </c>
      <c r="Y42" s="51" t="str">
        <f>IF(AND('Riesgos de Gestión'!$AF$54="Baja",'Riesgos de Gestión'!$AH$54="Moderado"),CONCATENATE("R7C",'Riesgos de Gestión'!$V$54),"")</f>
        <v/>
      </c>
      <c r="Z42" s="51" t="str">
        <f>IF(AND('Riesgos de Gestión'!$AF$55="Baja",'Riesgos de Gestión'!$AH$55="Moderado"),CONCATENATE("R7C",'Riesgos de Gestión'!$V$55),"")</f>
        <v/>
      </c>
      <c r="AA42" s="52" t="str">
        <f>IF(AND('Riesgos de Gestión'!$AF$56="Baja",'Riesgos de Gestión'!$AH$56="Moderado"),CONCATENATE("R7C",'Riesgos de Gestión'!$V$56),"")</f>
        <v/>
      </c>
      <c r="AB42" s="35" t="str">
        <f>IF(AND('Riesgos de Gestión'!$AF$51="Baja",'Riesgos de Gestión'!$AH$51="Mayor"),CONCATENATE("R7C",'Riesgos de Gestión'!$V$51),"")</f>
        <v/>
      </c>
      <c r="AC42" s="36" t="str">
        <f>IF(AND('Riesgos de Gestión'!$AF$52="Baja",'Riesgos de Gestión'!$AH$52="Mayor"),CONCATENATE("R7C",'Riesgos de Gestión'!$V$52),"")</f>
        <v/>
      </c>
      <c r="AD42" s="36" t="str">
        <f>IF(AND('Riesgos de Gestión'!$AF$53="Baja",'Riesgos de Gestión'!$AH$53="Mayor"),CONCATENATE("R7C",'Riesgos de Gestión'!$V$53),"")</f>
        <v/>
      </c>
      <c r="AE42" s="36" t="str">
        <f>IF(AND('Riesgos de Gestión'!$AF$54="Baja",'Riesgos de Gestión'!$AH$54="Mayor"),CONCATENATE("R7C",'Riesgos de Gestión'!$V$54),"")</f>
        <v/>
      </c>
      <c r="AF42" s="36" t="str">
        <f>IF(AND('Riesgos de Gestión'!$AF$55="Baja",'Riesgos de Gestión'!$AH$55="Mayor"),CONCATENATE("R7C",'Riesgos de Gestión'!$V$55),"")</f>
        <v/>
      </c>
      <c r="AG42" s="37" t="str">
        <f>IF(AND('Riesgos de Gestión'!$AF$56="Baja",'Riesgos de Gestión'!$AH$56="Mayor"),CONCATENATE("R7C",'Riesgos de Gestión'!$V$56),"")</f>
        <v/>
      </c>
      <c r="AH42" s="38" t="str">
        <f>IF(AND('Riesgos de Gestión'!$AF$51="Baja",'Riesgos de Gestión'!$AH$51="Catastrófico"),CONCATENATE("R7C",'Riesgos de Gestión'!$V$51),"")</f>
        <v/>
      </c>
      <c r="AI42" s="39" t="str">
        <f>IF(AND('Riesgos de Gestión'!$AF$52="Baja",'Riesgos de Gestión'!$AH$52="Catastrófico"),CONCATENATE("R7C",'Riesgos de Gestión'!$V$52),"")</f>
        <v/>
      </c>
      <c r="AJ42" s="39" t="str">
        <f>IF(AND('Riesgos de Gestión'!$AF$53="Baja",'Riesgos de Gestión'!$AH$53="Catastrófico"),CONCATENATE("R7C",'Riesgos de Gestión'!$V$53),"")</f>
        <v/>
      </c>
      <c r="AK42" s="39" t="str">
        <f>IF(AND('Riesgos de Gestión'!$AF$54="Baja",'Riesgos de Gestión'!$AH$54="Catastrófico"),CONCATENATE("R7C",'Riesgos de Gestión'!$V$54),"")</f>
        <v/>
      </c>
      <c r="AL42" s="39" t="str">
        <f>IF(AND('Riesgos de Gestión'!$AF$55="Baja",'Riesgos de Gestión'!$AH$55="Catastrófico"),CONCATENATE("R7C",'Riesgos de Gestión'!$V$55),"")</f>
        <v/>
      </c>
      <c r="AM42" s="40" t="str">
        <f>IF(AND('Riesgos de Gestión'!$AF$56="Baja",'Riesgos de Gestión'!$AH$56="Catastrófico"),CONCATENATE("R7C",'Riesgos de Gestión'!$V$56),"")</f>
        <v/>
      </c>
      <c r="AN42" s="66"/>
      <c r="AO42" s="530"/>
      <c r="AP42" s="531"/>
      <c r="AQ42" s="531"/>
      <c r="AR42" s="531"/>
      <c r="AS42" s="531"/>
      <c r="AT42" s="532"/>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25">
      <c r="A43" s="66"/>
      <c r="B43" s="458"/>
      <c r="C43" s="458"/>
      <c r="D43" s="459"/>
      <c r="E43" s="499"/>
      <c r="F43" s="500"/>
      <c r="G43" s="500"/>
      <c r="H43" s="500"/>
      <c r="I43" s="500"/>
      <c r="J43" s="59" t="str">
        <f>IF(AND('Riesgos de Gestión'!$AF$57="Baja",'Riesgos de Gestión'!$AH$57="Leve"),CONCATENATE("R8C",'Riesgos de Gestión'!$V$57),"")</f>
        <v/>
      </c>
      <c r="K43" s="60" t="str">
        <f>IF(AND('Riesgos de Gestión'!$AF$58="Baja",'Riesgos de Gestión'!$AH$58="Leve"),CONCATENATE("R8C",'Riesgos de Gestión'!$V$58),"")</f>
        <v/>
      </c>
      <c r="L43" s="60" t="str">
        <f>IF(AND('Riesgos de Gestión'!$AF$59="Baja",'Riesgos de Gestión'!$AH$59="Leve"),CONCATENATE("R8C",'Riesgos de Gestión'!$V$59),"")</f>
        <v/>
      </c>
      <c r="M43" s="60" t="str">
        <f>IF(AND('Riesgos de Gestión'!$AF$60="Baja",'Riesgos de Gestión'!$AH$60="Leve"),CONCATENATE("R8C",'Riesgos de Gestión'!$V$60),"")</f>
        <v/>
      </c>
      <c r="N43" s="60" t="str">
        <f>IF(AND('Riesgos de Gestión'!$AF$61="Baja",'Riesgos de Gestión'!$AH$61="Leve"),CONCATENATE("R8C",'Riesgos de Gestión'!$V$61),"")</f>
        <v/>
      </c>
      <c r="O43" s="61" t="str">
        <f>IF(AND('Riesgos de Gestión'!$AF$62="Baja",'Riesgos de Gestión'!$AH$62="Leve"),CONCATENATE("R8C",'Riesgos de Gestión'!$V$62),"")</f>
        <v/>
      </c>
      <c r="P43" s="50" t="str">
        <f>IF(AND('Riesgos de Gestión'!$AF$57="Baja",'Riesgos de Gestión'!$AH$57="Menor"),CONCATENATE("R8C",'Riesgos de Gestión'!$V$57),"")</f>
        <v/>
      </c>
      <c r="Q43" s="51" t="str">
        <f>IF(AND('Riesgos de Gestión'!$AF$58="Baja",'Riesgos de Gestión'!$AH$58="Menor"),CONCATENATE("R8C",'Riesgos de Gestión'!$V$58),"")</f>
        <v/>
      </c>
      <c r="R43" s="51" t="str">
        <f>IF(AND('Riesgos de Gestión'!$AF$59="Baja",'Riesgos de Gestión'!$AH$59="Menor"),CONCATENATE("R8C",'Riesgos de Gestión'!$V$59),"")</f>
        <v/>
      </c>
      <c r="S43" s="51" t="str">
        <f>IF(AND('Riesgos de Gestión'!$AF$60="Baja",'Riesgos de Gestión'!$AH$60="Menor"),CONCATENATE("R8C",'Riesgos de Gestión'!$V$60),"")</f>
        <v/>
      </c>
      <c r="T43" s="51" t="str">
        <f>IF(AND('Riesgos de Gestión'!$AF$61="Baja",'Riesgos de Gestión'!$AH$61="Menor"),CONCATENATE("R8C",'Riesgos de Gestión'!$V$61),"")</f>
        <v/>
      </c>
      <c r="U43" s="52" t="str">
        <f>IF(AND('Riesgos de Gestión'!$AF$62="Baja",'Riesgos de Gestión'!$AH$62="Menor"),CONCATENATE("R8C",'Riesgos de Gestión'!$V$62),"")</f>
        <v/>
      </c>
      <c r="V43" s="50" t="str">
        <f>IF(AND('Riesgos de Gestión'!$AF$57="Baja",'Riesgos de Gestión'!$AH$57="Moderado"),CONCATENATE("R8C",'Riesgos de Gestión'!$V$57),"")</f>
        <v/>
      </c>
      <c r="W43" s="51" t="str">
        <f>IF(AND('Riesgos de Gestión'!$AF$58="Baja",'Riesgos de Gestión'!$AH$58="Moderado"),CONCATENATE("R8C",'Riesgos de Gestión'!$V$58),"")</f>
        <v/>
      </c>
      <c r="X43" s="51" t="str">
        <f>IF(AND('Riesgos de Gestión'!$AF$59="Baja",'Riesgos de Gestión'!$AH$59="Moderado"),CONCATENATE("R8C",'Riesgos de Gestión'!$V$59),"")</f>
        <v/>
      </c>
      <c r="Y43" s="51" t="str">
        <f>IF(AND('Riesgos de Gestión'!$AF$60="Baja",'Riesgos de Gestión'!$AH$60="Moderado"),CONCATENATE("R8C",'Riesgos de Gestión'!$V$60),"")</f>
        <v/>
      </c>
      <c r="Z43" s="51" t="str">
        <f>IF(AND('Riesgos de Gestión'!$AF$61="Baja",'Riesgos de Gestión'!$AH$61="Moderado"),CONCATENATE("R8C",'Riesgos de Gestión'!$V$61),"")</f>
        <v/>
      </c>
      <c r="AA43" s="52" t="str">
        <f>IF(AND('Riesgos de Gestión'!$AF$62="Baja",'Riesgos de Gestión'!$AH$62="Moderado"),CONCATENATE("R8C",'Riesgos de Gestión'!$V$62),"")</f>
        <v/>
      </c>
      <c r="AB43" s="35" t="str">
        <f>IF(AND('Riesgos de Gestión'!$AF$57="Baja",'Riesgos de Gestión'!$AH$57="Mayor"),CONCATENATE("R8C",'Riesgos de Gestión'!$V$57),"")</f>
        <v/>
      </c>
      <c r="AC43" s="36" t="str">
        <f>IF(AND('Riesgos de Gestión'!$AF$58="Baja",'Riesgos de Gestión'!$AH$58="Mayor"),CONCATENATE("R8C",'Riesgos de Gestión'!$V$58),"")</f>
        <v/>
      </c>
      <c r="AD43" s="36" t="str">
        <f>IF(AND('Riesgos de Gestión'!$AF$59="Baja",'Riesgos de Gestión'!$AH$59="Mayor"),CONCATENATE("R8C",'Riesgos de Gestión'!$V$59),"")</f>
        <v/>
      </c>
      <c r="AE43" s="36" t="str">
        <f>IF(AND('Riesgos de Gestión'!$AF$60="Baja",'Riesgos de Gestión'!$AH$60="Mayor"),CONCATENATE("R8C",'Riesgos de Gestión'!$V$60),"")</f>
        <v/>
      </c>
      <c r="AF43" s="36" t="str">
        <f>IF(AND('Riesgos de Gestión'!$AF$61="Baja",'Riesgos de Gestión'!$AH$61="Mayor"),CONCATENATE("R8C",'Riesgos de Gestión'!$V$61),"")</f>
        <v/>
      </c>
      <c r="AG43" s="37" t="str">
        <f>IF(AND('Riesgos de Gestión'!$AF$62="Baja",'Riesgos de Gestión'!$AH$62="Mayor"),CONCATENATE("R8C",'Riesgos de Gestión'!$V$62),"")</f>
        <v/>
      </c>
      <c r="AH43" s="38" t="str">
        <f>IF(AND('Riesgos de Gestión'!$AF$57="Baja",'Riesgos de Gestión'!$AH$57="Catastrófico"),CONCATENATE("R8C",'Riesgos de Gestión'!$V$57),"")</f>
        <v/>
      </c>
      <c r="AI43" s="39" t="str">
        <f>IF(AND('Riesgos de Gestión'!$AF$58="Baja",'Riesgos de Gestión'!$AH$58="Catastrófico"),CONCATENATE("R8C",'Riesgos de Gestión'!$V$58),"")</f>
        <v/>
      </c>
      <c r="AJ43" s="39" t="str">
        <f>IF(AND('Riesgos de Gestión'!$AF$59="Baja",'Riesgos de Gestión'!$AH$59="Catastrófico"),CONCATENATE("R8C",'Riesgos de Gestión'!$V$59),"")</f>
        <v/>
      </c>
      <c r="AK43" s="39" t="str">
        <f>IF(AND('Riesgos de Gestión'!$AF$60="Baja",'Riesgos de Gestión'!$AH$60="Catastrófico"),CONCATENATE("R8C",'Riesgos de Gestión'!$V$60),"")</f>
        <v/>
      </c>
      <c r="AL43" s="39" t="str">
        <f>IF(AND('Riesgos de Gestión'!$AF$61="Baja",'Riesgos de Gestión'!$AH$61="Catastrófico"),CONCATENATE("R8C",'Riesgos de Gestión'!$V$61),"")</f>
        <v/>
      </c>
      <c r="AM43" s="40" t="str">
        <f>IF(AND('Riesgos de Gestión'!$AF$62="Baja",'Riesgos de Gestión'!$AH$62="Catastrófico"),CONCATENATE("R8C",'Riesgos de Gestión'!$V$62),"")</f>
        <v/>
      </c>
      <c r="AN43" s="66"/>
      <c r="AO43" s="530"/>
      <c r="AP43" s="531"/>
      <c r="AQ43" s="531"/>
      <c r="AR43" s="531"/>
      <c r="AS43" s="531"/>
      <c r="AT43" s="532"/>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25">
      <c r="A44" s="66"/>
      <c r="B44" s="458"/>
      <c r="C44" s="458"/>
      <c r="D44" s="459"/>
      <c r="E44" s="499"/>
      <c r="F44" s="500"/>
      <c r="G44" s="500"/>
      <c r="H44" s="500"/>
      <c r="I44" s="500"/>
      <c r="J44" s="59" t="str">
        <f>IF(AND('Riesgos de Gestión'!$AF$63="Baja",'Riesgos de Gestión'!$AH$63="Leve"),CONCATENATE("R9C",'Riesgos de Gestión'!$V$63),"")</f>
        <v/>
      </c>
      <c r="K44" s="60" t="str">
        <f>IF(AND('Riesgos de Gestión'!$AF$64="Baja",'Riesgos de Gestión'!$AH$64="Leve"),CONCATENATE("R9C",'Riesgos de Gestión'!$V$64),"")</f>
        <v/>
      </c>
      <c r="L44" s="60" t="str">
        <f>IF(AND('Riesgos de Gestión'!$AF$65="Baja",'Riesgos de Gestión'!$AH$65="Leve"),CONCATENATE("R9C",'Riesgos de Gestión'!$V$65),"")</f>
        <v/>
      </c>
      <c r="M44" s="60" t="str">
        <f>IF(AND('Riesgos de Gestión'!$AF$66="Baja",'Riesgos de Gestión'!$AH$66="Leve"),CONCATENATE("R9C",'Riesgos de Gestión'!$V$66),"")</f>
        <v/>
      </c>
      <c r="N44" s="60" t="str">
        <f>IF(AND('Riesgos de Gestión'!$AF$67="Baja",'Riesgos de Gestión'!$AH$67="Leve"),CONCATENATE("R9C",'Riesgos de Gestión'!$V$67),"")</f>
        <v/>
      </c>
      <c r="O44" s="61" t="str">
        <f>IF(AND('Riesgos de Gestión'!$AF$68="Baja",'Riesgos de Gestión'!$AH$68="Leve"),CONCATENATE("R9C",'Riesgos de Gestión'!$V$68),"")</f>
        <v/>
      </c>
      <c r="P44" s="50" t="str">
        <f>IF(AND('Riesgos de Gestión'!$AF$63="Baja",'Riesgos de Gestión'!$AH$63="Menor"),CONCATENATE("R9C",'Riesgos de Gestión'!$V$63),"")</f>
        <v/>
      </c>
      <c r="Q44" s="51" t="str">
        <f>IF(AND('Riesgos de Gestión'!$AF$64="Baja",'Riesgos de Gestión'!$AH$64="Menor"),CONCATENATE("R9C",'Riesgos de Gestión'!$V$64),"")</f>
        <v/>
      </c>
      <c r="R44" s="51" t="str">
        <f>IF(AND('Riesgos de Gestión'!$AF$65="Baja",'Riesgos de Gestión'!$AH$65="Menor"),CONCATENATE("R9C",'Riesgos de Gestión'!$V$65),"")</f>
        <v/>
      </c>
      <c r="S44" s="51" t="str">
        <f>IF(AND('Riesgos de Gestión'!$AF$66="Baja",'Riesgos de Gestión'!$AH$66="Menor"),CONCATENATE("R9C",'Riesgos de Gestión'!$V$66),"")</f>
        <v/>
      </c>
      <c r="T44" s="51" t="str">
        <f>IF(AND('Riesgos de Gestión'!$AF$67="Baja",'Riesgos de Gestión'!$AH$67="Menor"),CONCATENATE("R9C",'Riesgos de Gestión'!$V$67),"")</f>
        <v/>
      </c>
      <c r="U44" s="52" t="str">
        <f>IF(AND('Riesgos de Gestión'!$AF$68="Baja",'Riesgos de Gestión'!$AH$68="Menor"),CONCATENATE("R9C",'Riesgos de Gestión'!$V$68),"")</f>
        <v/>
      </c>
      <c r="V44" s="50" t="str">
        <f>IF(AND('Riesgos de Gestión'!$AF$63="Baja",'Riesgos de Gestión'!$AH$63="Moderado"),CONCATENATE("R9C",'Riesgos de Gestión'!$V$63),"")</f>
        <v/>
      </c>
      <c r="W44" s="51" t="str">
        <f>IF(AND('Riesgos de Gestión'!$AF$64="Baja",'Riesgos de Gestión'!$AH$64="Moderado"),CONCATENATE("R9C",'Riesgos de Gestión'!$V$64),"")</f>
        <v/>
      </c>
      <c r="X44" s="51" t="str">
        <f>IF(AND('Riesgos de Gestión'!$AF$65="Baja",'Riesgos de Gestión'!$AH$65="Moderado"),CONCATENATE("R9C",'Riesgos de Gestión'!$V$65),"")</f>
        <v/>
      </c>
      <c r="Y44" s="51" t="str">
        <f>IF(AND('Riesgos de Gestión'!$AF$66="Baja",'Riesgos de Gestión'!$AH$66="Moderado"),CONCATENATE("R9C",'Riesgos de Gestión'!$V$66),"")</f>
        <v/>
      </c>
      <c r="Z44" s="51" t="str">
        <f>IF(AND('Riesgos de Gestión'!$AF$67="Baja",'Riesgos de Gestión'!$AH$67="Moderado"),CONCATENATE("R9C",'Riesgos de Gestión'!$V$67),"")</f>
        <v/>
      </c>
      <c r="AA44" s="52" t="str">
        <f>IF(AND('Riesgos de Gestión'!$AF$68="Baja",'Riesgos de Gestión'!$AH$68="Moderado"),CONCATENATE("R9C",'Riesgos de Gestión'!$V$68),"")</f>
        <v/>
      </c>
      <c r="AB44" s="35" t="str">
        <f>IF(AND('Riesgos de Gestión'!$AF$63="Baja",'Riesgos de Gestión'!$AH$63="Mayor"),CONCATENATE("R9C",'Riesgos de Gestión'!$V$63),"")</f>
        <v/>
      </c>
      <c r="AC44" s="36" t="str">
        <f>IF(AND('Riesgos de Gestión'!$AF$64="Baja",'Riesgos de Gestión'!$AH$64="Mayor"),CONCATENATE("R9C",'Riesgos de Gestión'!$V$64),"")</f>
        <v/>
      </c>
      <c r="AD44" s="36" t="str">
        <f>IF(AND('Riesgos de Gestión'!$AF$65="Baja",'Riesgos de Gestión'!$AH$65="Mayor"),CONCATENATE("R9C",'Riesgos de Gestión'!$V$65),"")</f>
        <v/>
      </c>
      <c r="AE44" s="36" t="str">
        <f>IF(AND('Riesgos de Gestión'!$AF$66="Baja",'Riesgos de Gestión'!$AH$66="Mayor"),CONCATENATE("R9C",'Riesgos de Gestión'!$V$66),"")</f>
        <v/>
      </c>
      <c r="AF44" s="36" t="str">
        <f>IF(AND('Riesgos de Gestión'!$AF$67="Baja",'Riesgos de Gestión'!$AH$67="Mayor"),CONCATENATE("R9C",'Riesgos de Gestión'!$V$67),"")</f>
        <v/>
      </c>
      <c r="AG44" s="37" t="str">
        <f>IF(AND('Riesgos de Gestión'!$AF$68="Baja",'Riesgos de Gestión'!$AH$68="Mayor"),CONCATENATE("R9C",'Riesgos de Gestión'!$V$68),"")</f>
        <v/>
      </c>
      <c r="AH44" s="38" t="str">
        <f>IF(AND('Riesgos de Gestión'!$AF$63="Baja",'Riesgos de Gestión'!$AH$63="Catastrófico"),CONCATENATE("R9C",'Riesgos de Gestión'!$V$63),"")</f>
        <v/>
      </c>
      <c r="AI44" s="39" t="str">
        <f>IF(AND('Riesgos de Gestión'!$AF$64="Baja",'Riesgos de Gestión'!$AH$64="Catastrófico"),CONCATENATE("R9C",'Riesgos de Gestión'!$V$64),"")</f>
        <v/>
      </c>
      <c r="AJ44" s="39" t="str">
        <f>IF(AND('Riesgos de Gestión'!$AF$65="Baja",'Riesgos de Gestión'!$AH$65="Catastrófico"),CONCATENATE("R9C",'Riesgos de Gestión'!$V$65),"")</f>
        <v/>
      </c>
      <c r="AK44" s="39" t="str">
        <f>IF(AND('Riesgos de Gestión'!$AF$66="Baja",'Riesgos de Gestión'!$AH$66="Catastrófico"),CONCATENATE("R9C",'Riesgos de Gestión'!$V$66),"")</f>
        <v/>
      </c>
      <c r="AL44" s="39" t="str">
        <f>IF(AND('Riesgos de Gestión'!$AF$67="Baja",'Riesgos de Gestión'!$AH$67="Catastrófico"),CONCATENATE("R9C",'Riesgos de Gestión'!$V$67),"")</f>
        <v/>
      </c>
      <c r="AM44" s="40" t="str">
        <f>IF(AND('Riesgos de Gestión'!$AF$68="Baja",'Riesgos de Gestión'!$AH$68="Catastrófico"),CONCATENATE("R9C",'Riesgos de Gestión'!$V$68),"")</f>
        <v/>
      </c>
      <c r="AN44" s="66"/>
      <c r="AO44" s="530"/>
      <c r="AP44" s="531"/>
      <c r="AQ44" s="531"/>
      <c r="AR44" s="531"/>
      <c r="AS44" s="531"/>
      <c r="AT44" s="532"/>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
      <c r="A45" s="66"/>
      <c r="B45" s="458"/>
      <c r="C45" s="458"/>
      <c r="D45" s="459"/>
      <c r="E45" s="502"/>
      <c r="F45" s="503"/>
      <c r="G45" s="503"/>
      <c r="H45" s="503"/>
      <c r="I45" s="503"/>
      <c r="J45" s="62" t="str">
        <f>IF(AND('Riesgos de Gestión'!$AF$69="Baja",'Riesgos de Gestión'!$AH$69="Leve"),CONCATENATE("R10C",'Riesgos de Gestión'!$V$69),"")</f>
        <v/>
      </c>
      <c r="K45" s="63" t="str">
        <f>IF(AND('Riesgos de Gestión'!$AF$70="Baja",'Riesgos de Gestión'!$AH$70="Leve"),CONCATENATE("R10C",'Riesgos de Gestión'!$V$70),"")</f>
        <v/>
      </c>
      <c r="L45" s="63" t="str">
        <f>IF(AND('Riesgos de Gestión'!$AF$71="Baja",'Riesgos de Gestión'!$AH$71="Leve"),CONCATENATE("R10C",'Riesgos de Gestión'!$V$71),"")</f>
        <v/>
      </c>
      <c r="M45" s="63" t="str">
        <f>IF(AND('Riesgos de Gestión'!$AF$72="Baja",'Riesgos de Gestión'!$AH$72="Leve"),CONCATENATE("R10C",'Riesgos de Gestión'!$V$72),"")</f>
        <v/>
      </c>
      <c r="N45" s="63" t="str">
        <f>IF(AND('Riesgos de Gestión'!$AF$73="Baja",'Riesgos de Gestión'!$AH$73="Leve"),CONCATENATE("R10C",'Riesgos de Gestión'!$V$73),"")</f>
        <v/>
      </c>
      <c r="O45" s="64" t="str">
        <f>IF(AND('Riesgos de Gestión'!$AF$74="Baja",'Riesgos de Gestión'!$AH$74="Leve"),CONCATENATE("R10C",'Riesgos de Gestión'!$V$74),"")</f>
        <v/>
      </c>
      <c r="P45" s="50" t="str">
        <f>IF(AND('Riesgos de Gestión'!$AF$69="Baja",'Riesgos de Gestión'!$AH$69="Menor"),CONCATENATE("R10C",'Riesgos de Gestión'!$V$69),"")</f>
        <v/>
      </c>
      <c r="Q45" s="51" t="str">
        <f>IF(AND('Riesgos de Gestión'!$AF$70="Baja",'Riesgos de Gestión'!$AH$70="Menor"),CONCATENATE("R10C",'Riesgos de Gestión'!$V$70),"")</f>
        <v/>
      </c>
      <c r="R45" s="51" t="str">
        <f>IF(AND('Riesgos de Gestión'!$AF$71="Baja",'Riesgos de Gestión'!$AH$71="Menor"),CONCATENATE("R10C",'Riesgos de Gestión'!$V$71),"")</f>
        <v/>
      </c>
      <c r="S45" s="51" t="str">
        <f>IF(AND('Riesgos de Gestión'!$AF$72="Baja",'Riesgos de Gestión'!$AH$72="Menor"),CONCATENATE("R10C",'Riesgos de Gestión'!$V$72),"")</f>
        <v/>
      </c>
      <c r="T45" s="51" t="str">
        <f>IF(AND('Riesgos de Gestión'!$AF$73="Baja",'Riesgos de Gestión'!$AH$73="Menor"),CONCATENATE("R10C",'Riesgos de Gestión'!$V$73),"")</f>
        <v/>
      </c>
      <c r="U45" s="52" t="str">
        <f>IF(AND('Riesgos de Gestión'!$AF$74="Baja",'Riesgos de Gestión'!$AH$74="Menor"),CONCATENATE("R10C",'Riesgos de Gestión'!$V$74),"")</f>
        <v/>
      </c>
      <c r="V45" s="53" t="str">
        <f>IF(AND('Riesgos de Gestión'!$AF$69="Baja",'Riesgos de Gestión'!$AH$69="Moderado"),CONCATENATE("R10C",'Riesgos de Gestión'!$V$69),"")</f>
        <v/>
      </c>
      <c r="W45" s="54" t="str">
        <f>IF(AND('Riesgos de Gestión'!$AF$70="Baja",'Riesgos de Gestión'!$AH$70="Moderado"),CONCATENATE("R10C",'Riesgos de Gestión'!$V$70),"")</f>
        <v/>
      </c>
      <c r="X45" s="54" t="str">
        <f>IF(AND('Riesgos de Gestión'!$AF$71="Baja",'Riesgos de Gestión'!$AH$71="Moderado"),CONCATENATE("R10C",'Riesgos de Gestión'!$V$71),"")</f>
        <v/>
      </c>
      <c r="Y45" s="54" t="str">
        <f>IF(AND('Riesgos de Gestión'!$AF$72="Baja",'Riesgos de Gestión'!$AH$72="Moderado"),CONCATENATE("R10C",'Riesgos de Gestión'!$V$72),"")</f>
        <v/>
      </c>
      <c r="Z45" s="54" t="str">
        <f>IF(AND('Riesgos de Gestión'!$AF$73="Baja",'Riesgos de Gestión'!$AH$73="Moderado"),CONCATENATE("R10C",'Riesgos de Gestión'!$V$73),"")</f>
        <v/>
      </c>
      <c r="AA45" s="55" t="str">
        <f>IF(AND('Riesgos de Gestión'!$AF$74="Baja",'Riesgos de Gestión'!$AH$74="Moderado"),CONCATENATE("R10C",'Riesgos de Gestión'!$V$74),"")</f>
        <v/>
      </c>
      <c r="AB45" s="41" t="str">
        <f>IF(AND('Riesgos de Gestión'!$AF$69="Baja",'Riesgos de Gestión'!$AH$69="Mayor"),CONCATENATE("R10C",'Riesgos de Gestión'!$V$69),"")</f>
        <v/>
      </c>
      <c r="AC45" s="42" t="str">
        <f>IF(AND('Riesgos de Gestión'!$AF$70="Baja",'Riesgos de Gestión'!$AH$70="Mayor"),CONCATENATE("R10C",'Riesgos de Gestión'!$V$70),"")</f>
        <v/>
      </c>
      <c r="AD45" s="42" t="str">
        <f>IF(AND('Riesgos de Gestión'!$AF$71="Baja",'Riesgos de Gestión'!$AH$71="Mayor"),CONCATENATE("R10C",'Riesgos de Gestión'!$V$71),"")</f>
        <v/>
      </c>
      <c r="AE45" s="42" t="str">
        <f>IF(AND('Riesgos de Gestión'!$AF$72="Baja",'Riesgos de Gestión'!$AH$72="Mayor"),CONCATENATE("R10C",'Riesgos de Gestión'!$V$72),"")</f>
        <v/>
      </c>
      <c r="AF45" s="42" t="str">
        <f>IF(AND('Riesgos de Gestión'!$AF$73="Baja",'Riesgos de Gestión'!$AH$73="Mayor"),CONCATENATE("R10C",'Riesgos de Gestión'!$V$73),"")</f>
        <v/>
      </c>
      <c r="AG45" s="43" t="str">
        <f>IF(AND('Riesgos de Gestión'!$AF$74="Baja",'Riesgos de Gestión'!$AH$74="Mayor"),CONCATENATE("R10C",'Riesgos de Gestión'!$V$74),"")</f>
        <v/>
      </c>
      <c r="AH45" s="44" t="str">
        <f>IF(AND('Riesgos de Gestión'!$AF$69="Baja",'Riesgos de Gestión'!$AH$69="Catastrófico"),CONCATENATE("R10C",'Riesgos de Gestión'!$V$69),"")</f>
        <v/>
      </c>
      <c r="AI45" s="45" t="str">
        <f>IF(AND('Riesgos de Gestión'!$AF$70="Baja",'Riesgos de Gestión'!$AH$70="Catastrófico"),CONCATENATE("R10C",'Riesgos de Gestión'!$V$70),"")</f>
        <v/>
      </c>
      <c r="AJ45" s="45" t="str">
        <f>IF(AND('Riesgos de Gestión'!$AF$71="Baja",'Riesgos de Gestión'!$AH$71="Catastrófico"),CONCATENATE("R10C",'Riesgos de Gestión'!$V$71),"")</f>
        <v/>
      </c>
      <c r="AK45" s="45" t="str">
        <f>IF(AND('Riesgos de Gestión'!$AF$72="Baja",'Riesgos de Gestión'!$AH$72="Catastrófico"),CONCATENATE("R10C",'Riesgos de Gestión'!$V$72),"")</f>
        <v/>
      </c>
      <c r="AL45" s="45" t="str">
        <f>IF(AND('Riesgos de Gestión'!$AF$73="Baja",'Riesgos de Gestión'!$AH$73="Catastrófico"),CONCATENATE("R10C",'Riesgos de Gestión'!$V$73),"")</f>
        <v/>
      </c>
      <c r="AM45" s="46" t="str">
        <f>IF(AND('Riesgos de Gestión'!$AF$74="Baja",'Riesgos de Gestión'!$AH$74="Catastrófico"),CONCATENATE("R10C",'Riesgos de Gestión'!$V$74),"")</f>
        <v/>
      </c>
      <c r="AN45" s="66"/>
      <c r="AO45" s="533"/>
      <c r="AP45" s="534"/>
      <c r="AQ45" s="534"/>
      <c r="AR45" s="534"/>
      <c r="AS45" s="534"/>
      <c r="AT45" s="535"/>
    </row>
    <row r="46" spans="1:80" ht="46.5" customHeight="1" x14ac:dyDescent="0.35">
      <c r="A46" s="66"/>
      <c r="B46" s="458"/>
      <c r="C46" s="458"/>
      <c r="D46" s="459"/>
      <c r="E46" s="496" t="s">
        <v>273</v>
      </c>
      <c r="F46" s="497"/>
      <c r="G46" s="497"/>
      <c r="H46" s="497"/>
      <c r="I46" s="498"/>
      <c r="J46" s="56" t="str">
        <f>IF(AND('Riesgos de Gestión'!$AF$13="Muy Baja",'Riesgos de Gestión'!$AH$13="Leve"),CONCATENATE("R1C",'Riesgos de Gestión'!$V$13),"")</f>
        <v/>
      </c>
      <c r="K46" s="57" t="str">
        <f>IF(AND('Riesgos de Gestión'!$AF$14="Muy Baja",'Riesgos de Gestión'!$AH$14="Leve"),CONCATENATE("R1C",'Riesgos de Gestión'!$V$14),"")</f>
        <v/>
      </c>
      <c r="L46" s="57" t="str">
        <f>IF(AND('Riesgos de Gestión'!$AF$15="Muy Baja",'Riesgos de Gestión'!$AH$15="Leve"),CONCATENATE("R1C",'Riesgos de Gestión'!$V$15),"")</f>
        <v/>
      </c>
      <c r="M46" s="57" t="str">
        <f>IF(AND('Riesgos de Gestión'!$AF$16="Muy Baja",'Riesgos de Gestión'!$AH$16="Leve"),CONCATENATE("R1C",'Riesgos de Gestión'!$V$16),"")</f>
        <v/>
      </c>
      <c r="N46" s="57" t="str">
        <f>IF(AND('Riesgos de Gestión'!$AF$17="Muy Baja",'Riesgos de Gestión'!$AH$17="Leve"),CONCATENATE("R1C",'Riesgos de Gestión'!$V$17),"")</f>
        <v/>
      </c>
      <c r="O46" s="58" t="str">
        <f>IF(AND('Riesgos de Gestión'!$AF$20="Muy Baja",'Riesgos de Gestión'!$AH$20="Leve"),CONCATENATE("R1C",'Riesgos de Gestión'!$V$20),"")</f>
        <v/>
      </c>
      <c r="P46" s="56" t="str">
        <f>IF(AND('Riesgos de Gestión'!$AF$13="Muy Baja",'Riesgos de Gestión'!$AH$13="Menor"),CONCATENATE("R1C",'Riesgos de Gestión'!$V$13),"")</f>
        <v/>
      </c>
      <c r="Q46" s="57" t="str">
        <f>IF(AND('Riesgos de Gestión'!$AF$14="Muy Baja",'Riesgos de Gestión'!$AH$14="Menor"),CONCATENATE("R1C",'Riesgos de Gestión'!$V$14),"")</f>
        <v/>
      </c>
      <c r="R46" s="57" t="str">
        <f>IF(AND('Riesgos de Gestión'!$AF$15="Muy Baja",'Riesgos de Gestión'!$AH$15="Menor"),CONCATENATE("R1C",'Riesgos de Gestión'!$V$15),"")</f>
        <v/>
      </c>
      <c r="S46" s="57" t="str">
        <f>IF(AND('Riesgos de Gestión'!$AF$16="Muy Baja",'Riesgos de Gestión'!$AH$16="Menor"),CONCATENATE("R1C",'Riesgos de Gestión'!$V$16),"")</f>
        <v>R1C4</v>
      </c>
      <c r="T46" s="57" t="str">
        <f>IF(AND('Riesgos de Gestión'!$AF$17="Muy Baja",'Riesgos de Gestión'!$AH$17="Menor"),CONCATENATE("R1C",'Riesgos de Gestión'!$V$17),"")</f>
        <v>R1C5</v>
      </c>
      <c r="U46" s="58" t="str">
        <f>IF(AND('Riesgos de Gestión'!$AF$20="Muy Baja",'Riesgos de Gestión'!$AH$20="Menor"),CONCATENATE("R1C",'Riesgos de Gestión'!$V$20),"")</f>
        <v>R1C8</v>
      </c>
      <c r="V46" s="47" t="str">
        <f>IF(AND('Riesgos de Gestión'!$AF$13="Muy Baja",'Riesgos de Gestión'!$AH$13="Moderado"),CONCATENATE("R1C",'Riesgos de Gestión'!$V$13),"")</f>
        <v/>
      </c>
      <c r="W46" s="65" t="str">
        <f>IF(AND('Riesgos de Gestión'!$AF$14="Muy Baja",'Riesgos de Gestión'!$AH$14="Moderado"),CONCATENATE("R1C",'Riesgos de Gestión'!$V$14),"")</f>
        <v/>
      </c>
      <c r="X46" s="48" t="str">
        <f>IF(AND('Riesgos de Gestión'!$AF$15="Muy Baja",'Riesgos de Gestión'!$AH$15="Moderado"),CONCATENATE("R1C",'Riesgos de Gestión'!$V$15),"")</f>
        <v/>
      </c>
      <c r="Y46" s="48" t="str">
        <f>IF(AND('Riesgos de Gestión'!$AF$16="Muy Baja",'Riesgos de Gestión'!$AH$16="Moderado"),CONCATENATE("R1C",'Riesgos de Gestión'!$V$16),"")</f>
        <v/>
      </c>
      <c r="Z46" s="48" t="str">
        <f>IF(AND('Riesgos de Gestión'!$AF$17="Muy Baja",'Riesgos de Gestión'!$AH$17="Moderado"),CONCATENATE("R1C",'Riesgos de Gestión'!$V$17),"")</f>
        <v/>
      </c>
      <c r="AA46" s="49" t="str">
        <f>IF(AND('Riesgos de Gestión'!$AF$20="Muy Baja",'Riesgos de Gestión'!$AH$20="Moderado"),CONCATENATE("R1C",'Riesgos de Gestión'!$V$20),"")</f>
        <v/>
      </c>
      <c r="AB46" s="29" t="str">
        <f>IF(AND('Riesgos de Gestión'!$AF$13="Muy Baja",'Riesgos de Gestión'!$AH$13="Mayor"),CONCATENATE("R1C",'Riesgos de Gestión'!$V$13),"")</f>
        <v/>
      </c>
      <c r="AC46" s="30" t="str">
        <f>IF(AND('Riesgos de Gestión'!$AF$14="Muy Baja",'Riesgos de Gestión'!$AH$14="Mayor"),CONCATENATE("R1C",'Riesgos de Gestión'!$V$14),"")</f>
        <v/>
      </c>
      <c r="AD46" s="30" t="str">
        <f>IF(AND('Riesgos de Gestión'!$AF$15="Muy Baja",'Riesgos de Gestión'!$AH$15="Mayor"),CONCATENATE("R1C",'Riesgos de Gestión'!$V$15),"")</f>
        <v/>
      </c>
      <c r="AE46" s="30" t="str">
        <f>IF(AND('Riesgos de Gestión'!$AF$16="Muy Baja",'Riesgos de Gestión'!$AH$16="Mayor"),CONCATENATE("R1C",'Riesgos de Gestión'!$V$16),"")</f>
        <v/>
      </c>
      <c r="AF46" s="30" t="str">
        <f>IF(AND('Riesgos de Gestión'!$AF$17="Muy Baja",'Riesgos de Gestión'!$AH$17="Mayor"),CONCATENATE("R1C",'Riesgos de Gestión'!$V$17),"")</f>
        <v/>
      </c>
      <c r="AG46" s="31" t="str">
        <f>IF(AND('Riesgos de Gestión'!$AF$20="Muy Baja",'Riesgos de Gestión'!$AH$20="Mayor"),CONCATENATE("R1C",'Riesgos de Gestión'!$V$20),"")</f>
        <v/>
      </c>
      <c r="AH46" s="32" t="str">
        <f>IF(AND('Riesgos de Gestión'!$AF$13="Muy Baja",'Riesgos de Gestión'!$AH$13="Catastrófico"),CONCATENATE("R1C",'Riesgos de Gestión'!$V$13),"")</f>
        <v/>
      </c>
      <c r="AI46" s="33" t="str">
        <f>IF(AND('Riesgos de Gestión'!$AF$14="Muy Baja",'Riesgos de Gestión'!$AH$14="Catastrófico"),CONCATENATE("R1C",'Riesgos de Gestión'!$V$14),"")</f>
        <v/>
      </c>
      <c r="AJ46" s="33" t="str">
        <f>IF(AND('Riesgos de Gestión'!$AF$15="Muy Baja",'Riesgos de Gestión'!$AH$15="Catastrófico"),CONCATENATE("R1C",'Riesgos de Gestión'!$V$15),"")</f>
        <v/>
      </c>
      <c r="AK46" s="33" t="str">
        <f>IF(AND('Riesgos de Gestión'!$AF$16="Muy Baja",'Riesgos de Gestión'!$AH$16="Catastrófico"),CONCATENATE("R1C",'Riesgos de Gestión'!$V$16),"")</f>
        <v/>
      </c>
      <c r="AL46" s="33" t="str">
        <f>IF(AND('Riesgos de Gestión'!$AF$17="Muy Baja",'Riesgos de Gestión'!$AH$17="Catastrófico"),CONCATENATE("R1C",'Riesgos de Gestión'!$V$17),"")</f>
        <v/>
      </c>
      <c r="AM46" s="34" t="str">
        <f>IF(AND('Riesgos de Gestión'!$AF$20="Muy Baja",'Riesgos de Gestión'!$AH$20="Catastrófico"),CONCATENATE("R1C",'Riesgos de Gestión'!$V$20),"")</f>
        <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25">
      <c r="A47" s="66"/>
      <c r="B47" s="458"/>
      <c r="C47" s="458"/>
      <c r="D47" s="459"/>
      <c r="E47" s="515"/>
      <c r="F47" s="500"/>
      <c r="G47" s="500"/>
      <c r="H47" s="500"/>
      <c r="I47" s="501"/>
      <c r="J47" s="59" t="str">
        <f>IF(AND('Riesgos de Gestión'!$AF$21="Muy Baja",'Riesgos de Gestión'!$AH$21="Leve"),CONCATENATE("R2C",'Riesgos de Gestión'!$V$21),"")</f>
        <v/>
      </c>
      <c r="K47" s="60" t="str">
        <f>IF(AND('Riesgos de Gestión'!$AF$22="Muy Baja",'Riesgos de Gestión'!$AH$22="Leve"),CONCATENATE("R2C",'Riesgos de Gestión'!$V$22),"")</f>
        <v/>
      </c>
      <c r="L47" s="60" t="str">
        <f>IF(AND('Riesgos de Gestión'!$AF$23="Muy Baja",'Riesgos de Gestión'!$AH$23="Leve"),CONCATENATE("R2C",'Riesgos de Gestión'!$V$23),"")</f>
        <v/>
      </c>
      <c r="M47" s="60" t="str">
        <f>IF(AND('Riesgos de Gestión'!$AF$24="Muy Baja",'Riesgos de Gestión'!$AH$24="Leve"),CONCATENATE("R2C",'Riesgos de Gestión'!$V$24),"")</f>
        <v/>
      </c>
      <c r="N47" s="60" t="str">
        <f>IF(AND('Riesgos de Gestión'!$AF$25="Muy Baja",'Riesgos de Gestión'!$AH$25="Leve"),CONCATENATE("R2C",'Riesgos de Gestión'!$V$25),"")</f>
        <v/>
      </c>
      <c r="O47" s="61" t="str">
        <f>IF(AND('Riesgos de Gestión'!$AF$26="Muy Baja",'Riesgos de Gestión'!$AH$26="Leve"),CONCATENATE("R2C",'Riesgos de Gestión'!$V$26),"")</f>
        <v/>
      </c>
      <c r="P47" s="59" t="str">
        <f>IF(AND('Riesgos de Gestión'!$AF$21="Muy Baja",'Riesgos de Gestión'!$AH$21="Menor"),CONCATENATE("R2C",'Riesgos de Gestión'!$V$21),"")</f>
        <v/>
      </c>
      <c r="Q47" s="60" t="str">
        <f>IF(AND('Riesgos de Gestión'!$AF$22="Muy Baja",'Riesgos de Gestión'!$AH$22="Menor"),CONCATENATE("R2C",'Riesgos de Gestión'!$V$22),"")</f>
        <v/>
      </c>
      <c r="R47" s="60" t="str">
        <f>IF(AND('Riesgos de Gestión'!$AF$23="Muy Baja",'Riesgos de Gestión'!$AH$23="Menor"),CONCATENATE("R2C",'Riesgos de Gestión'!$V$23),"")</f>
        <v>R2C3</v>
      </c>
      <c r="S47" s="60" t="str">
        <f>IF(AND('Riesgos de Gestión'!$AF$24="Muy Baja",'Riesgos de Gestión'!$AH$24="Menor"),CONCATENATE("R2C",'Riesgos de Gestión'!$V$24),"")</f>
        <v>R2C4</v>
      </c>
      <c r="T47" s="60" t="str">
        <f>IF(AND('Riesgos de Gestión'!$AF$25="Muy Baja",'Riesgos de Gestión'!$AH$25="Menor"),CONCATENATE("R2C",'Riesgos de Gestión'!$V$25),"")</f>
        <v/>
      </c>
      <c r="U47" s="61" t="str">
        <f>IF(AND('Riesgos de Gestión'!$AF$26="Muy Baja",'Riesgos de Gestión'!$AH$26="Menor"),CONCATENATE("R2C",'Riesgos de Gestión'!$V$26),"")</f>
        <v/>
      </c>
      <c r="V47" s="50" t="str">
        <f>IF(AND('Riesgos de Gestión'!$AF$21="Muy Baja",'Riesgos de Gestión'!$AH$21="Moderado"),CONCATENATE("R2C",'Riesgos de Gestión'!$V$21),"")</f>
        <v/>
      </c>
      <c r="W47" s="51" t="str">
        <f>IF(AND('Riesgos de Gestión'!$AF$22="Muy Baja",'Riesgos de Gestión'!$AH$22="Moderado"),CONCATENATE("R2C",'Riesgos de Gestión'!$V$22),"")</f>
        <v/>
      </c>
      <c r="X47" s="51" t="str">
        <f>IF(AND('Riesgos de Gestión'!$AF$23="Muy Baja",'Riesgos de Gestión'!$AH$23="Moderado"),CONCATENATE("R2C",'Riesgos de Gestión'!$V$23),"")</f>
        <v/>
      </c>
      <c r="Y47" s="51" t="str">
        <f>IF(AND('Riesgos de Gestión'!$AF$24="Muy Baja",'Riesgos de Gestión'!$AH$24="Moderado"),CONCATENATE("R2C",'Riesgos de Gestión'!$V$24),"")</f>
        <v/>
      </c>
      <c r="Z47" s="51" t="str">
        <f>IF(AND('Riesgos de Gestión'!$AF$25="Muy Baja",'Riesgos de Gestión'!$AH$25="Moderado"),CONCATENATE("R2C",'Riesgos de Gestión'!$V$25),"")</f>
        <v/>
      </c>
      <c r="AA47" s="52" t="str">
        <f>IF(AND('Riesgos de Gestión'!$AF$26="Muy Baja",'Riesgos de Gestión'!$AH$26="Moderado"),CONCATENATE("R2C",'Riesgos de Gestión'!$V$26),"")</f>
        <v/>
      </c>
      <c r="AB47" s="35" t="str">
        <f>IF(AND('Riesgos de Gestión'!$AF$21="Muy Baja",'Riesgos de Gestión'!$AH$21="Mayor"),CONCATENATE("R2C",'Riesgos de Gestión'!$V$21),"")</f>
        <v/>
      </c>
      <c r="AC47" s="36" t="str">
        <f>IF(AND('Riesgos de Gestión'!$AF$22="Muy Baja",'Riesgos de Gestión'!$AH$22="Mayor"),CONCATENATE("R2C",'Riesgos de Gestión'!$V$22),"")</f>
        <v/>
      </c>
      <c r="AD47" s="36" t="str">
        <f>IF(AND('Riesgos de Gestión'!$AF$23="Muy Baja",'Riesgos de Gestión'!$AH$23="Mayor"),CONCATENATE("R2C",'Riesgos de Gestión'!$V$23),"")</f>
        <v/>
      </c>
      <c r="AE47" s="36" t="str">
        <f>IF(AND('Riesgos de Gestión'!$AF$24="Muy Baja",'Riesgos de Gestión'!$AH$24="Mayor"),CONCATENATE("R2C",'Riesgos de Gestión'!$V$24),"")</f>
        <v/>
      </c>
      <c r="AF47" s="36" t="str">
        <f>IF(AND('Riesgos de Gestión'!$AF$25="Muy Baja",'Riesgos de Gestión'!$AH$25="Mayor"),CONCATENATE("R2C",'Riesgos de Gestión'!$V$25),"")</f>
        <v/>
      </c>
      <c r="AG47" s="37" t="str">
        <f>IF(AND('Riesgos de Gestión'!$AF$26="Muy Baja",'Riesgos de Gestión'!$AH$26="Mayor"),CONCATENATE("R2C",'Riesgos de Gestión'!$V$26),"")</f>
        <v/>
      </c>
      <c r="AH47" s="38" t="str">
        <f>IF(AND('Riesgos de Gestión'!$AF$21="Muy Baja",'Riesgos de Gestión'!$AH$21="Catastrófico"),CONCATENATE("R2C",'Riesgos de Gestión'!$V$21),"")</f>
        <v/>
      </c>
      <c r="AI47" s="39" t="str">
        <f>IF(AND('Riesgos de Gestión'!$AF$22="Muy Baja",'Riesgos de Gestión'!$AH$22="Catastrófico"),CONCATENATE("R2C",'Riesgos de Gestión'!$V$22),"")</f>
        <v/>
      </c>
      <c r="AJ47" s="39" t="str">
        <f>IF(AND('Riesgos de Gestión'!$AF$23="Muy Baja",'Riesgos de Gestión'!$AH$23="Catastrófico"),CONCATENATE("R2C",'Riesgos de Gestión'!$V$23),"")</f>
        <v/>
      </c>
      <c r="AK47" s="39" t="str">
        <f>IF(AND('Riesgos de Gestión'!$AF$24="Muy Baja",'Riesgos de Gestión'!$AH$24="Catastrófico"),CONCATENATE("R2C",'Riesgos de Gestión'!$V$24),"")</f>
        <v/>
      </c>
      <c r="AL47" s="39" t="str">
        <f>IF(AND('Riesgos de Gestión'!$AF$25="Muy Baja",'Riesgos de Gestión'!$AH$25="Catastrófico"),CONCATENATE("R2C",'Riesgos de Gestión'!$V$25),"")</f>
        <v/>
      </c>
      <c r="AM47" s="40" t="str">
        <f>IF(AND('Riesgos de Gestión'!$AF$26="Muy Baja",'Riesgos de Gestión'!$AH$26="Catastrófico"),CONCATENATE("R2C",'Riesgos de Gestión'!$V$26),"")</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25">
      <c r="A48" s="66"/>
      <c r="B48" s="458"/>
      <c r="C48" s="458"/>
      <c r="D48" s="459"/>
      <c r="E48" s="515"/>
      <c r="F48" s="500"/>
      <c r="G48" s="500"/>
      <c r="H48" s="500"/>
      <c r="I48" s="501"/>
      <c r="J48" s="59" t="str">
        <f>IF(AND('Riesgos de Gestión'!$AF$27="Muy Baja",'Riesgos de Gestión'!$AH$27="Leve"),CONCATENATE("R3C",'Riesgos de Gestión'!$V$27),"")</f>
        <v/>
      </c>
      <c r="K48" s="60" t="str">
        <f>IF(AND('Riesgos de Gestión'!$AF$28="Muy Baja",'Riesgos de Gestión'!$AH$28="Leve"),CONCATENATE("R3C",'Riesgos de Gestión'!$V$28),"")</f>
        <v/>
      </c>
      <c r="L48" s="60" t="str">
        <f>IF(AND('Riesgos de Gestión'!$AF$29="Muy Baja",'Riesgos de Gestión'!$AH$29="Leve"),CONCATENATE("R3C",'Riesgos de Gestión'!$V$29),"")</f>
        <v/>
      </c>
      <c r="M48" s="60" t="str">
        <f>IF(AND('Riesgos de Gestión'!$AF$30="Muy Baja",'Riesgos de Gestión'!$AH$30="Leve"),CONCATENATE("R3C",'Riesgos de Gestión'!$V$30),"")</f>
        <v/>
      </c>
      <c r="N48" s="60" t="str">
        <f>IF(AND('Riesgos de Gestión'!$AF$31="Muy Baja",'Riesgos de Gestión'!$AH$31="Leve"),CONCATENATE("R3C",'Riesgos de Gestión'!$V$31),"")</f>
        <v/>
      </c>
      <c r="O48" s="61" t="str">
        <f>IF(AND('Riesgos de Gestión'!$AF$32="Muy Baja",'Riesgos de Gestión'!$AH$32="Leve"),CONCATENATE("R3C",'Riesgos de Gestión'!$V$32),"")</f>
        <v/>
      </c>
      <c r="P48" s="59" t="str">
        <f>IF(AND('Riesgos de Gestión'!$AF$27="Muy Baja",'Riesgos de Gestión'!$AH$27="Menor"),CONCATENATE("R3C",'Riesgos de Gestión'!$V$27),"")</f>
        <v/>
      </c>
      <c r="Q48" s="60" t="str">
        <f>IF(AND('Riesgos de Gestión'!$AF$28="Muy Baja",'Riesgos de Gestión'!$AH$28="Menor"),CONCATENATE("R3C",'Riesgos de Gestión'!$V$28),"")</f>
        <v/>
      </c>
      <c r="R48" s="60" t="str">
        <f>IF(AND('Riesgos de Gestión'!$AF$29="Muy Baja",'Riesgos de Gestión'!$AH$29="Menor"),CONCATENATE("R3C",'Riesgos de Gestión'!$V$29),"")</f>
        <v/>
      </c>
      <c r="S48" s="60" t="str">
        <f>IF(AND('Riesgos de Gestión'!$AF$30="Muy Baja",'Riesgos de Gestión'!$AH$30="Menor"),CONCATENATE("R3C",'Riesgos de Gestión'!$V$30),"")</f>
        <v/>
      </c>
      <c r="T48" s="60" t="str">
        <f>IF(AND('Riesgos de Gestión'!$AF$31="Muy Baja",'Riesgos de Gestión'!$AH$31="Menor"),CONCATENATE("R3C",'Riesgos de Gestión'!$V$31),"")</f>
        <v/>
      </c>
      <c r="U48" s="61" t="str">
        <f>IF(AND('Riesgos de Gestión'!$AF$32="Muy Baja",'Riesgos de Gestión'!$AH$32="Menor"),CONCATENATE("R3C",'Riesgos de Gestión'!$V$32),"")</f>
        <v/>
      </c>
      <c r="V48" s="50" t="str">
        <f>IF(AND('Riesgos de Gestión'!$AF$27="Muy Baja",'Riesgos de Gestión'!$AH$27="Moderado"),CONCATENATE("R3C",'Riesgos de Gestión'!$V$27),"")</f>
        <v/>
      </c>
      <c r="W48" s="51" t="str">
        <f>IF(AND('Riesgos de Gestión'!$AF$28="Muy Baja",'Riesgos de Gestión'!$AH$28="Moderado"),CONCATENATE("R3C",'Riesgos de Gestión'!$V$28),"")</f>
        <v/>
      </c>
      <c r="X48" s="51" t="str">
        <f>IF(AND('Riesgos de Gestión'!$AF$29="Muy Baja",'Riesgos de Gestión'!$AH$29="Moderado"),CONCATENATE("R3C",'Riesgos de Gestión'!$V$29),"")</f>
        <v/>
      </c>
      <c r="Y48" s="51" t="str">
        <f>IF(AND('Riesgos de Gestión'!$AF$30="Muy Baja",'Riesgos de Gestión'!$AH$30="Moderado"),CONCATENATE("R3C",'Riesgos de Gestión'!$V$30),"")</f>
        <v/>
      </c>
      <c r="Z48" s="51" t="str">
        <f>IF(AND('Riesgos de Gestión'!$AF$31="Muy Baja",'Riesgos de Gestión'!$AH$31="Moderado"),CONCATENATE("R3C",'Riesgos de Gestión'!$V$31),"")</f>
        <v/>
      </c>
      <c r="AA48" s="52" t="str">
        <f>IF(AND('Riesgos de Gestión'!$AF$32="Muy Baja",'Riesgos de Gestión'!$AH$32="Moderado"),CONCATENATE("R3C",'Riesgos de Gestión'!$V$32),"")</f>
        <v/>
      </c>
      <c r="AB48" s="35" t="str">
        <f>IF(AND('Riesgos de Gestión'!$AF$27="Muy Baja",'Riesgos de Gestión'!$AH$27="Mayor"),CONCATENATE("R3C",'Riesgos de Gestión'!$V$27),"")</f>
        <v/>
      </c>
      <c r="AC48" s="36" t="str">
        <f>IF(AND('Riesgos de Gestión'!$AF$28="Muy Baja",'Riesgos de Gestión'!$AH$28="Mayor"),CONCATENATE("R3C",'Riesgos de Gestión'!$V$28),"")</f>
        <v/>
      </c>
      <c r="AD48" s="36" t="str">
        <f>IF(AND('Riesgos de Gestión'!$AF$29="Muy Baja",'Riesgos de Gestión'!$AH$29="Mayor"),CONCATENATE("R3C",'Riesgos de Gestión'!$V$29),"")</f>
        <v/>
      </c>
      <c r="AE48" s="36" t="str">
        <f>IF(AND('Riesgos de Gestión'!$AF$30="Muy Baja",'Riesgos de Gestión'!$AH$30="Mayor"),CONCATENATE("R3C",'Riesgos de Gestión'!$V$30),"")</f>
        <v/>
      </c>
      <c r="AF48" s="36" t="str">
        <f>IF(AND('Riesgos de Gestión'!$AF$31="Muy Baja",'Riesgos de Gestión'!$AH$31="Mayor"),CONCATENATE("R3C",'Riesgos de Gestión'!$V$31),"")</f>
        <v/>
      </c>
      <c r="AG48" s="37" t="str">
        <f>IF(AND('Riesgos de Gestión'!$AF$32="Muy Baja",'Riesgos de Gestión'!$AH$32="Mayor"),CONCATENATE("R3C",'Riesgos de Gestión'!$V$32),"")</f>
        <v/>
      </c>
      <c r="AH48" s="38" t="str">
        <f>IF(AND('Riesgos de Gestión'!$AF$27="Muy Baja",'Riesgos de Gestión'!$AH$27="Catastrófico"),CONCATENATE("R3C",'Riesgos de Gestión'!$V$27),"")</f>
        <v/>
      </c>
      <c r="AI48" s="39" t="str">
        <f>IF(AND('Riesgos de Gestión'!$AF$28="Muy Baja",'Riesgos de Gestión'!$AH$28="Catastrófico"),CONCATENATE("R3C",'Riesgos de Gestión'!$V$28),"")</f>
        <v/>
      </c>
      <c r="AJ48" s="39" t="str">
        <f>IF(AND('Riesgos de Gestión'!$AF$29="Muy Baja",'Riesgos de Gestión'!$AH$29="Catastrófico"),CONCATENATE("R3C",'Riesgos de Gestión'!$V$29),"")</f>
        <v/>
      </c>
      <c r="AK48" s="39" t="str">
        <f>IF(AND('Riesgos de Gestión'!$AF$30="Muy Baja",'Riesgos de Gestión'!$AH$30="Catastrófico"),CONCATENATE("R3C",'Riesgos de Gestión'!$V$30),"")</f>
        <v/>
      </c>
      <c r="AL48" s="39" t="str">
        <f>IF(AND('Riesgos de Gestión'!$AF$31="Muy Baja",'Riesgos de Gestión'!$AH$31="Catastrófico"),CONCATENATE("R3C",'Riesgos de Gestión'!$V$31),"")</f>
        <v/>
      </c>
      <c r="AM48" s="40" t="str">
        <f>IF(AND('Riesgos de Gestión'!$AF$32="Muy Baja",'Riesgos de Gestión'!$AH$32="Catastrófico"),CONCATENATE("R3C",'Riesgos de Gestión'!$V$32),"")</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25">
      <c r="A49" s="66"/>
      <c r="B49" s="458"/>
      <c r="C49" s="458"/>
      <c r="D49" s="459"/>
      <c r="E49" s="499"/>
      <c r="F49" s="500"/>
      <c r="G49" s="500"/>
      <c r="H49" s="500"/>
      <c r="I49" s="501"/>
      <c r="J49" s="59" t="str">
        <f>IF(AND('Riesgos de Gestión'!$AF$33="Muy Baja",'Riesgos de Gestión'!$AH$33="Leve"),CONCATENATE("R4C",'Riesgos de Gestión'!$V$33),"")</f>
        <v/>
      </c>
      <c r="K49" s="60" t="str">
        <f>IF(AND('Riesgos de Gestión'!$AF$34="Muy Baja",'Riesgos de Gestión'!$AH$34="Leve"),CONCATENATE("R4C",'Riesgos de Gestión'!$V$34),"")</f>
        <v/>
      </c>
      <c r="L49" s="60" t="str">
        <f>IF(AND('Riesgos de Gestión'!$AF$35="Muy Baja",'Riesgos de Gestión'!$AH$35="Leve"),CONCATENATE("R4C",'Riesgos de Gestión'!$V$35),"")</f>
        <v/>
      </c>
      <c r="M49" s="60" t="str">
        <f>IF(AND('Riesgos de Gestión'!$AF$36="Muy Baja",'Riesgos de Gestión'!$AH$36="Leve"),CONCATENATE("R4C",'Riesgos de Gestión'!$V$36),"")</f>
        <v/>
      </c>
      <c r="N49" s="60" t="str">
        <f>IF(AND('Riesgos de Gestión'!$AF$37="Muy Baja",'Riesgos de Gestión'!$AH$37="Leve"),CONCATENATE("R4C",'Riesgos de Gestión'!$V$37),"")</f>
        <v/>
      </c>
      <c r="O49" s="61" t="str">
        <f>IF(AND('Riesgos de Gestión'!$AF$38="Muy Baja",'Riesgos de Gestión'!$AH$38="Leve"),CONCATENATE("R4C",'Riesgos de Gestión'!$V$38),"")</f>
        <v/>
      </c>
      <c r="P49" s="59" t="str">
        <f>IF(AND('Riesgos de Gestión'!$AF$33="Muy Baja",'Riesgos de Gestión'!$AH$33="Menor"),CONCATENATE("R4C",'Riesgos de Gestión'!$V$33),"")</f>
        <v/>
      </c>
      <c r="Q49" s="60" t="str">
        <f>IF(AND('Riesgos de Gestión'!$AF$34="Muy Baja",'Riesgos de Gestión'!$AH$34="Menor"),CONCATENATE("R4C",'Riesgos de Gestión'!$V$34),"")</f>
        <v/>
      </c>
      <c r="R49" s="60" t="str">
        <f>IF(AND('Riesgos de Gestión'!$AF$35="Muy Baja",'Riesgos de Gestión'!$AH$35="Menor"),CONCATENATE("R4C",'Riesgos de Gestión'!$V$35),"")</f>
        <v/>
      </c>
      <c r="S49" s="60" t="str">
        <f>IF(AND('Riesgos de Gestión'!$AF$36="Muy Baja",'Riesgos de Gestión'!$AH$36="Menor"),CONCATENATE("R4C",'Riesgos de Gestión'!$V$36),"")</f>
        <v/>
      </c>
      <c r="T49" s="60" t="str">
        <f>IF(AND('Riesgos de Gestión'!$AF$37="Muy Baja",'Riesgos de Gestión'!$AH$37="Menor"),CONCATENATE("R4C",'Riesgos de Gestión'!$V$37),"")</f>
        <v/>
      </c>
      <c r="U49" s="61" t="str">
        <f>IF(AND('Riesgos de Gestión'!$AF$38="Muy Baja",'Riesgos de Gestión'!$AH$38="Menor"),CONCATENATE("R4C",'Riesgos de Gestión'!$V$38),"")</f>
        <v/>
      </c>
      <c r="V49" s="50" t="str">
        <f>IF(AND('Riesgos de Gestión'!$AF$33="Muy Baja",'Riesgos de Gestión'!$AH$33="Moderado"),CONCATENATE("R4C",'Riesgos de Gestión'!$V$33),"")</f>
        <v/>
      </c>
      <c r="W49" s="51" t="str">
        <f>IF(AND('Riesgos de Gestión'!$AF$34="Muy Baja",'Riesgos de Gestión'!$AH$34="Moderado"),CONCATENATE("R4C",'Riesgos de Gestión'!$V$34),"")</f>
        <v/>
      </c>
      <c r="X49" s="51" t="str">
        <f>IF(AND('Riesgos de Gestión'!$AF$35="Muy Baja",'Riesgos de Gestión'!$AH$35="Moderado"),CONCATENATE("R4C",'Riesgos de Gestión'!$V$35),"")</f>
        <v/>
      </c>
      <c r="Y49" s="51" t="str">
        <f>IF(AND('Riesgos de Gestión'!$AF$36="Muy Baja",'Riesgos de Gestión'!$AH$36="Moderado"),CONCATENATE("R4C",'Riesgos de Gestión'!$V$36),"")</f>
        <v/>
      </c>
      <c r="Z49" s="51" t="str">
        <f>IF(AND('Riesgos de Gestión'!$AF$37="Muy Baja",'Riesgos de Gestión'!$AH$37="Moderado"),CONCATENATE("R4C",'Riesgos de Gestión'!$V$37),"")</f>
        <v/>
      </c>
      <c r="AA49" s="52" t="str">
        <f>IF(AND('Riesgos de Gestión'!$AF$38="Muy Baja",'Riesgos de Gestión'!$AH$38="Moderado"),CONCATENATE("R4C",'Riesgos de Gestión'!$V$38),"")</f>
        <v/>
      </c>
      <c r="AB49" s="35" t="str">
        <f>IF(AND('Riesgos de Gestión'!$AF$33="Muy Baja",'Riesgos de Gestión'!$AH$33="Mayor"),CONCATENATE("R4C",'Riesgos de Gestión'!$V$33),"")</f>
        <v/>
      </c>
      <c r="AC49" s="36" t="str">
        <f>IF(AND('Riesgos de Gestión'!$AF$34="Muy Baja",'Riesgos de Gestión'!$AH$34="Mayor"),CONCATENATE("R4C",'Riesgos de Gestión'!$V$34),"")</f>
        <v/>
      </c>
      <c r="AD49" s="36" t="str">
        <f>IF(AND('Riesgos de Gestión'!$AF$35="Muy Baja",'Riesgos de Gestión'!$AH$35="Mayor"),CONCATENATE("R4C",'Riesgos de Gestión'!$V$35),"")</f>
        <v/>
      </c>
      <c r="AE49" s="36" t="str">
        <f>IF(AND('Riesgos de Gestión'!$AF$36="Muy Baja",'Riesgos de Gestión'!$AH$36="Mayor"),CONCATENATE("R4C",'Riesgos de Gestión'!$V$36),"")</f>
        <v/>
      </c>
      <c r="AF49" s="36" t="str">
        <f>IF(AND('Riesgos de Gestión'!$AF$37="Muy Baja",'Riesgos de Gestión'!$AH$37="Mayor"),CONCATENATE("R4C",'Riesgos de Gestión'!$V$37),"")</f>
        <v/>
      </c>
      <c r="AG49" s="37" t="str">
        <f>IF(AND('Riesgos de Gestión'!$AF$38="Muy Baja",'Riesgos de Gestión'!$AH$38="Mayor"),CONCATENATE("R4C",'Riesgos de Gestión'!$V$38),"")</f>
        <v/>
      </c>
      <c r="AH49" s="38" t="str">
        <f>IF(AND('Riesgos de Gestión'!$AF$33="Muy Baja",'Riesgos de Gestión'!$AH$33="Catastrófico"),CONCATENATE("R4C",'Riesgos de Gestión'!$V$33),"")</f>
        <v/>
      </c>
      <c r="AI49" s="39" t="str">
        <f>IF(AND('Riesgos de Gestión'!$AF$34="Muy Baja",'Riesgos de Gestión'!$AH$34="Catastrófico"),CONCATENATE("R4C",'Riesgos de Gestión'!$V$34),"")</f>
        <v/>
      </c>
      <c r="AJ49" s="39" t="str">
        <f>IF(AND('Riesgos de Gestión'!$AF$35="Muy Baja",'Riesgos de Gestión'!$AH$35="Catastrófico"),CONCATENATE("R4C",'Riesgos de Gestión'!$V$35),"")</f>
        <v/>
      </c>
      <c r="AK49" s="39" t="str">
        <f>IF(AND('Riesgos de Gestión'!$AF$36="Muy Baja",'Riesgos de Gestión'!$AH$36="Catastrófico"),CONCATENATE("R4C",'Riesgos de Gestión'!$V$36),"")</f>
        <v/>
      </c>
      <c r="AL49" s="39" t="str">
        <f>IF(AND('Riesgos de Gestión'!$AF$37="Muy Baja",'Riesgos de Gestión'!$AH$37="Catastrófico"),CONCATENATE("R4C",'Riesgos de Gestión'!$V$37),"")</f>
        <v/>
      </c>
      <c r="AM49" s="40" t="str">
        <f>IF(AND('Riesgos de Gestión'!$AF$38="Muy Baja",'Riesgos de Gestión'!$AH$38="Catastrófico"),CONCATENATE("R4C",'Riesgos de Gestión'!$V$38),"")</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25">
      <c r="A50" s="66"/>
      <c r="B50" s="458"/>
      <c r="C50" s="458"/>
      <c r="D50" s="459"/>
      <c r="E50" s="499"/>
      <c r="F50" s="500"/>
      <c r="G50" s="500"/>
      <c r="H50" s="500"/>
      <c r="I50" s="501"/>
      <c r="J50" s="59" t="str">
        <f>IF(AND('Riesgos de Gestión'!$AF$39="Muy Baja",'Riesgos de Gestión'!$AH$39="Leve"),CONCATENATE("R5C",'Riesgos de Gestión'!$V$39),"")</f>
        <v/>
      </c>
      <c r="K50" s="60" t="str">
        <f>IF(AND('Riesgos de Gestión'!$AF$40="Muy Baja",'Riesgos de Gestión'!$AH$40="Leve"),CONCATENATE("R5C",'Riesgos de Gestión'!$V$40),"")</f>
        <v/>
      </c>
      <c r="L50" s="60" t="str">
        <f>IF(AND('Riesgos de Gestión'!$AF$41="Muy Baja",'Riesgos de Gestión'!$AH$41="Leve"),CONCATENATE("R5C",'Riesgos de Gestión'!$V$41),"")</f>
        <v/>
      </c>
      <c r="M50" s="60" t="str">
        <f>IF(AND('Riesgos de Gestión'!$AF$42="Muy Baja",'Riesgos de Gestión'!$AH$42="Leve"),CONCATENATE("R5C",'Riesgos de Gestión'!$V$42),"")</f>
        <v/>
      </c>
      <c r="N50" s="60" t="str">
        <f>IF(AND('Riesgos de Gestión'!$AF$43="Muy Baja",'Riesgos de Gestión'!$AH$43="Leve"),CONCATENATE("R5C",'Riesgos de Gestión'!$V$43),"")</f>
        <v/>
      </c>
      <c r="O50" s="61" t="str">
        <f>IF(AND('Riesgos de Gestión'!$AF$44="Muy Baja",'Riesgos de Gestión'!$AH$44="Leve"),CONCATENATE("R5C",'Riesgos de Gestión'!$V$44),"")</f>
        <v/>
      </c>
      <c r="P50" s="59" t="str">
        <f>IF(AND('Riesgos de Gestión'!$AF$39="Muy Baja",'Riesgos de Gestión'!$AH$39="Menor"),CONCATENATE("R5C",'Riesgos de Gestión'!$V$39),"")</f>
        <v/>
      </c>
      <c r="Q50" s="60" t="str">
        <f>IF(AND('Riesgos de Gestión'!$AF$40="Muy Baja",'Riesgos de Gestión'!$AH$40="Menor"),CONCATENATE("R5C",'Riesgos de Gestión'!$V$40),"")</f>
        <v/>
      </c>
      <c r="R50" s="60" t="str">
        <f>IF(AND('Riesgos de Gestión'!$AF$41="Muy Baja",'Riesgos de Gestión'!$AH$41="Menor"),CONCATENATE("R5C",'Riesgos de Gestión'!$V$41),"")</f>
        <v/>
      </c>
      <c r="S50" s="60" t="str">
        <f>IF(AND('Riesgos de Gestión'!$AF$42="Muy Baja",'Riesgos de Gestión'!$AH$42="Menor"),CONCATENATE("R5C",'Riesgos de Gestión'!$V$42),"")</f>
        <v/>
      </c>
      <c r="T50" s="60" t="str">
        <f>IF(AND('Riesgos de Gestión'!$AF$43="Muy Baja",'Riesgos de Gestión'!$AH$43="Menor"),CONCATENATE("R5C",'Riesgos de Gestión'!$V$43),"")</f>
        <v/>
      </c>
      <c r="U50" s="61" t="str">
        <f>IF(AND('Riesgos de Gestión'!$AF$44="Muy Baja",'Riesgos de Gestión'!$AH$44="Menor"),CONCATENATE("R5C",'Riesgos de Gestión'!$V$44),"")</f>
        <v/>
      </c>
      <c r="V50" s="50" t="str">
        <f>IF(AND('Riesgos de Gestión'!$AF$39="Muy Baja",'Riesgos de Gestión'!$AH$39="Moderado"),CONCATENATE("R5C",'Riesgos de Gestión'!$V$39),"")</f>
        <v/>
      </c>
      <c r="W50" s="51" t="str">
        <f>IF(AND('Riesgos de Gestión'!$AF$40="Muy Baja",'Riesgos de Gestión'!$AH$40="Moderado"),CONCATENATE("R5C",'Riesgos de Gestión'!$V$40),"")</f>
        <v/>
      </c>
      <c r="X50" s="51" t="str">
        <f>IF(AND('Riesgos de Gestión'!$AF$41="Muy Baja",'Riesgos de Gestión'!$AH$41="Moderado"),CONCATENATE("R5C",'Riesgos de Gestión'!$V$41),"")</f>
        <v/>
      </c>
      <c r="Y50" s="51" t="str">
        <f>IF(AND('Riesgos de Gestión'!$AF$42="Muy Baja",'Riesgos de Gestión'!$AH$42="Moderado"),CONCATENATE("R5C",'Riesgos de Gestión'!$V$42),"")</f>
        <v/>
      </c>
      <c r="Z50" s="51" t="str">
        <f>IF(AND('Riesgos de Gestión'!$AF$43="Muy Baja",'Riesgos de Gestión'!$AH$43="Moderado"),CONCATENATE("R5C",'Riesgos de Gestión'!$V$43),"")</f>
        <v/>
      </c>
      <c r="AA50" s="52" t="str">
        <f>IF(AND('Riesgos de Gestión'!$AF$44="Muy Baja",'Riesgos de Gestión'!$AH$44="Moderado"),CONCATENATE("R5C",'Riesgos de Gestión'!$V$44),"")</f>
        <v/>
      </c>
      <c r="AB50" s="35" t="str">
        <f>IF(AND('Riesgos de Gestión'!$AF$39="Muy Baja",'Riesgos de Gestión'!$AH$39="Mayor"),CONCATENATE("R5C",'Riesgos de Gestión'!$V$39),"")</f>
        <v/>
      </c>
      <c r="AC50" s="36" t="str">
        <f>IF(AND('Riesgos de Gestión'!$AF$40="Muy Baja",'Riesgos de Gestión'!$AH$40="Mayor"),CONCATENATE("R5C",'Riesgos de Gestión'!$V$40),"")</f>
        <v/>
      </c>
      <c r="AD50" s="36" t="str">
        <f>IF(AND('Riesgos de Gestión'!$AF$41="Muy Baja",'Riesgos de Gestión'!$AH$41="Mayor"),CONCATENATE("R5C",'Riesgos de Gestión'!$V$41),"")</f>
        <v/>
      </c>
      <c r="AE50" s="36" t="str">
        <f>IF(AND('Riesgos de Gestión'!$AF$42="Muy Baja",'Riesgos de Gestión'!$AH$42="Mayor"),CONCATENATE("R5C",'Riesgos de Gestión'!$V$42),"")</f>
        <v/>
      </c>
      <c r="AF50" s="36" t="str">
        <f>IF(AND('Riesgos de Gestión'!$AF$43="Muy Baja",'Riesgos de Gestión'!$AH$43="Mayor"),CONCATENATE("R5C",'Riesgos de Gestión'!$V$43),"")</f>
        <v/>
      </c>
      <c r="AG50" s="37" t="str">
        <f>IF(AND('Riesgos de Gestión'!$AF$44="Muy Baja",'Riesgos de Gestión'!$AH$44="Mayor"),CONCATENATE("R5C",'Riesgos de Gestión'!$V$44),"")</f>
        <v/>
      </c>
      <c r="AH50" s="38" t="str">
        <f>IF(AND('Riesgos de Gestión'!$AF$39="Muy Baja",'Riesgos de Gestión'!$AH$39="Catastrófico"),CONCATENATE("R5C",'Riesgos de Gestión'!$V$39),"")</f>
        <v/>
      </c>
      <c r="AI50" s="39" t="str">
        <f>IF(AND('Riesgos de Gestión'!$AF$40="Muy Baja",'Riesgos de Gestión'!$AH$40="Catastrófico"),CONCATENATE("R5C",'Riesgos de Gestión'!$V$40),"")</f>
        <v/>
      </c>
      <c r="AJ50" s="39" t="str">
        <f>IF(AND('Riesgos de Gestión'!$AF$41="Muy Baja",'Riesgos de Gestión'!$AH$41="Catastrófico"),CONCATENATE("R5C",'Riesgos de Gestión'!$V$41),"")</f>
        <v/>
      </c>
      <c r="AK50" s="39" t="str">
        <f>IF(AND('Riesgos de Gestión'!$AF$42="Muy Baja",'Riesgos de Gestión'!$AH$42="Catastrófico"),CONCATENATE("R5C",'Riesgos de Gestión'!$V$42),"")</f>
        <v/>
      </c>
      <c r="AL50" s="39" t="str">
        <f>IF(AND('Riesgos de Gestión'!$AF$43="Muy Baja",'Riesgos de Gestión'!$AH$43="Catastrófico"),CONCATENATE("R5C",'Riesgos de Gestión'!$V$43),"")</f>
        <v/>
      </c>
      <c r="AM50" s="40" t="str">
        <f>IF(AND('Riesgos de Gestión'!$AF$44="Muy Baja",'Riesgos de Gestión'!$AH$44="Catastrófico"),CONCATENATE("R5C",'Riesgos de Gestión'!$V$44),"")</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25">
      <c r="A51" s="66"/>
      <c r="B51" s="458"/>
      <c r="C51" s="458"/>
      <c r="D51" s="459"/>
      <c r="E51" s="499"/>
      <c r="F51" s="500"/>
      <c r="G51" s="500"/>
      <c r="H51" s="500"/>
      <c r="I51" s="501"/>
      <c r="J51" s="59" t="str">
        <f>IF(AND('Riesgos de Gestión'!$AF$45="Muy Baja",'Riesgos de Gestión'!$AH$45="Leve"),CONCATENATE("R6C",'Riesgos de Gestión'!$V$45),"")</f>
        <v/>
      </c>
      <c r="K51" s="60" t="str">
        <f>IF(AND('Riesgos de Gestión'!$AF$46="Muy Baja",'Riesgos de Gestión'!$AH$46="Leve"),CONCATENATE("R6C",'Riesgos de Gestión'!$V$46),"")</f>
        <v/>
      </c>
      <c r="L51" s="60" t="str">
        <f>IF(AND('Riesgos de Gestión'!$AF$47="Muy Baja",'Riesgos de Gestión'!$AH$47="Leve"),CONCATENATE("R6C",'Riesgos de Gestión'!$V$47),"")</f>
        <v/>
      </c>
      <c r="M51" s="60" t="str">
        <f>IF(AND('Riesgos de Gestión'!$AF$48="Muy Baja",'Riesgos de Gestión'!$AH$48="Leve"),CONCATENATE("R6C",'Riesgos de Gestión'!$V$48),"")</f>
        <v/>
      </c>
      <c r="N51" s="60" t="str">
        <f>IF(AND('Riesgos de Gestión'!$AF$49="Muy Baja",'Riesgos de Gestión'!$AH$49="Leve"),CONCATENATE("R6C",'Riesgos de Gestión'!$V$49),"")</f>
        <v/>
      </c>
      <c r="O51" s="61" t="str">
        <f>IF(AND('Riesgos de Gestión'!$AF$50="Muy Baja",'Riesgos de Gestión'!$AH$50="Leve"),CONCATENATE("R6C",'Riesgos de Gestión'!$V$50),"")</f>
        <v/>
      </c>
      <c r="P51" s="59" t="str">
        <f>IF(AND('Riesgos de Gestión'!$AF$45="Muy Baja",'Riesgos de Gestión'!$AH$45="Menor"),CONCATENATE("R6C",'Riesgos de Gestión'!$V$45),"")</f>
        <v/>
      </c>
      <c r="Q51" s="60" t="str">
        <f>IF(AND('Riesgos de Gestión'!$AF$46="Muy Baja",'Riesgos de Gestión'!$AH$46="Menor"),CONCATENATE("R6C",'Riesgos de Gestión'!$V$46),"")</f>
        <v/>
      </c>
      <c r="R51" s="60" t="str">
        <f>IF(AND('Riesgos de Gestión'!$AF$47="Muy Baja",'Riesgos de Gestión'!$AH$47="Menor"),CONCATENATE("R6C",'Riesgos de Gestión'!$V$47),"")</f>
        <v/>
      </c>
      <c r="S51" s="60" t="str">
        <f>IF(AND('Riesgos de Gestión'!$AF$48="Muy Baja",'Riesgos de Gestión'!$AH$48="Menor"),CONCATENATE("R6C",'Riesgos de Gestión'!$V$48),"")</f>
        <v/>
      </c>
      <c r="T51" s="60" t="str">
        <f>IF(AND('Riesgos de Gestión'!$AF$49="Muy Baja",'Riesgos de Gestión'!$AH$49="Menor"),CONCATENATE("R6C",'Riesgos de Gestión'!$V$49),"")</f>
        <v/>
      </c>
      <c r="U51" s="61" t="str">
        <f>IF(AND('Riesgos de Gestión'!$AF$50="Muy Baja",'Riesgos de Gestión'!$AH$50="Menor"),CONCATENATE("R6C",'Riesgos de Gestión'!$V$50),"")</f>
        <v/>
      </c>
      <c r="V51" s="50" t="str">
        <f>IF(AND('Riesgos de Gestión'!$AF$45="Muy Baja",'Riesgos de Gestión'!$AH$45="Moderado"),CONCATENATE("R6C",'Riesgos de Gestión'!$V$45),"")</f>
        <v/>
      </c>
      <c r="W51" s="51" t="str">
        <f>IF(AND('Riesgos de Gestión'!$AF$46="Muy Baja",'Riesgos de Gestión'!$AH$46="Moderado"),CONCATENATE("R6C",'Riesgos de Gestión'!$V$46),"")</f>
        <v/>
      </c>
      <c r="X51" s="51" t="str">
        <f>IF(AND('Riesgos de Gestión'!$AF$47="Muy Baja",'Riesgos de Gestión'!$AH$47="Moderado"),CONCATENATE("R6C",'Riesgos de Gestión'!$V$47),"")</f>
        <v/>
      </c>
      <c r="Y51" s="51" t="str">
        <f>IF(AND('Riesgos de Gestión'!$AF$48="Muy Baja",'Riesgos de Gestión'!$AH$48="Moderado"),CONCATENATE("R6C",'Riesgos de Gestión'!$V$48),"")</f>
        <v/>
      </c>
      <c r="Z51" s="51" t="str">
        <f>IF(AND('Riesgos de Gestión'!$AF$49="Muy Baja",'Riesgos de Gestión'!$AH$49="Moderado"),CONCATENATE("R6C",'Riesgos de Gestión'!$V$49),"")</f>
        <v/>
      </c>
      <c r="AA51" s="52" t="str">
        <f>IF(AND('Riesgos de Gestión'!$AF$50="Muy Baja",'Riesgos de Gestión'!$AH$50="Moderado"),CONCATENATE("R6C",'Riesgos de Gestión'!$V$50),"")</f>
        <v/>
      </c>
      <c r="AB51" s="35" t="str">
        <f>IF(AND('Riesgos de Gestión'!$AF$45="Muy Baja",'Riesgos de Gestión'!$AH$45="Mayor"),CONCATENATE("R6C",'Riesgos de Gestión'!$V$45),"")</f>
        <v/>
      </c>
      <c r="AC51" s="36" t="str">
        <f>IF(AND('Riesgos de Gestión'!$AF$46="Muy Baja",'Riesgos de Gestión'!$AH$46="Mayor"),CONCATENATE("R6C",'Riesgos de Gestión'!$V$46),"")</f>
        <v/>
      </c>
      <c r="AD51" s="36" t="str">
        <f>IF(AND('Riesgos de Gestión'!$AF$47="Muy Baja",'Riesgos de Gestión'!$AH$47="Mayor"),CONCATENATE("R6C",'Riesgos de Gestión'!$V$47),"")</f>
        <v/>
      </c>
      <c r="AE51" s="36" t="str">
        <f>IF(AND('Riesgos de Gestión'!$AF$48="Muy Baja",'Riesgos de Gestión'!$AH$48="Mayor"),CONCATENATE("R6C",'Riesgos de Gestión'!$V$48),"")</f>
        <v/>
      </c>
      <c r="AF51" s="36" t="str">
        <f>IF(AND('Riesgos de Gestión'!$AF$49="Muy Baja",'Riesgos de Gestión'!$AH$49="Mayor"),CONCATENATE("R6C",'Riesgos de Gestión'!$V$49),"")</f>
        <v/>
      </c>
      <c r="AG51" s="37" t="str">
        <f>IF(AND('Riesgos de Gestión'!$AF$50="Muy Baja",'Riesgos de Gestión'!$AH$50="Mayor"),CONCATENATE("R6C",'Riesgos de Gestión'!$V$50),"")</f>
        <v/>
      </c>
      <c r="AH51" s="38" t="str">
        <f>IF(AND('Riesgos de Gestión'!$AF$45="Muy Baja",'Riesgos de Gestión'!$AH$45="Catastrófico"),CONCATENATE("R6C",'Riesgos de Gestión'!$V$45),"")</f>
        <v/>
      </c>
      <c r="AI51" s="39" t="str">
        <f>IF(AND('Riesgos de Gestión'!$AF$46="Muy Baja",'Riesgos de Gestión'!$AH$46="Catastrófico"),CONCATENATE("R6C",'Riesgos de Gestión'!$V$46),"")</f>
        <v/>
      </c>
      <c r="AJ51" s="39" t="str">
        <f>IF(AND('Riesgos de Gestión'!$AF$47="Muy Baja",'Riesgos de Gestión'!$AH$47="Catastrófico"),CONCATENATE("R6C",'Riesgos de Gestión'!$V$47),"")</f>
        <v/>
      </c>
      <c r="AK51" s="39" t="str">
        <f>IF(AND('Riesgos de Gestión'!$AF$48="Muy Baja",'Riesgos de Gestión'!$AH$48="Catastrófico"),CONCATENATE("R6C",'Riesgos de Gestión'!$V$48),"")</f>
        <v/>
      </c>
      <c r="AL51" s="39" t="str">
        <f>IF(AND('Riesgos de Gestión'!$AF$49="Muy Baja",'Riesgos de Gestión'!$AH$49="Catastrófico"),CONCATENATE("R6C",'Riesgos de Gestión'!$V$49),"")</f>
        <v/>
      </c>
      <c r="AM51" s="40" t="str">
        <f>IF(AND('Riesgos de Gestión'!$AF$50="Muy Baja",'Riesgos de Gestión'!$AH$50="Catastrófico"),CONCATENATE("R6C",'Riesgos de Gestión'!$V$50),"")</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25">
      <c r="A52" s="66"/>
      <c r="B52" s="458"/>
      <c r="C52" s="458"/>
      <c r="D52" s="459"/>
      <c r="E52" s="499"/>
      <c r="F52" s="500"/>
      <c r="G52" s="500"/>
      <c r="H52" s="500"/>
      <c r="I52" s="501"/>
      <c r="J52" s="59" t="str">
        <f>IF(AND('Riesgos de Gestión'!$AF$51="Muy Baja",'Riesgos de Gestión'!$AH$51="Leve"),CONCATENATE("R7C",'Riesgos de Gestión'!$V$51),"")</f>
        <v/>
      </c>
      <c r="K52" s="60" t="str">
        <f>IF(AND('Riesgos de Gestión'!$AF$52="Muy Baja",'Riesgos de Gestión'!$AH$52="Leve"),CONCATENATE("R7C",'Riesgos de Gestión'!$V$52),"")</f>
        <v/>
      </c>
      <c r="L52" s="60" t="str">
        <f>IF(AND('Riesgos de Gestión'!$AF$53="Muy Baja",'Riesgos de Gestión'!$AH$53="Leve"),CONCATENATE("R7C",'Riesgos de Gestión'!$V$53),"")</f>
        <v/>
      </c>
      <c r="M52" s="60" t="str">
        <f>IF(AND('Riesgos de Gestión'!$AF$54="Muy Baja",'Riesgos de Gestión'!$AH$54="Leve"),CONCATENATE("R7C",'Riesgos de Gestión'!$V$54),"")</f>
        <v/>
      </c>
      <c r="N52" s="60" t="str">
        <f>IF(AND('Riesgos de Gestión'!$AF$55="Muy Baja",'Riesgos de Gestión'!$AH$55="Leve"),CONCATENATE("R7C",'Riesgos de Gestión'!$V$55),"")</f>
        <v/>
      </c>
      <c r="O52" s="61" t="str">
        <f>IF(AND('Riesgos de Gestión'!$AF$56="Muy Baja",'Riesgos de Gestión'!$AH$56="Leve"),CONCATENATE("R7C",'Riesgos de Gestión'!$V$56),"")</f>
        <v/>
      </c>
      <c r="P52" s="59" t="str">
        <f>IF(AND('Riesgos de Gestión'!$AF$51="Muy Baja",'Riesgos de Gestión'!$AH$51="Menor"),CONCATENATE("R7C",'Riesgos de Gestión'!$V$51),"")</f>
        <v/>
      </c>
      <c r="Q52" s="60" t="str">
        <f>IF(AND('Riesgos de Gestión'!$AF$52="Muy Baja",'Riesgos de Gestión'!$AH$52="Menor"),CONCATENATE("R7C",'Riesgos de Gestión'!$V$52),"")</f>
        <v/>
      </c>
      <c r="R52" s="60" t="str">
        <f>IF(AND('Riesgos de Gestión'!$AF$53="Muy Baja",'Riesgos de Gestión'!$AH$53="Menor"),CONCATENATE("R7C",'Riesgos de Gestión'!$V$53),"")</f>
        <v/>
      </c>
      <c r="S52" s="60" t="str">
        <f>IF(AND('Riesgos de Gestión'!$AF$54="Muy Baja",'Riesgos de Gestión'!$AH$54="Menor"),CONCATENATE("R7C",'Riesgos de Gestión'!$V$54),"")</f>
        <v/>
      </c>
      <c r="T52" s="60" t="str">
        <f>IF(AND('Riesgos de Gestión'!$AF$55="Muy Baja",'Riesgos de Gestión'!$AH$55="Menor"),CONCATENATE("R7C",'Riesgos de Gestión'!$V$55),"")</f>
        <v/>
      </c>
      <c r="U52" s="61" t="str">
        <f>IF(AND('Riesgos de Gestión'!$AF$56="Muy Baja",'Riesgos de Gestión'!$AH$56="Menor"),CONCATENATE("R7C",'Riesgos de Gestión'!$V$56),"")</f>
        <v/>
      </c>
      <c r="V52" s="50" t="str">
        <f>IF(AND('Riesgos de Gestión'!$AF$51="Muy Baja",'Riesgos de Gestión'!$AH$51="Moderado"),CONCATENATE("R7C",'Riesgos de Gestión'!$V$51),"")</f>
        <v/>
      </c>
      <c r="W52" s="51" t="str">
        <f>IF(AND('Riesgos de Gestión'!$AF$52="Muy Baja",'Riesgos de Gestión'!$AH$52="Moderado"),CONCATENATE("R7C",'Riesgos de Gestión'!$V$52),"")</f>
        <v/>
      </c>
      <c r="X52" s="51" t="str">
        <f>IF(AND('Riesgos de Gestión'!$AF$53="Muy Baja",'Riesgos de Gestión'!$AH$53="Moderado"),CONCATENATE("R7C",'Riesgos de Gestión'!$V$53),"")</f>
        <v/>
      </c>
      <c r="Y52" s="51" t="str">
        <f>IF(AND('Riesgos de Gestión'!$AF$54="Muy Baja",'Riesgos de Gestión'!$AH$54="Moderado"),CONCATENATE("R7C",'Riesgos de Gestión'!$V$54),"")</f>
        <v/>
      </c>
      <c r="Z52" s="51" t="str">
        <f>IF(AND('Riesgos de Gestión'!$AF$55="Muy Baja",'Riesgos de Gestión'!$AH$55="Moderado"),CONCATENATE("R7C",'Riesgos de Gestión'!$V$55),"")</f>
        <v/>
      </c>
      <c r="AA52" s="52" t="str">
        <f>IF(AND('Riesgos de Gestión'!$AF$56="Muy Baja",'Riesgos de Gestión'!$AH$56="Moderado"),CONCATENATE("R7C",'Riesgos de Gestión'!$V$56),"")</f>
        <v/>
      </c>
      <c r="AB52" s="35" t="str">
        <f>IF(AND('Riesgos de Gestión'!$AF$51="Muy Baja",'Riesgos de Gestión'!$AH$51="Mayor"),CONCATENATE("R7C",'Riesgos de Gestión'!$V$51),"")</f>
        <v/>
      </c>
      <c r="AC52" s="36" t="str">
        <f>IF(AND('Riesgos de Gestión'!$AF$52="Muy Baja",'Riesgos de Gestión'!$AH$52="Mayor"),CONCATENATE("R7C",'Riesgos de Gestión'!$V$52),"")</f>
        <v/>
      </c>
      <c r="AD52" s="36" t="str">
        <f>IF(AND('Riesgos de Gestión'!$AF$53="Muy Baja",'Riesgos de Gestión'!$AH$53="Mayor"),CONCATENATE("R7C",'Riesgos de Gestión'!$V$53),"")</f>
        <v/>
      </c>
      <c r="AE52" s="36" t="str">
        <f>IF(AND('Riesgos de Gestión'!$AF$54="Muy Baja",'Riesgos de Gestión'!$AH$54="Mayor"),CONCATENATE("R7C",'Riesgos de Gestión'!$V$54),"")</f>
        <v/>
      </c>
      <c r="AF52" s="36" t="str">
        <f>IF(AND('Riesgos de Gestión'!$AF$55="Muy Baja",'Riesgos de Gestión'!$AH$55="Mayor"),CONCATENATE("R7C",'Riesgos de Gestión'!$V$55),"")</f>
        <v/>
      </c>
      <c r="AG52" s="37" t="str">
        <f>IF(AND('Riesgos de Gestión'!$AF$56="Muy Baja",'Riesgos de Gestión'!$AH$56="Mayor"),CONCATENATE("R7C",'Riesgos de Gestión'!$V$56),"")</f>
        <v/>
      </c>
      <c r="AH52" s="38" t="str">
        <f>IF(AND('Riesgos de Gestión'!$AF$51="Muy Baja",'Riesgos de Gestión'!$AH$51="Catastrófico"),CONCATENATE("R7C",'Riesgos de Gestión'!$V$51),"")</f>
        <v/>
      </c>
      <c r="AI52" s="39" t="str">
        <f>IF(AND('Riesgos de Gestión'!$AF$52="Muy Baja",'Riesgos de Gestión'!$AH$52="Catastrófico"),CONCATENATE("R7C",'Riesgos de Gestión'!$V$52),"")</f>
        <v/>
      </c>
      <c r="AJ52" s="39" t="str">
        <f>IF(AND('Riesgos de Gestión'!$AF$53="Muy Baja",'Riesgos de Gestión'!$AH$53="Catastrófico"),CONCATENATE("R7C",'Riesgos de Gestión'!$V$53),"")</f>
        <v/>
      </c>
      <c r="AK52" s="39" t="str">
        <f>IF(AND('Riesgos de Gestión'!$AF$54="Muy Baja",'Riesgos de Gestión'!$AH$54="Catastrófico"),CONCATENATE("R7C",'Riesgos de Gestión'!$V$54),"")</f>
        <v/>
      </c>
      <c r="AL52" s="39" t="str">
        <f>IF(AND('Riesgos de Gestión'!$AF$55="Muy Baja",'Riesgos de Gestión'!$AH$55="Catastrófico"),CONCATENATE("R7C",'Riesgos de Gestión'!$V$55),"")</f>
        <v/>
      </c>
      <c r="AM52" s="40" t="str">
        <f>IF(AND('Riesgos de Gestión'!$AF$56="Muy Baja",'Riesgos de Gestión'!$AH$56="Catastrófico"),CONCATENATE("R7C",'Riesgos de Gestión'!$V$56),"")</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458"/>
      <c r="C53" s="458"/>
      <c r="D53" s="459"/>
      <c r="E53" s="499"/>
      <c r="F53" s="500"/>
      <c r="G53" s="500"/>
      <c r="H53" s="500"/>
      <c r="I53" s="501"/>
      <c r="J53" s="59" t="str">
        <f>IF(AND('Riesgos de Gestión'!$AF$57="Muy Baja",'Riesgos de Gestión'!$AH$57="Leve"),CONCATENATE("R8C",'Riesgos de Gestión'!$V$57),"")</f>
        <v/>
      </c>
      <c r="K53" s="60" t="str">
        <f>IF(AND('Riesgos de Gestión'!$AF$58="Muy Baja",'Riesgos de Gestión'!$AH$58="Leve"),CONCATENATE("R8C",'Riesgos de Gestión'!$V$58),"")</f>
        <v/>
      </c>
      <c r="L53" s="60" t="str">
        <f>IF(AND('Riesgos de Gestión'!$AF$59="Muy Baja",'Riesgos de Gestión'!$AH$59="Leve"),CONCATENATE("R8C",'Riesgos de Gestión'!$V$59),"")</f>
        <v/>
      </c>
      <c r="M53" s="60" t="str">
        <f>IF(AND('Riesgos de Gestión'!$AF$60="Muy Baja",'Riesgos de Gestión'!$AH$60="Leve"),CONCATENATE("R8C",'Riesgos de Gestión'!$V$60),"")</f>
        <v/>
      </c>
      <c r="N53" s="60" t="str">
        <f>IF(AND('Riesgos de Gestión'!$AF$61="Muy Baja",'Riesgos de Gestión'!$AH$61="Leve"),CONCATENATE("R8C",'Riesgos de Gestión'!$V$61),"")</f>
        <v/>
      </c>
      <c r="O53" s="61" t="str">
        <f>IF(AND('Riesgos de Gestión'!$AF$62="Muy Baja",'Riesgos de Gestión'!$AH$62="Leve"),CONCATENATE("R8C",'Riesgos de Gestión'!$V$62),"")</f>
        <v/>
      </c>
      <c r="P53" s="59" t="str">
        <f>IF(AND('Riesgos de Gestión'!$AF$57="Muy Baja",'Riesgos de Gestión'!$AH$57="Menor"),CONCATENATE("R8C",'Riesgos de Gestión'!$V$57),"")</f>
        <v/>
      </c>
      <c r="Q53" s="60" t="str">
        <f>IF(AND('Riesgos de Gestión'!$AF$58="Muy Baja",'Riesgos de Gestión'!$AH$58="Menor"),CONCATENATE("R8C",'Riesgos de Gestión'!$V$58),"")</f>
        <v/>
      </c>
      <c r="R53" s="60" t="str">
        <f>IF(AND('Riesgos de Gestión'!$AF$59="Muy Baja",'Riesgos de Gestión'!$AH$59="Menor"),CONCATENATE("R8C",'Riesgos de Gestión'!$V$59),"")</f>
        <v/>
      </c>
      <c r="S53" s="60" t="str">
        <f>IF(AND('Riesgos de Gestión'!$AF$60="Muy Baja",'Riesgos de Gestión'!$AH$60="Menor"),CONCATENATE("R8C",'Riesgos de Gestión'!$V$60),"")</f>
        <v/>
      </c>
      <c r="T53" s="60" t="str">
        <f>IF(AND('Riesgos de Gestión'!$AF$61="Muy Baja",'Riesgos de Gestión'!$AH$61="Menor"),CONCATENATE("R8C",'Riesgos de Gestión'!$V$61),"")</f>
        <v/>
      </c>
      <c r="U53" s="61" t="str">
        <f>IF(AND('Riesgos de Gestión'!$AF$62="Muy Baja",'Riesgos de Gestión'!$AH$62="Menor"),CONCATENATE("R8C",'Riesgos de Gestión'!$V$62),"")</f>
        <v/>
      </c>
      <c r="V53" s="50" t="str">
        <f>IF(AND('Riesgos de Gestión'!$AF$57="Muy Baja",'Riesgos de Gestión'!$AH$57="Moderado"),CONCATENATE("R8C",'Riesgos de Gestión'!$V$57),"")</f>
        <v/>
      </c>
      <c r="W53" s="51" t="str">
        <f>IF(AND('Riesgos de Gestión'!$AF$58="Muy Baja",'Riesgos de Gestión'!$AH$58="Moderado"),CONCATENATE("R8C",'Riesgos de Gestión'!$V$58),"")</f>
        <v/>
      </c>
      <c r="X53" s="51" t="str">
        <f>IF(AND('Riesgos de Gestión'!$AF$59="Muy Baja",'Riesgos de Gestión'!$AH$59="Moderado"),CONCATENATE("R8C",'Riesgos de Gestión'!$V$59),"")</f>
        <v/>
      </c>
      <c r="Y53" s="51" t="str">
        <f>IF(AND('Riesgos de Gestión'!$AF$60="Muy Baja",'Riesgos de Gestión'!$AH$60="Moderado"),CONCATENATE("R8C",'Riesgos de Gestión'!$V$60),"")</f>
        <v/>
      </c>
      <c r="Z53" s="51" t="str">
        <f>IF(AND('Riesgos de Gestión'!$AF$61="Muy Baja",'Riesgos de Gestión'!$AH$61="Moderado"),CONCATENATE("R8C",'Riesgos de Gestión'!$V$61),"")</f>
        <v/>
      </c>
      <c r="AA53" s="52" t="str">
        <f>IF(AND('Riesgos de Gestión'!$AF$62="Muy Baja",'Riesgos de Gestión'!$AH$62="Moderado"),CONCATENATE("R8C",'Riesgos de Gestión'!$V$62),"")</f>
        <v/>
      </c>
      <c r="AB53" s="35" t="str">
        <f>IF(AND('Riesgos de Gestión'!$AF$57="Muy Baja",'Riesgos de Gestión'!$AH$57="Mayor"),CONCATENATE("R8C",'Riesgos de Gestión'!$V$57),"")</f>
        <v/>
      </c>
      <c r="AC53" s="36" t="str">
        <f>IF(AND('Riesgos de Gestión'!$AF$58="Muy Baja",'Riesgos de Gestión'!$AH$58="Mayor"),CONCATENATE("R8C",'Riesgos de Gestión'!$V$58),"")</f>
        <v/>
      </c>
      <c r="AD53" s="36" t="str">
        <f>IF(AND('Riesgos de Gestión'!$AF$59="Muy Baja",'Riesgos de Gestión'!$AH$59="Mayor"),CONCATENATE("R8C",'Riesgos de Gestión'!$V$59),"")</f>
        <v/>
      </c>
      <c r="AE53" s="36" t="str">
        <f>IF(AND('Riesgos de Gestión'!$AF$60="Muy Baja",'Riesgos de Gestión'!$AH$60="Mayor"),CONCATENATE("R8C",'Riesgos de Gestión'!$V$60),"")</f>
        <v/>
      </c>
      <c r="AF53" s="36" t="str">
        <f>IF(AND('Riesgos de Gestión'!$AF$61="Muy Baja",'Riesgos de Gestión'!$AH$61="Mayor"),CONCATENATE("R8C",'Riesgos de Gestión'!$V$61),"")</f>
        <v/>
      </c>
      <c r="AG53" s="37" t="str">
        <f>IF(AND('Riesgos de Gestión'!$AF$62="Muy Baja",'Riesgos de Gestión'!$AH$62="Mayor"),CONCATENATE("R8C",'Riesgos de Gestión'!$V$62),"")</f>
        <v/>
      </c>
      <c r="AH53" s="38" t="str">
        <f>IF(AND('Riesgos de Gestión'!$AF$57="Muy Baja",'Riesgos de Gestión'!$AH$57="Catastrófico"),CONCATENATE("R8C",'Riesgos de Gestión'!$V$57),"")</f>
        <v/>
      </c>
      <c r="AI53" s="39" t="str">
        <f>IF(AND('Riesgos de Gestión'!$AF$58="Muy Baja",'Riesgos de Gestión'!$AH$58="Catastrófico"),CONCATENATE("R8C",'Riesgos de Gestión'!$V$58),"")</f>
        <v/>
      </c>
      <c r="AJ53" s="39" t="str">
        <f>IF(AND('Riesgos de Gestión'!$AF$59="Muy Baja",'Riesgos de Gestión'!$AH$59="Catastrófico"),CONCATENATE("R8C",'Riesgos de Gestión'!$V$59),"")</f>
        <v/>
      </c>
      <c r="AK53" s="39" t="str">
        <f>IF(AND('Riesgos de Gestión'!$AF$60="Muy Baja",'Riesgos de Gestión'!$AH$60="Catastrófico"),CONCATENATE("R8C",'Riesgos de Gestión'!$V$60),"")</f>
        <v/>
      </c>
      <c r="AL53" s="39" t="str">
        <f>IF(AND('Riesgos de Gestión'!$AF$61="Muy Baja",'Riesgos de Gestión'!$AH$61="Catastrófico"),CONCATENATE("R8C",'Riesgos de Gestión'!$V$61),"")</f>
        <v/>
      </c>
      <c r="AM53" s="40" t="str">
        <f>IF(AND('Riesgos de Gestión'!$AF$62="Muy Baja",'Riesgos de Gestión'!$AH$62="Catastrófico"),CONCATENATE("R8C",'Riesgos de Gestión'!$V$62),"")</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458"/>
      <c r="C54" s="458"/>
      <c r="D54" s="459"/>
      <c r="E54" s="499"/>
      <c r="F54" s="500"/>
      <c r="G54" s="500"/>
      <c r="H54" s="500"/>
      <c r="I54" s="501"/>
      <c r="J54" s="59" t="str">
        <f>IF(AND('Riesgos de Gestión'!$AF$63="Muy Baja",'Riesgos de Gestión'!$AH$63="Leve"),CONCATENATE("R9C",'Riesgos de Gestión'!$V$63),"")</f>
        <v/>
      </c>
      <c r="K54" s="60" t="str">
        <f>IF(AND('Riesgos de Gestión'!$AF$64="Muy Baja",'Riesgos de Gestión'!$AH$64="Leve"),CONCATENATE("R9C",'Riesgos de Gestión'!$V$64),"")</f>
        <v/>
      </c>
      <c r="L54" s="60" t="str">
        <f>IF(AND('Riesgos de Gestión'!$AF$65="Muy Baja",'Riesgos de Gestión'!$AH$65="Leve"),CONCATENATE("R9C",'Riesgos de Gestión'!$V$65),"")</f>
        <v/>
      </c>
      <c r="M54" s="60" t="str">
        <f>IF(AND('Riesgos de Gestión'!$AF$66="Muy Baja",'Riesgos de Gestión'!$AH$66="Leve"),CONCATENATE("R9C",'Riesgos de Gestión'!$V$66),"")</f>
        <v/>
      </c>
      <c r="N54" s="60" t="str">
        <f>IF(AND('Riesgos de Gestión'!$AF$67="Muy Baja",'Riesgos de Gestión'!$AH$67="Leve"),CONCATENATE("R9C",'Riesgos de Gestión'!$V$67),"")</f>
        <v/>
      </c>
      <c r="O54" s="61" t="str">
        <f>IF(AND('Riesgos de Gestión'!$AF$68="Muy Baja",'Riesgos de Gestión'!$AH$68="Leve"),CONCATENATE("R9C",'Riesgos de Gestión'!$V$68),"")</f>
        <v/>
      </c>
      <c r="P54" s="59" t="str">
        <f>IF(AND('Riesgos de Gestión'!$AF$63="Muy Baja",'Riesgos de Gestión'!$AH$63="Menor"),CONCATENATE("R9C",'Riesgos de Gestión'!$V$63),"")</f>
        <v/>
      </c>
      <c r="Q54" s="60" t="str">
        <f>IF(AND('Riesgos de Gestión'!$AF$64="Muy Baja",'Riesgos de Gestión'!$AH$64="Menor"),CONCATENATE("R9C",'Riesgos de Gestión'!$V$64),"")</f>
        <v/>
      </c>
      <c r="R54" s="60" t="str">
        <f>IF(AND('Riesgos de Gestión'!$AF$65="Muy Baja",'Riesgos de Gestión'!$AH$65="Menor"),CONCATENATE("R9C",'Riesgos de Gestión'!$V$65),"")</f>
        <v/>
      </c>
      <c r="S54" s="60" t="str">
        <f>IF(AND('Riesgos de Gestión'!$AF$66="Muy Baja",'Riesgos de Gestión'!$AH$66="Menor"),CONCATENATE("R9C",'Riesgos de Gestión'!$V$66),"")</f>
        <v/>
      </c>
      <c r="T54" s="60" t="str">
        <f>IF(AND('Riesgos de Gestión'!$AF$67="Muy Baja",'Riesgos de Gestión'!$AH$67="Menor"),CONCATENATE("R9C",'Riesgos de Gestión'!$V$67),"")</f>
        <v/>
      </c>
      <c r="U54" s="61" t="str">
        <f>IF(AND('Riesgos de Gestión'!$AF$68="Muy Baja",'Riesgos de Gestión'!$AH$68="Menor"),CONCATENATE("R9C",'Riesgos de Gestión'!$V$68),"")</f>
        <v/>
      </c>
      <c r="V54" s="50" t="str">
        <f>IF(AND('Riesgos de Gestión'!$AF$63="Muy Baja",'Riesgos de Gestión'!$AH$63="Moderado"),CONCATENATE("R9C",'Riesgos de Gestión'!$V$63),"")</f>
        <v/>
      </c>
      <c r="W54" s="51" t="str">
        <f>IF(AND('Riesgos de Gestión'!$AF$64="Muy Baja",'Riesgos de Gestión'!$AH$64="Moderado"),CONCATENATE("R9C",'Riesgos de Gestión'!$V$64),"")</f>
        <v/>
      </c>
      <c r="X54" s="51" t="str">
        <f>IF(AND('Riesgos de Gestión'!$AF$65="Muy Baja",'Riesgos de Gestión'!$AH$65="Moderado"),CONCATENATE("R9C",'Riesgos de Gestión'!$V$65),"")</f>
        <v/>
      </c>
      <c r="Y54" s="51" t="str">
        <f>IF(AND('Riesgos de Gestión'!$AF$66="Muy Baja",'Riesgos de Gestión'!$AH$66="Moderado"),CONCATENATE("R9C",'Riesgos de Gestión'!$V$66),"")</f>
        <v/>
      </c>
      <c r="Z54" s="51" t="str">
        <f>IF(AND('Riesgos de Gestión'!$AF$67="Muy Baja",'Riesgos de Gestión'!$AH$67="Moderado"),CONCATENATE("R9C",'Riesgos de Gestión'!$V$67),"")</f>
        <v/>
      </c>
      <c r="AA54" s="52" t="str">
        <f>IF(AND('Riesgos de Gestión'!$AF$68="Muy Baja",'Riesgos de Gestión'!$AH$68="Moderado"),CONCATENATE("R9C",'Riesgos de Gestión'!$V$68),"")</f>
        <v/>
      </c>
      <c r="AB54" s="35" t="str">
        <f>IF(AND('Riesgos de Gestión'!$AF$63="Muy Baja",'Riesgos de Gestión'!$AH$63="Mayor"),CONCATENATE("R9C",'Riesgos de Gestión'!$V$63),"")</f>
        <v/>
      </c>
      <c r="AC54" s="36" t="str">
        <f>IF(AND('Riesgos de Gestión'!$AF$64="Muy Baja",'Riesgos de Gestión'!$AH$64="Mayor"),CONCATENATE("R9C",'Riesgos de Gestión'!$V$64),"")</f>
        <v/>
      </c>
      <c r="AD54" s="36" t="str">
        <f>IF(AND('Riesgos de Gestión'!$AF$65="Muy Baja",'Riesgos de Gestión'!$AH$65="Mayor"),CONCATENATE("R9C",'Riesgos de Gestión'!$V$65),"")</f>
        <v/>
      </c>
      <c r="AE54" s="36" t="str">
        <f>IF(AND('Riesgos de Gestión'!$AF$66="Muy Baja",'Riesgos de Gestión'!$AH$66="Mayor"),CONCATENATE("R9C",'Riesgos de Gestión'!$V$66),"")</f>
        <v/>
      </c>
      <c r="AF54" s="36" t="str">
        <f>IF(AND('Riesgos de Gestión'!$AF$67="Muy Baja",'Riesgos de Gestión'!$AH$67="Mayor"),CONCATENATE("R9C",'Riesgos de Gestión'!$V$67),"")</f>
        <v/>
      </c>
      <c r="AG54" s="37" t="str">
        <f>IF(AND('Riesgos de Gestión'!$AF$68="Muy Baja",'Riesgos de Gestión'!$AH$68="Mayor"),CONCATENATE("R9C",'Riesgos de Gestión'!$V$68),"")</f>
        <v/>
      </c>
      <c r="AH54" s="38" t="str">
        <f>IF(AND('Riesgos de Gestión'!$AF$63="Muy Baja",'Riesgos de Gestión'!$AH$63="Catastrófico"),CONCATENATE("R9C",'Riesgos de Gestión'!$V$63),"")</f>
        <v/>
      </c>
      <c r="AI54" s="39" t="str">
        <f>IF(AND('Riesgos de Gestión'!$AF$64="Muy Baja",'Riesgos de Gestión'!$AH$64="Catastrófico"),CONCATENATE("R9C",'Riesgos de Gestión'!$V$64),"")</f>
        <v/>
      </c>
      <c r="AJ54" s="39" t="str">
        <f>IF(AND('Riesgos de Gestión'!$AF$65="Muy Baja",'Riesgos de Gestión'!$AH$65="Catastrófico"),CONCATENATE("R9C",'Riesgos de Gestión'!$V$65),"")</f>
        <v/>
      </c>
      <c r="AK54" s="39" t="str">
        <f>IF(AND('Riesgos de Gestión'!$AF$66="Muy Baja",'Riesgos de Gestión'!$AH$66="Catastrófico"),CONCATENATE("R9C",'Riesgos de Gestión'!$V$66),"")</f>
        <v/>
      </c>
      <c r="AL54" s="39" t="str">
        <f>IF(AND('Riesgos de Gestión'!$AF$67="Muy Baja",'Riesgos de Gestión'!$AH$67="Catastrófico"),CONCATENATE("R9C",'Riesgos de Gestión'!$V$67),"")</f>
        <v/>
      </c>
      <c r="AM54" s="40" t="str">
        <f>IF(AND('Riesgos de Gestión'!$AF$68="Muy Baja",'Riesgos de Gestión'!$AH$68="Catastrófico"),CONCATENATE("R9C",'Riesgos de Gestión'!$V$68),"")</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
      <c r="A55" s="66"/>
      <c r="B55" s="458"/>
      <c r="C55" s="458"/>
      <c r="D55" s="459"/>
      <c r="E55" s="502"/>
      <c r="F55" s="503"/>
      <c r="G55" s="503"/>
      <c r="H55" s="503"/>
      <c r="I55" s="504"/>
      <c r="J55" s="62" t="str">
        <f>IF(AND('Riesgos de Gestión'!$AF$69="Muy Baja",'Riesgos de Gestión'!$AH$69="Leve"),CONCATENATE("R10C",'Riesgos de Gestión'!$V$69),"")</f>
        <v/>
      </c>
      <c r="K55" s="63" t="str">
        <f>IF(AND('Riesgos de Gestión'!$AF$70="Muy Baja",'Riesgos de Gestión'!$AH$70="Leve"),CONCATENATE("R10C",'Riesgos de Gestión'!$V$70),"")</f>
        <v/>
      </c>
      <c r="L55" s="63" t="str">
        <f>IF(AND('Riesgos de Gestión'!$AF$71="Muy Baja",'Riesgos de Gestión'!$AH$71="Leve"),CONCATENATE("R10C",'Riesgos de Gestión'!$V$71),"")</f>
        <v/>
      </c>
      <c r="M55" s="63" t="str">
        <f>IF(AND('Riesgos de Gestión'!$AF$72="Muy Baja",'Riesgos de Gestión'!$AH$72="Leve"),CONCATENATE("R10C",'Riesgos de Gestión'!$V$72),"")</f>
        <v/>
      </c>
      <c r="N55" s="63" t="str">
        <f>IF(AND('Riesgos de Gestión'!$AF$73="Muy Baja",'Riesgos de Gestión'!$AH$73="Leve"),CONCATENATE("R10C",'Riesgos de Gestión'!$V$73),"")</f>
        <v/>
      </c>
      <c r="O55" s="64" t="str">
        <f>IF(AND('Riesgos de Gestión'!$AF$74="Muy Baja",'Riesgos de Gestión'!$AH$74="Leve"),CONCATENATE("R10C",'Riesgos de Gestión'!$V$74),"")</f>
        <v/>
      </c>
      <c r="P55" s="62" t="str">
        <f>IF(AND('Riesgos de Gestión'!$AF$69="Muy Baja",'Riesgos de Gestión'!$AH$69="Menor"),CONCATENATE("R10C",'Riesgos de Gestión'!$V$69),"")</f>
        <v/>
      </c>
      <c r="Q55" s="63" t="str">
        <f>IF(AND('Riesgos de Gestión'!$AF$70="Muy Baja",'Riesgos de Gestión'!$AH$70="Menor"),CONCATENATE("R10C",'Riesgos de Gestión'!$V$70),"")</f>
        <v/>
      </c>
      <c r="R55" s="63" t="str">
        <f>IF(AND('Riesgos de Gestión'!$AF$71="Muy Baja",'Riesgos de Gestión'!$AH$71="Menor"),CONCATENATE("R10C",'Riesgos de Gestión'!$V$71),"")</f>
        <v/>
      </c>
      <c r="S55" s="63" t="str">
        <f>IF(AND('Riesgos de Gestión'!$AF$72="Muy Baja",'Riesgos de Gestión'!$AH$72="Menor"),CONCATENATE("R10C",'Riesgos de Gestión'!$V$72),"")</f>
        <v/>
      </c>
      <c r="T55" s="63" t="str">
        <f>IF(AND('Riesgos de Gestión'!$AF$73="Muy Baja",'Riesgos de Gestión'!$AH$73="Menor"),CONCATENATE("R10C",'Riesgos de Gestión'!$V$73),"")</f>
        <v/>
      </c>
      <c r="U55" s="64" t="str">
        <f>IF(AND('Riesgos de Gestión'!$AF$74="Muy Baja",'Riesgos de Gestión'!$AH$74="Menor"),CONCATENATE("R10C",'Riesgos de Gestión'!$V$74),"")</f>
        <v/>
      </c>
      <c r="V55" s="53" t="str">
        <f>IF(AND('Riesgos de Gestión'!$AF$69="Muy Baja",'Riesgos de Gestión'!$AH$69="Moderado"),CONCATENATE("R10C",'Riesgos de Gestión'!$V$69),"")</f>
        <v/>
      </c>
      <c r="W55" s="54" t="str">
        <f>IF(AND('Riesgos de Gestión'!$AF$70="Muy Baja",'Riesgos de Gestión'!$AH$70="Moderado"),CONCATENATE("R10C",'Riesgos de Gestión'!$V$70),"")</f>
        <v/>
      </c>
      <c r="X55" s="54" t="str">
        <f>IF(AND('Riesgos de Gestión'!$AF$71="Muy Baja",'Riesgos de Gestión'!$AH$71="Moderado"),CONCATENATE("R10C",'Riesgos de Gestión'!$V$71),"")</f>
        <v/>
      </c>
      <c r="Y55" s="54" t="str">
        <f>IF(AND('Riesgos de Gestión'!$AF$72="Muy Baja",'Riesgos de Gestión'!$AH$72="Moderado"),CONCATENATE("R10C",'Riesgos de Gestión'!$V$72),"")</f>
        <v/>
      </c>
      <c r="Z55" s="54" t="str">
        <f>IF(AND('Riesgos de Gestión'!$AF$73="Muy Baja",'Riesgos de Gestión'!$AH$73="Moderado"),CONCATENATE("R10C",'Riesgos de Gestión'!$V$73),"")</f>
        <v/>
      </c>
      <c r="AA55" s="55" t="str">
        <f>IF(AND('Riesgos de Gestión'!$AF$74="Muy Baja",'Riesgos de Gestión'!$AH$74="Moderado"),CONCATENATE("R10C",'Riesgos de Gestión'!$V$74),"")</f>
        <v/>
      </c>
      <c r="AB55" s="41" t="str">
        <f>IF(AND('Riesgos de Gestión'!$AF$69="Muy Baja",'Riesgos de Gestión'!$AH$69="Mayor"),CONCATENATE("R10C",'Riesgos de Gestión'!$V$69),"")</f>
        <v/>
      </c>
      <c r="AC55" s="42" t="str">
        <f>IF(AND('Riesgos de Gestión'!$AF$70="Muy Baja",'Riesgos de Gestión'!$AH$70="Mayor"),CONCATENATE("R10C",'Riesgos de Gestión'!$V$70),"")</f>
        <v/>
      </c>
      <c r="AD55" s="42" t="str">
        <f>IF(AND('Riesgos de Gestión'!$AF$71="Muy Baja",'Riesgos de Gestión'!$AH$71="Mayor"),CONCATENATE("R10C",'Riesgos de Gestión'!$V$71),"")</f>
        <v/>
      </c>
      <c r="AE55" s="42" t="str">
        <f>IF(AND('Riesgos de Gestión'!$AF$72="Muy Baja",'Riesgos de Gestión'!$AH$72="Mayor"),CONCATENATE("R10C",'Riesgos de Gestión'!$V$72),"")</f>
        <v/>
      </c>
      <c r="AF55" s="42" t="str">
        <f>IF(AND('Riesgos de Gestión'!$AF$73="Muy Baja",'Riesgos de Gestión'!$AH$73="Mayor"),CONCATENATE("R10C",'Riesgos de Gestión'!$V$73),"")</f>
        <v/>
      </c>
      <c r="AG55" s="43" t="str">
        <f>IF(AND('Riesgos de Gestión'!$AF$74="Muy Baja",'Riesgos de Gestión'!$AH$74="Mayor"),CONCATENATE("R10C",'Riesgos de Gestión'!$V$74),"")</f>
        <v/>
      </c>
      <c r="AH55" s="44" t="str">
        <f>IF(AND('Riesgos de Gestión'!$AF$69="Muy Baja",'Riesgos de Gestión'!$AH$69="Catastrófico"),CONCATENATE("R10C",'Riesgos de Gestión'!$V$69),"")</f>
        <v/>
      </c>
      <c r="AI55" s="45" t="str">
        <f>IF(AND('Riesgos de Gestión'!$AF$70="Muy Baja",'Riesgos de Gestión'!$AH$70="Catastrófico"),CONCATENATE("R10C",'Riesgos de Gestión'!$V$70),"")</f>
        <v/>
      </c>
      <c r="AJ55" s="45" t="str">
        <f>IF(AND('Riesgos de Gestión'!$AF$71="Muy Baja",'Riesgos de Gestión'!$AH$71="Catastrófico"),CONCATENATE("R10C",'Riesgos de Gestión'!$V$71),"")</f>
        <v/>
      </c>
      <c r="AK55" s="45" t="str">
        <f>IF(AND('Riesgos de Gestión'!$AF$72="Muy Baja",'Riesgos de Gestión'!$AH$72="Catastrófico"),CONCATENATE("R10C",'Riesgos de Gestión'!$V$72),"")</f>
        <v/>
      </c>
      <c r="AL55" s="45" t="str">
        <f>IF(AND('Riesgos de Gestión'!$AF$73="Muy Baja",'Riesgos de Gestión'!$AH$73="Catastrófico"),CONCATENATE("R10C",'Riesgos de Gestión'!$V$73),"")</f>
        <v/>
      </c>
      <c r="AM55" s="46" t="str">
        <f>IF(AND('Riesgos de Gestión'!$AF$74="Muy Baja",'Riesgos de Gestión'!$AH$74="Catastrófico"),CONCATENATE("R10C",'Riesgos de Gestión'!$V$74),"")</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496" t="s">
        <v>274</v>
      </c>
      <c r="K56" s="497"/>
      <c r="L56" s="497"/>
      <c r="M56" s="497"/>
      <c r="N56" s="497"/>
      <c r="O56" s="498"/>
      <c r="P56" s="496" t="s">
        <v>275</v>
      </c>
      <c r="Q56" s="497"/>
      <c r="R56" s="497"/>
      <c r="S56" s="497"/>
      <c r="T56" s="497"/>
      <c r="U56" s="498"/>
      <c r="V56" s="496" t="s">
        <v>276</v>
      </c>
      <c r="W56" s="497"/>
      <c r="X56" s="497"/>
      <c r="Y56" s="497"/>
      <c r="Z56" s="497"/>
      <c r="AA56" s="498"/>
      <c r="AB56" s="496" t="s">
        <v>277</v>
      </c>
      <c r="AC56" s="505"/>
      <c r="AD56" s="497"/>
      <c r="AE56" s="497"/>
      <c r="AF56" s="497"/>
      <c r="AG56" s="498"/>
      <c r="AH56" s="496" t="s">
        <v>278</v>
      </c>
      <c r="AI56" s="497"/>
      <c r="AJ56" s="497"/>
      <c r="AK56" s="497"/>
      <c r="AL56" s="497"/>
      <c r="AM56" s="498"/>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499"/>
      <c r="K57" s="500"/>
      <c r="L57" s="500"/>
      <c r="M57" s="500"/>
      <c r="N57" s="500"/>
      <c r="O57" s="501"/>
      <c r="P57" s="499"/>
      <c r="Q57" s="500"/>
      <c r="R57" s="500"/>
      <c r="S57" s="500"/>
      <c r="T57" s="500"/>
      <c r="U57" s="501"/>
      <c r="V57" s="499"/>
      <c r="W57" s="500"/>
      <c r="X57" s="500"/>
      <c r="Y57" s="500"/>
      <c r="Z57" s="500"/>
      <c r="AA57" s="501"/>
      <c r="AB57" s="499"/>
      <c r="AC57" s="500"/>
      <c r="AD57" s="500"/>
      <c r="AE57" s="500"/>
      <c r="AF57" s="500"/>
      <c r="AG57" s="501"/>
      <c r="AH57" s="499"/>
      <c r="AI57" s="500"/>
      <c r="AJ57" s="500"/>
      <c r="AK57" s="500"/>
      <c r="AL57" s="500"/>
      <c r="AM57" s="501"/>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499"/>
      <c r="K58" s="500"/>
      <c r="L58" s="500"/>
      <c r="M58" s="500"/>
      <c r="N58" s="500"/>
      <c r="O58" s="501"/>
      <c r="P58" s="499"/>
      <c r="Q58" s="500"/>
      <c r="R58" s="500"/>
      <c r="S58" s="500"/>
      <c r="T58" s="500"/>
      <c r="U58" s="501"/>
      <c r="V58" s="499"/>
      <c r="W58" s="500"/>
      <c r="X58" s="500"/>
      <c r="Y58" s="500"/>
      <c r="Z58" s="500"/>
      <c r="AA58" s="501"/>
      <c r="AB58" s="499"/>
      <c r="AC58" s="500"/>
      <c r="AD58" s="500"/>
      <c r="AE58" s="500"/>
      <c r="AF58" s="500"/>
      <c r="AG58" s="501"/>
      <c r="AH58" s="499"/>
      <c r="AI58" s="500"/>
      <c r="AJ58" s="500"/>
      <c r="AK58" s="500"/>
      <c r="AL58" s="500"/>
      <c r="AM58" s="501"/>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499"/>
      <c r="K59" s="500"/>
      <c r="L59" s="500"/>
      <c r="M59" s="500"/>
      <c r="N59" s="500"/>
      <c r="O59" s="501"/>
      <c r="P59" s="499"/>
      <c r="Q59" s="500"/>
      <c r="R59" s="500"/>
      <c r="S59" s="500"/>
      <c r="T59" s="500"/>
      <c r="U59" s="501"/>
      <c r="V59" s="499"/>
      <c r="W59" s="500"/>
      <c r="X59" s="500"/>
      <c r="Y59" s="500"/>
      <c r="Z59" s="500"/>
      <c r="AA59" s="501"/>
      <c r="AB59" s="499"/>
      <c r="AC59" s="500"/>
      <c r="AD59" s="500"/>
      <c r="AE59" s="500"/>
      <c r="AF59" s="500"/>
      <c r="AG59" s="501"/>
      <c r="AH59" s="499"/>
      <c r="AI59" s="500"/>
      <c r="AJ59" s="500"/>
      <c r="AK59" s="500"/>
      <c r="AL59" s="500"/>
      <c r="AM59" s="501"/>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499"/>
      <c r="K60" s="500"/>
      <c r="L60" s="500"/>
      <c r="M60" s="500"/>
      <c r="N60" s="500"/>
      <c r="O60" s="501"/>
      <c r="P60" s="499"/>
      <c r="Q60" s="500"/>
      <c r="R60" s="500"/>
      <c r="S60" s="500"/>
      <c r="T60" s="500"/>
      <c r="U60" s="501"/>
      <c r="V60" s="499"/>
      <c r="W60" s="500"/>
      <c r="X60" s="500"/>
      <c r="Y60" s="500"/>
      <c r="Z60" s="500"/>
      <c r="AA60" s="501"/>
      <c r="AB60" s="499"/>
      <c r="AC60" s="500"/>
      <c r="AD60" s="500"/>
      <c r="AE60" s="500"/>
      <c r="AF60" s="500"/>
      <c r="AG60" s="501"/>
      <c r="AH60" s="499"/>
      <c r="AI60" s="500"/>
      <c r="AJ60" s="500"/>
      <c r="AK60" s="500"/>
      <c r="AL60" s="500"/>
      <c r="AM60" s="501"/>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75" thickBot="1" x14ac:dyDescent="0.3">
      <c r="A61" s="66"/>
      <c r="B61" s="66"/>
      <c r="C61" s="66"/>
      <c r="D61" s="66"/>
      <c r="E61" s="66"/>
      <c r="F61" s="66"/>
      <c r="G61" s="66"/>
      <c r="H61" s="66"/>
      <c r="I61" s="66"/>
      <c r="J61" s="502"/>
      <c r="K61" s="503"/>
      <c r="L61" s="503"/>
      <c r="M61" s="503"/>
      <c r="N61" s="503"/>
      <c r="O61" s="504"/>
      <c r="P61" s="502"/>
      <c r="Q61" s="503"/>
      <c r="R61" s="503"/>
      <c r="S61" s="503"/>
      <c r="T61" s="503"/>
      <c r="U61" s="504"/>
      <c r="V61" s="502"/>
      <c r="W61" s="503"/>
      <c r="X61" s="503"/>
      <c r="Y61" s="503"/>
      <c r="Z61" s="503"/>
      <c r="AA61" s="504"/>
      <c r="AB61" s="502"/>
      <c r="AC61" s="503"/>
      <c r="AD61" s="503"/>
      <c r="AE61" s="503"/>
      <c r="AF61" s="503"/>
      <c r="AG61" s="504"/>
      <c r="AH61" s="502"/>
      <c r="AI61" s="503"/>
      <c r="AJ61" s="503"/>
      <c r="AK61" s="503"/>
      <c r="AL61" s="503"/>
      <c r="AM61" s="504"/>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25">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25">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25">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25">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25">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25">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25">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25">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25">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25">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25">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25">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25">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25">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25">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25">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25">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25">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25">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25">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25">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25">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25">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25">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25">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25">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25">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25">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25">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25">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25">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25">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25">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25">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25">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25">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25">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25">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25">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25">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25">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25">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25">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25">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25">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25">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25">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25">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25">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25">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25">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25">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25">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25">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25">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25">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25">
      <c r="A245" s="66"/>
    </row>
    <row r="246" spans="1:60" x14ac:dyDescent="0.25">
      <c r="A246" s="66"/>
    </row>
    <row r="247" spans="1:60" x14ac:dyDescent="0.25">
      <c r="A247" s="66"/>
    </row>
    <row r="248" spans="1:60" x14ac:dyDescent="0.25">
      <c r="A248" s="66"/>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L75"/>
  <sheetViews>
    <sheetView topLeftCell="AB1" zoomScale="60" zoomScaleNormal="60" zoomScaleSheetLayoutView="40" zoomScalePageLayoutView="60" workbookViewId="0">
      <selection activeCell="AQ13" sqref="AQ13:AQ18"/>
    </sheetView>
  </sheetViews>
  <sheetFormatPr baseColWidth="10" defaultColWidth="11.42578125" defaultRowHeight="15" x14ac:dyDescent="0.2"/>
  <cols>
    <col min="1" max="1" width="6.5703125" style="218" customWidth="1"/>
    <col min="2" max="2" width="16" style="218" customWidth="1"/>
    <col min="3" max="3" width="22.7109375" style="218" customWidth="1"/>
    <col min="4" max="4" width="25.28515625" style="218" customWidth="1"/>
    <col min="5" max="5" width="61.140625" style="218" customWidth="1"/>
    <col min="6" max="6" width="19.42578125" style="198" customWidth="1"/>
    <col min="7" max="7" width="17.7109375" style="198" customWidth="1"/>
    <col min="8" max="8" width="24.28515625" style="198" customWidth="1"/>
    <col min="9" max="10" width="28.42578125" style="198" customWidth="1"/>
    <col min="11" max="11" width="24.28515625" style="198" customWidth="1"/>
    <col min="12" max="12" width="19.42578125" style="198" customWidth="1"/>
    <col min="13" max="13" width="20.5703125" style="198" customWidth="1"/>
    <col min="14" max="14" width="14.7109375" style="219" customWidth="1"/>
    <col min="15" max="15" width="16.7109375" style="198" customWidth="1"/>
    <col min="16" max="16" width="10.42578125" style="198" hidden="1" customWidth="1"/>
    <col min="17" max="17" width="16.42578125" style="198" customWidth="1"/>
    <col min="18" max="18" width="35.85546875" style="198" hidden="1" customWidth="1"/>
    <col min="19" max="19" width="17.140625" style="198" customWidth="1"/>
    <col min="20" max="20" width="17.5703125" style="198" hidden="1" customWidth="1"/>
    <col min="21" max="21" width="15" style="198" customWidth="1"/>
    <col min="22" max="22" width="16" style="198" customWidth="1"/>
    <col min="23" max="23" width="62.7109375" style="198" customWidth="1"/>
    <col min="24" max="24" width="26.85546875" style="198" hidden="1" customWidth="1"/>
    <col min="25" max="25" width="5.85546875" style="198" customWidth="1"/>
    <col min="26" max="26" width="6.85546875" style="198" customWidth="1"/>
    <col min="27" max="27" width="5" style="198" hidden="1" customWidth="1"/>
    <col min="28" max="28" width="5.5703125" style="198" customWidth="1"/>
    <col min="29" max="29" width="7.140625" style="198" customWidth="1"/>
    <col min="30" max="30" width="6.7109375" style="198" customWidth="1"/>
    <col min="31" max="31" width="10.85546875" style="198" customWidth="1"/>
    <col min="32" max="32" width="8.5703125" style="198" customWidth="1"/>
    <col min="33" max="37" width="10.85546875" style="198" customWidth="1"/>
    <col min="38" max="38" width="28" style="217" customWidth="1"/>
    <col min="39" max="39" width="23" style="198" customWidth="1"/>
    <col min="40" max="40" width="18.85546875" style="198" customWidth="1"/>
    <col min="41" max="41" width="24" style="198" customWidth="1"/>
    <col min="42" max="42" width="22.42578125" style="198" customWidth="1"/>
    <col min="43" max="43" width="16.42578125" style="198" customWidth="1"/>
    <col min="44" max="44" width="20.5703125" style="198" customWidth="1"/>
    <col min="45" max="16384" width="11.42578125" style="198"/>
  </cols>
  <sheetData>
    <row r="1" spans="1:272" s="201" customFormat="1" ht="24" customHeight="1" x14ac:dyDescent="0.3">
      <c r="A1" s="401"/>
      <c r="B1" s="402"/>
      <c r="C1" s="545"/>
      <c r="D1" s="548" t="s">
        <v>208</v>
      </c>
      <c r="E1" s="549"/>
      <c r="F1" s="549"/>
      <c r="G1" s="549"/>
      <c r="H1" s="549"/>
      <c r="I1" s="549"/>
      <c r="J1" s="549"/>
      <c r="K1" s="549"/>
      <c r="L1" s="549"/>
      <c r="M1" s="549"/>
      <c r="N1" s="549"/>
      <c r="O1" s="549"/>
      <c r="P1" s="549"/>
      <c r="Q1" s="549"/>
      <c r="R1" s="549"/>
      <c r="S1" s="550"/>
      <c r="T1" s="252"/>
      <c r="U1" s="253"/>
      <c r="V1" s="253"/>
      <c r="W1" s="253"/>
      <c r="X1" s="370"/>
      <c r="Y1" s="370"/>
      <c r="Z1" s="370"/>
      <c r="AA1" s="370"/>
      <c r="AB1" s="370"/>
      <c r="AC1" s="370"/>
      <c r="AD1" s="370"/>
      <c r="AE1" s="370"/>
      <c r="AF1" s="370"/>
      <c r="AG1" s="370"/>
      <c r="AH1" s="370"/>
      <c r="AI1" s="370"/>
      <c r="AJ1" s="370"/>
      <c r="AK1" s="370"/>
      <c r="AL1" s="370"/>
      <c r="AM1" s="370"/>
      <c r="AN1" s="370"/>
      <c r="AO1" s="370"/>
      <c r="AP1" s="370"/>
      <c r="AQ1" s="370"/>
      <c r="AR1" s="370"/>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row>
    <row r="2" spans="1:272" s="201" customFormat="1" ht="24" customHeight="1" thickBot="1" x14ac:dyDescent="0.35">
      <c r="A2" s="404"/>
      <c r="B2" s="405"/>
      <c r="C2" s="546"/>
      <c r="D2" s="551"/>
      <c r="E2" s="552"/>
      <c r="F2" s="552"/>
      <c r="G2" s="552"/>
      <c r="H2" s="552"/>
      <c r="I2" s="552"/>
      <c r="J2" s="552"/>
      <c r="K2" s="552"/>
      <c r="L2" s="552"/>
      <c r="M2" s="552"/>
      <c r="N2" s="552"/>
      <c r="O2" s="552"/>
      <c r="P2" s="552"/>
      <c r="Q2" s="552"/>
      <c r="R2" s="552"/>
      <c r="S2" s="553"/>
      <c r="T2" s="261"/>
      <c r="U2" s="253"/>
      <c r="V2" s="253"/>
      <c r="W2" s="253"/>
      <c r="X2" s="370"/>
      <c r="Y2" s="370"/>
      <c r="Z2" s="370"/>
      <c r="AA2" s="370"/>
      <c r="AB2" s="370"/>
      <c r="AC2" s="370"/>
      <c r="AD2" s="370"/>
      <c r="AE2" s="370"/>
      <c r="AF2" s="370"/>
      <c r="AG2" s="370"/>
      <c r="AH2" s="370"/>
      <c r="AI2" s="370"/>
      <c r="AJ2" s="370"/>
      <c r="AK2" s="370"/>
      <c r="AL2" s="370"/>
      <c r="AM2" s="370"/>
      <c r="AN2" s="370"/>
      <c r="AO2" s="370"/>
      <c r="AP2" s="370"/>
      <c r="AQ2" s="370"/>
      <c r="AR2" s="37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row>
    <row r="3" spans="1:272" s="201" customFormat="1" ht="24" customHeight="1" x14ac:dyDescent="0.3">
      <c r="A3" s="404"/>
      <c r="B3" s="405"/>
      <c r="C3" s="546"/>
      <c r="D3" s="554" t="s">
        <v>209</v>
      </c>
      <c r="E3" s="555"/>
      <c r="F3" s="555"/>
      <c r="G3" s="555"/>
      <c r="H3" s="555"/>
      <c r="I3" s="556"/>
      <c r="J3" s="557" t="s">
        <v>210</v>
      </c>
      <c r="K3" s="558"/>
      <c r="L3" s="558"/>
      <c r="M3" s="558"/>
      <c r="N3" s="558"/>
      <c r="O3" s="558"/>
      <c r="P3" s="558"/>
      <c r="Q3" s="558"/>
      <c r="R3" s="558"/>
      <c r="S3" s="559"/>
      <c r="T3" s="262"/>
      <c r="U3" s="254"/>
      <c r="V3" s="254"/>
      <c r="W3" s="253"/>
      <c r="X3" s="371"/>
      <c r="Y3" s="371"/>
      <c r="Z3" s="371"/>
      <c r="AA3" s="371"/>
      <c r="AB3" s="371"/>
      <c r="AC3" s="371"/>
      <c r="AD3" s="371"/>
      <c r="AE3" s="371"/>
      <c r="AF3" s="371"/>
      <c r="AG3" s="371"/>
      <c r="AH3" s="371"/>
      <c r="AI3" s="371"/>
      <c r="AJ3" s="371"/>
      <c r="AK3" s="371"/>
      <c r="AL3" s="371"/>
      <c r="AM3" s="371"/>
      <c r="AN3" s="371"/>
      <c r="AO3" s="371"/>
      <c r="AP3" s="371"/>
      <c r="AQ3" s="371"/>
      <c r="AR3" s="371"/>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row>
    <row r="4" spans="1:272" s="201" customFormat="1" ht="24" customHeight="1" thickBot="1" x14ac:dyDescent="0.35">
      <c r="A4" s="407"/>
      <c r="B4" s="408"/>
      <c r="C4" s="547"/>
      <c r="D4" s="560" t="s">
        <v>422</v>
      </c>
      <c r="E4" s="561"/>
      <c r="F4" s="561"/>
      <c r="G4" s="561"/>
      <c r="H4" s="561"/>
      <c r="I4" s="561"/>
      <c r="J4" s="561"/>
      <c r="K4" s="561"/>
      <c r="L4" s="561"/>
      <c r="M4" s="561"/>
      <c r="N4" s="561"/>
      <c r="O4" s="561"/>
      <c r="P4" s="561"/>
      <c r="Q4" s="561"/>
      <c r="R4" s="561"/>
      <c r="S4" s="562"/>
      <c r="T4" s="261"/>
      <c r="U4" s="253"/>
      <c r="V4" s="253"/>
      <c r="W4" s="253"/>
      <c r="X4" s="371"/>
      <c r="Y4" s="371"/>
      <c r="Z4" s="371"/>
      <c r="AA4" s="371"/>
      <c r="AB4" s="371"/>
      <c r="AC4" s="371"/>
      <c r="AD4" s="371"/>
      <c r="AE4" s="371"/>
      <c r="AF4" s="371"/>
      <c r="AG4" s="371"/>
      <c r="AH4" s="371"/>
      <c r="AI4" s="371"/>
      <c r="AJ4" s="371"/>
      <c r="AK4" s="371"/>
      <c r="AL4" s="371"/>
      <c r="AM4" s="371"/>
      <c r="AN4" s="371"/>
      <c r="AO4" s="371"/>
      <c r="AP4" s="371"/>
      <c r="AQ4" s="371"/>
      <c r="AR4" s="371"/>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row>
    <row r="5" spans="1:272" ht="15.75" thickBot="1" x14ac:dyDescent="0.25">
      <c r="A5" s="202"/>
      <c r="B5" s="203"/>
      <c r="C5" s="202"/>
      <c r="D5" s="202"/>
      <c r="E5" s="202"/>
      <c r="F5" s="204"/>
      <c r="G5" s="204"/>
      <c r="H5" s="204"/>
      <c r="I5" s="204"/>
      <c r="J5" s="204"/>
      <c r="K5" s="204"/>
      <c r="L5" s="204"/>
      <c r="M5" s="204"/>
      <c r="N5" s="205"/>
      <c r="O5" s="204"/>
      <c r="P5" s="204"/>
      <c r="Q5" s="204"/>
      <c r="R5" s="204"/>
      <c r="S5" s="204"/>
      <c r="T5" s="204"/>
      <c r="U5" s="255"/>
      <c r="V5" s="255"/>
      <c r="W5" s="255"/>
      <c r="X5" s="255"/>
      <c r="Y5" s="255"/>
      <c r="Z5" s="255"/>
      <c r="AA5" s="255"/>
      <c r="AB5" s="255"/>
      <c r="AC5" s="255"/>
      <c r="AD5" s="255"/>
      <c r="AE5" s="255"/>
      <c r="AF5" s="255"/>
      <c r="AG5" s="255"/>
      <c r="AH5" s="255"/>
      <c r="AI5" s="255"/>
      <c r="AJ5" s="255"/>
      <c r="AK5" s="255"/>
      <c r="AL5" s="257"/>
      <c r="AM5" s="255"/>
      <c r="AN5" s="255"/>
      <c r="AO5" s="255"/>
      <c r="AP5" s="255"/>
      <c r="AQ5" s="255"/>
      <c r="AR5" s="255"/>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row>
    <row r="6" spans="1:272" ht="27.75" customHeight="1" x14ac:dyDescent="0.2">
      <c r="A6" s="372" t="s">
        <v>211</v>
      </c>
      <c r="B6" s="373"/>
      <c r="C6" s="379" t="s">
        <v>83</v>
      </c>
      <c r="D6" s="380"/>
      <c r="E6" s="380"/>
      <c r="F6" s="380"/>
      <c r="G6" s="380"/>
      <c r="H6" s="380"/>
      <c r="I6" s="380"/>
      <c r="J6" s="380"/>
      <c r="K6" s="380"/>
      <c r="L6" s="380"/>
      <c r="M6" s="380"/>
      <c r="N6" s="380"/>
      <c r="O6" s="380"/>
      <c r="P6" s="380"/>
      <c r="Q6" s="380"/>
      <c r="R6" s="380"/>
      <c r="S6" s="380"/>
      <c r="T6" s="381"/>
      <c r="U6" s="263"/>
      <c r="V6" s="263"/>
      <c r="W6" s="378"/>
      <c r="X6" s="378"/>
      <c r="Y6" s="378"/>
      <c r="Z6" s="369"/>
      <c r="AA6" s="369"/>
      <c r="AB6" s="369"/>
      <c r="AC6" s="369"/>
      <c r="AD6" s="369"/>
      <c r="AE6" s="369"/>
      <c r="AF6" s="369"/>
      <c r="AG6" s="369"/>
      <c r="AH6" s="369"/>
      <c r="AI6" s="369"/>
      <c r="AJ6" s="369"/>
      <c r="AK6" s="369"/>
      <c r="AL6" s="369"/>
      <c r="AM6" s="369"/>
      <c r="AN6" s="369"/>
      <c r="AO6" s="369"/>
      <c r="AP6" s="369"/>
      <c r="AQ6" s="369"/>
      <c r="AR6" s="369"/>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row>
    <row r="7" spans="1:272" ht="36.75" customHeight="1" x14ac:dyDescent="0.25">
      <c r="A7" s="374" t="s">
        <v>212</v>
      </c>
      <c r="B7" s="375"/>
      <c r="C7" s="382" t="s">
        <v>426</v>
      </c>
      <c r="D7" s="383"/>
      <c r="E7" s="383"/>
      <c r="F7" s="383"/>
      <c r="G7" s="383"/>
      <c r="H7" s="383"/>
      <c r="I7" s="383"/>
      <c r="J7" s="383"/>
      <c r="K7" s="383"/>
      <c r="L7" s="383"/>
      <c r="M7" s="383"/>
      <c r="N7" s="383"/>
      <c r="O7" s="383"/>
      <c r="P7" s="383"/>
      <c r="Q7" s="383"/>
      <c r="R7" s="383"/>
      <c r="S7" s="383"/>
      <c r="T7" s="384"/>
      <c r="U7" s="259"/>
      <c r="V7" s="259"/>
      <c r="W7" s="260"/>
      <c r="X7" s="260"/>
      <c r="Y7" s="260"/>
      <c r="Z7" s="369"/>
      <c r="AA7" s="369"/>
      <c r="AB7" s="369"/>
      <c r="AC7" s="369"/>
      <c r="AD7" s="369"/>
      <c r="AE7" s="369"/>
      <c r="AF7" s="369"/>
      <c r="AG7" s="369"/>
      <c r="AH7" s="369"/>
      <c r="AI7" s="369"/>
      <c r="AJ7" s="369"/>
      <c r="AK7" s="369"/>
      <c r="AL7" s="369"/>
      <c r="AM7" s="369"/>
      <c r="AN7" s="369"/>
      <c r="AO7" s="369"/>
      <c r="AP7" s="369"/>
      <c r="AQ7" s="369"/>
      <c r="AR7" s="369"/>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row>
    <row r="8" spans="1:272" ht="30" customHeight="1" thickBot="1" x14ac:dyDescent="0.3">
      <c r="A8" s="376" t="s">
        <v>213</v>
      </c>
      <c r="B8" s="377"/>
      <c r="C8" s="389" t="s">
        <v>427</v>
      </c>
      <c r="D8" s="390"/>
      <c r="E8" s="390"/>
      <c r="F8" s="390"/>
      <c r="G8" s="390"/>
      <c r="H8" s="390"/>
      <c r="I8" s="390"/>
      <c r="J8" s="390"/>
      <c r="K8" s="390"/>
      <c r="L8" s="390"/>
      <c r="M8" s="390"/>
      <c r="N8" s="390"/>
      <c r="O8" s="390"/>
      <c r="P8" s="390"/>
      <c r="Q8" s="390"/>
      <c r="R8" s="390"/>
      <c r="S8" s="390"/>
      <c r="T8" s="391"/>
      <c r="U8" s="259"/>
      <c r="V8" s="259"/>
      <c r="W8" s="260"/>
      <c r="X8" s="260"/>
      <c r="Y8" s="260"/>
      <c r="Z8" s="369"/>
      <c r="AA8" s="369"/>
      <c r="AB8" s="369"/>
      <c r="AC8" s="369"/>
      <c r="AD8" s="369"/>
      <c r="AE8" s="369"/>
      <c r="AF8" s="369"/>
      <c r="AG8" s="369"/>
      <c r="AH8" s="369"/>
      <c r="AI8" s="369"/>
      <c r="AJ8" s="369"/>
      <c r="AK8" s="369"/>
      <c r="AL8" s="369"/>
      <c r="AM8" s="369"/>
      <c r="AN8" s="369"/>
      <c r="AO8" s="369"/>
      <c r="AP8" s="369"/>
      <c r="AQ8" s="369"/>
      <c r="AR8" s="369"/>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row>
    <row r="9" spans="1:272" ht="12" customHeight="1" x14ac:dyDescent="0.25">
      <c r="A9" s="206"/>
      <c r="B9" s="206"/>
      <c r="C9" s="207"/>
      <c r="D9" s="207"/>
      <c r="E9" s="207"/>
      <c r="F9" s="207"/>
      <c r="G9" s="207"/>
      <c r="H9" s="207"/>
      <c r="I9" s="207"/>
      <c r="J9" s="207"/>
      <c r="K9" s="207"/>
      <c r="L9" s="207"/>
      <c r="M9" s="207"/>
      <c r="N9" s="207"/>
      <c r="O9" s="207"/>
      <c r="P9" s="207"/>
      <c r="Q9" s="207"/>
      <c r="R9" s="207"/>
      <c r="S9" s="207"/>
      <c r="T9" s="207"/>
      <c r="U9" s="207"/>
      <c r="V9" s="207"/>
      <c r="W9" s="208"/>
      <c r="X9" s="208"/>
      <c r="Y9" s="208"/>
      <c r="Z9" s="209"/>
      <c r="AA9" s="209"/>
      <c r="AB9" s="209"/>
      <c r="AC9" s="209"/>
      <c r="AD9" s="209"/>
      <c r="AE9" s="209"/>
      <c r="AF9" s="209"/>
      <c r="AG9" s="209"/>
      <c r="AH9" s="209"/>
      <c r="AI9" s="209"/>
      <c r="AJ9" s="209"/>
      <c r="AK9" s="209"/>
      <c r="AL9" s="209"/>
      <c r="AM9" s="209"/>
      <c r="AN9" s="209"/>
      <c r="AO9" s="209"/>
      <c r="AP9" s="209"/>
      <c r="AQ9" s="209"/>
      <c r="AR9" s="209"/>
    </row>
    <row r="10" spans="1:272" ht="39" customHeight="1" x14ac:dyDescent="0.2">
      <c r="A10" s="385" t="s">
        <v>214</v>
      </c>
      <c r="B10" s="386"/>
      <c r="C10" s="386"/>
      <c r="D10" s="386"/>
      <c r="E10" s="386"/>
      <c r="F10" s="387"/>
      <c r="G10" s="342" t="s">
        <v>215</v>
      </c>
      <c r="H10" s="343"/>
      <c r="I10" s="343"/>
      <c r="J10" s="343"/>
      <c r="K10" s="344"/>
      <c r="L10" s="325" t="s">
        <v>216</v>
      </c>
      <c r="M10" s="326"/>
      <c r="N10" s="224"/>
      <c r="O10" s="224"/>
      <c r="P10" s="340" t="s">
        <v>217</v>
      </c>
      <c r="Q10" s="340"/>
      <c r="R10" s="340"/>
      <c r="S10" s="340"/>
      <c r="T10" s="340"/>
      <c r="U10" s="340"/>
      <c r="V10" s="340"/>
      <c r="W10" s="340" t="s">
        <v>218</v>
      </c>
      <c r="X10" s="340"/>
      <c r="Y10" s="340"/>
      <c r="Z10" s="340"/>
      <c r="AA10" s="340"/>
      <c r="AB10" s="340"/>
      <c r="AC10" s="340"/>
      <c r="AD10" s="340"/>
      <c r="AE10" s="340"/>
      <c r="AF10" s="327" t="s">
        <v>219</v>
      </c>
      <c r="AG10" s="328"/>
      <c r="AH10" s="328"/>
      <c r="AI10" s="328"/>
      <c r="AJ10" s="329"/>
      <c r="AK10" s="327" t="s">
        <v>423</v>
      </c>
      <c r="AL10" s="328"/>
      <c r="AM10" s="328"/>
      <c r="AN10" s="328"/>
      <c r="AO10" s="329"/>
      <c r="AP10" s="327" t="s">
        <v>424</v>
      </c>
      <c r="AQ10" s="328"/>
      <c r="AR10" s="329"/>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row>
    <row r="11" spans="1:272" ht="26.25" customHeight="1" x14ac:dyDescent="0.2">
      <c r="A11" s="358" t="s">
        <v>222</v>
      </c>
      <c r="B11" s="359" t="s">
        <v>15</v>
      </c>
      <c r="C11" s="360" t="s">
        <v>17</v>
      </c>
      <c r="D11" s="360" t="s">
        <v>19</v>
      </c>
      <c r="E11" s="359" t="s">
        <v>21</v>
      </c>
      <c r="F11" s="360" t="s">
        <v>23</v>
      </c>
      <c r="G11" s="361" t="s">
        <v>124</v>
      </c>
      <c r="H11" s="361" t="s">
        <v>280</v>
      </c>
      <c r="I11" s="361" t="s">
        <v>224</v>
      </c>
      <c r="J11" s="361" t="s">
        <v>225</v>
      </c>
      <c r="K11" s="361" t="s">
        <v>226</v>
      </c>
      <c r="L11" s="325"/>
      <c r="M11" s="326"/>
      <c r="N11" s="323" t="s">
        <v>227</v>
      </c>
      <c r="O11" s="323" t="s">
        <v>228</v>
      </c>
      <c r="P11" s="350" t="s">
        <v>229</v>
      </c>
      <c r="Q11" s="323" t="s">
        <v>230</v>
      </c>
      <c r="R11" s="323" t="s">
        <v>231</v>
      </c>
      <c r="S11" s="323" t="s">
        <v>232</v>
      </c>
      <c r="T11" s="350" t="s">
        <v>229</v>
      </c>
      <c r="U11" s="323" t="s">
        <v>29</v>
      </c>
      <c r="V11" s="336" t="s">
        <v>233</v>
      </c>
      <c r="W11" s="323" t="s">
        <v>31</v>
      </c>
      <c r="X11" s="323" t="s">
        <v>33</v>
      </c>
      <c r="Y11" s="323" t="s">
        <v>234</v>
      </c>
      <c r="Z11" s="323"/>
      <c r="AA11" s="323"/>
      <c r="AB11" s="323"/>
      <c r="AC11" s="323"/>
      <c r="AD11" s="323"/>
      <c r="AE11" s="336" t="s">
        <v>235</v>
      </c>
      <c r="AF11" s="336" t="s">
        <v>236</v>
      </c>
      <c r="AG11" s="336" t="s">
        <v>229</v>
      </c>
      <c r="AH11" s="336" t="s">
        <v>237</v>
      </c>
      <c r="AI11" s="336" t="s">
        <v>229</v>
      </c>
      <c r="AJ11" s="336" t="s">
        <v>238</v>
      </c>
      <c r="AK11" s="336" t="s">
        <v>49</v>
      </c>
      <c r="AL11" s="323" t="s">
        <v>239</v>
      </c>
      <c r="AM11" s="323" t="s">
        <v>240</v>
      </c>
      <c r="AN11" s="323" t="s">
        <v>241</v>
      </c>
      <c r="AO11" s="323" t="s">
        <v>242</v>
      </c>
      <c r="AP11" s="323" t="s">
        <v>239</v>
      </c>
      <c r="AQ11" s="323" t="s">
        <v>241</v>
      </c>
      <c r="AR11" s="323" t="s">
        <v>240</v>
      </c>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row>
    <row r="12" spans="1:272" s="213" customFormat="1" ht="73.5" customHeight="1" x14ac:dyDescent="0.25">
      <c r="A12" s="358"/>
      <c r="B12" s="359"/>
      <c r="C12" s="360"/>
      <c r="D12" s="360"/>
      <c r="E12" s="359"/>
      <c r="F12" s="360"/>
      <c r="G12" s="362"/>
      <c r="H12" s="362"/>
      <c r="I12" s="362"/>
      <c r="J12" s="362"/>
      <c r="K12" s="362"/>
      <c r="L12" s="250" t="s">
        <v>425</v>
      </c>
      <c r="M12" s="250" t="s">
        <v>246</v>
      </c>
      <c r="N12" s="323"/>
      <c r="O12" s="323"/>
      <c r="P12" s="350"/>
      <c r="Q12" s="350"/>
      <c r="R12" s="323"/>
      <c r="S12" s="350"/>
      <c r="T12" s="350"/>
      <c r="U12" s="323"/>
      <c r="V12" s="336"/>
      <c r="W12" s="323"/>
      <c r="X12" s="323"/>
      <c r="Y12" s="210" t="s">
        <v>247</v>
      </c>
      <c r="Z12" s="210" t="s">
        <v>248</v>
      </c>
      <c r="AA12" s="210" t="s">
        <v>249</v>
      </c>
      <c r="AB12" s="210" t="s">
        <v>250</v>
      </c>
      <c r="AC12" s="210" t="s">
        <v>251</v>
      </c>
      <c r="AD12" s="210" t="s">
        <v>252</v>
      </c>
      <c r="AE12" s="336"/>
      <c r="AF12" s="336"/>
      <c r="AG12" s="336"/>
      <c r="AH12" s="336"/>
      <c r="AI12" s="336"/>
      <c r="AJ12" s="336"/>
      <c r="AK12" s="336"/>
      <c r="AL12" s="323"/>
      <c r="AM12" s="323"/>
      <c r="AN12" s="323"/>
      <c r="AO12" s="323"/>
      <c r="AP12" s="323"/>
      <c r="AQ12" s="323"/>
      <c r="AR12" s="323"/>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c r="FU12" s="212"/>
      <c r="FV12" s="212"/>
      <c r="FW12" s="212"/>
      <c r="FX12" s="212"/>
      <c r="FY12" s="212"/>
      <c r="FZ12" s="212"/>
      <c r="GA12" s="212"/>
      <c r="GB12" s="212"/>
      <c r="GC12" s="212"/>
      <c r="GD12" s="212"/>
      <c r="GE12" s="212"/>
      <c r="GF12" s="212"/>
      <c r="GG12" s="212"/>
      <c r="GH12" s="212"/>
      <c r="GI12" s="212"/>
      <c r="GJ12" s="212"/>
      <c r="GK12" s="212"/>
      <c r="GL12" s="212"/>
      <c r="GM12" s="212"/>
      <c r="GN12" s="212"/>
      <c r="GO12" s="212"/>
      <c r="GP12" s="212"/>
      <c r="GQ12" s="212"/>
      <c r="GR12" s="212"/>
      <c r="GS12" s="212"/>
      <c r="GT12" s="212"/>
      <c r="GU12" s="212"/>
      <c r="GV12" s="212"/>
      <c r="GW12" s="212"/>
      <c r="GX12" s="212"/>
      <c r="GY12" s="212"/>
      <c r="GZ12" s="212"/>
      <c r="HA12" s="212"/>
      <c r="HB12" s="212"/>
      <c r="HC12" s="212"/>
      <c r="HD12" s="212"/>
      <c r="HE12" s="212"/>
      <c r="HF12" s="212"/>
      <c r="HG12" s="212"/>
      <c r="HH12" s="212"/>
      <c r="HI12" s="212"/>
      <c r="HJ12" s="212"/>
      <c r="HK12" s="212"/>
      <c r="HL12" s="212"/>
      <c r="HM12" s="212"/>
      <c r="HN12" s="212"/>
      <c r="HO12" s="212"/>
      <c r="HP12" s="212"/>
      <c r="HQ12" s="212"/>
      <c r="HR12" s="212"/>
      <c r="HS12" s="212"/>
      <c r="HT12" s="212"/>
      <c r="HU12" s="212"/>
      <c r="HV12" s="212"/>
      <c r="HW12" s="212"/>
      <c r="HX12" s="212"/>
      <c r="HY12" s="212"/>
      <c r="HZ12" s="212"/>
      <c r="IA12" s="212"/>
      <c r="IB12" s="212"/>
      <c r="IC12" s="212"/>
      <c r="ID12" s="212"/>
      <c r="IE12" s="212"/>
      <c r="IF12" s="212"/>
      <c r="IG12" s="212"/>
      <c r="IH12" s="212"/>
      <c r="II12" s="212"/>
      <c r="IJ12" s="212"/>
      <c r="IK12" s="212"/>
      <c r="IL12" s="212"/>
      <c r="IM12" s="212"/>
      <c r="IN12" s="212"/>
      <c r="IO12" s="212"/>
      <c r="IP12" s="212"/>
      <c r="IQ12" s="212"/>
      <c r="IR12" s="212"/>
      <c r="IS12" s="212"/>
      <c r="IT12" s="212"/>
      <c r="IU12" s="212"/>
      <c r="IV12" s="212"/>
      <c r="IW12" s="212"/>
      <c r="IX12" s="212"/>
      <c r="IY12" s="212"/>
      <c r="IZ12" s="212"/>
      <c r="JA12" s="212"/>
      <c r="JB12" s="212"/>
      <c r="JC12" s="212"/>
      <c r="JD12" s="212"/>
      <c r="JE12" s="212"/>
      <c r="JF12" s="212"/>
      <c r="JG12" s="212"/>
      <c r="JH12" s="212"/>
      <c r="JI12" s="212"/>
      <c r="JJ12" s="212"/>
      <c r="JK12" s="212"/>
      <c r="JL12" s="212"/>
    </row>
    <row r="13" spans="1:272" s="215" customFormat="1" ht="188.25" customHeight="1" x14ac:dyDescent="0.25">
      <c r="A13" s="363">
        <v>1</v>
      </c>
      <c r="B13" s="345" t="s">
        <v>122</v>
      </c>
      <c r="C13" s="345" t="s">
        <v>433</v>
      </c>
      <c r="D13" s="345" t="s">
        <v>434</v>
      </c>
      <c r="E13" s="346" t="s">
        <v>478</v>
      </c>
      <c r="F13" s="345" t="s">
        <v>149</v>
      </c>
      <c r="G13" s="330" t="s">
        <v>127</v>
      </c>
      <c r="H13" s="330" t="s">
        <v>483</v>
      </c>
      <c r="I13" s="330" t="s">
        <v>467</v>
      </c>
      <c r="J13" s="330" t="s">
        <v>468</v>
      </c>
      <c r="K13" s="330" t="s">
        <v>469</v>
      </c>
      <c r="L13" s="330" t="s">
        <v>133</v>
      </c>
      <c r="M13" s="330" t="s">
        <v>141</v>
      </c>
      <c r="N13" s="341">
        <v>365</v>
      </c>
      <c r="O13" s="335" t="str">
        <f>IF(N13&lt;=0,"",IF(N13&lt;=2,"Muy Baja",IF(N13&lt;=24,"Baja",IF(N13&lt;=500,"Media",IF(N13&lt;=5000,"Alta","Muy Alta")))))</f>
        <v>Media</v>
      </c>
      <c r="P13" s="334">
        <f>IF(O13="","",IF(O13="Muy Baja",0.2,IF(O13="Baja",0.4,IF(O13="Media",0.6,IF(O13="Alta",0.8,IF(O13="Muy Alta",1,))))))</f>
        <v>0.6</v>
      </c>
      <c r="Q13" s="324" t="s">
        <v>253</v>
      </c>
      <c r="R13" s="334" t="str">
        <f>IF(NOT(ISERROR(MATCH(Q13,'Tabla Impacto'!$B$222:$B$224,0))),'Tabla Impacto'!$F$224&amp;"Por favor no seleccionar los criterios de impacto(Afectación Económica o presupuestal y Pérdida Reputacional)",Q13)</f>
        <v xml:space="preserve">     El riesgo afecta la imagen de la entidad con algunos usuarios de relevancia frente al logro de los objetivos</v>
      </c>
      <c r="S13" s="335" t="str">
        <f>IF(OR(R13='Tabla Impacto'!$C$12,R13='Tabla Impacto'!$D$12),"Leve",IF(OR(R13='Tabla Impacto'!$C$13,R13='Tabla Impacto'!$D$13),"Menor",IF(OR(R13='Tabla Impacto'!$C$14,R13='Tabla Impacto'!$D$14),"Moderado",IF(OR(R13='Tabla Impacto'!$C$15,R13='Tabla Impacto'!$D$15),"Mayor",IF(OR(R13='Tabla Impacto'!$C$16,R13='Tabla Impacto'!$D$16),"Catastrófico","")))))</f>
        <v>Moderado</v>
      </c>
      <c r="T13" s="334">
        <f>IF(S13="","",IF(S13="Leve",0.2,IF(S13="Menor",0.4,IF(S13="Moderado",0.6,IF(S13="Mayor",0.8,IF(S13="Catastrófico",1,))))))</f>
        <v>0.6</v>
      </c>
      <c r="U13" s="333"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Moderado</v>
      </c>
      <c r="V13" s="214">
        <v>1</v>
      </c>
      <c r="W13" s="240" t="s">
        <v>470</v>
      </c>
      <c r="X13" s="189" t="str">
        <f t="shared" ref="X13:X18" si="0">IF(OR(Y13="Preventivo",Y13="Detectivo"),"Probabilidad",IF(Y13="Correctivo","Impacto",""))</f>
        <v>Probabilidad</v>
      </c>
      <c r="Y13" s="190" t="s">
        <v>254</v>
      </c>
      <c r="Z13" s="190" t="s">
        <v>255</v>
      </c>
      <c r="AA13" s="191" t="str">
        <f>IF(AND(Y13="Preventivo",Z13="Automático"),"50%",IF(AND(Y13="Preventivo",Z13="Manual"),"40%",IF(AND(Y13="Detectivo",Z13="Automático"),"40%",IF(AND(Y13="Detectivo",Z13="Manual"),"30%",IF(AND(Y13="Correctivo",Z13="Automático"),"35%",IF(AND(Y13="Correctivo",Z13="Manual"),"25%",""))))))</f>
        <v>40%</v>
      </c>
      <c r="AB13" s="190" t="s">
        <v>256</v>
      </c>
      <c r="AC13" s="190" t="s">
        <v>257</v>
      </c>
      <c r="AD13" s="190" t="s">
        <v>258</v>
      </c>
      <c r="AE13" s="192">
        <f>IFERROR(IF(X13="Probabilidad",(P13-(+P13*AA13)),IF(X13="Impacto",P13,"")),"")</f>
        <v>0.36</v>
      </c>
      <c r="AF13" s="193" t="str">
        <f>IFERROR(IF(AE13="","",IF(AE13&lt;=0.2,"Muy Baja",IF(AE13&lt;=0.4,"Baja",IF(AE13&lt;=0.6,"Media",IF(AE13&lt;=0.8,"Alta","Muy Alta"))))),"")</f>
        <v>Baja</v>
      </c>
      <c r="AG13" s="191">
        <f>+AE13</f>
        <v>0.36</v>
      </c>
      <c r="AH13" s="193" t="str">
        <f>IFERROR(IF(AI13="","",IF(AI13&lt;=0.2,"Leve",IF(AI13&lt;=0.4,"Menor",IF(AI13&lt;=0.6,"Moderado",IF(AI13&lt;=0.8,"Mayor","Catastrófico"))))),"")</f>
        <v>Moderado</v>
      </c>
      <c r="AI13" s="191">
        <f>IFERROR(IF(X13="Impacto",(T13-(+T13*AA13)),IF(X13="Probabilidad",T13,"")),"")</f>
        <v>0.6</v>
      </c>
      <c r="AJ13" s="194" t="str">
        <f>IFERROR(IF(OR(AND(AF13="Muy Baja",AH13="Leve"),AND(AF13="Muy Baja",AH13="Menor"),AND(AF13="Baja",AH13="Leve")),"Bajo",IF(OR(AND(AF13="Muy baja",AH13="Moderado"),AND(AF13="Baja",AH13="Menor"),AND(AF13="Baja",AH13="Moderado"),AND(AF13="Media",AH13="Leve"),AND(AF13="Media",AH13="Menor"),AND(AF13="Media",AH13="Moderado"),AND(AF13="Alta",AH13="Leve"),AND(AF13="Alta",AH13="Menor")),"Moderado",IF(OR(AND(AF13="Muy Baja",AH13="Mayor"),AND(AF13="Baja",AH13="Mayor"),AND(AF13="Media",AH13="Mayor"),AND(AF13="Alta",AH13="Moderado"),AND(AF13="Alta",AH13="Mayor"),AND(AF13="Muy Alta",AH13="Leve"),AND(AF13="Muy Alta",AH13="Menor"),AND(AF13="Muy Alta",AH13="Moderado"),AND(AF13="Muy Alta",AH13="Mayor")),"Alto",IF(OR(AND(AF13="Muy Baja",AH13="Catastrófico"),AND(AF13="Baja",AH13="Catastrófico"),AND(AF13="Media",AH13="Catastrófico"),AND(AF13="Alta",AH13="Catastrófico"),AND(AF13="Muy Alta",AH13="Catastrófico")),"Extremo","")))),"")</f>
        <v>Moderado</v>
      </c>
      <c r="AK13" s="195" t="s">
        <v>123</v>
      </c>
      <c r="AL13" s="337" t="s">
        <v>473</v>
      </c>
      <c r="AM13" s="337" t="s">
        <v>474</v>
      </c>
      <c r="AN13" s="337" t="s">
        <v>435</v>
      </c>
      <c r="AO13" s="563">
        <v>45107</v>
      </c>
      <c r="AP13" s="345" t="s">
        <v>436</v>
      </c>
      <c r="AQ13" s="345" t="s">
        <v>437</v>
      </c>
      <c r="AR13" s="345" t="s">
        <v>438</v>
      </c>
    </row>
    <row r="14" spans="1:272" ht="114.75" customHeight="1" x14ac:dyDescent="0.2">
      <c r="A14" s="363"/>
      <c r="B14" s="345"/>
      <c r="C14" s="345"/>
      <c r="D14" s="345"/>
      <c r="E14" s="346"/>
      <c r="F14" s="345"/>
      <c r="G14" s="331"/>
      <c r="H14" s="331"/>
      <c r="I14" s="331"/>
      <c r="J14" s="331"/>
      <c r="K14" s="331"/>
      <c r="L14" s="331"/>
      <c r="M14" s="331"/>
      <c r="N14" s="341"/>
      <c r="O14" s="335"/>
      <c r="P14" s="334"/>
      <c r="Q14" s="324"/>
      <c r="R14" s="334">
        <f>IF(NOT(ISERROR(MATCH(Q14,_xlfn.ANCHORARRAY(E25),0))),P27&amp;"Por favor no seleccionar los criterios de impacto",Q14)</f>
        <v>0</v>
      </c>
      <c r="S14" s="335"/>
      <c r="T14" s="334"/>
      <c r="U14" s="333"/>
      <c r="V14" s="214">
        <v>2</v>
      </c>
      <c r="W14" s="240" t="s">
        <v>471</v>
      </c>
      <c r="X14" s="189" t="str">
        <f t="shared" si="0"/>
        <v>Probabilidad</v>
      </c>
      <c r="Y14" s="190" t="s">
        <v>259</v>
      </c>
      <c r="Z14" s="190" t="s">
        <v>255</v>
      </c>
      <c r="AA14" s="191" t="str">
        <f>IF(AND(Y14="Preventivo",Z14="Automático"),"50%",IF(AND(Y14="Preventivo",Z14="Manual"),"40%",IF(AND(Y14="Detectivo",Z14="Automático"),"40%",IF(AND(Y14="Detectivo",Z14="Manual"),"30%",IF(AND(Y14="Correctivo",Z14="Automático"),"35%",IF(AND(Y14="Correctivo",Z14="Manual"),"25%",""))))))</f>
        <v>30%</v>
      </c>
      <c r="AB14" s="190" t="s">
        <v>256</v>
      </c>
      <c r="AC14" s="190" t="s">
        <v>257</v>
      </c>
      <c r="AD14" s="190" t="s">
        <v>258</v>
      </c>
      <c r="AE14" s="192">
        <f>IFERROR(IF(AND(X13="Probabilidad",X14="Probabilidad"),(AG13-(+AG13*AA14)),IF(X14="Probabilidad",(P13-(+P13*AA14)),IF(X14="Impacto",AG13,""))),"")</f>
        <v>0.252</v>
      </c>
      <c r="AF14" s="193" t="str">
        <f t="shared" ref="AF14:AF72" si="1">IFERROR(IF(AE14="","",IF(AE14&lt;=0.2,"Muy Baja",IF(AE14&lt;=0.4,"Baja",IF(AE14&lt;=0.6,"Media",IF(AE14&lt;=0.8,"Alta","Muy Alta"))))),"")</f>
        <v>Baja</v>
      </c>
      <c r="AG14" s="191">
        <f t="shared" ref="AG14:AG18" si="2">+AE14</f>
        <v>0.252</v>
      </c>
      <c r="AH14" s="193" t="str">
        <f t="shared" ref="AH14:AH72" si="3">IFERROR(IF(AI14="","",IF(AI14&lt;=0.2,"Leve",IF(AI14&lt;=0.4,"Menor",IF(AI14&lt;=0.6,"Moderado",IF(AI14&lt;=0.8,"Mayor","Catastrófico"))))),"")</f>
        <v>Moderado</v>
      </c>
      <c r="AI14" s="191">
        <f>IFERROR(IF(AND(X13="Impacto",X14="Impacto"),(AI13-(+AI13*AA14)),IF(X14="Impacto",($T$13-(+$T$13*AA14)),IF(X14="Probabilidad",AI13,""))),"")</f>
        <v>0.6</v>
      </c>
      <c r="AJ14" s="194" t="str">
        <f t="shared" ref="AJ14:AJ18" si="4">IFERROR(IF(OR(AND(AF14="Muy Baja",AH14="Leve"),AND(AF14="Muy Baja",AH14="Menor"),AND(AF14="Baja",AH14="Leve")),"Bajo",IF(OR(AND(AF14="Muy baja",AH14="Moderado"),AND(AF14="Baja",AH14="Menor"),AND(AF14="Baja",AH14="Moderado"),AND(AF14="Media",AH14="Leve"),AND(AF14="Media",AH14="Menor"),AND(AF14="Media",AH14="Moderado"),AND(AF14="Alta",AH14="Leve"),AND(AF14="Alta",AH14="Menor")),"Moderado",IF(OR(AND(AF14="Muy Baja",AH14="Mayor"),AND(AF14="Baja",AH14="Mayor"),AND(AF14="Media",AH14="Mayor"),AND(AF14="Alta",AH14="Moderado"),AND(AF14="Alta",AH14="Mayor"),AND(AF14="Muy Alta",AH14="Leve"),AND(AF14="Muy Alta",AH14="Menor"),AND(AF14="Muy Alta",AH14="Moderado"),AND(AF14="Muy Alta",AH14="Mayor")),"Alto",IF(OR(AND(AF14="Muy Baja",AH14="Catastrófico"),AND(AF14="Baja",AH14="Catastrófico"),AND(AF14="Media",AH14="Catastrófico"),AND(AF14="Alta",AH14="Catastrófico"),AND(AF14="Muy Alta",AH14="Catastrófico")),"Extremo","")))),"")</f>
        <v>Moderado</v>
      </c>
      <c r="AK14" s="195" t="s">
        <v>123</v>
      </c>
      <c r="AL14" s="338"/>
      <c r="AM14" s="338"/>
      <c r="AN14" s="338"/>
      <c r="AO14" s="564"/>
      <c r="AP14" s="345"/>
      <c r="AQ14" s="345"/>
      <c r="AR14" s="345"/>
    </row>
    <row r="15" spans="1:272" ht="127.5" customHeight="1" x14ac:dyDescent="0.2">
      <c r="A15" s="363"/>
      <c r="B15" s="345"/>
      <c r="C15" s="345"/>
      <c r="D15" s="345"/>
      <c r="E15" s="346"/>
      <c r="F15" s="345"/>
      <c r="G15" s="331"/>
      <c r="H15" s="331"/>
      <c r="I15" s="331"/>
      <c r="J15" s="331"/>
      <c r="K15" s="331"/>
      <c r="L15" s="331"/>
      <c r="M15" s="331"/>
      <c r="N15" s="341"/>
      <c r="O15" s="335"/>
      <c r="P15" s="334"/>
      <c r="Q15" s="324"/>
      <c r="R15" s="334">
        <f>IF(NOT(ISERROR(MATCH(Q15,_xlfn.ANCHORARRAY(E26),0))),P28&amp;"Por favor no seleccionar los criterios de impacto",Q15)</f>
        <v>0</v>
      </c>
      <c r="S15" s="335"/>
      <c r="T15" s="334"/>
      <c r="U15" s="333"/>
      <c r="V15" s="214">
        <v>3</v>
      </c>
      <c r="W15" s="188" t="s">
        <v>472</v>
      </c>
      <c r="X15" s="189" t="str">
        <f t="shared" si="0"/>
        <v>Probabilidad</v>
      </c>
      <c r="Y15" s="190" t="s">
        <v>254</v>
      </c>
      <c r="Z15" s="190" t="s">
        <v>255</v>
      </c>
      <c r="AA15" s="191" t="str">
        <f>IF(AND(Y15="Preventivo",Z15="Automático"),"50%",IF(AND(Y15="Preventivo",Z15="Manual"),"40%",IF(AND(Y15="Detectivo",Z15="Automático"),"40%",IF(AND(Y15="Detectivo",Z15="Manual"),"30%",IF(AND(Y15="Correctivo",Z15="Automático"),"35%",IF(AND(Y15="Correctivo",Z15="Manual"),"25%",""))))))</f>
        <v>40%</v>
      </c>
      <c r="AB15" s="190" t="s">
        <v>256</v>
      </c>
      <c r="AC15" s="190" t="s">
        <v>257</v>
      </c>
      <c r="AD15" s="190" t="s">
        <v>258</v>
      </c>
      <c r="AE15" s="192">
        <f>IFERROR(IF(AND(X14="Probabilidad",X15="Probabilidad"),(AG14-(+AG14*AA15)),IF(AND(X14="Impacto",X15="Probabilidad"),(AG13-(+AG13*AA15)),IF(X15="Impacto",AG14,""))),"")</f>
        <v>0.1512</v>
      </c>
      <c r="AF15" s="193" t="str">
        <f t="shared" si="1"/>
        <v>Muy Baja</v>
      </c>
      <c r="AG15" s="191">
        <f t="shared" si="2"/>
        <v>0.1512</v>
      </c>
      <c r="AH15" s="193" t="str">
        <f t="shared" si="3"/>
        <v>Moderado</v>
      </c>
      <c r="AI15" s="191">
        <f>IFERROR(IF(AND(X14="Impacto",X15="Impacto"),(AI14-(+AI14*AA15)),IF(AND(X14="Probabilidad",X15="Impacto"),(AI13-(+AI13*AA15)),IF(X15="Probabilidad",AI14,""))),"")</f>
        <v>0.6</v>
      </c>
      <c r="AJ15" s="194" t="str">
        <f t="shared" si="4"/>
        <v>Moderado</v>
      </c>
      <c r="AK15" s="195" t="s">
        <v>123</v>
      </c>
      <c r="AL15" s="339"/>
      <c r="AM15" s="339"/>
      <c r="AN15" s="339"/>
      <c r="AO15" s="565"/>
      <c r="AP15" s="345"/>
      <c r="AQ15" s="345"/>
      <c r="AR15" s="345"/>
    </row>
    <row r="16" spans="1:272" hidden="1" x14ac:dyDescent="0.2">
      <c r="A16" s="363"/>
      <c r="B16" s="345"/>
      <c r="C16" s="345"/>
      <c r="D16" s="345"/>
      <c r="E16" s="346"/>
      <c r="F16" s="345"/>
      <c r="G16" s="331"/>
      <c r="H16" s="331"/>
      <c r="I16" s="331"/>
      <c r="J16" s="331"/>
      <c r="K16" s="331"/>
      <c r="L16" s="331"/>
      <c r="M16" s="331"/>
      <c r="N16" s="341"/>
      <c r="O16" s="335"/>
      <c r="P16" s="334"/>
      <c r="Q16" s="324"/>
      <c r="R16" s="334">
        <f>IF(NOT(ISERROR(MATCH(Q16,_xlfn.ANCHORARRAY(E27),0))),P29&amp;"Por favor no seleccionar los criterios de impacto",Q16)</f>
        <v>0</v>
      </c>
      <c r="S16" s="335"/>
      <c r="T16" s="334"/>
      <c r="U16" s="333"/>
      <c r="V16" s="214">
        <v>4</v>
      </c>
      <c r="W16" s="187"/>
      <c r="X16" s="189" t="str">
        <f t="shared" si="0"/>
        <v/>
      </c>
      <c r="Y16" s="190"/>
      <c r="Z16" s="190"/>
      <c r="AA16" s="191" t="str">
        <f t="shared" ref="AA16:AA18" si="5">IF(AND(Y16="Preventivo",Z16="Automático"),"50%",IF(AND(Y16="Preventivo",Z16="Manual"),"40%",IF(AND(Y16="Detectivo",Z16="Automático"),"40%",IF(AND(Y16="Detectivo",Z16="Manual"),"30%",IF(AND(Y16="Correctivo",Z16="Automático"),"35%",IF(AND(Y16="Correctivo",Z16="Manual"),"25%",""))))))</f>
        <v/>
      </c>
      <c r="AB16" s="190"/>
      <c r="AC16" s="190"/>
      <c r="AD16" s="190"/>
      <c r="AE16" s="192" t="str">
        <f t="shared" ref="AE16:AE18" si="6">IFERROR(IF(AND(X15="Probabilidad",X16="Probabilidad"),(AG15-(+AG15*AA16)),IF(AND(X15="Impacto",X16="Probabilidad"),(AG14-(+AG14*AA16)),IF(X16="Impacto",AG15,""))),"")</f>
        <v/>
      </c>
      <c r="AF16" s="193" t="str">
        <f t="shared" si="1"/>
        <v/>
      </c>
      <c r="AG16" s="191" t="str">
        <f t="shared" si="2"/>
        <v/>
      </c>
      <c r="AH16" s="193" t="str">
        <f t="shared" si="3"/>
        <v/>
      </c>
      <c r="AI16" s="191" t="str">
        <f t="shared" ref="AI16:AI18" si="7">IFERROR(IF(AND(X15="Impacto",X16="Impacto"),(AI15-(+AI15*AA16)),IF(AND(X15="Probabilidad",X16="Impacto"),(AI14-(+AI14*AA16)),IF(X16="Probabilidad",AI15,""))),"")</f>
        <v/>
      </c>
      <c r="AJ16" s="194" t="str">
        <f>IFERROR(IF(OR(AND(AF16="Muy Baja",AH16="Leve"),AND(AF16="Muy Baja",AH16="Menor"),AND(AF16="Baja",AH16="Leve")),"Bajo",IF(OR(AND(AF16="Muy baja",AH16="Moderado"),AND(AF16="Baja",AH16="Menor"),AND(AF16="Baja",AH16="Moderado"),AND(AF16="Media",AH16="Leve"),AND(AF16="Media",AH16="Menor"),AND(AF16="Media",AH16="Moderado"),AND(AF16="Alta",AH16="Leve"),AND(AF16="Alta",AH16="Menor")),"Moderado",IF(OR(AND(AF16="Muy Baja",AH16="Mayor"),AND(AF16="Baja",AH16="Mayor"),AND(AF16="Media",AH16="Mayor"),AND(AF16="Alta",AH16="Moderado"),AND(AF16="Alta",AH16="Mayor"),AND(AF16="Muy Alta",AH16="Leve"),AND(AF16="Muy Alta",AH16="Menor"),AND(AF16="Muy Alta",AH16="Moderado"),AND(AF16="Muy Alta",AH16="Mayor")),"Alto",IF(OR(AND(AF16="Muy Baja",AH16="Catastrófico"),AND(AF16="Baja",AH16="Catastrófico"),AND(AF16="Media",AH16="Catastrófico"),AND(AF16="Alta",AH16="Catastrófico"),AND(AF16="Muy Alta",AH16="Catastrófico")),"Extremo","")))),"")</f>
        <v/>
      </c>
      <c r="AK16" s="195"/>
      <c r="AL16" s="186"/>
      <c r="AM16" s="196"/>
      <c r="AN16" s="196"/>
      <c r="AO16" s="197"/>
      <c r="AP16" s="345"/>
      <c r="AQ16" s="345"/>
      <c r="AR16" s="345"/>
    </row>
    <row r="17" spans="1:44" hidden="1" x14ac:dyDescent="0.2">
      <c r="A17" s="363"/>
      <c r="B17" s="345"/>
      <c r="C17" s="345"/>
      <c r="D17" s="345"/>
      <c r="E17" s="346"/>
      <c r="F17" s="345"/>
      <c r="G17" s="331"/>
      <c r="H17" s="331"/>
      <c r="I17" s="331"/>
      <c r="J17" s="331"/>
      <c r="K17" s="331"/>
      <c r="L17" s="331"/>
      <c r="M17" s="331"/>
      <c r="N17" s="341"/>
      <c r="O17" s="335"/>
      <c r="P17" s="334"/>
      <c r="Q17" s="324"/>
      <c r="R17" s="334">
        <f>IF(NOT(ISERROR(MATCH(Q17,_xlfn.ANCHORARRAY(E28),0))),P30&amp;"Por favor no seleccionar los criterios de impacto",Q17)</f>
        <v>0</v>
      </c>
      <c r="S17" s="335"/>
      <c r="T17" s="334"/>
      <c r="U17" s="333"/>
      <c r="V17" s="214">
        <v>5</v>
      </c>
      <c r="W17" s="187"/>
      <c r="X17" s="189" t="str">
        <f t="shared" si="0"/>
        <v/>
      </c>
      <c r="Y17" s="190"/>
      <c r="Z17" s="190"/>
      <c r="AA17" s="191" t="str">
        <f t="shared" si="5"/>
        <v/>
      </c>
      <c r="AB17" s="190"/>
      <c r="AC17" s="190"/>
      <c r="AD17" s="190"/>
      <c r="AE17" s="192" t="str">
        <f t="shared" si="6"/>
        <v/>
      </c>
      <c r="AF17" s="193" t="str">
        <f t="shared" si="1"/>
        <v/>
      </c>
      <c r="AG17" s="191" t="str">
        <f t="shared" si="2"/>
        <v/>
      </c>
      <c r="AH17" s="193" t="str">
        <f t="shared" si="3"/>
        <v/>
      </c>
      <c r="AI17" s="191" t="str">
        <f t="shared" si="7"/>
        <v/>
      </c>
      <c r="AJ17" s="194" t="str">
        <f t="shared" si="4"/>
        <v/>
      </c>
      <c r="AK17" s="195"/>
      <c r="AL17" s="186"/>
      <c r="AM17" s="196"/>
      <c r="AN17" s="196"/>
      <c r="AO17" s="197"/>
      <c r="AP17" s="345"/>
      <c r="AQ17" s="345"/>
      <c r="AR17" s="345"/>
    </row>
    <row r="18" spans="1:44" ht="37.5" hidden="1" customHeight="1" x14ac:dyDescent="0.2">
      <c r="A18" s="363"/>
      <c r="B18" s="345"/>
      <c r="C18" s="345"/>
      <c r="D18" s="345"/>
      <c r="E18" s="346"/>
      <c r="F18" s="345"/>
      <c r="G18" s="332"/>
      <c r="H18" s="332"/>
      <c r="I18" s="332"/>
      <c r="J18" s="332"/>
      <c r="K18" s="332"/>
      <c r="L18" s="332"/>
      <c r="M18" s="332"/>
      <c r="N18" s="341"/>
      <c r="O18" s="335"/>
      <c r="P18" s="334"/>
      <c r="Q18" s="324"/>
      <c r="R18" s="334">
        <f>IF(NOT(ISERROR(MATCH(Q18,_xlfn.ANCHORARRAY(E29),0))),P31&amp;"Por favor no seleccionar los criterios de impacto",Q18)</f>
        <v>0</v>
      </c>
      <c r="S18" s="335"/>
      <c r="T18" s="334"/>
      <c r="U18" s="333"/>
      <c r="V18" s="214">
        <v>6</v>
      </c>
      <c r="W18" s="187"/>
      <c r="X18" s="189" t="str">
        <f t="shared" si="0"/>
        <v/>
      </c>
      <c r="Y18" s="190"/>
      <c r="Z18" s="190"/>
      <c r="AA18" s="191" t="str">
        <f t="shared" si="5"/>
        <v/>
      </c>
      <c r="AB18" s="190"/>
      <c r="AC18" s="190"/>
      <c r="AD18" s="190"/>
      <c r="AE18" s="192" t="str">
        <f t="shared" si="6"/>
        <v/>
      </c>
      <c r="AF18" s="193" t="str">
        <f t="shared" si="1"/>
        <v/>
      </c>
      <c r="AG18" s="191" t="str">
        <f t="shared" si="2"/>
        <v/>
      </c>
      <c r="AH18" s="193" t="str">
        <f t="shared" si="3"/>
        <v/>
      </c>
      <c r="AI18" s="191" t="str">
        <f t="shared" si="7"/>
        <v/>
      </c>
      <c r="AJ18" s="194" t="str">
        <f t="shared" si="4"/>
        <v/>
      </c>
      <c r="AK18" s="195"/>
      <c r="AL18" s="186"/>
      <c r="AM18" s="196"/>
      <c r="AN18" s="196"/>
      <c r="AO18" s="197"/>
      <c r="AP18" s="345"/>
      <c r="AQ18" s="345"/>
      <c r="AR18" s="345"/>
    </row>
    <row r="19" spans="1:44" ht="37.5" hidden="1" customHeight="1" x14ac:dyDescent="0.2">
      <c r="A19" s="363">
        <v>2</v>
      </c>
      <c r="B19" s="345"/>
      <c r="C19" s="345"/>
      <c r="D19" s="345"/>
      <c r="E19" s="346"/>
      <c r="F19" s="345"/>
      <c r="G19" s="337"/>
      <c r="H19" s="337"/>
      <c r="I19" s="337"/>
      <c r="J19" s="337"/>
      <c r="K19" s="337"/>
      <c r="L19" s="337"/>
      <c r="M19" s="337"/>
      <c r="N19" s="341"/>
      <c r="O19" s="335" t="str">
        <f>IF(N19&lt;=0,"",IF(N19&lt;=2,"Muy Baja",IF(N19&lt;=24,"Baja",IF(N19&lt;=500,"Media",IF(N19&lt;=5000,"Alta","Muy Alta")))))</f>
        <v/>
      </c>
      <c r="P19" s="334" t="str">
        <f>IF(O19="","",IF(O19="Muy Baja",0.2,IF(O19="Baja",0.4,IF(O19="Media",0.6,IF(O19="Alta",0.8,IF(O19="Muy Alta",1,))))))</f>
        <v/>
      </c>
      <c r="Q19" s="324"/>
      <c r="R19" s="334">
        <f>IF(NOT(ISERROR(MATCH(Q19,'Tabla Impacto'!$B$222:$B$224,0))),'Tabla Impacto'!$F$224&amp;"Por favor no seleccionar los criterios de impacto(Afectación Económica o presupuestal y Pérdida Reputacional)",Q19)</f>
        <v>0</v>
      </c>
      <c r="S19" s="335" t="str">
        <f>IF(OR(R19='Tabla Impacto'!$C$12,R19='Tabla Impacto'!$D$12),"Leve",IF(OR(R19='Tabla Impacto'!$C$13,R19='Tabla Impacto'!$D$13),"Menor",IF(OR(R19='Tabla Impacto'!$C$14,R19='Tabla Impacto'!$D$14),"Moderado",IF(OR(R19='Tabla Impacto'!$C$15,R19='Tabla Impacto'!$D$15),"Mayor",IF(OR(R19='Tabla Impacto'!$C$16,R19='Tabla Impacto'!$D$16),"Catastrófico","")))))</f>
        <v/>
      </c>
      <c r="T19" s="334" t="str">
        <f>IF(S19="","",IF(S19="Leve",0.2,IF(S19="Menor",0.4,IF(S19="Moderado",0.6,IF(S19="Mayor",0.8,IF(S19="Catastrófico",1,))))))</f>
        <v/>
      </c>
      <c r="U19" s="333" t="str">
        <f>IF(OR(AND(O19="Muy Baja",S19="Leve"),AND(O19="Muy Baja",S19="Menor"),AND(O19="Baja",S19="Leve")),"Bajo",IF(OR(AND(O19="Muy baja",S19="Moderado"),AND(O19="Baja",S19="Menor"),AND(O19="Baja",S19="Moderado"),AND(O19="Media",S19="Leve"),AND(O19="Media",S19="Menor"),AND(O19="Media",S19="Moderado"),AND(O19="Alta",S19="Leve"),AND(O19="Alta",S19="Menor")),"Moderado",IF(OR(AND(O19="Muy Baja",S19="Mayor"),AND(O19="Baja",S19="Mayor"),AND(O19="Media",S19="Mayor"),AND(O19="Alta",S19="Moderado"),AND(O19="Alta",S19="Mayor"),AND(O19="Muy Alta",S19="Leve"),AND(O19="Muy Alta",S19="Menor"),AND(O19="Muy Alta",S19="Moderado"),AND(O19="Muy Alta",S19="Mayor")),"Alto",IF(OR(AND(O19="Muy Baja",S19="Catastrófico"),AND(O19="Baja",S19="Catastrófico"),AND(O19="Media",S19="Catastrófico"),AND(O19="Alta",S19="Catastrófico"),AND(O19="Muy Alta",S19="Catastrófico")),"Extremo",""))))</f>
        <v/>
      </c>
      <c r="V19" s="214">
        <v>1</v>
      </c>
      <c r="W19" s="187"/>
      <c r="X19" s="189" t="str">
        <f>IF(OR(Y19="Preventivo",Y19="Detectivo"),"Probabilidad",IF(Y19="Correctivo","Impacto",""))</f>
        <v/>
      </c>
      <c r="Y19" s="190"/>
      <c r="Z19" s="190"/>
      <c r="AA19" s="191" t="str">
        <f>IF(AND(Y19="Preventivo",Z19="Automático"),"50%",IF(AND(Y19="Preventivo",Z19="Manual"),"40%",IF(AND(Y19="Detectivo",Z19="Automático"),"40%",IF(AND(Y19="Detectivo",Z19="Manual"),"30%",IF(AND(Y19="Correctivo",Z19="Automático"),"35%",IF(AND(Y19="Correctivo",Z19="Manual"),"25%",""))))))</f>
        <v/>
      </c>
      <c r="AB19" s="190"/>
      <c r="AC19" s="190"/>
      <c r="AD19" s="190"/>
      <c r="AE19" s="192" t="str">
        <f>IFERROR(IF(X19="Probabilidad",(P19-(+P19*AA19)),IF(X19="Impacto",P19,"")),"")</f>
        <v/>
      </c>
      <c r="AF19" s="193" t="str">
        <f>IFERROR(IF(AE19="","",IF(AE19&lt;=0.2,"Muy Baja",IF(AE19&lt;=0.4,"Baja",IF(AE19&lt;=0.6,"Media",IF(AE19&lt;=0.8,"Alta","Muy Alta"))))),"")</f>
        <v/>
      </c>
      <c r="AG19" s="191" t="str">
        <f>+AE19</f>
        <v/>
      </c>
      <c r="AH19" s="193" t="str">
        <f>IFERROR(IF(AI19="","",IF(AI19&lt;=0.2,"Leve",IF(AI19&lt;=0.4,"Menor",IF(AI19&lt;=0.6,"Moderado",IF(AI19&lt;=0.8,"Mayor","Catastrófico"))))),"")</f>
        <v/>
      </c>
      <c r="AI19" s="191" t="str">
        <f t="shared" ref="AI19" si="8">IFERROR(IF(X19="Impacto",(T19-(+T19*AA19)),IF(X19="Probabilidad",T19,"")),"")</f>
        <v/>
      </c>
      <c r="AJ19" s="194" t="str">
        <f>IFERROR(IF(OR(AND(AF19="Muy Baja",AH19="Leve"),AND(AF19="Muy Baja",AH19="Menor"),AND(AF19="Baja",AH19="Leve")),"Bajo",IF(OR(AND(AF19="Muy baja",AH19="Moderado"),AND(AF19="Baja",AH19="Menor"),AND(AF19="Baja",AH19="Moderado"),AND(AF19="Media",AH19="Leve"),AND(AF19="Media",AH19="Menor"),AND(AF19="Media",AH19="Moderado"),AND(AF19="Alta",AH19="Leve"),AND(AF19="Alta",AH19="Menor")),"Moderado",IF(OR(AND(AF19="Muy Baja",AH19="Mayor"),AND(AF19="Baja",AH19="Mayor"),AND(AF19="Media",AH19="Mayor"),AND(AF19="Alta",AH19="Moderado"),AND(AF19="Alta",AH19="Mayor"),AND(AF19="Muy Alta",AH19="Leve"),AND(AF19="Muy Alta",AH19="Menor"),AND(AF19="Muy Alta",AH19="Moderado"),AND(AF19="Muy Alta",AH19="Mayor")),"Alto",IF(OR(AND(AF19="Muy Baja",AH19="Catastrófico"),AND(AF19="Baja",AH19="Catastrófico"),AND(AF19="Media",AH19="Catastrófico"),AND(AF19="Alta",AH19="Catastrófico"),AND(AF19="Muy Alta",AH19="Catastrófico")),"Extremo","")))),"")</f>
        <v/>
      </c>
      <c r="AK19" s="195"/>
      <c r="AL19" s="186"/>
      <c r="AM19" s="196"/>
      <c r="AN19" s="196"/>
      <c r="AO19" s="197"/>
      <c r="AP19" s="341"/>
      <c r="AQ19" s="341"/>
      <c r="AR19" s="341"/>
    </row>
    <row r="20" spans="1:44" ht="37.5" hidden="1" customHeight="1" x14ac:dyDescent="0.2">
      <c r="A20" s="363"/>
      <c r="B20" s="345"/>
      <c r="C20" s="345"/>
      <c r="D20" s="345"/>
      <c r="E20" s="346"/>
      <c r="F20" s="345"/>
      <c r="G20" s="338"/>
      <c r="H20" s="338"/>
      <c r="I20" s="338"/>
      <c r="J20" s="338"/>
      <c r="K20" s="338"/>
      <c r="L20" s="338"/>
      <c r="M20" s="338"/>
      <c r="N20" s="341"/>
      <c r="O20" s="335"/>
      <c r="P20" s="334"/>
      <c r="Q20" s="324"/>
      <c r="R20" s="334">
        <f>IF(NOT(ISERROR(MATCH(Q20,_xlfn.ANCHORARRAY(E31),0))),P33&amp;"Por favor no seleccionar los criterios de impacto",Q20)</f>
        <v>0</v>
      </c>
      <c r="S20" s="335"/>
      <c r="T20" s="334"/>
      <c r="U20" s="333"/>
      <c r="V20" s="214">
        <v>2</v>
      </c>
      <c r="W20" s="187"/>
      <c r="X20" s="189" t="str">
        <f>IF(OR(Y20="Preventivo",Y20="Detectivo"),"Probabilidad",IF(Y20="Correctivo","Impacto",""))</f>
        <v/>
      </c>
      <c r="Y20" s="190"/>
      <c r="Z20" s="190"/>
      <c r="AA20" s="191" t="str">
        <f t="shared" ref="AA20:AA24" si="9">IF(AND(Y20="Preventivo",Z20="Automático"),"50%",IF(AND(Y20="Preventivo",Z20="Manual"),"40%",IF(AND(Y20="Detectivo",Z20="Automático"),"40%",IF(AND(Y20="Detectivo",Z20="Manual"),"30%",IF(AND(Y20="Correctivo",Z20="Automático"),"35%",IF(AND(Y20="Correctivo",Z20="Manual"),"25%",""))))))</f>
        <v/>
      </c>
      <c r="AB20" s="190"/>
      <c r="AC20" s="190"/>
      <c r="AD20" s="190"/>
      <c r="AE20" s="192" t="str">
        <f>IFERROR(IF(AND(X19="Probabilidad",X20="Probabilidad"),(AG19-(+AG19*AA20)),IF(X20="Probabilidad",(P19-(+P19*AA20)),IF(X20="Impacto",AG19,""))),"")</f>
        <v/>
      </c>
      <c r="AF20" s="193" t="str">
        <f t="shared" si="1"/>
        <v/>
      </c>
      <c r="AG20" s="191" t="str">
        <f t="shared" ref="AG20:AG24" si="10">+AE20</f>
        <v/>
      </c>
      <c r="AH20" s="193" t="str">
        <f t="shared" si="3"/>
        <v/>
      </c>
      <c r="AI20" s="191" t="str">
        <f t="shared" ref="AI20" si="11">IFERROR(IF(AND(X19="Impacto",X20="Impacto"),(AI19-(+AI19*AA20)),IF(X20="Impacto",($T$13-(+$T$13*AA20)),IF(X20="Probabilidad",AI19,""))),"")</f>
        <v/>
      </c>
      <c r="AJ20" s="194" t="str">
        <f t="shared" ref="AJ20:AJ21" si="12">IFERROR(IF(OR(AND(AF20="Muy Baja",AH20="Leve"),AND(AF20="Muy Baja",AH20="Menor"),AND(AF20="Baja",AH20="Leve")),"Bajo",IF(OR(AND(AF20="Muy baja",AH20="Moderado"),AND(AF20="Baja",AH20="Menor"),AND(AF20="Baja",AH20="Moderado"),AND(AF20="Media",AH20="Leve"),AND(AF20="Media",AH20="Menor"),AND(AF20="Media",AH20="Moderado"),AND(AF20="Alta",AH20="Leve"),AND(AF20="Alta",AH20="Menor")),"Moderado",IF(OR(AND(AF20="Muy Baja",AH20="Mayor"),AND(AF20="Baja",AH20="Mayor"),AND(AF20="Media",AH20="Mayor"),AND(AF20="Alta",AH20="Moderado"),AND(AF20="Alta",AH20="Mayor"),AND(AF20="Muy Alta",AH20="Leve"),AND(AF20="Muy Alta",AH20="Menor"),AND(AF20="Muy Alta",AH20="Moderado"),AND(AF20="Muy Alta",AH20="Mayor")),"Alto",IF(OR(AND(AF20="Muy Baja",AH20="Catastrófico"),AND(AF20="Baja",AH20="Catastrófico"),AND(AF20="Media",AH20="Catastrófico"),AND(AF20="Alta",AH20="Catastrófico"),AND(AF20="Muy Alta",AH20="Catastrófico")),"Extremo","")))),"")</f>
        <v/>
      </c>
      <c r="AK20" s="195"/>
      <c r="AL20" s="186"/>
      <c r="AM20" s="196"/>
      <c r="AN20" s="186"/>
      <c r="AO20" s="197"/>
      <c r="AP20" s="341"/>
      <c r="AQ20" s="341"/>
      <c r="AR20" s="341"/>
    </row>
    <row r="21" spans="1:44" ht="37.5" hidden="1" customHeight="1" x14ac:dyDescent="0.2">
      <c r="A21" s="363"/>
      <c r="B21" s="345"/>
      <c r="C21" s="345"/>
      <c r="D21" s="345"/>
      <c r="E21" s="346"/>
      <c r="F21" s="345"/>
      <c r="G21" s="338"/>
      <c r="H21" s="338"/>
      <c r="I21" s="338"/>
      <c r="J21" s="338"/>
      <c r="K21" s="338"/>
      <c r="L21" s="338"/>
      <c r="M21" s="338"/>
      <c r="N21" s="341"/>
      <c r="O21" s="335"/>
      <c r="P21" s="334"/>
      <c r="Q21" s="324"/>
      <c r="R21" s="334">
        <f>IF(NOT(ISERROR(MATCH(Q21,_xlfn.ANCHORARRAY(E32),0))),P34&amp;"Por favor no seleccionar los criterios de impacto",Q21)</f>
        <v>0</v>
      </c>
      <c r="S21" s="335"/>
      <c r="T21" s="334"/>
      <c r="U21" s="333"/>
      <c r="V21" s="214">
        <v>3</v>
      </c>
      <c r="W21" s="188"/>
      <c r="X21" s="189" t="str">
        <f>IF(OR(Y21="Preventivo",Y21="Detectivo"),"Probabilidad",IF(Y21="Correctivo","Impacto",""))</f>
        <v/>
      </c>
      <c r="Y21" s="190"/>
      <c r="Z21" s="190"/>
      <c r="AA21" s="191" t="str">
        <f t="shared" si="9"/>
        <v/>
      </c>
      <c r="AB21" s="190"/>
      <c r="AC21" s="190"/>
      <c r="AD21" s="190"/>
      <c r="AE21" s="192" t="str">
        <f>IFERROR(IF(AND(X20="Probabilidad",X21="Probabilidad"),(AG20-(+AG20*AA21)),IF(AND(X20="Impacto",X21="Probabilidad"),(AG19-(+AG19*AA21)),IF(X21="Impacto",AG20,""))),"")</f>
        <v/>
      </c>
      <c r="AF21" s="193" t="str">
        <f t="shared" si="1"/>
        <v/>
      </c>
      <c r="AG21" s="191" t="str">
        <f t="shared" si="10"/>
        <v/>
      </c>
      <c r="AH21" s="193" t="str">
        <f t="shared" si="3"/>
        <v/>
      </c>
      <c r="AI21" s="191" t="str">
        <f t="shared" ref="AI21:AI72" si="13">IFERROR(IF(AND(X20="Impacto",X21="Impacto"),(AI20-(+AI20*AA21)),IF(AND(X20="Probabilidad",X21="Impacto"),(AI19-(+AI19*AA21)),IF(X21="Probabilidad",AI20,""))),"")</f>
        <v/>
      </c>
      <c r="AJ21" s="194" t="str">
        <f t="shared" si="12"/>
        <v/>
      </c>
      <c r="AK21" s="195"/>
      <c r="AL21" s="186"/>
      <c r="AM21" s="196"/>
      <c r="AN21" s="196"/>
      <c r="AO21" s="197"/>
      <c r="AP21" s="341"/>
      <c r="AQ21" s="341"/>
      <c r="AR21" s="341"/>
    </row>
    <row r="22" spans="1:44" ht="37.5" hidden="1" customHeight="1" x14ac:dyDescent="0.2">
      <c r="A22" s="363"/>
      <c r="B22" s="345"/>
      <c r="C22" s="345"/>
      <c r="D22" s="345"/>
      <c r="E22" s="346"/>
      <c r="F22" s="345"/>
      <c r="G22" s="338"/>
      <c r="H22" s="338"/>
      <c r="I22" s="338"/>
      <c r="J22" s="338"/>
      <c r="K22" s="338"/>
      <c r="L22" s="338"/>
      <c r="M22" s="338"/>
      <c r="N22" s="341"/>
      <c r="O22" s="335"/>
      <c r="P22" s="334"/>
      <c r="Q22" s="324"/>
      <c r="R22" s="334">
        <f>IF(NOT(ISERROR(MATCH(Q22,_xlfn.ANCHORARRAY(E33),0))),P35&amp;"Por favor no seleccionar los criterios de impacto",Q22)</f>
        <v>0</v>
      </c>
      <c r="S22" s="335"/>
      <c r="T22" s="334"/>
      <c r="U22" s="333"/>
      <c r="V22" s="214">
        <v>4</v>
      </c>
      <c r="W22" s="187"/>
      <c r="X22" s="189" t="str">
        <f t="shared" ref="X22:X24" si="14">IF(OR(Y22="Preventivo",Y22="Detectivo"),"Probabilidad",IF(Y22="Correctivo","Impacto",""))</f>
        <v/>
      </c>
      <c r="Y22" s="190"/>
      <c r="Z22" s="190"/>
      <c r="AA22" s="191" t="str">
        <f t="shared" si="9"/>
        <v/>
      </c>
      <c r="AB22" s="190"/>
      <c r="AC22" s="190"/>
      <c r="AD22" s="190"/>
      <c r="AE22" s="192" t="str">
        <f t="shared" ref="AE22:AE24" si="15">IFERROR(IF(AND(X21="Probabilidad",X22="Probabilidad"),(AG21-(+AG21*AA22)),IF(AND(X21="Impacto",X22="Probabilidad"),(AG20-(+AG20*AA22)),IF(X22="Impacto",AG21,""))),"")</f>
        <v/>
      </c>
      <c r="AF22" s="193" t="str">
        <f t="shared" si="1"/>
        <v/>
      </c>
      <c r="AG22" s="191" t="str">
        <f t="shared" si="10"/>
        <v/>
      </c>
      <c r="AH22" s="193" t="str">
        <f t="shared" si="3"/>
        <v/>
      </c>
      <c r="AI22" s="191" t="str">
        <f t="shared" si="13"/>
        <v/>
      </c>
      <c r="AJ22" s="194" t="str">
        <f>IFERROR(IF(OR(AND(AF22="Muy Baja",AH22="Leve"),AND(AF22="Muy Baja",AH22="Menor"),AND(AF22="Baja",AH22="Leve")),"Bajo",IF(OR(AND(AF22="Muy baja",AH22="Moderado"),AND(AF22="Baja",AH22="Menor"),AND(AF22="Baja",AH22="Moderado"),AND(AF22="Media",AH22="Leve"),AND(AF22="Media",AH22="Menor"),AND(AF22="Media",AH22="Moderado"),AND(AF22="Alta",AH22="Leve"),AND(AF22="Alta",AH22="Menor")),"Moderado",IF(OR(AND(AF22="Muy Baja",AH22="Mayor"),AND(AF22="Baja",AH22="Mayor"),AND(AF22="Media",AH22="Mayor"),AND(AF22="Alta",AH22="Moderado"),AND(AF22="Alta",AH22="Mayor"),AND(AF22="Muy Alta",AH22="Leve"),AND(AF22="Muy Alta",AH22="Menor"),AND(AF22="Muy Alta",AH22="Moderado"),AND(AF22="Muy Alta",AH22="Mayor")),"Alto",IF(OR(AND(AF22="Muy Baja",AH22="Catastrófico"),AND(AF22="Baja",AH22="Catastrófico"),AND(AF22="Media",AH22="Catastrófico"),AND(AF22="Alta",AH22="Catastrófico"),AND(AF22="Muy Alta",AH22="Catastrófico")),"Extremo","")))),"")</f>
        <v/>
      </c>
      <c r="AK22" s="195"/>
      <c r="AL22" s="186"/>
      <c r="AM22" s="196"/>
      <c r="AN22" s="196"/>
      <c r="AO22" s="197"/>
      <c r="AP22" s="341"/>
      <c r="AQ22" s="341"/>
      <c r="AR22" s="341"/>
    </row>
    <row r="23" spans="1:44" ht="37.5" hidden="1" customHeight="1" x14ac:dyDescent="0.2">
      <c r="A23" s="363"/>
      <c r="B23" s="345"/>
      <c r="C23" s="345"/>
      <c r="D23" s="345"/>
      <c r="E23" s="346"/>
      <c r="F23" s="345"/>
      <c r="G23" s="338"/>
      <c r="H23" s="338"/>
      <c r="I23" s="338"/>
      <c r="J23" s="338"/>
      <c r="K23" s="338"/>
      <c r="L23" s="338"/>
      <c r="M23" s="338"/>
      <c r="N23" s="341"/>
      <c r="O23" s="335"/>
      <c r="P23" s="334"/>
      <c r="Q23" s="324"/>
      <c r="R23" s="334">
        <f>IF(NOT(ISERROR(MATCH(Q23,_xlfn.ANCHORARRAY(E34),0))),P36&amp;"Por favor no seleccionar los criterios de impacto",Q23)</f>
        <v>0</v>
      </c>
      <c r="S23" s="335"/>
      <c r="T23" s="334"/>
      <c r="U23" s="333"/>
      <c r="V23" s="214">
        <v>5</v>
      </c>
      <c r="W23" s="187"/>
      <c r="X23" s="189" t="str">
        <f t="shared" si="14"/>
        <v/>
      </c>
      <c r="Y23" s="190"/>
      <c r="Z23" s="190"/>
      <c r="AA23" s="191" t="str">
        <f t="shared" si="9"/>
        <v/>
      </c>
      <c r="AB23" s="190"/>
      <c r="AC23" s="190"/>
      <c r="AD23" s="190"/>
      <c r="AE23" s="192" t="str">
        <f t="shared" si="15"/>
        <v/>
      </c>
      <c r="AF23" s="193" t="str">
        <f t="shared" si="1"/>
        <v/>
      </c>
      <c r="AG23" s="191" t="str">
        <f t="shared" si="10"/>
        <v/>
      </c>
      <c r="AH23" s="193" t="str">
        <f t="shared" si="3"/>
        <v/>
      </c>
      <c r="AI23" s="191" t="str">
        <f t="shared" si="13"/>
        <v/>
      </c>
      <c r="AJ23" s="194" t="str">
        <f t="shared" ref="AJ23:AJ24" si="16">IFERROR(IF(OR(AND(AF23="Muy Baja",AH23="Leve"),AND(AF23="Muy Baja",AH23="Menor"),AND(AF23="Baja",AH23="Leve")),"Bajo",IF(OR(AND(AF23="Muy baja",AH23="Moderado"),AND(AF23="Baja",AH23="Menor"),AND(AF23="Baja",AH23="Moderado"),AND(AF23="Media",AH23="Leve"),AND(AF23="Media",AH23="Menor"),AND(AF23="Media",AH23="Moderado"),AND(AF23="Alta",AH23="Leve"),AND(AF23="Alta",AH23="Menor")),"Moderado",IF(OR(AND(AF23="Muy Baja",AH23="Mayor"),AND(AF23="Baja",AH23="Mayor"),AND(AF23="Media",AH23="Mayor"),AND(AF23="Alta",AH23="Moderado"),AND(AF23="Alta",AH23="Mayor"),AND(AF23="Muy Alta",AH23="Leve"),AND(AF23="Muy Alta",AH23="Menor"),AND(AF23="Muy Alta",AH23="Moderado"),AND(AF23="Muy Alta",AH23="Mayor")),"Alto",IF(OR(AND(AF23="Muy Baja",AH23="Catastrófico"),AND(AF23="Baja",AH23="Catastrófico"),AND(AF23="Media",AH23="Catastrófico"),AND(AF23="Alta",AH23="Catastrófico"),AND(AF23="Muy Alta",AH23="Catastrófico")),"Extremo","")))),"")</f>
        <v/>
      </c>
      <c r="AK23" s="195"/>
      <c r="AL23" s="186"/>
      <c r="AM23" s="196"/>
      <c r="AN23" s="196"/>
      <c r="AO23" s="197"/>
      <c r="AP23" s="341"/>
      <c r="AQ23" s="341"/>
      <c r="AR23" s="341"/>
    </row>
    <row r="24" spans="1:44" ht="37.5" hidden="1" customHeight="1" x14ac:dyDescent="0.2">
      <c r="A24" s="363"/>
      <c r="B24" s="345"/>
      <c r="C24" s="345"/>
      <c r="D24" s="345"/>
      <c r="E24" s="346"/>
      <c r="F24" s="345"/>
      <c r="G24" s="339"/>
      <c r="H24" s="339"/>
      <c r="I24" s="339"/>
      <c r="J24" s="339"/>
      <c r="K24" s="339"/>
      <c r="L24" s="339"/>
      <c r="M24" s="339"/>
      <c r="N24" s="341"/>
      <c r="O24" s="335"/>
      <c r="P24" s="334"/>
      <c r="Q24" s="324"/>
      <c r="R24" s="334">
        <f>IF(NOT(ISERROR(MATCH(Q24,_xlfn.ANCHORARRAY(E35),0))),P37&amp;"Por favor no seleccionar los criterios de impacto",Q24)</f>
        <v>0</v>
      </c>
      <c r="S24" s="335"/>
      <c r="T24" s="334"/>
      <c r="U24" s="333"/>
      <c r="V24" s="214">
        <v>6</v>
      </c>
      <c r="W24" s="187"/>
      <c r="X24" s="189" t="str">
        <f t="shared" si="14"/>
        <v/>
      </c>
      <c r="Y24" s="190"/>
      <c r="Z24" s="190"/>
      <c r="AA24" s="191" t="str">
        <f t="shared" si="9"/>
        <v/>
      </c>
      <c r="AB24" s="190"/>
      <c r="AC24" s="190"/>
      <c r="AD24" s="190"/>
      <c r="AE24" s="192" t="str">
        <f t="shared" si="15"/>
        <v/>
      </c>
      <c r="AF24" s="193" t="str">
        <f t="shared" si="1"/>
        <v/>
      </c>
      <c r="AG24" s="191" t="str">
        <f t="shared" si="10"/>
        <v/>
      </c>
      <c r="AH24" s="193" t="str">
        <f t="shared" si="3"/>
        <v/>
      </c>
      <c r="AI24" s="191" t="str">
        <f t="shared" si="13"/>
        <v/>
      </c>
      <c r="AJ24" s="194" t="str">
        <f t="shared" si="16"/>
        <v/>
      </c>
      <c r="AK24" s="195"/>
      <c r="AL24" s="186"/>
      <c r="AM24" s="196"/>
      <c r="AN24" s="196"/>
      <c r="AO24" s="197"/>
      <c r="AP24" s="341"/>
      <c r="AQ24" s="341"/>
      <c r="AR24" s="341"/>
    </row>
    <row r="25" spans="1:44" ht="37.5" hidden="1" customHeight="1" x14ac:dyDescent="0.2">
      <c r="A25" s="363">
        <v>3</v>
      </c>
      <c r="B25" s="345"/>
      <c r="C25" s="345"/>
      <c r="D25" s="345"/>
      <c r="E25" s="346"/>
      <c r="F25" s="345"/>
      <c r="G25" s="337"/>
      <c r="H25" s="337"/>
      <c r="I25" s="337"/>
      <c r="J25" s="337"/>
      <c r="K25" s="337"/>
      <c r="L25" s="337"/>
      <c r="M25" s="337"/>
      <c r="N25" s="341"/>
      <c r="O25" s="335" t="str">
        <f>IF(N25&lt;=0,"",IF(N25&lt;=2,"Muy Baja",IF(N25&lt;=24,"Baja",IF(N25&lt;=500,"Media",IF(N25&lt;=5000,"Alta","Muy Alta")))))</f>
        <v/>
      </c>
      <c r="P25" s="334" t="str">
        <f>IF(O25="","",IF(O25="Muy Baja",0.2,IF(O25="Baja",0.4,IF(O25="Media",0.6,IF(O25="Alta",0.8,IF(O25="Muy Alta",1,))))))</f>
        <v/>
      </c>
      <c r="Q25" s="324"/>
      <c r="R25" s="334">
        <f>IF(NOT(ISERROR(MATCH(Q25,'Tabla Impacto'!$B$222:$B$224,0))),'Tabla Impacto'!$F$224&amp;"Por favor no seleccionar los criterios de impacto(Afectación Económica o presupuestal y Pérdida Reputacional)",Q25)</f>
        <v>0</v>
      </c>
      <c r="S25" s="335" t="str">
        <f>IF(OR(R25='Tabla Impacto'!$C$12,R25='Tabla Impacto'!$D$12),"Leve",IF(OR(R25='Tabla Impacto'!$C$13,R25='Tabla Impacto'!$D$13),"Menor",IF(OR(R25='Tabla Impacto'!$C$14,R25='Tabla Impacto'!$D$14),"Moderado",IF(OR(R25='Tabla Impacto'!$C$15,R25='Tabla Impacto'!$D$15),"Mayor",IF(OR(R25='Tabla Impacto'!$C$16,R25='Tabla Impacto'!$D$16),"Catastrófico","")))))</f>
        <v/>
      </c>
      <c r="T25" s="334" t="str">
        <f>IF(S25="","",IF(S25="Leve",0.2,IF(S25="Menor",0.4,IF(S25="Moderado",0.6,IF(S25="Mayor",0.8,IF(S25="Catastrófico",1,))))))</f>
        <v/>
      </c>
      <c r="U25" s="333"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
      </c>
      <c r="V25" s="214">
        <v>1</v>
      </c>
      <c r="W25" s="187"/>
      <c r="X25" s="189" t="str">
        <f>IF(OR(Y25="Preventivo",Y25="Detectivo"),"Probabilidad",IF(Y25="Correctivo","Impacto",""))</f>
        <v/>
      </c>
      <c r="Y25" s="190"/>
      <c r="Z25" s="190"/>
      <c r="AA25" s="191" t="str">
        <f>IF(AND(Y25="Preventivo",Z25="Automático"),"50%",IF(AND(Y25="Preventivo",Z25="Manual"),"40%",IF(AND(Y25="Detectivo",Z25="Automático"),"40%",IF(AND(Y25="Detectivo",Z25="Manual"),"30%",IF(AND(Y25="Correctivo",Z25="Automático"),"35%",IF(AND(Y25="Correctivo",Z25="Manual"),"25%",""))))))</f>
        <v/>
      </c>
      <c r="AB25" s="190"/>
      <c r="AC25" s="190"/>
      <c r="AD25" s="190"/>
      <c r="AE25" s="192" t="str">
        <f>IFERROR(IF(X25="Probabilidad",(P25-(+P25*AA25)),IF(X25="Impacto",P25,"")),"")</f>
        <v/>
      </c>
      <c r="AF25" s="193" t="str">
        <f>IFERROR(IF(AE25="","",IF(AE25&lt;=0.2,"Muy Baja",IF(AE25&lt;=0.4,"Baja",IF(AE25&lt;=0.6,"Media",IF(AE25&lt;=0.8,"Alta","Muy Alta"))))),"")</f>
        <v/>
      </c>
      <c r="AG25" s="191" t="str">
        <f>+AE25</f>
        <v/>
      </c>
      <c r="AH25" s="193" t="str">
        <f>IFERROR(IF(AI25="","",IF(AI25&lt;=0.2,"Leve",IF(AI25&lt;=0.4,"Menor",IF(AI25&lt;=0.6,"Moderado",IF(AI25&lt;=0.8,"Mayor","Catastrófico"))))),"")</f>
        <v/>
      </c>
      <c r="AI25" s="191" t="str">
        <f t="shared" ref="AI25" si="17">IFERROR(IF(X25="Impacto",(T25-(+T25*AA25)),IF(X25="Probabilidad",T25,"")),"")</f>
        <v/>
      </c>
      <c r="AJ25" s="194" t="str">
        <f>IFERROR(IF(OR(AND(AF25="Muy Baja",AH25="Leve"),AND(AF25="Muy Baja",AH25="Menor"),AND(AF25="Baja",AH25="Leve")),"Bajo",IF(OR(AND(AF25="Muy baja",AH25="Moderado"),AND(AF25="Baja",AH25="Menor"),AND(AF25="Baja",AH25="Moderado"),AND(AF25="Media",AH25="Leve"),AND(AF25="Media",AH25="Menor"),AND(AF25="Media",AH25="Moderado"),AND(AF25="Alta",AH25="Leve"),AND(AF25="Alta",AH25="Menor")),"Moderado",IF(OR(AND(AF25="Muy Baja",AH25="Mayor"),AND(AF25="Baja",AH25="Mayor"),AND(AF25="Media",AH25="Mayor"),AND(AF25="Alta",AH25="Moderado"),AND(AF25="Alta",AH25="Mayor"),AND(AF25="Muy Alta",AH25="Leve"),AND(AF25="Muy Alta",AH25="Menor"),AND(AF25="Muy Alta",AH25="Moderado"),AND(AF25="Muy Alta",AH25="Mayor")),"Alto",IF(OR(AND(AF25="Muy Baja",AH25="Catastrófico"),AND(AF25="Baja",AH25="Catastrófico"),AND(AF25="Media",AH25="Catastrófico"),AND(AF25="Alta",AH25="Catastrófico"),AND(AF25="Muy Alta",AH25="Catastrófico")),"Extremo","")))),"")</f>
        <v/>
      </c>
      <c r="AK25" s="195"/>
      <c r="AL25" s="186"/>
      <c r="AM25" s="196"/>
      <c r="AN25" s="196"/>
      <c r="AO25" s="197"/>
      <c r="AP25" s="341"/>
      <c r="AQ25" s="341"/>
      <c r="AR25" s="341"/>
    </row>
    <row r="26" spans="1:44" ht="37.5" hidden="1" customHeight="1" x14ac:dyDescent="0.2">
      <c r="A26" s="363"/>
      <c r="B26" s="345"/>
      <c r="C26" s="345"/>
      <c r="D26" s="345"/>
      <c r="E26" s="346"/>
      <c r="F26" s="345"/>
      <c r="G26" s="338"/>
      <c r="H26" s="338"/>
      <c r="I26" s="338"/>
      <c r="J26" s="338"/>
      <c r="K26" s="338"/>
      <c r="L26" s="338"/>
      <c r="M26" s="338"/>
      <c r="N26" s="341"/>
      <c r="O26" s="335"/>
      <c r="P26" s="334"/>
      <c r="Q26" s="324"/>
      <c r="R26" s="334">
        <f>IF(NOT(ISERROR(MATCH(Q26,_xlfn.ANCHORARRAY(E37),0))),P39&amp;"Por favor no seleccionar los criterios de impacto",Q26)</f>
        <v>0</v>
      </c>
      <c r="S26" s="335"/>
      <c r="T26" s="334"/>
      <c r="U26" s="333"/>
      <c r="V26" s="214">
        <v>2</v>
      </c>
      <c r="W26" s="187"/>
      <c r="X26" s="189" t="str">
        <f>IF(OR(Y26="Preventivo",Y26="Detectivo"),"Probabilidad",IF(Y26="Correctivo","Impacto",""))</f>
        <v/>
      </c>
      <c r="Y26" s="190"/>
      <c r="Z26" s="190"/>
      <c r="AA26" s="191" t="str">
        <f t="shared" ref="AA26:AA30" si="18">IF(AND(Y26="Preventivo",Z26="Automático"),"50%",IF(AND(Y26="Preventivo",Z26="Manual"),"40%",IF(AND(Y26="Detectivo",Z26="Automático"),"40%",IF(AND(Y26="Detectivo",Z26="Manual"),"30%",IF(AND(Y26="Correctivo",Z26="Automático"),"35%",IF(AND(Y26="Correctivo",Z26="Manual"),"25%",""))))))</f>
        <v/>
      </c>
      <c r="AB26" s="190"/>
      <c r="AC26" s="190"/>
      <c r="AD26" s="190"/>
      <c r="AE26" s="192" t="str">
        <f>IFERROR(IF(AND(X25="Probabilidad",X26="Probabilidad"),(AG25-(+AG25*AA26)),IF(X26="Probabilidad",(P25-(+P25*AA26)),IF(X26="Impacto",AG25,""))),"")</f>
        <v/>
      </c>
      <c r="AF26" s="193" t="str">
        <f t="shared" si="1"/>
        <v/>
      </c>
      <c r="AG26" s="191" t="str">
        <f t="shared" ref="AG26:AG30" si="19">+AE26</f>
        <v/>
      </c>
      <c r="AH26" s="193" t="str">
        <f t="shared" si="3"/>
        <v/>
      </c>
      <c r="AI26" s="191" t="str">
        <f t="shared" ref="AI26" si="20">IFERROR(IF(AND(X25="Impacto",X26="Impacto"),(AI25-(+AI25*AA26)),IF(X26="Impacto",($T$13-(+$T$13*AA26)),IF(X26="Probabilidad",AI25,""))),"")</f>
        <v/>
      </c>
      <c r="AJ26" s="194" t="str">
        <f t="shared" ref="AJ26:AJ27" si="21">IFERROR(IF(OR(AND(AF26="Muy Baja",AH26="Leve"),AND(AF26="Muy Baja",AH26="Menor"),AND(AF26="Baja",AH26="Leve")),"Bajo",IF(OR(AND(AF26="Muy baja",AH26="Moderado"),AND(AF26="Baja",AH26="Menor"),AND(AF26="Baja",AH26="Moderado"),AND(AF26="Media",AH26="Leve"),AND(AF26="Media",AH26="Menor"),AND(AF26="Media",AH26="Moderado"),AND(AF26="Alta",AH26="Leve"),AND(AF26="Alta",AH26="Menor")),"Moderado",IF(OR(AND(AF26="Muy Baja",AH26="Mayor"),AND(AF26="Baja",AH26="Mayor"),AND(AF26="Media",AH26="Mayor"),AND(AF26="Alta",AH26="Moderado"),AND(AF26="Alta",AH26="Mayor"),AND(AF26="Muy Alta",AH26="Leve"),AND(AF26="Muy Alta",AH26="Menor"),AND(AF26="Muy Alta",AH26="Moderado"),AND(AF26="Muy Alta",AH26="Mayor")),"Alto",IF(OR(AND(AF26="Muy Baja",AH26="Catastrófico"),AND(AF26="Baja",AH26="Catastrófico"),AND(AF26="Media",AH26="Catastrófico"),AND(AF26="Alta",AH26="Catastrófico"),AND(AF26="Muy Alta",AH26="Catastrófico")),"Extremo","")))),"")</f>
        <v/>
      </c>
      <c r="AK26" s="195"/>
      <c r="AL26" s="186"/>
      <c r="AM26" s="196"/>
      <c r="AN26" s="196"/>
      <c r="AO26" s="197"/>
      <c r="AP26" s="341"/>
      <c r="AQ26" s="341"/>
      <c r="AR26" s="341"/>
    </row>
    <row r="27" spans="1:44" ht="37.5" hidden="1" customHeight="1" x14ac:dyDescent="0.2">
      <c r="A27" s="363"/>
      <c r="B27" s="345"/>
      <c r="C27" s="345"/>
      <c r="D27" s="345"/>
      <c r="E27" s="346"/>
      <c r="F27" s="345"/>
      <c r="G27" s="338"/>
      <c r="H27" s="338"/>
      <c r="I27" s="338"/>
      <c r="J27" s="338"/>
      <c r="K27" s="338"/>
      <c r="L27" s="338"/>
      <c r="M27" s="338"/>
      <c r="N27" s="341"/>
      <c r="O27" s="335"/>
      <c r="P27" s="334"/>
      <c r="Q27" s="324"/>
      <c r="R27" s="334">
        <f>IF(NOT(ISERROR(MATCH(Q27,_xlfn.ANCHORARRAY(E38),0))),P40&amp;"Por favor no seleccionar los criterios de impacto",Q27)</f>
        <v>0</v>
      </c>
      <c r="S27" s="335"/>
      <c r="T27" s="334"/>
      <c r="U27" s="333"/>
      <c r="V27" s="214">
        <v>3</v>
      </c>
      <c r="W27" s="187"/>
      <c r="X27" s="189" t="str">
        <f>IF(OR(Y27="Preventivo",Y27="Detectivo"),"Probabilidad",IF(Y27="Correctivo","Impacto",""))</f>
        <v/>
      </c>
      <c r="Y27" s="190"/>
      <c r="Z27" s="190"/>
      <c r="AA27" s="191" t="str">
        <f t="shared" si="18"/>
        <v/>
      </c>
      <c r="AB27" s="190"/>
      <c r="AC27" s="190"/>
      <c r="AD27" s="190"/>
      <c r="AE27" s="192" t="str">
        <f>IFERROR(IF(AND(X26="Probabilidad",X27="Probabilidad"),(AG26-(+AG26*AA27)),IF(AND(X26="Impacto",X27="Probabilidad"),(AG25-(+AG25*AA27)),IF(X27="Impacto",AG26,""))),"")</f>
        <v/>
      </c>
      <c r="AF27" s="193" t="str">
        <f t="shared" si="1"/>
        <v/>
      </c>
      <c r="AG27" s="191" t="str">
        <f t="shared" si="19"/>
        <v/>
      </c>
      <c r="AH27" s="193" t="str">
        <f t="shared" si="3"/>
        <v/>
      </c>
      <c r="AI27" s="191" t="str">
        <f t="shared" ref="AI27" si="22">IFERROR(IF(AND(X26="Impacto",X27="Impacto"),(AI26-(+AI26*AA27)),IF(AND(X26="Probabilidad",X27="Impacto"),(AI25-(+AI25*AA27)),IF(X27="Probabilidad",AI26,""))),"")</f>
        <v/>
      </c>
      <c r="AJ27" s="194" t="str">
        <f t="shared" si="21"/>
        <v/>
      </c>
      <c r="AK27" s="195"/>
      <c r="AL27" s="186"/>
      <c r="AM27" s="196"/>
      <c r="AN27" s="196"/>
      <c r="AO27" s="197"/>
      <c r="AP27" s="341"/>
      <c r="AQ27" s="341"/>
      <c r="AR27" s="341"/>
    </row>
    <row r="28" spans="1:44" ht="37.5" hidden="1" customHeight="1" x14ac:dyDescent="0.2">
      <c r="A28" s="363"/>
      <c r="B28" s="345"/>
      <c r="C28" s="345"/>
      <c r="D28" s="345"/>
      <c r="E28" s="346"/>
      <c r="F28" s="345"/>
      <c r="G28" s="338"/>
      <c r="H28" s="338"/>
      <c r="I28" s="338"/>
      <c r="J28" s="338"/>
      <c r="K28" s="338"/>
      <c r="L28" s="338"/>
      <c r="M28" s="338"/>
      <c r="N28" s="341"/>
      <c r="O28" s="335"/>
      <c r="P28" s="334"/>
      <c r="Q28" s="324"/>
      <c r="R28" s="334">
        <f>IF(NOT(ISERROR(MATCH(Q28,_xlfn.ANCHORARRAY(E39),0))),P41&amp;"Por favor no seleccionar los criterios de impacto",Q28)</f>
        <v>0</v>
      </c>
      <c r="S28" s="335"/>
      <c r="T28" s="334"/>
      <c r="U28" s="333"/>
      <c r="V28" s="214">
        <v>4</v>
      </c>
      <c r="W28" s="187"/>
      <c r="X28" s="189" t="str">
        <f t="shared" ref="X28:X30" si="23">IF(OR(Y28="Preventivo",Y28="Detectivo"),"Probabilidad",IF(Y28="Correctivo","Impacto",""))</f>
        <v/>
      </c>
      <c r="Y28" s="190"/>
      <c r="Z28" s="190"/>
      <c r="AA28" s="191" t="str">
        <f t="shared" si="18"/>
        <v/>
      </c>
      <c r="AB28" s="190"/>
      <c r="AC28" s="190"/>
      <c r="AD28" s="190"/>
      <c r="AE28" s="192" t="str">
        <f t="shared" ref="AE28:AE30" si="24">IFERROR(IF(AND(X27="Probabilidad",X28="Probabilidad"),(AG27-(+AG27*AA28)),IF(AND(X27="Impacto",X28="Probabilidad"),(AG26-(+AG26*AA28)),IF(X28="Impacto",AG27,""))),"")</f>
        <v/>
      </c>
      <c r="AF28" s="193" t="str">
        <f t="shared" si="1"/>
        <v/>
      </c>
      <c r="AG28" s="191" t="str">
        <f t="shared" si="19"/>
        <v/>
      </c>
      <c r="AH28" s="193" t="str">
        <f t="shared" si="3"/>
        <v/>
      </c>
      <c r="AI28" s="191" t="str">
        <f t="shared" si="13"/>
        <v/>
      </c>
      <c r="AJ28" s="194" t="str">
        <f>IFERROR(IF(OR(AND(AF28="Muy Baja",AH28="Leve"),AND(AF28="Muy Baja",AH28="Menor"),AND(AF28="Baja",AH28="Leve")),"Bajo",IF(OR(AND(AF28="Muy baja",AH28="Moderado"),AND(AF28="Baja",AH28="Menor"),AND(AF28="Baja",AH28="Moderado"),AND(AF28="Media",AH28="Leve"),AND(AF28="Media",AH28="Menor"),AND(AF28="Media",AH28="Moderado"),AND(AF28="Alta",AH28="Leve"),AND(AF28="Alta",AH28="Menor")),"Moderado",IF(OR(AND(AF28="Muy Baja",AH28="Mayor"),AND(AF28="Baja",AH28="Mayor"),AND(AF28="Media",AH28="Mayor"),AND(AF28="Alta",AH28="Moderado"),AND(AF28="Alta",AH28="Mayor"),AND(AF28="Muy Alta",AH28="Leve"),AND(AF28="Muy Alta",AH28="Menor"),AND(AF28="Muy Alta",AH28="Moderado"),AND(AF28="Muy Alta",AH28="Mayor")),"Alto",IF(OR(AND(AF28="Muy Baja",AH28="Catastrófico"),AND(AF28="Baja",AH28="Catastrófico"),AND(AF28="Media",AH28="Catastrófico"),AND(AF28="Alta",AH28="Catastrófico"),AND(AF28="Muy Alta",AH28="Catastrófico")),"Extremo","")))),"")</f>
        <v/>
      </c>
      <c r="AK28" s="195"/>
      <c r="AL28" s="186"/>
      <c r="AM28" s="196"/>
      <c r="AN28" s="196"/>
      <c r="AO28" s="197"/>
      <c r="AP28" s="341"/>
      <c r="AQ28" s="341"/>
      <c r="AR28" s="341"/>
    </row>
    <row r="29" spans="1:44" ht="37.5" hidden="1" customHeight="1" x14ac:dyDescent="0.2">
      <c r="A29" s="363"/>
      <c r="B29" s="345"/>
      <c r="C29" s="345"/>
      <c r="D29" s="345"/>
      <c r="E29" s="346"/>
      <c r="F29" s="345"/>
      <c r="G29" s="338"/>
      <c r="H29" s="338"/>
      <c r="I29" s="338"/>
      <c r="J29" s="338"/>
      <c r="K29" s="338"/>
      <c r="L29" s="338"/>
      <c r="M29" s="338"/>
      <c r="N29" s="341"/>
      <c r="O29" s="335"/>
      <c r="P29" s="334"/>
      <c r="Q29" s="324"/>
      <c r="R29" s="334">
        <f>IF(NOT(ISERROR(MATCH(Q29,_xlfn.ANCHORARRAY(E40),0))),P42&amp;"Por favor no seleccionar los criterios de impacto",Q29)</f>
        <v>0</v>
      </c>
      <c r="S29" s="335"/>
      <c r="T29" s="334"/>
      <c r="U29" s="333"/>
      <c r="V29" s="214">
        <v>5</v>
      </c>
      <c r="W29" s="187"/>
      <c r="X29" s="189" t="str">
        <f t="shared" si="23"/>
        <v/>
      </c>
      <c r="Y29" s="190"/>
      <c r="Z29" s="190"/>
      <c r="AA29" s="191" t="str">
        <f t="shared" si="18"/>
        <v/>
      </c>
      <c r="AB29" s="190"/>
      <c r="AC29" s="190"/>
      <c r="AD29" s="190"/>
      <c r="AE29" s="192" t="str">
        <f t="shared" si="24"/>
        <v/>
      </c>
      <c r="AF29" s="193" t="str">
        <f t="shared" si="1"/>
        <v/>
      </c>
      <c r="AG29" s="191" t="str">
        <f t="shared" si="19"/>
        <v/>
      </c>
      <c r="AH29" s="193" t="str">
        <f t="shared" si="3"/>
        <v/>
      </c>
      <c r="AI29" s="191" t="str">
        <f t="shared" si="13"/>
        <v/>
      </c>
      <c r="AJ29" s="194" t="str">
        <f t="shared" ref="AJ29:AJ30" si="25">IFERROR(IF(OR(AND(AF29="Muy Baja",AH29="Leve"),AND(AF29="Muy Baja",AH29="Menor"),AND(AF29="Baja",AH29="Leve")),"Bajo",IF(OR(AND(AF29="Muy baja",AH29="Moderado"),AND(AF29="Baja",AH29="Menor"),AND(AF29="Baja",AH29="Moderado"),AND(AF29="Media",AH29="Leve"),AND(AF29="Media",AH29="Menor"),AND(AF29="Media",AH29="Moderado"),AND(AF29="Alta",AH29="Leve"),AND(AF29="Alta",AH29="Menor")),"Moderado",IF(OR(AND(AF29="Muy Baja",AH29="Mayor"),AND(AF29="Baja",AH29="Mayor"),AND(AF29="Media",AH29="Mayor"),AND(AF29="Alta",AH29="Moderado"),AND(AF29="Alta",AH29="Mayor"),AND(AF29="Muy Alta",AH29="Leve"),AND(AF29="Muy Alta",AH29="Menor"),AND(AF29="Muy Alta",AH29="Moderado"),AND(AF29="Muy Alta",AH29="Mayor")),"Alto",IF(OR(AND(AF29="Muy Baja",AH29="Catastrófico"),AND(AF29="Baja",AH29="Catastrófico"),AND(AF29="Media",AH29="Catastrófico"),AND(AF29="Alta",AH29="Catastrófico"),AND(AF29="Muy Alta",AH29="Catastrófico")),"Extremo","")))),"")</f>
        <v/>
      </c>
      <c r="AK29" s="195"/>
      <c r="AL29" s="186"/>
      <c r="AM29" s="196"/>
      <c r="AN29" s="196"/>
      <c r="AO29" s="197"/>
      <c r="AP29" s="341"/>
      <c r="AQ29" s="341"/>
      <c r="AR29" s="341"/>
    </row>
    <row r="30" spans="1:44" ht="37.5" hidden="1" customHeight="1" x14ac:dyDescent="0.2">
      <c r="A30" s="363"/>
      <c r="B30" s="345"/>
      <c r="C30" s="345"/>
      <c r="D30" s="345"/>
      <c r="E30" s="346"/>
      <c r="F30" s="345"/>
      <c r="G30" s="339"/>
      <c r="H30" s="339"/>
      <c r="I30" s="339"/>
      <c r="J30" s="339"/>
      <c r="K30" s="339"/>
      <c r="L30" s="339"/>
      <c r="M30" s="339"/>
      <c r="N30" s="341"/>
      <c r="O30" s="335"/>
      <c r="P30" s="334"/>
      <c r="Q30" s="324"/>
      <c r="R30" s="334">
        <f>IF(NOT(ISERROR(MATCH(Q30,_xlfn.ANCHORARRAY(E41),0))),P43&amp;"Por favor no seleccionar los criterios de impacto",Q30)</f>
        <v>0</v>
      </c>
      <c r="S30" s="335"/>
      <c r="T30" s="334"/>
      <c r="U30" s="333"/>
      <c r="V30" s="214">
        <v>6</v>
      </c>
      <c r="W30" s="187"/>
      <c r="X30" s="189" t="str">
        <f t="shared" si="23"/>
        <v/>
      </c>
      <c r="Y30" s="190"/>
      <c r="Z30" s="190"/>
      <c r="AA30" s="191" t="str">
        <f t="shared" si="18"/>
        <v/>
      </c>
      <c r="AB30" s="190"/>
      <c r="AC30" s="190"/>
      <c r="AD30" s="190"/>
      <c r="AE30" s="192" t="str">
        <f t="shared" si="24"/>
        <v/>
      </c>
      <c r="AF30" s="193" t="str">
        <f t="shared" si="1"/>
        <v/>
      </c>
      <c r="AG30" s="191" t="str">
        <f t="shared" si="19"/>
        <v/>
      </c>
      <c r="AH30" s="193" t="str">
        <f t="shared" si="3"/>
        <v/>
      </c>
      <c r="AI30" s="191" t="str">
        <f t="shared" si="13"/>
        <v/>
      </c>
      <c r="AJ30" s="194" t="str">
        <f t="shared" si="25"/>
        <v/>
      </c>
      <c r="AK30" s="195"/>
      <c r="AL30" s="186"/>
      <c r="AM30" s="196"/>
      <c r="AN30" s="196"/>
      <c r="AO30" s="197"/>
      <c r="AP30" s="341"/>
      <c r="AQ30" s="341"/>
      <c r="AR30" s="341"/>
    </row>
    <row r="31" spans="1:44" ht="37.5" hidden="1" customHeight="1" x14ac:dyDescent="0.2">
      <c r="A31" s="363">
        <v>4</v>
      </c>
      <c r="B31" s="345"/>
      <c r="C31" s="345"/>
      <c r="D31" s="345"/>
      <c r="E31" s="345"/>
      <c r="F31" s="345"/>
      <c r="G31" s="337"/>
      <c r="H31" s="337"/>
      <c r="I31" s="337"/>
      <c r="J31" s="337"/>
      <c r="K31" s="337"/>
      <c r="L31" s="337"/>
      <c r="M31" s="337"/>
      <c r="N31" s="341"/>
      <c r="O31" s="335" t="str">
        <f>IF(N31&lt;=0,"",IF(N31&lt;=2,"Muy Baja",IF(N31&lt;=24,"Baja",IF(N31&lt;=500,"Media",IF(N31&lt;=5000,"Alta","Muy Alta")))))</f>
        <v/>
      </c>
      <c r="P31" s="334" t="str">
        <f>IF(O31="","",IF(O31="Muy Baja",0.2,IF(O31="Baja",0.4,IF(O31="Media",0.6,IF(O31="Alta",0.8,IF(O31="Muy Alta",1,))))))</f>
        <v/>
      </c>
      <c r="Q31" s="324"/>
      <c r="R31" s="334">
        <f>IF(NOT(ISERROR(MATCH(Q31,'Tabla Impacto'!$B$222:$B$224,0))),'Tabla Impacto'!$F$224&amp;"Por favor no seleccionar los criterios de impacto(Afectación Económica o presupuestal y Pérdida Reputacional)",Q31)</f>
        <v>0</v>
      </c>
      <c r="S31" s="335" t="str">
        <f>IF(OR(R31='Tabla Impacto'!$C$12,R31='Tabla Impacto'!$D$12),"Leve",IF(OR(R31='Tabla Impacto'!$C$13,R31='Tabla Impacto'!$D$13),"Menor",IF(OR(R31='Tabla Impacto'!$C$14,R31='Tabla Impacto'!$D$14),"Moderado",IF(OR(R31='Tabla Impacto'!$C$15,R31='Tabla Impacto'!$D$15),"Mayor",IF(OR(R31='Tabla Impacto'!$C$16,R31='Tabla Impacto'!$D$16),"Catastrófico","")))))</f>
        <v/>
      </c>
      <c r="T31" s="334" t="str">
        <f>IF(S31="","",IF(S31="Leve",0.2,IF(S31="Menor",0.4,IF(S31="Moderado",0.6,IF(S31="Mayor",0.8,IF(S31="Catastrófico",1,))))))</f>
        <v/>
      </c>
      <c r="U31" s="333"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
      </c>
      <c r="V31" s="214">
        <v>1</v>
      </c>
      <c r="W31" s="187"/>
      <c r="X31" s="189" t="str">
        <f>IF(OR(Y31="Preventivo",Y31="Detectivo"),"Probabilidad",IF(Y31="Correctivo","Impacto",""))</f>
        <v/>
      </c>
      <c r="Y31" s="190"/>
      <c r="Z31" s="190"/>
      <c r="AA31" s="191" t="str">
        <f>IF(AND(Y31="Preventivo",Z31="Automático"),"50%",IF(AND(Y31="Preventivo",Z31="Manual"),"40%",IF(AND(Y31="Detectivo",Z31="Automático"),"40%",IF(AND(Y31="Detectivo",Z31="Manual"),"30%",IF(AND(Y31="Correctivo",Z31="Automático"),"35%",IF(AND(Y31="Correctivo",Z31="Manual"),"25%",""))))))</f>
        <v/>
      </c>
      <c r="AB31" s="190"/>
      <c r="AC31" s="190"/>
      <c r="AD31" s="190"/>
      <c r="AE31" s="192" t="str">
        <f>IFERROR(IF(X31="Probabilidad",(P31-(+P31*AA31)),IF(X31="Impacto",P31,"")),"")</f>
        <v/>
      </c>
      <c r="AF31" s="193" t="str">
        <f>IFERROR(IF(AE31="","",IF(AE31&lt;=0.2,"Muy Baja",IF(AE31&lt;=0.4,"Baja",IF(AE31&lt;=0.6,"Media",IF(AE31&lt;=0.8,"Alta","Muy Alta"))))),"")</f>
        <v/>
      </c>
      <c r="AG31" s="191" t="str">
        <f>+AE31</f>
        <v/>
      </c>
      <c r="AH31" s="193" t="str">
        <f>IFERROR(IF(AI31="","",IF(AI31&lt;=0.2,"Leve",IF(AI31&lt;=0.4,"Menor",IF(AI31&lt;=0.6,"Moderado",IF(AI31&lt;=0.8,"Mayor","Catastrófico"))))),"")</f>
        <v/>
      </c>
      <c r="AI31" s="191" t="str">
        <f t="shared" ref="AI31" si="26">IFERROR(IF(X31="Impacto",(T31-(+T31*AA31)),IF(X31="Probabilidad",T31,"")),"")</f>
        <v/>
      </c>
      <c r="AJ31" s="194" t="str">
        <f>IFERROR(IF(OR(AND(AF31="Muy Baja",AH31="Leve"),AND(AF31="Muy Baja",AH31="Menor"),AND(AF31="Baja",AH31="Leve")),"Bajo",IF(OR(AND(AF31="Muy baja",AH31="Moderado"),AND(AF31="Baja",AH31="Menor"),AND(AF31="Baja",AH31="Moderado"),AND(AF31="Media",AH31="Leve"),AND(AF31="Media",AH31="Menor"),AND(AF31="Media",AH31="Moderado"),AND(AF31="Alta",AH31="Leve"),AND(AF31="Alta",AH31="Menor")),"Moderado",IF(OR(AND(AF31="Muy Baja",AH31="Mayor"),AND(AF31="Baja",AH31="Mayor"),AND(AF31="Media",AH31="Mayor"),AND(AF31="Alta",AH31="Moderado"),AND(AF31="Alta",AH31="Mayor"),AND(AF31="Muy Alta",AH31="Leve"),AND(AF31="Muy Alta",AH31="Menor"),AND(AF31="Muy Alta",AH31="Moderado"),AND(AF31="Muy Alta",AH31="Mayor")),"Alto",IF(OR(AND(AF31="Muy Baja",AH31="Catastrófico"),AND(AF31="Baja",AH31="Catastrófico"),AND(AF31="Media",AH31="Catastrófico"),AND(AF31="Alta",AH31="Catastrófico"),AND(AF31="Muy Alta",AH31="Catastrófico")),"Extremo","")))),"")</f>
        <v/>
      </c>
      <c r="AK31" s="195"/>
      <c r="AL31" s="186"/>
      <c r="AM31" s="196"/>
      <c r="AN31" s="196"/>
      <c r="AO31" s="197"/>
      <c r="AP31" s="341"/>
      <c r="AQ31" s="341"/>
      <c r="AR31" s="341"/>
    </row>
    <row r="32" spans="1:44" ht="37.5" hidden="1" customHeight="1" x14ac:dyDescent="0.2">
      <c r="A32" s="363"/>
      <c r="B32" s="345"/>
      <c r="C32" s="345"/>
      <c r="D32" s="345"/>
      <c r="E32" s="345"/>
      <c r="F32" s="345"/>
      <c r="G32" s="338"/>
      <c r="H32" s="338"/>
      <c r="I32" s="338"/>
      <c r="J32" s="338"/>
      <c r="K32" s="338"/>
      <c r="L32" s="338"/>
      <c r="M32" s="338"/>
      <c r="N32" s="341"/>
      <c r="O32" s="335"/>
      <c r="P32" s="334"/>
      <c r="Q32" s="324"/>
      <c r="R32" s="334">
        <f>IF(NOT(ISERROR(MATCH(Q32,_xlfn.ANCHORARRAY(E43),0))),P45&amp;"Por favor no seleccionar los criterios de impacto",Q32)</f>
        <v>0</v>
      </c>
      <c r="S32" s="335"/>
      <c r="T32" s="334"/>
      <c r="U32" s="333"/>
      <c r="V32" s="214">
        <v>2</v>
      </c>
      <c r="W32" s="187"/>
      <c r="X32" s="189" t="str">
        <f>IF(OR(Y32="Preventivo",Y32="Detectivo"),"Probabilidad",IF(Y32="Correctivo","Impacto",""))</f>
        <v/>
      </c>
      <c r="Y32" s="190"/>
      <c r="Z32" s="190"/>
      <c r="AA32" s="191" t="str">
        <f t="shared" ref="AA32:AA36" si="27">IF(AND(Y32="Preventivo",Z32="Automático"),"50%",IF(AND(Y32="Preventivo",Z32="Manual"),"40%",IF(AND(Y32="Detectivo",Z32="Automático"),"40%",IF(AND(Y32="Detectivo",Z32="Manual"),"30%",IF(AND(Y32="Correctivo",Z32="Automático"),"35%",IF(AND(Y32="Correctivo",Z32="Manual"),"25%",""))))))</f>
        <v/>
      </c>
      <c r="AB32" s="190"/>
      <c r="AC32" s="190"/>
      <c r="AD32" s="190"/>
      <c r="AE32" s="192" t="str">
        <f>IFERROR(IF(AND(X31="Probabilidad",X32="Probabilidad"),(AG31-(+AG31*AA32)),IF(X32="Probabilidad",(P31-(+P31*AA32)),IF(X32="Impacto",AG31,""))),"")</f>
        <v/>
      </c>
      <c r="AF32" s="193" t="str">
        <f t="shared" si="1"/>
        <v/>
      </c>
      <c r="AG32" s="191" t="str">
        <f t="shared" ref="AG32:AG36" si="28">+AE32</f>
        <v/>
      </c>
      <c r="AH32" s="193" t="str">
        <f t="shared" si="3"/>
        <v/>
      </c>
      <c r="AI32" s="191" t="str">
        <f t="shared" ref="AI32" si="29">IFERROR(IF(AND(X31="Impacto",X32="Impacto"),(AI31-(+AI31*AA32)),IF(X32="Impacto",($T$13-(+$T$13*AA32)),IF(X32="Probabilidad",AI31,""))),"")</f>
        <v/>
      </c>
      <c r="AJ32" s="194" t="str">
        <f t="shared" ref="AJ32:AJ33" si="30">IFERROR(IF(OR(AND(AF32="Muy Baja",AH32="Leve"),AND(AF32="Muy Baja",AH32="Menor"),AND(AF32="Baja",AH32="Leve")),"Bajo",IF(OR(AND(AF32="Muy baja",AH32="Moderado"),AND(AF32="Baja",AH32="Menor"),AND(AF32="Baja",AH32="Moderado"),AND(AF32="Media",AH32="Leve"),AND(AF32="Media",AH32="Menor"),AND(AF32="Media",AH32="Moderado"),AND(AF32="Alta",AH32="Leve"),AND(AF32="Alta",AH32="Menor")),"Moderado",IF(OR(AND(AF32="Muy Baja",AH32="Mayor"),AND(AF32="Baja",AH32="Mayor"),AND(AF32="Media",AH32="Mayor"),AND(AF32="Alta",AH32="Moderado"),AND(AF32="Alta",AH32="Mayor"),AND(AF32="Muy Alta",AH32="Leve"),AND(AF32="Muy Alta",AH32="Menor"),AND(AF32="Muy Alta",AH32="Moderado"),AND(AF32="Muy Alta",AH32="Mayor")),"Alto",IF(OR(AND(AF32="Muy Baja",AH32="Catastrófico"),AND(AF32="Baja",AH32="Catastrófico"),AND(AF32="Media",AH32="Catastrófico"),AND(AF32="Alta",AH32="Catastrófico"),AND(AF32="Muy Alta",AH32="Catastrófico")),"Extremo","")))),"")</f>
        <v/>
      </c>
      <c r="AK32" s="195"/>
      <c r="AL32" s="186"/>
      <c r="AM32" s="196"/>
      <c r="AN32" s="196"/>
      <c r="AO32" s="197"/>
      <c r="AP32" s="341"/>
      <c r="AQ32" s="341"/>
      <c r="AR32" s="341"/>
    </row>
    <row r="33" spans="1:44" ht="37.5" hidden="1" customHeight="1" x14ac:dyDescent="0.2">
      <c r="A33" s="363"/>
      <c r="B33" s="345"/>
      <c r="C33" s="345"/>
      <c r="D33" s="345"/>
      <c r="E33" s="345"/>
      <c r="F33" s="345"/>
      <c r="G33" s="338"/>
      <c r="H33" s="338"/>
      <c r="I33" s="338"/>
      <c r="J33" s="338"/>
      <c r="K33" s="338"/>
      <c r="L33" s="338"/>
      <c r="M33" s="338"/>
      <c r="N33" s="341"/>
      <c r="O33" s="335"/>
      <c r="P33" s="334"/>
      <c r="Q33" s="324"/>
      <c r="R33" s="334">
        <f>IF(NOT(ISERROR(MATCH(Q33,_xlfn.ANCHORARRAY(E44),0))),P46&amp;"Por favor no seleccionar los criterios de impacto",Q33)</f>
        <v>0</v>
      </c>
      <c r="S33" s="335"/>
      <c r="T33" s="334"/>
      <c r="U33" s="333"/>
      <c r="V33" s="214">
        <v>3</v>
      </c>
      <c r="W33" s="188"/>
      <c r="X33" s="189" t="str">
        <f>IF(OR(Y33="Preventivo",Y33="Detectivo"),"Probabilidad",IF(Y33="Correctivo","Impacto",""))</f>
        <v/>
      </c>
      <c r="Y33" s="190"/>
      <c r="Z33" s="190"/>
      <c r="AA33" s="191" t="str">
        <f t="shared" si="27"/>
        <v/>
      </c>
      <c r="AB33" s="190"/>
      <c r="AC33" s="190"/>
      <c r="AD33" s="190"/>
      <c r="AE33" s="192" t="str">
        <f>IFERROR(IF(AND(X32="Probabilidad",X33="Probabilidad"),(AG32-(+AG32*AA33)),IF(AND(X32="Impacto",X33="Probabilidad"),(AG31-(+AG31*AA33)),IF(X33="Impacto",AG32,""))),"")</f>
        <v/>
      </c>
      <c r="AF33" s="193" t="str">
        <f t="shared" si="1"/>
        <v/>
      </c>
      <c r="AG33" s="191" t="str">
        <f t="shared" si="28"/>
        <v/>
      </c>
      <c r="AH33" s="193" t="str">
        <f t="shared" si="3"/>
        <v/>
      </c>
      <c r="AI33" s="191" t="str">
        <f t="shared" ref="AI33" si="31">IFERROR(IF(AND(X32="Impacto",X33="Impacto"),(AI32-(+AI32*AA33)),IF(AND(X32="Probabilidad",X33="Impacto"),(AI31-(+AI31*AA33)),IF(X33="Probabilidad",AI32,""))),"")</f>
        <v/>
      </c>
      <c r="AJ33" s="194" t="str">
        <f t="shared" si="30"/>
        <v/>
      </c>
      <c r="AK33" s="195"/>
      <c r="AL33" s="186"/>
      <c r="AM33" s="196"/>
      <c r="AN33" s="196"/>
      <c r="AO33" s="197"/>
      <c r="AP33" s="341"/>
      <c r="AQ33" s="341"/>
      <c r="AR33" s="341"/>
    </row>
    <row r="34" spans="1:44" ht="37.5" hidden="1" customHeight="1" x14ac:dyDescent="0.2">
      <c r="A34" s="363"/>
      <c r="B34" s="345"/>
      <c r="C34" s="345"/>
      <c r="D34" s="345"/>
      <c r="E34" s="345"/>
      <c r="F34" s="345"/>
      <c r="G34" s="338"/>
      <c r="H34" s="338"/>
      <c r="I34" s="338"/>
      <c r="J34" s="338"/>
      <c r="K34" s="338"/>
      <c r="L34" s="338"/>
      <c r="M34" s="338"/>
      <c r="N34" s="341"/>
      <c r="O34" s="335"/>
      <c r="P34" s="334"/>
      <c r="Q34" s="324"/>
      <c r="R34" s="334">
        <f>IF(NOT(ISERROR(MATCH(Q34,_xlfn.ANCHORARRAY(E45),0))),P47&amp;"Por favor no seleccionar los criterios de impacto",Q34)</f>
        <v>0</v>
      </c>
      <c r="S34" s="335"/>
      <c r="T34" s="334"/>
      <c r="U34" s="333"/>
      <c r="V34" s="214">
        <v>4</v>
      </c>
      <c r="W34" s="187"/>
      <c r="X34" s="189" t="str">
        <f t="shared" ref="X34:X36" si="32">IF(OR(Y34="Preventivo",Y34="Detectivo"),"Probabilidad",IF(Y34="Correctivo","Impacto",""))</f>
        <v/>
      </c>
      <c r="Y34" s="190"/>
      <c r="Z34" s="190"/>
      <c r="AA34" s="191" t="str">
        <f t="shared" si="27"/>
        <v/>
      </c>
      <c r="AB34" s="190"/>
      <c r="AC34" s="190"/>
      <c r="AD34" s="190"/>
      <c r="AE34" s="192" t="str">
        <f t="shared" ref="AE34:AE36" si="33">IFERROR(IF(AND(X33="Probabilidad",X34="Probabilidad"),(AG33-(+AG33*AA34)),IF(AND(X33="Impacto",X34="Probabilidad"),(AG32-(+AG32*AA34)),IF(X34="Impacto",AG33,""))),"")</f>
        <v/>
      </c>
      <c r="AF34" s="193" t="str">
        <f t="shared" si="1"/>
        <v/>
      </c>
      <c r="AG34" s="191" t="str">
        <f t="shared" si="28"/>
        <v/>
      </c>
      <c r="AH34" s="193" t="str">
        <f t="shared" si="3"/>
        <v/>
      </c>
      <c r="AI34" s="191" t="str">
        <f t="shared" si="13"/>
        <v/>
      </c>
      <c r="AJ34" s="194" t="str">
        <f>IFERROR(IF(OR(AND(AF34="Muy Baja",AH34="Leve"),AND(AF34="Muy Baja",AH34="Menor"),AND(AF34="Baja",AH34="Leve")),"Bajo",IF(OR(AND(AF34="Muy baja",AH34="Moderado"),AND(AF34="Baja",AH34="Menor"),AND(AF34="Baja",AH34="Moderado"),AND(AF34="Media",AH34="Leve"),AND(AF34="Media",AH34="Menor"),AND(AF34="Media",AH34="Moderado"),AND(AF34="Alta",AH34="Leve"),AND(AF34="Alta",AH34="Menor")),"Moderado",IF(OR(AND(AF34="Muy Baja",AH34="Mayor"),AND(AF34="Baja",AH34="Mayor"),AND(AF34="Media",AH34="Mayor"),AND(AF34="Alta",AH34="Moderado"),AND(AF34="Alta",AH34="Mayor"),AND(AF34="Muy Alta",AH34="Leve"),AND(AF34="Muy Alta",AH34="Menor"),AND(AF34="Muy Alta",AH34="Moderado"),AND(AF34="Muy Alta",AH34="Mayor")),"Alto",IF(OR(AND(AF34="Muy Baja",AH34="Catastrófico"),AND(AF34="Baja",AH34="Catastrófico"),AND(AF34="Media",AH34="Catastrófico"),AND(AF34="Alta",AH34="Catastrófico"),AND(AF34="Muy Alta",AH34="Catastrófico")),"Extremo","")))),"")</f>
        <v/>
      </c>
      <c r="AK34" s="195"/>
      <c r="AL34" s="186"/>
      <c r="AM34" s="196"/>
      <c r="AN34" s="196"/>
      <c r="AO34" s="197"/>
      <c r="AP34" s="341"/>
      <c r="AQ34" s="341"/>
      <c r="AR34" s="341"/>
    </row>
    <row r="35" spans="1:44" ht="37.5" hidden="1" customHeight="1" x14ac:dyDescent="0.2">
      <c r="A35" s="363"/>
      <c r="B35" s="345"/>
      <c r="C35" s="345"/>
      <c r="D35" s="345"/>
      <c r="E35" s="345"/>
      <c r="F35" s="345"/>
      <c r="G35" s="338"/>
      <c r="H35" s="338"/>
      <c r="I35" s="338"/>
      <c r="J35" s="338"/>
      <c r="K35" s="338"/>
      <c r="L35" s="338"/>
      <c r="M35" s="338"/>
      <c r="N35" s="341"/>
      <c r="O35" s="335"/>
      <c r="P35" s="334"/>
      <c r="Q35" s="324"/>
      <c r="R35" s="334">
        <f>IF(NOT(ISERROR(MATCH(Q35,_xlfn.ANCHORARRAY(E46),0))),P48&amp;"Por favor no seleccionar los criterios de impacto",Q35)</f>
        <v>0</v>
      </c>
      <c r="S35" s="335"/>
      <c r="T35" s="334"/>
      <c r="U35" s="333"/>
      <c r="V35" s="214">
        <v>5</v>
      </c>
      <c r="W35" s="187"/>
      <c r="X35" s="189" t="str">
        <f t="shared" si="32"/>
        <v/>
      </c>
      <c r="Y35" s="190"/>
      <c r="Z35" s="190"/>
      <c r="AA35" s="191" t="str">
        <f t="shared" si="27"/>
        <v/>
      </c>
      <c r="AB35" s="190"/>
      <c r="AC35" s="190"/>
      <c r="AD35" s="190"/>
      <c r="AE35" s="192" t="str">
        <f t="shared" si="33"/>
        <v/>
      </c>
      <c r="AF35" s="193" t="str">
        <f>IFERROR(IF(AE35="","",IF(AE35&lt;=0.2,"Muy Baja",IF(AE35&lt;=0.4,"Baja",IF(AE35&lt;=0.6,"Media",IF(AE35&lt;=0.8,"Alta","Muy Alta"))))),"")</f>
        <v/>
      </c>
      <c r="AG35" s="191" t="str">
        <f t="shared" si="28"/>
        <v/>
      </c>
      <c r="AH35" s="193" t="str">
        <f t="shared" si="3"/>
        <v/>
      </c>
      <c r="AI35" s="191" t="str">
        <f t="shared" si="13"/>
        <v/>
      </c>
      <c r="AJ35" s="194" t="str">
        <f t="shared" ref="AJ35:AJ36" si="34">IFERROR(IF(OR(AND(AF35="Muy Baja",AH35="Leve"),AND(AF35="Muy Baja",AH35="Menor"),AND(AF35="Baja",AH35="Leve")),"Bajo",IF(OR(AND(AF35="Muy baja",AH35="Moderado"),AND(AF35="Baja",AH35="Menor"),AND(AF35="Baja",AH35="Moderado"),AND(AF35="Media",AH35="Leve"),AND(AF35="Media",AH35="Menor"),AND(AF35="Media",AH35="Moderado"),AND(AF35="Alta",AH35="Leve"),AND(AF35="Alta",AH35="Menor")),"Moderado",IF(OR(AND(AF35="Muy Baja",AH35="Mayor"),AND(AF35="Baja",AH35="Mayor"),AND(AF35="Media",AH35="Mayor"),AND(AF35="Alta",AH35="Moderado"),AND(AF35="Alta",AH35="Mayor"),AND(AF35="Muy Alta",AH35="Leve"),AND(AF35="Muy Alta",AH35="Menor"),AND(AF35="Muy Alta",AH35="Moderado"),AND(AF35="Muy Alta",AH35="Mayor")),"Alto",IF(OR(AND(AF35="Muy Baja",AH35="Catastrófico"),AND(AF35="Baja",AH35="Catastrófico"),AND(AF35="Media",AH35="Catastrófico"),AND(AF35="Alta",AH35="Catastrófico"),AND(AF35="Muy Alta",AH35="Catastrófico")),"Extremo","")))),"")</f>
        <v/>
      </c>
      <c r="AK35" s="195"/>
      <c r="AL35" s="186"/>
      <c r="AM35" s="196"/>
      <c r="AN35" s="196"/>
      <c r="AO35" s="197"/>
      <c r="AP35" s="341"/>
      <c r="AQ35" s="341"/>
      <c r="AR35" s="341"/>
    </row>
    <row r="36" spans="1:44" ht="37.5" hidden="1" customHeight="1" x14ac:dyDescent="0.2">
      <c r="A36" s="363"/>
      <c r="B36" s="345"/>
      <c r="C36" s="345"/>
      <c r="D36" s="345"/>
      <c r="E36" s="345"/>
      <c r="F36" s="345"/>
      <c r="G36" s="339"/>
      <c r="H36" s="339"/>
      <c r="I36" s="339"/>
      <c r="J36" s="339"/>
      <c r="K36" s="339"/>
      <c r="L36" s="339"/>
      <c r="M36" s="339"/>
      <c r="N36" s="341"/>
      <c r="O36" s="335"/>
      <c r="P36" s="334"/>
      <c r="Q36" s="324"/>
      <c r="R36" s="334">
        <f>IF(NOT(ISERROR(MATCH(Q36,_xlfn.ANCHORARRAY(E47),0))),P49&amp;"Por favor no seleccionar los criterios de impacto",Q36)</f>
        <v>0</v>
      </c>
      <c r="S36" s="335"/>
      <c r="T36" s="334"/>
      <c r="U36" s="333"/>
      <c r="V36" s="214">
        <v>6</v>
      </c>
      <c r="W36" s="187"/>
      <c r="X36" s="189" t="str">
        <f t="shared" si="32"/>
        <v/>
      </c>
      <c r="Y36" s="190"/>
      <c r="Z36" s="190"/>
      <c r="AA36" s="191" t="str">
        <f t="shared" si="27"/>
        <v/>
      </c>
      <c r="AB36" s="190"/>
      <c r="AC36" s="190"/>
      <c r="AD36" s="190"/>
      <c r="AE36" s="192" t="str">
        <f t="shared" si="33"/>
        <v/>
      </c>
      <c r="AF36" s="193" t="str">
        <f t="shared" si="1"/>
        <v/>
      </c>
      <c r="AG36" s="191" t="str">
        <f t="shared" si="28"/>
        <v/>
      </c>
      <c r="AH36" s="193" t="str">
        <f t="shared" si="3"/>
        <v/>
      </c>
      <c r="AI36" s="191" t="str">
        <f t="shared" si="13"/>
        <v/>
      </c>
      <c r="AJ36" s="194" t="str">
        <f t="shared" si="34"/>
        <v/>
      </c>
      <c r="AK36" s="195"/>
      <c r="AL36" s="186"/>
      <c r="AM36" s="196"/>
      <c r="AN36" s="196"/>
      <c r="AO36" s="197"/>
      <c r="AP36" s="341"/>
      <c r="AQ36" s="341"/>
      <c r="AR36" s="341"/>
    </row>
    <row r="37" spans="1:44" ht="37.5" hidden="1" customHeight="1" x14ac:dyDescent="0.2">
      <c r="A37" s="363">
        <v>5</v>
      </c>
      <c r="B37" s="345"/>
      <c r="C37" s="345"/>
      <c r="D37" s="345"/>
      <c r="E37" s="345"/>
      <c r="F37" s="345"/>
      <c r="G37" s="337"/>
      <c r="H37" s="337"/>
      <c r="I37" s="337"/>
      <c r="J37" s="337"/>
      <c r="K37" s="337"/>
      <c r="L37" s="337"/>
      <c r="M37" s="337"/>
      <c r="N37" s="341"/>
      <c r="O37" s="335" t="str">
        <f>IF(N37&lt;=0,"",IF(N37&lt;=2,"Muy Baja",IF(N37&lt;=24,"Baja",IF(N37&lt;=500,"Media",IF(N37&lt;=5000,"Alta","Muy Alta")))))</f>
        <v/>
      </c>
      <c r="P37" s="334" t="str">
        <f>IF(O37="","",IF(O37="Muy Baja",0.2,IF(O37="Baja",0.4,IF(O37="Media",0.6,IF(O37="Alta",0.8,IF(O37="Muy Alta",1,))))))</f>
        <v/>
      </c>
      <c r="Q37" s="324"/>
      <c r="R37" s="334">
        <f>IF(NOT(ISERROR(MATCH(Q37,'Tabla Impacto'!$B$222:$B$224,0))),'Tabla Impacto'!$F$224&amp;"Por favor no seleccionar los criterios de impacto(Afectación Económica o presupuestal y Pérdida Reputacional)",Q37)</f>
        <v>0</v>
      </c>
      <c r="S37" s="335" t="str">
        <f>IF(OR(R37='Tabla Impacto'!$C$12,R37='Tabla Impacto'!$D$12),"Leve",IF(OR(R37='Tabla Impacto'!$C$13,R37='Tabla Impacto'!$D$13),"Menor",IF(OR(R37='Tabla Impacto'!$C$14,R37='Tabla Impacto'!$D$14),"Moderado",IF(OR(R37='Tabla Impacto'!$C$15,R37='Tabla Impacto'!$D$15),"Mayor",IF(OR(R37='Tabla Impacto'!$C$16,R37='Tabla Impacto'!$D$16),"Catastrófico","")))))</f>
        <v/>
      </c>
      <c r="T37" s="334" t="str">
        <f>IF(S37="","",IF(S37="Leve",0.2,IF(S37="Menor",0.4,IF(S37="Moderado",0.6,IF(S37="Mayor",0.8,IF(S37="Catastrófico",1,))))))</f>
        <v/>
      </c>
      <c r="U37" s="333" t="str">
        <f>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
      </c>
      <c r="V37" s="214">
        <v>1</v>
      </c>
      <c r="W37" s="187"/>
      <c r="X37" s="189" t="str">
        <f>IF(OR(Y37="Preventivo",Y37="Detectivo"),"Probabilidad",IF(Y37="Correctivo","Impacto",""))</f>
        <v/>
      </c>
      <c r="Y37" s="190"/>
      <c r="Z37" s="190"/>
      <c r="AA37" s="191" t="str">
        <f>IF(AND(Y37="Preventivo",Z37="Automático"),"50%",IF(AND(Y37="Preventivo",Z37="Manual"),"40%",IF(AND(Y37="Detectivo",Z37="Automático"),"40%",IF(AND(Y37="Detectivo",Z37="Manual"),"30%",IF(AND(Y37="Correctivo",Z37="Automático"),"35%",IF(AND(Y37="Correctivo",Z37="Manual"),"25%",""))))))</f>
        <v/>
      </c>
      <c r="AB37" s="190"/>
      <c r="AC37" s="190"/>
      <c r="AD37" s="190"/>
      <c r="AE37" s="192" t="str">
        <f>IFERROR(IF(X37="Probabilidad",(P37-(+P37*AA37)),IF(X37="Impacto",P37,"")),"")</f>
        <v/>
      </c>
      <c r="AF37" s="193" t="str">
        <f>IFERROR(IF(AE37="","",IF(AE37&lt;=0.2,"Muy Baja",IF(AE37&lt;=0.4,"Baja",IF(AE37&lt;=0.6,"Media",IF(AE37&lt;=0.8,"Alta","Muy Alta"))))),"")</f>
        <v/>
      </c>
      <c r="AG37" s="191" t="str">
        <f>+AE37</f>
        <v/>
      </c>
      <c r="AH37" s="193" t="str">
        <f>IFERROR(IF(AI37="","",IF(AI37&lt;=0.2,"Leve",IF(AI37&lt;=0.4,"Menor",IF(AI37&lt;=0.6,"Moderado",IF(AI37&lt;=0.8,"Mayor","Catastrófico"))))),"")</f>
        <v/>
      </c>
      <c r="AI37" s="191" t="str">
        <f t="shared" ref="AI37" si="35">IFERROR(IF(X37="Impacto",(T37-(+T37*AA37)),IF(X37="Probabilidad",T37,"")),"")</f>
        <v/>
      </c>
      <c r="AJ37" s="194" t="str">
        <f>IFERROR(IF(OR(AND(AF37="Muy Baja",AH37="Leve"),AND(AF37="Muy Baja",AH37="Menor"),AND(AF37="Baja",AH37="Leve")),"Bajo",IF(OR(AND(AF37="Muy baja",AH37="Moderado"),AND(AF37="Baja",AH37="Menor"),AND(AF37="Baja",AH37="Moderado"),AND(AF37="Media",AH37="Leve"),AND(AF37="Media",AH37="Menor"),AND(AF37="Media",AH37="Moderado"),AND(AF37="Alta",AH37="Leve"),AND(AF37="Alta",AH37="Menor")),"Moderado",IF(OR(AND(AF37="Muy Baja",AH37="Mayor"),AND(AF37="Baja",AH37="Mayor"),AND(AF37="Media",AH37="Mayor"),AND(AF37="Alta",AH37="Moderado"),AND(AF37="Alta",AH37="Mayor"),AND(AF37="Muy Alta",AH37="Leve"),AND(AF37="Muy Alta",AH37="Menor"),AND(AF37="Muy Alta",AH37="Moderado"),AND(AF37="Muy Alta",AH37="Mayor")),"Alto",IF(OR(AND(AF37="Muy Baja",AH37="Catastrófico"),AND(AF37="Baja",AH37="Catastrófico"),AND(AF37="Media",AH37="Catastrófico"),AND(AF37="Alta",AH37="Catastrófico"),AND(AF37="Muy Alta",AH37="Catastrófico")),"Extremo","")))),"")</f>
        <v/>
      </c>
      <c r="AK37" s="195"/>
      <c r="AL37" s="186"/>
      <c r="AM37" s="196"/>
      <c r="AN37" s="196"/>
      <c r="AO37" s="197"/>
      <c r="AP37" s="341"/>
      <c r="AQ37" s="341"/>
      <c r="AR37" s="341"/>
    </row>
    <row r="38" spans="1:44" ht="37.5" hidden="1" customHeight="1" x14ac:dyDescent="0.2">
      <c r="A38" s="363"/>
      <c r="B38" s="345"/>
      <c r="C38" s="345"/>
      <c r="D38" s="345"/>
      <c r="E38" s="345"/>
      <c r="F38" s="345"/>
      <c r="G38" s="338"/>
      <c r="H38" s="338"/>
      <c r="I38" s="338"/>
      <c r="J38" s="338"/>
      <c r="K38" s="338"/>
      <c r="L38" s="338"/>
      <c r="M38" s="338"/>
      <c r="N38" s="341"/>
      <c r="O38" s="335"/>
      <c r="P38" s="334"/>
      <c r="Q38" s="324"/>
      <c r="R38" s="334">
        <f>IF(NOT(ISERROR(MATCH(Q38,_xlfn.ANCHORARRAY(E49),0))),P51&amp;"Por favor no seleccionar los criterios de impacto",Q38)</f>
        <v>0</v>
      </c>
      <c r="S38" s="335"/>
      <c r="T38" s="334"/>
      <c r="U38" s="333"/>
      <c r="V38" s="214">
        <v>2</v>
      </c>
      <c r="W38" s="187"/>
      <c r="X38" s="189" t="str">
        <f>IF(OR(Y38="Preventivo",Y38="Detectivo"),"Probabilidad",IF(Y38="Correctivo","Impacto",""))</f>
        <v/>
      </c>
      <c r="Y38" s="190"/>
      <c r="Z38" s="190"/>
      <c r="AA38" s="191" t="str">
        <f t="shared" ref="AA38:AA42" si="36">IF(AND(Y38="Preventivo",Z38="Automático"),"50%",IF(AND(Y38="Preventivo",Z38="Manual"),"40%",IF(AND(Y38="Detectivo",Z38="Automático"),"40%",IF(AND(Y38="Detectivo",Z38="Manual"),"30%",IF(AND(Y38="Correctivo",Z38="Automático"),"35%",IF(AND(Y38="Correctivo",Z38="Manual"),"25%",""))))))</f>
        <v/>
      </c>
      <c r="AB38" s="190"/>
      <c r="AC38" s="190"/>
      <c r="AD38" s="190"/>
      <c r="AE38" s="192" t="str">
        <f>IFERROR(IF(AND(X37="Probabilidad",X38="Probabilidad"),(AG37-(+AG37*AA38)),IF(X38="Probabilidad",(P37-(+P37*AA38)),IF(X38="Impacto",AG37,""))),"")</f>
        <v/>
      </c>
      <c r="AF38" s="193" t="str">
        <f t="shared" si="1"/>
        <v/>
      </c>
      <c r="AG38" s="191" t="str">
        <f t="shared" ref="AG38:AG42" si="37">+AE38</f>
        <v/>
      </c>
      <c r="AH38" s="193" t="str">
        <f t="shared" si="3"/>
        <v/>
      </c>
      <c r="AI38" s="191" t="str">
        <f t="shared" ref="AI38" si="38">IFERROR(IF(AND(X37="Impacto",X38="Impacto"),(AI37-(+AI37*AA38)),IF(X38="Impacto",($T$13-(+$T$13*AA38)),IF(X38="Probabilidad",AI37,""))),"")</f>
        <v/>
      </c>
      <c r="AJ38" s="194" t="str">
        <f t="shared" ref="AJ38:AJ39" si="39">IFERROR(IF(OR(AND(AF38="Muy Baja",AH38="Leve"),AND(AF38="Muy Baja",AH38="Menor"),AND(AF38="Baja",AH38="Leve")),"Bajo",IF(OR(AND(AF38="Muy baja",AH38="Moderado"),AND(AF38="Baja",AH38="Menor"),AND(AF38="Baja",AH38="Moderado"),AND(AF38="Media",AH38="Leve"),AND(AF38="Media",AH38="Menor"),AND(AF38="Media",AH38="Moderado"),AND(AF38="Alta",AH38="Leve"),AND(AF38="Alta",AH38="Menor")),"Moderado",IF(OR(AND(AF38="Muy Baja",AH38="Mayor"),AND(AF38="Baja",AH38="Mayor"),AND(AF38="Media",AH38="Mayor"),AND(AF38="Alta",AH38="Moderado"),AND(AF38="Alta",AH38="Mayor"),AND(AF38="Muy Alta",AH38="Leve"),AND(AF38="Muy Alta",AH38="Menor"),AND(AF38="Muy Alta",AH38="Moderado"),AND(AF38="Muy Alta",AH38="Mayor")),"Alto",IF(OR(AND(AF38="Muy Baja",AH38="Catastrófico"),AND(AF38="Baja",AH38="Catastrófico"),AND(AF38="Media",AH38="Catastrófico"),AND(AF38="Alta",AH38="Catastrófico"),AND(AF38="Muy Alta",AH38="Catastrófico")),"Extremo","")))),"")</f>
        <v/>
      </c>
      <c r="AK38" s="195"/>
      <c r="AL38" s="186"/>
      <c r="AM38" s="196"/>
      <c r="AN38" s="196"/>
      <c r="AO38" s="197"/>
      <c r="AP38" s="341"/>
      <c r="AQ38" s="341"/>
      <c r="AR38" s="341"/>
    </row>
    <row r="39" spans="1:44" ht="37.5" hidden="1" customHeight="1" x14ac:dyDescent="0.2">
      <c r="A39" s="363"/>
      <c r="B39" s="345"/>
      <c r="C39" s="345"/>
      <c r="D39" s="345"/>
      <c r="E39" s="345"/>
      <c r="F39" s="345"/>
      <c r="G39" s="338"/>
      <c r="H39" s="338"/>
      <c r="I39" s="338"/>
      <c r="J39" s="338"/>
      <c r="K39" s="338"/>
      <c r="L39" s="338"/>
      <c r="M39" s="338"/>
      <c r="N39" s="341"/>
      <c r="O39" s="335"/>
      <c r="P39" s="334"/>
      <c r="Q39" s="324"/>
      <c r="R39" s="334">
        <f>IF(NOT(ISERROR(MATCH(Q39,_xlfn.ANCHORARRAY(E50),0))),P52&amp;"Por favor no seleccionar los criterios de impacto",Q39)</f>
        <v>0</v>
      </c>
      <c r="S39" s="335"/>
      <c r="T39" s="334"/>
      <c r="U39" s="333"/>
      <c r="V39" s="214">
        <v>3</v>
      </c>
      <c r="W39" s="188"/>
      <c r="X39" s="189" t="str">
        <f>IF(OR(Y39="Preventivo",Y39="Detectivo"),"Probabilidad",IF(Y39="Correctivo","Impacto",""))</f>
        <v/>
      </c>
      <c r="Y39" s="190"/>
      <c r="Z39" s="190"/>
      <c r="AA39" s="191" t="str">
        <f t="shared" si="36"/>
        <v/>
      </c>
      <c r="AB39" s="190"/>
      <c r="AC39" s="190"/>
      <c r="AD39" s="190"/>
      <c r="AE39" s="192" t="str">
        <f>IFERROR(IF(AND(X38="Probabilidad",X39="Probabilidad"),(AG38-(+AG38*AA39)),IF(AND(X38="Impacto",X39="Probabilidad"),(AG37-(+AG37*AA39)),IF(X39="Impacto",AG38,""))),"")</f>
        <v/>
      </c>
      <c r="AF39" s="193" t="str">
        <f t="shared" si="1"/>
        <v/>
      </c>
      <c r="AG39" s="191" t="str">
        <f t="shared" si="37"/>
        <v/>
      </c>
      <c r="AH39" s="193" t="str">
        <f t="shared" si="3"/>
        <v/>
      </c>
      <c r="AI39" s="191" t="str">
        <f t="shared" ref="AI39" si="40">IFERROR(IF(AND(X38="Impacto",X39="Impacto"),(AI38-(+AI38*AA39)),IF(AND(X38="Probabilidad",X39="Impacto"),(AI37-(+AI37*AA39)),IF(X39="Probabilidad",AI38,""))),"")</f>
        <v/>
      </c>
      <c r="AJ39" s="194" t="str">
        <f t="shared" si="39"/>
        <v/>
      </c>
      <c r="AK39" s="195"/>
      <c r="AL39" s="186"/>
      <c r="AM39" s="196"/>
      <c r="AN39" s="196"/>
      <c r="AO39" s="197"/>
      <c r="AP39" s="341"/>
      <c r="AQ39" s="341"/>
      <c r="AR39" s="341"/>
    </row>
    <row r="40" spans="1:44" ht="37.5" hidden="1" customHeight="1" x14ac:dyDescent="0.2">
      <c r="A40" s="363"/>
      <c r="B40" s="345"/>
      <c r="C40" s="345"/>
      <c r="D40" s="345"/>
      <c r="E40" s="345"/>
      <c r="F40" s="345"/>
      <c r="G40" s="338"/>
      <c r="H40" s="338"/>
      <c r="I40" s="338"/>
      <c r="J40" s="338"/>
      <c r="K40" s="338"/>
      <c r="L40" s="338"/>
      <c r="M40" s="338"/>
      <c r="N40" s="341"/>
      <c r="O40" s="335"/>
      <c r="P40" s="334"/>
      <c r="Q40" s="324"/>
      <c r="R40" s="334">
        <f>IF(NOT(ISERROR(MATCH(Q40,_xlfn.ANCHORARRAY(E51),0))),P53&amp;"Por favor no seleccionar los criterios de impacto",Q40)</f>
        <v>0</v>
      </c>
      <c r="S40" s="335"/>
      <c r="T40" s="334"/>
      <c r="U40" s="333"/>
      <c r="V40" s="214">
        <v>4</v>
      </c>
      <c r="W40" s="187"/>
      <c r="X40" s="189" t="str">
        <f t="shared" ref="X40:X42" si="41">IF(OR(Y40="Preventivo",Y40="Detectivo"),"Probabilidad",IF(Y40="Correctivo","Impacto",""))</f>
        <v/>
      </c>
      <c r="Y40" s="190"/>
      <c r="Z40" s="190"/>
      <c r="AA40" s="191" t="str">
        <f t="shared" si="36"/>
        <v/>
      </c>
      <c r="AB40" s="190"/>
      <c r="AC40" s="190"/>
      <c r="AD40" s="190"/>
      <c r="AE40" s="192" t="str">
        <f t="shared" ref="AE40:AE42" si="42">IFERROR(IF(AND(X39="Probabilidad",X40="Probabilidad"),(AG39-(+AG39*AA40)),IF(AND(X39="Impacto",X40="Probabilidad"),(AG38-(+AG38*AA40)),IF(X40="Impacto",AG39,""))),"")</f>
        <v/>
      </c>
      <c r="AF40" s="193" t="str">
        <f t="shared" si="1"/>
        <v/>
      </c>
      <c r="AG40" s="191" t="str">
        <f t="shared" si="37"/>
        <v/>
      </c>
      <c r="AH40" s="193" t="str">
        <f t="shared" si="3"/>
        <v/>
      </c>
      <c r="AI40" s="191" t="str">
        <f t="shared" si="13"/>
        <v/>
      </c>
      <c r="AJ40" s="194" t="str">
        <f>IFERROR(IF(OR(AND(AF40="Muy Baja",AH40="Leve"),AND(AF40="Muy Baja",AH40="Menor"),AND(AF40="Baja",AH40="Leve")),"Bajo",IF(OR(AND(AF40="Muy baja",AH40="Moderado"),AND(AF40="Baja",AH40="Menor"),AND(AF40="Baja",AH40="Moderado"),AND(AF40="Media",AH40="Leve"),AND(AF40="Media",AH40="Menor"),AND(AF40="Media",AH40="Moderado"),AND(AF40="Alta",AH40="Leve"),AND(AF40="Alta",AH40="Menor")),"Moderado",IF(OR(AND(AF40="Muy Baja",AH40="Mayor"),AND(AF40="Baja",AH40="Mayor"),AND(AF40="Media",AH40="Mayor"),AND(AF40="Alta",AH40="Moderado"),AND(AF40="Alta",AH40="Mayor"),AND(AF40="Muy Alta",AH40="Leve"),AND(AF40="Muy Alta",AH40="Menor"),AND(AF40="Muy Alta",AH40="Moderado"),AND(AF40="Muy Alta",AH40="Mayor")),"Alto",IF(OR(AND(AF40="Muy Baja",AH40="Catastrófico"),AND(AF40="Baja",AH40="Catastrófico"),AND(AF40="Media",AH40="Catastrófico"),AND(AF40="Alta",AH40="Catastrófico"),AND(AF40="Muy Alta",AH40="Catastrófico")),"Extremo","")))),"")</f>
        <v/>
      </c>
      <c r="AK40" s="195"/>
      <c r="AL40" s="186"/>
      <c r="AM40" s="196"/>
      <c r="AN40" s="196"/>
      <c r="AO40" s="197"/>
      <c r="AP40" s="341"/>
      <c r="AQ40" s="341"/>
      <c r="AR40" s="341"/>
    </row>
    <row r="41" spans="1:44" ht="37.5" hidden="1" customHeight="1" x14ac:dyDescent="0.2">
      <c r="A41" s="363"/>
      <c r="B41" s="345"/>
      <c r="C41" s="345"/>
      <c r="D41" s="345"/>
      <c r="E41" s="345"/>
      <c r="F41" s="345"/>
      <c r="G41" s="338"/>
      <c r="H41" s="338"/>
      <c r="I41" s="338"/>
      <c r="J41" s="338"/>
      <c r="K41" s="338"/>
      <c r="L41" s="338"/>
      <c r="M41" s="338"/>
      <c r="N41" s="341"/>
      <c r="O41" s="335"/>
      <c r="P41" s="334"/>
      <c r="Q41" s="324"/>
      <c r="R41" s="334">
        <f>IF(NOT(ISERROR(MATCH(Q41,_xlfn.ANCHORARRAY(E52),0))),P54&amp;"Por favor no seleccionar los criterios de impacto",Q41)</f>
        <v>0</v>
      </c>
      <c r="S41" s="335"/>
      <c r="T41" s="334"/>
      <c r="U41" s="333"/>
      <c r="V41" s="214">
        <v>5</v>
      </c>
      <c r="W41" s="187"/>
      <c r="X41" s="189" t="str">
        <f t="shared" si="41"/>
        <v/>
      </c>
      <c r="Y41" s="190"/>
      <c r="Z41" s="190"/>
      <c r="AA41" s="191" t="str">
        <f t="shared" si="36"/>
        <v/>
      </c>
      <c r="AB41" s="190"/>
      <c r="AC41" s="190"/>
      <c r="AD41" s="190"/>
      <c r="AE41" s="192" t="str">
        <f t="shared" si="42"/>
        <v/>
      </c>
      <c r="AF41" s="193" t="str">
        <f t="shared" si="1"/>
        <v/>
      </c>
      <c r="AG41" s="191" t="str">
        <f t="shared" si="37"/>
        <v/>
      </c>
      <c r="AH41" s="193" t="str">
        <f t="shared" si="3"/>
        <v/>
      </c>
      <c r="AI41" s="191" t="str">
        <f t="shared" si="13"/>
        <v/>
      </c>
      <c r="AJ41" s="194" t="str">
        <f t="shared" ref="AJ41:AJ42" si="43">IFERROR(IF(OR(AND(AF41="Muy Baja",AH41="Leve"),AND(AF41="Muy Baja",AH41="Menor"),AND(AF41="Baja",AH41="Leve")),"Bajo",IF(OR(AND(AF41="Muy baja",AH41="Moderado"),AND(AF41="Baja",AH41="Menor"),AND(AF41="Baja",AH41="Moderado"),AND(AF41="Media",AH41="Leve"),AND(AF41="Media",AH41="Menor"),AND(AF41="Media",AH41="Moderado"),AND(AF41="Alta",AH41="Leve"),AND(AF41="Alta",AH41="Menor")),"Moderado",IF(OR(AND(AF41="Muy Baja",AH41="Mayor"),AND(AF41="Baja",AH41="Mayor"),AND(AF41="Media",AH41="Mayor"),AND(AF41="Alta",AH41="Moderado"),AND(AF41="Alta",AH41="Mayor"),AND(AF41="Muy Alta",AH41="Leve"),AND(AF41="Muy Alta",AH41="Menor"),AND(AF41="Muy Alta",AH41="Moderado"),AND(AF41="Muy Alta",AH41="Mayor")),"Alto",IF(OR(AND(AF41="Muy Baja",AH41="Catastrófico"),AND(AF41="Baja",AH41="Catastrófico"),AND(AF41="Media",AH41="Catastrófico"),AND(AF41="Alta",AH41="Catastrófico"),AND(AF41="Muy Alta",AH41="Catastrófico")),"Extremo","")))),"")</f>
        <v/>
      </c>
      <c r="AK41" s="195"/>
      <c r="AL41" s="186"/>
      <c r="AM41" s="196"/>
      <c r="AN41" s="196"/>
      <c r="AO41" s="197"/>
      <c r="AP41" s="341"/>
      <c r="AQ41" s="341"/>
      <c r="AR41" s="341"/>
    </row>
    <row r="42" spans="1:44" ht="37.5" hidden="1" customHeight="1" x14ac:dyDescent="0.2">
      <c r="A42" s="363"/>
      <c r="B42" s="345"/>
      <c r="C42" s="345"/>
      <c r="D42" s="345"/>
      <c r="E42" s="345"/>
      <c r="F42" s="345"/>
      <c r="G42" s="339"/>
      <c r="H42" s="339"/>
      <c r="I42" s="339"/>
      <c r="J42" s="339"/>
      <c r="K42" s="339"/>
      <c r="L42" s="339"/>
      <c r="M42" s="339"/>
      <c r="N42" s="341"/>
      <c r="O42" s="335"/>
      <c r="P42" s="334"/>
      <c r="Q42" s="324"/>
      <c r="R42" s="334">
        <f>IF(NOT(ISERROR(MATCH(Q42,_xlfn.ANCHORARRAY(E53),0))),P55&amp;"Por favor no seleccionar los criterios de impacto",Q42)</f>
        <v>0</v>
      </c>
      <c r="S42" s="335"/>
      <c r="T42" s="334"/>
      <c r="U42" s="333"/>
      <c r="V42" s="214">
        <v>6</v>
      </c>
      <c r="W42" s="187"/>
      <c r="X42" s="189" t="str">
        <f t="shared" si="41"/>
        <v/>
      </c>
      <c r="Y42" s="190"/>
      <c r="Z42" s="190"/>
      <c r="AA42" s="191" t="str">
        <f t="shared" si="36"/>
        <v/>
      </c>
      <c r="AB42" s="190"/>
      <c r="AC42" s="190"/>
      <c r="AD42" s="190"/>
      <c r="AE42" s="192" t="str">
        <f t="shared" si="42"/>
        <v/>
      </c>
      <c r="AF42" s="193" t="str">
        <f t="shared" si="1"/>
        <v/>
      </c>
      <c r="AG42" s="191" t="str">
        <f t="shared" si="37"/>
        <v/>
      </c>
      <c r="AH42" s="193" t="str">
        <f t="shared" si="3"/>
        <v/>
      </c>
      <c r="AI42" s="191" t="str">
        <f t="shared" si="13"/>
        <v/>
      </c>
      <c r="AJ42" s="194" t="str">
        <f t="shared" si="43"/>
        <v/>
      </c>
      <c r="AK42" s="195"/>
      <c r="AL42" s="186"/>
      <c r="AM42" s="196"/>
      <c r="AN42" s="196"/>
      <c r="AO42" s="197"/>
      <c r="AP42" s="341"/>
      <c r="AQ42" s="341"/>
      <c r="AR42" s="341"/>
    </row>
    <row r="43" spans="1:44" ht="37.5" hidden="1" customHeight="1" x14ac:dyDescent="0.2">
      <c r="A43" s="363">
        <v>6</v>
      </c>
      <c r="B43" s="345"/>
      <c r="C43" s="345"/>
      <c r="D43" s="345"/>
      <c r="E43" s="337"/>
      <c r="F43" s="345"/>
      <c r="G43" s="337"/>
      <c r="H43" s="337"/>
      <c r="I43" s="337"/>
      <c r="J43" s="337"/>
      <c r="K43" s="337"/>
      <c r="L43" s="337"/>
      <c r="M43" s="337"/>
      <c r="N43" s="341"/>
      <c r="O43" s="335" t="str">
        <f>IF(N43&lt;=0,"",IF(N43&lt;=2,"Muy Baja",IF(N43&lt;=24,"Baja",IF(N43&lt;=500,"Media",IF(N43&lt;=5000,"Alta","Muy Alta")))))</f>
        <v/>
      </c>
      <c r="P43" s="334" t="str">
        <f>IF(O43="","",IF(O43="Muy Baja",0.2,IF(O43="Baja",0.4,IF(O43="Media",0.6,IF(O43="Alta",0.8,IF(O43="Muy Alta",1,))))))</f>
        <v/>
      </c>
      <c r="Q43" s="324"/>
      <c r="R43" s="334">
        <f>IF(NOT(ISERROR(MATCH(Q43,'Tabla Impacto'!$B$222:$B$224,0))),'Tabla Impacto'!$F$224&amp;"Por favor no seleccionar los criterios de impacto(Afectación Económica o presupuestal y Pérdida Reputacional)",Q43)</f>
        <v>0</v>
      </c>
      <c r="S43" s="335" t="str">
        <f>IF(OR(R43='Tabla Impacto'!$C$12,R43='Tabla Impacto'!$D$12),"Leve",IF(OR(R43='Tabla Impacto'!$C$13,R43='Tabla Impacto'!$D$13),"Menor",IF(OR(R43='Tabla Impacto'!$C$14,R43='Tabla Impacto'!$D$14),"Moderado",IF(OR(R43='Tabla Impacto'!$C$15,R43='Tabla Impacto'!$D$15),"Mayor",IF(OR(R43='Tabla Impacto'!$C$16,R43='Tabla Impacto'!$D$16),"Catastrófico","")))))</f>
        <v/>
      </c>
      <c r="T43" s="334" t="str">
        <f>IF(S43="","",IF(S43="Leve",0.2,IF(S43="Menor",0.4,IF(S43="Moderado",0.6,IF(S43="Mayor",0.8,IF(S43="Catastrófico",1,))))))</f>
        <v/>
      </c>
      <c r="U43" s="333" t="str">
        <f>IF(OR(AND(O43="Muy Baja",S43="Leve"),AND(O43="Muy Baja",S43="Menor"),AND(O43="Baja",S43="Leve")),"Bajo",IF(OR(AND(O43="Muy baja",S43="Moderado"),AND(O43="Baja",S43="Menor"),AND(O43="Baja",S43="Moderado"),AND(O43="Media",S43="Leve"),AND(O43="Media",S43="Menor"),AND(O43="Media",S43="Moderado"),AND(O43="Alta",S43="Leve"),AND(O43="Alta",S43="Menor")),"Moderado",IF(OR(AND(O43="Muy Baja",S43="Mayor"),AND(O43="Baja",S43="Mayor"),AND(O43="Media",S43="Mayor"),AND(O43="Alta",S43="Moderado"),AND(O43="Alta",S43="Mayor"),AND(O43="Muy Alta",S43="Leve"),AND(O43="Muy Alta",S43="Menor"),AND(O43="Muy Alta",S43="Moderado"),AND(O43="Muy Alta",S43="Mayor")),"Alto",IF(OR(AND(O43="Muy Baja",S43="Catastrófico"),AND(O43="Baja",S43="Catastrófico"),AND(O43="Media",S43="Catastrófico"),AND(O43="Alta",S43="Catastrófico"),AND(O43="Muy Alta",S43="Catastrófico")),"Extremo",""))))</f>
        <v/>
      </c>
      <c r="V43" s="214">
        <v>1</v>
      </c>
      <c r="W43" s="187"/>
      <c r="X43" s="189" t="str">
        <f>IF(OR(Y43="Preventivo",Y43="Detectivo"),"Probabilidad",IF(Y43="Correctivo","Impacto",""))</f>
        <v/>
      </c>
      <c r="Y43" s="190"/>
      <c r="Z43" s="190"/>
      <c r="AA43" s="191" t="str">
        <f>IF(AND(Y43="Preventivo",Z43="Automático"),"50%",IF(AND(Y43="Preventivo",Z43="Manual"),"40%",IF(AND(Y43="Detectivo",Z43="Automático"),"40%",IF(AND(Y43="Detectivo",Z43="Manual"),"30%",IF(AND(Y43="Correctivo",Z43="Automático"),"35%",IF(AND(Y43="Correctivo",Z43="Manual"),"25%",""))))))</f>
        <v/>
      </c>
      <c r="AB43" s="190"/>
      <c r="AC43" s="190"/>
      <c r="AD43" s="190"/>
      <c r="AE43" s="192" t="str">
        <f>IFERROR(IF(X43="Probabilidad",(P43-(+P43*AA43)),IF(X43="Impacto",P43,"")),"")</f>
        <v/>
      </c>
      <c r="AF43" s="193" t="str">
        <f>IFERROR(IF(AE43="","",IF(AE43&lt;=0.2,"Muy Baja",IF(AE43&lt;=0.4,"Baja",IF(AE43&lt;=0.6,"Media",IF(AE43&lt;=0.8,"Alta","Muy Alta"))))),"")</f>
        <v/>
      </c>
      <c r="AG43" s="191" t="str">
        <f>+AE43</f>
        <v/>
      </c>
      <c r="AH43" s="193" t="str">
        <f>IFERROR(IF(AI43="","",IF(AI43&lt;=0.2,"Leve",IF(AI43&lt;=0.4,"Menor",IF(AI43&lt;=0.6,"Moderado",IF(AI43&lt;=0.8,"Mayor","Catastrófico"))))),"")</f>
        <v/>
      </c>
      <c r="AI43" s="191" t="str">
        <f t="shared" ref="AI43" si="44">IFERROR(IF(X43="Impacto",(T43-(+T43*AA43)),IF(X43="Probabilidad",T43,"")),"")</f>
        <v/>
      </c>
      <c r="AJ43" s="194" t="str">
        <f>IFERROR(IF(OR(AND(AF43="Muy Baja",AH43="Leve"),AND(AF43="Muy Baja",AH43="Menor"),AND(AF43="Baja",AH43="Leve")),"Bajo",IF(OR(AND(AF43="Muy baja",AH43="Moderado"),AND(AF43="Baja",AH43="Menor"),AND(AF43="Baja",AH43="Moderado"),AND(AF43="Media",AH43="Leve"),AND(AF43="Media",AH43="Menor"),AND(AF43="Media",AH43="Moderado"),AND(AF43="Alta",AH43="Leve"),AND(AF43="Alta",AH43="Menor")),"Moderado",IF(OR(AND(AF43="Muy Baja",AH43="Mayor"),AND(AF43="Baja",AH43="Mayor"),AND(AF43="Media",AH43="Mayor"),AND(AF43="Alta",AH43="Moderado"),AND(AF43="Alta",AH43="Mayor"),AND(AF43="Muy Alta",AH43="Leve"),AND(AF43="Muy Alta",AH43="Menor"),AND(AF43="Muy Alta",AH43="Moderado"),AND(AF43="Muy Alta",AH43="Mayor")),"Alto",IF(OR(AND(AF43="Muy Baja",AH43="Catastrófico"),AND(AF43="Baja",AH43="Catastrófico"),AND(AF43="Media",AH43="Catastrófico"),AND(AF43="Alta",AH43="Catastrófico"),AND(AF43="Muy Alta",AH43="Catastrófico")),"Extremo","")))),"")</f>
        <v/>
      </c>
      <c r="AK43" s="190"/>
      <c r="AL43" s="186"/>
      <c r="AM43" s="196"/>
      <c r="AN43" s="196"/>
      <c r="AO43" s="197"/>
      <c r="AP43" s="341"/>
      <c r="AQ43" s="341"/>
      <c r="AR43" s="341"/>
    </row>
    <row r="44" spans="1:44" ht="37.5" hidden="1" customHeight="1" x14ac:dyDescent="0.2">
      <c r="A44" s="363"/>
      <c r="B44" s="345"/>
      <c r="C44" s="345"/>
      <c r="D44" s="345"/>
      <c r="E44" s="338"/>
      <c r="F44" s="345"/>
      <c r="G44" s="338"/>
      <c r="H44" s="338"/>
      <c r="I44" s="338"/>
      <c r="J44" s="338"/>
      <c r="K44" s="338"/>
      <c r="L44" s="338"/>
      <c r="M44" s="338"/>
      <c r="N44" s="341"/>
      <c r="O44" s="335"/>
      <c r="P44" s="334"/>
      <c r="Q44" s="324"/>
      <c r="R44" s="334">
        <f>IF(NOT(ISERROR(MATCH(Q44,_xlfn.ANCHORARRAY(E55),0))),P57&amp;"Por favor no seleccionar los criterios de impacto",Q44)</f>
        <v>0</v>
      </c>
      <c r="S44" s="335"/>
      <c r="T44" s="334"/>
      <c r="U44" s="333"/>
      <c r="V44" s="214">
        <v>2</v>
      </c>
      <c r="W44" s="187"/>
      <c r="X44" s="189" t="str">
        <f>IF(OR(Y44="Preventivo",Y44="Detectivo"),"Probabilidad",IF(Y44="Correctivo","Impacto",""))</f>
        <v/>
      </c>
      <c r="Y44" s="190"/>
      <c r="Z44" s="190"/>
      <c r="AA44" s="191" t="str">
        <f t="shared" ref="AA44:AA48" si="45">IF(AND(Y44="Preventivo",Z44="Automático"),"50%",IF(AND(Y44="Preventivo",Z44="Manual"),"40%",IF(AND(Y44="Detectivo",Z44="Automático"),"40%",IF(AND(Y44="Detectivo",Z44="Manual"),"30%",IF(AND(Y44="Correctivo",Z44="Automático"),"35%",IF(AND(Y44="Correctivo",Z44="Manual"),"25%",""))))))</f>
        <v/>
      </c>
      <c r="AB44" s="190"/>
      <c r="AC44" s="190"/>
      <c r="AD44" s="190"/>
      <c r="AE44" s="192" t="str">
        <f>IFERROR(IF(AND(X43="Probabilidad",X44="Probabilidad"),(AG43-(+AG43*AA44)),IF(X44="Probabilidad",(P43-(+P43*AA44)),IF(X44="Impacto",AG43,""))),"")</f>
        <v/>
      </c>
      <c r="AF44" s="193" t="str">
        <f t="shared" si="1"/>
        <v/>
      </c>
      <c r="AG44" s="191" t="str">
        <f t="shared" ref="AG44:AG48" si="46">+AE44</f>
        <v/>
      </c>
      <c r="AH44" s="193" t="str">
        <f t="shared" si="3"/>
        <v/>
      </c>
      <c r="AI44" s="191" t="str">
        <f t="shared" ref="AI44" si="47">IFERROR(IF(AND(X43="Impacto",X44="Impacto"),(AI43-(+AI43*AA44)),IF(X44="Impacto",($T$13-(+$T$13*AA44)),IF(X44="Probabilidad",AI43,""))),"")</f>
        <v/>
      </c>
      <c r="AJ44" s="194" t="str">
        <f t="shared" ref="AJ44:AJ45" si="48">IFERROR(IF(OR(AND(AF44="Muy Baja",AH44="Leve"),AND(AF44="Muy Baja",AH44="Menor"),AND(AF44="Baja",AH44="Leve")),"Bajo",IF(OR(AND(AF44="Muy baja",AH44="Moderado"),AND(AF44="Baja",AH44="Menor"),AND(AF44="Baja",AH44="Moderado"),AND(AF44="Media",AH44="Leve"),AND(AF44="Media",AH44="Menor"),AND(AF44="Media",AH44="Moderado"),AND(AF44="Alta",AH44="Leve"),AND(AF44="Alta",AH44="Menor")),"Moderado",IF(OR(AND(AF44="Muy Baja",AH44="Mayor"),AND(AF44="Baja",AH44="Mayor"),AND(AF44="Media",AH44="Mayor"),AND(AF44="Alta",AH44="Moderado"),AND(AF44="Alta",AH44="Mayor"),AND(AF44="Muy Alta",AH44="Leve"),AND(AF44="Muy Alta",AH44="Menor"),AND(AF44="Muy Alta",AH44="Moderado"),AND(AF44="Muy Alta",AH44="Mayor")),"Alto",IF(OR(AND(AF44="Muy Baja",AH44="Catastrófico"),AND(AF44="Baja",AH44="Catastrófico"),AND(AF44="Media",AH44="Catastrófico"),AND(AF44="Alta",AH44="Catastrófico"),AND(AF44="Muy Alta",AH44="Catastrófico")),"Extremo","")))),"")</f>
        <v/>
      </c>
      <c r="AK44" s="195"/>
      <c r="AL44" s="186"/>
      <c r="AM44" s="196"/>
      <c r="AN44" s="196"/>
      <c r="AO44" s="197"/>
      <c r="AP44" s="341"/>
      <c r="AQ44" s="341"/>
      <c r="AR44" s="341"/>
    </row>
    <row r="45" spans="1:44" ht="37.5" hidden="1" customHeight="1" x14ac:dyDescent="0.2">
      <c r="A45" s="363"/>
      <c r="B45" s="345"/>
      <c r="C45" s="345"/>
      <c r="D45" s="345"/>
      <c r="E45" s="338"/>
      <c r="F45" s="345"/>
      <c r="G45" s="338"/>
      <c r="H45" s="338"/>
      <c r="I45" s="338"/>
      <c r="J45" s="338"/>
      <c r="K45" s="338"/>
      <c r="L45" s="338"/>
      <c r="M45" s="338"/>
      <c r="N45" s="341"/>
      <c r="O45" s="335"/>
      <c r="P45" s="334"/>
      <c r="Q45" s="324"/>
      <c r="R45" s="334">
        <f>IF(NOT(ISERROR(MATCH(Q45,_xlfn.ANCHORARRAY(E56),0))),P58&amp;"Por favor no seleccionar los criterios de impacto",Q45)</f>
        <v>0</v>
      </c>
      <c r="S45" s="335"/>
      <c r="T45" s="334"/>
      <c r="U45" s="333"/>
      <c r="V45" s="214">
        <v>3</v>
      </c>
      <c r="W45" s="188"/>
      <c r="X45" s="189" t="str">
        <f>IF(OR(Y45="Preventivo",Y45="Detectivo"),"Probabilidad",IF(Y45="Correctivo","Impacto",""))</f>
        <v/>
      </c>
      <c r="Y45" s="190"/>
      <c r="Z45" s="190"/>
      <c r="AA45" s="191" t="str">
        <f t="shared" si="45"/>
        <v/>
      </c>
      <c r="AB45" s="190"/>
      <c r="AC45" s="190"/>
      <c r="AD45" s="190"/>
      <c r="AE45" s="192" t="str">
        <f>IFERROR(IF(AND(X44="Probabilidad",X45="Probabilidad"),(AG44-(+AG44*AA45)),IF(AND(X44="Impacto",X45="Probabilidad"),(AG43-(+AG43*AA45)),IF(X45="Impacto",AG44,""))),"")</f>
        <v/>
      </c>
      <c r="AF45" s="193" t="str">
        <f t="shared" si="1"/>
        <v/>
      </c>
      <c r="AG45" s="191" t="str">
        <f t="shared" si="46"/>
        <v/>
      </c>
      <c r="AH45" s="193" t="str">
        <f t="shared" si="3"/>
        <v/>
      </c>
      <c r="AI45" s="191" t="str">
        <f t="shared" ref="AI45" si="49">IFERROR(IF(AND(X44="Impacto",X45="Impacto"),(AI44-(+AI44*AA45)),IF(AND(X44="Probabilidad",X45="Impacto"),(AI43-(+AI43*AA45)),IF(X45="Probabilidad",AI44,""))),"")</f>
        <v/>
      </c>
      <c r="AJ45" s="194" t="str">
        <f t="shared" si="48"/>
        <v/>
      </c>
      <c r="AK45" s="195"/>
      <c r="AL45" s="186"/>
      <c r="AM45" s="196"/>
      <c r="AN45" s="196"/>
      <c r="AO45" s="197"/>
      <c r="AP45" s="341"/>
      <c r="AQ45" s="341"/>
      <c r="AR45" s="341"/>
    </row>
    <row r="46" spans="1:44" ht="37.5" hidden="1" customHeight="1" x14ac:dyDescent="0.2">
      <c r="A46" s="363"/>
      <c r="B46" s="345"/>
      <c r="C46" s="345"/>
      <c r="D46" s="345"/>
      <c r="E46" s="338"/>
      <c r="F46" s="345"/>
      <c r="G46" s="338"/>
      <c r="H46" s="338"/>
      <c r="I46" s="338"/>
      <c r="J46" s="338"/>
      <c r="K46" s="338"/>
      <c r="L46" s="338"/>
      <c r="M46" s="338"/>
      <c r="N46" s="341"/>
      <c r="O46" s="335"/>
      <c r="P46" s="334"/>
      <c r="Q46" s="324"/>
      <c r="R46" s="334">
        <f>IF(NOT(ISERROR(MATCH(Q46,_xlfn.ANCHORARRAY(E57),0))),P59&amp;"Por favor no seleccionar los criterios de impacto",Q46)</f>
        <v>0</v>
      </c>
      <c r="S46" s="335"/>
      <c r="T46" s="334"/>
      <c r="U46" s="333"/>
      <c r="V46" s="214">
        <v>4</v>
      </c>
      <c r="W46" s="187"/>
      <c r="X46" s="189" t="str">
        <f t="shared" ref="X46:X48" si="50">IF(OR(Y46="Preventivo",Y46="Detectivo"),"Probabilidad",IF(Y46="Correctivo","Impacto",""))</f>
        <v/>
      </c>
      <c r="Y46" s="190"/>
      <c r="Z46" s="190"/>
      <c r="AA46" s="191" t="str">
        <f t="shared" si="45"/>
        <v/>
      </c>
      <c r="AB46" s="190"/>
      <c r="AC46" s="190"/>
      <c r="AD46" s="190"/>
      <c r="AE46" s="192" t="str">
        <f t="shared" ref="AE46:AE48" si="51">IFERROR(IF(AND(X45="Probabilidad",X46="Probabilidad"),(AG45-(+AG45*AA46)),IF(AND(X45="Impacto",X46="Probabilidad"),(AG44-(+AG44*AA46)),IF(X46="Impacto",AG45,""))),"")</f>
        <v/>
      </c>
      <c r="AF46" s="193" t="str">
        <f t="shared" si="1"/>
        <v/>
      </c>
      <c r="AG46" s="191" t="str">
        <f t="shared" si="46"/>
        <v/>
      </c>
      <c r="AH46" s="193" t="str">
        <f t="shared" si="3"/>
        <v/>
      </c>
      <c r="AI46" s="191" t="str">
        <f t="shared" si="13"/>
        <v/>
      </c>
      <c r="AJ46" s="194" t="str">
        <f>IFERROR(IF(OR(AND(AF46="Muy Baja",AH46="Leve"),AND(AF46="Muy Baja",AH46="Menor"),AND(AF46="Baja",AH46="Leve")),"Bajo",IF(OR(AND(AF46="Muy baja",AH46="Moderado"),AND(AF46="Baja",AH46="Menor"),AND(AF46="Baja",AH46="Moderado"),AND(AF46="Media",AH46="Leve"),AND(AF46="Media",AH46="Menor"),AND(AF46="Media",AH46="Moderado"),AND(AF46="Alta",AH46="Leve"),AND(AF46="Alta",AH46="Menor")),"Moderado",IF(OR(AND(AF46="Muy Baja",AH46="Mayor"),AND(AF46="Baja",AH46="Mayor"),AND(AF46="Media",AH46="Mayor"),AND(AF46="Alta",AH46="Moderado"),AND(AF46="Alta",AH46="Mayor"),AND(AF46="Muy Alta",AH46="Leve"),AND(AF46="Muy Alta",AH46="Menor"),AND(AF46="Muy Alta",AH46="Moderado"),AND(AF46="Muy Alta",AH46="Mayor")),"Alto",IF(OR(AND(AF46="Muy Baja",AH46="Catastrófico"),AND(AF46="Baja",AH46="Catastrófico"),AND(AF46="Media",AH46="Catastrófico"),AND(AF46="Alta",AH46="Catastrófico"),AND(AF46="Muy Alta",AH46="Catastrófico")),"Extremo","")))),"")</f>
        <v/>
      </c>
      <c r="AK46" s="195"/>
      <c r="AL46" s="186"/>
      <c r="AM46" s="196"/>
      <c r="AN46" s="196"/>
      <c r="AO46" s="197"/>
      <c r="AP46" s="341"/>
      <c r="AQ46" s="341"/>
      <c r="AR46" s="341"/>
    </row>
    <row r="47" spans="1:44" ht="37.5" hidden="1" customHeight="1" x14ac:dyDescent="0.2">
      <c r="A47" s="363"/>
      <c r="B47" s="345"/>
      <c r="C47" s="345"/>
      <c r="D47" s="345"/>
      <c r="E47" s="338"/>
      <c r="F47" s="345"/>
      <c r="G47" s="338"/>
      <c r="H47" s="338"/>
      <c r="I47" s="338"/>
      <c r="J47" s="338"/>
      <c r="K47" s="338"/>
      <c r="L47" s="338"/>
      <c r="M47" s="338"/>
      <c r="N47" s="341"/>
      <c r="O47" s="335"/>
      <c r="P47" s="334"/>
      <c r="Q47" s="324"/>
      <c r="R47" s="334">
        <f>IF(NOT(ISERROR(MATCH(Q47,_xlfn.ANCHORARRAY(E58),0))),P60&amp;"Por favor no seleccionar los criterios de impacto",Q47)</f>
        <v>0</v>
      </c>
      <c r="S47" s="335"/>
      <c r="T47" s="334"/>
      <c r="U47" s="333"/>
      <c r="V47" s="214">
        <v>5</v>
      </c>
      <c r="W47" s="187"/>
      <c r="X47" s="189" t="str">
        <f t="shared" si="50"/>
        <v/>
      </c>
      <c r="Y47" s="190"/>
      <c r="Z47" s="190"/>
      <c r="AA47" s="191" t="str">
        <f t="shared" si="45"/>
        <v/>
      </c>
      <c r="AB47" s="190"/>
      <c r="AC47" s="190"/>
      <c r="AD47" s="190"/>
      <c r="AE47" s="192" t="str">
        <f t="shared" si="51"/>
        <v/>
      </c>
      <c r="AF47" s="193" t="str">
        <f t="shared" si="1"/>
        <v/>
      </c>
      <c r="AG47" s="191" t="str">
        <f t="shared" si="46"/>
        <v/>
      </c>
      <c r="AH47" s="193" t="str">
        <f t="shared" si="3"/>
        <v/>
      </c>
      <c r="AI47" s="191" t="str">
        <f t="shared" si="13"/>
        <v/>
      </c>
      <c r="AJ47" s="194" t="str">
        <f t="shared" ref="AJ47" si="52">IFERROR(IF(OR(AND(AF47="Muy Baja",AH47="Leve"),AND(AF47="Muy Baja",AH47="Menor"),AND(AF47="Baja",AH47="Leve")),"Bajo",IF(OR(AND(AF47="Muy baja",AH47="Moderado"),AND(AF47="Baja",AH47="Menor"),AND(AF47="Baja",AH47="Moderado"),AND(AF47="Media",AH47="Leve"),AND(AF47="Media",AH47="Menor"),AND(AF47="Media",AH47="Moderado"),AND(AF47="Alta",AH47="Leve"),AND(AF47="Alta",AH47="Menor")),"Moderado",IF(OR(AND(AF47="Muy Baja",AH47="Mayor"),AND(AF47="Baja",AH47="Mayor"),AND(AF47="Media",AH47="Mayor"),AND(AF47="Alta",AH47="Moderado"),AND(AF47="Alta",AH47="Mayor"),AND(AF47="Muy Alta",AH47="Leve"),AND(AF47="Muy Alta",AH47="Menor"),AND(AF47="Muy Alta",AH47="Moderado"),AND(AF47="Muy Alta",AH47="Mayor")),"Alto",IF(OR(AND(AF47="Muy Baja",AH47="Catastrófico"),AND(AF47="Baja",AH47="Catastrófico"),AND(AF47="Media",AH47="Catastrófico"),AND(AF47="Alta",AH47="Catastrófico"),AND(AF47="Muy Alta",AH47="Catastrófico")),"Extremo","")))),"")</f>
        <v/>
      </c>
      <c r="AK47" s="195"/>
      <c r="AL47" s="186"/>
      <c r="AM47" s="196"/>
      <c r="AN47" s="196"/>
      <c r="AO47" s="197"/>
      <c r="AP47" s="341"/>
      <c r="AQ47" s="341"/>
      <c r="AR47" s="341"/>
    </row>
    <row r="48" spans="1:44" ht="37.5" hidden="1" customHeight="1" x14ac:dyDescent="0.2">
      <c r="A48" s="363"/>
      <c r="B48" s="345"/>
      <c r="C48" s="345"/>
      <c r="D48" s="345"/>
      <c r="E48" s="339"/>
      <c r="F48" s="345"/>
      <c r="G48" s="339"/>
      <c r="H48" s="339"/>
      <c r="I48" s="339"/>
      <c r="J48" s="339"/>
      <c r="K48" s="339"/>
      <c r="L48" s="339"/>
      <c r="M48" s="339"/>
      <c r="N48" s="341"/>
      <c r="O48" s="335"/>
      <c r="P48" s="334"/>
      <c r="Q48" s="324"/>
      <c r="R48" s="334">
        <f>IF(NOT(ISERROR(MATCH(Q48,_xlfn.ANCHORARRAY(E59),0))),P61&amp;"Por favor no seleccionar los criterios de impacto",Q48)</f>
        <v>0</v>
      </c>
      <c r="S48" s="335"/>
      <c r="T48" s="334"/>
      <c r="U48" s="333"/>
      <c r="V48" s="214">
        <v>6</v>
      </c>
      <c r="W48" s="187"/>
      <c r="X48" s="189" t="str">
        <f t="shared" si="50"/>
        <v/>
      </c>
      <c r="Y48" s="190"/>
      <c r="Z48" s="190"/>
      <c r="AA48" s="191" t="str">
        <f t="shared" si="45"/>
        <v/>
      </c>
      <c r="AB48" s="190"/>
      <c r="AC48" s="190"/>
      <c r="AD48" s="190"/>
      <c r="AE48" s="192" t="str">
        <f t="shared" si="51"/>
        <v/>
      </c>
      <c r="AF48" s="193" t="str">
        <f t="shared" si="1"/>
        <v/>
      </c>
      <c r="AG48" s="191" t="str">
        <f t="shared" si="46"/>
        <v/>
      </c>
      <c r="AH48" s="193" t="str">
        <f>IFERROR(IF(AI48="","",IF(AI48&lt;=0.2,"Leve",IF(AI48&lt;=0.4,"Menor",IF(AI48&lt;=0.6,"Moderado",IF(AI48&lt;=0.8,"Mayor","Catastrófico"))))),"")</f>
        <v/>
      </c>
      <c r="AI48" s="191" t="str">
        <f t="shared" si="13"/>
        <v/>
      </c>
      <c r="AJ48" s="194" t="str">
        <f>IFERROR(IF(OR(AND(AF48="Muy Baja",AH48="Leve"),AND(AF48="Muy Baja",AH48="Menor"),AND(AF48="Baja",AH48="Leve")),"Bajo",IF(OR(AND(AF48="Muy baja",AH48="Moderado"),AND(AF48="Baja",AH48="Menor"),AND(AF48="Baja",AH48="Moderado"),AND(AF48="Media",AH48="Leve"),AND(AF48="Media",AH48="Menor"),AND(AF48="Media",AH48="Moderado"),AND(AF48="Alta",AH48="Leve"),AND(AF48="Alta",AH48="Menor")),"Moderado",IF(OR(AND(AF48="Muy Baja",AH48="Mayor"),AND(AF48="Baja",AH48="Mayor"),AND(AF48="Media",AH48="Mayor"),AND(AF48="Alta",AH48="Moderado"),AND(AF48="Alta",AH48="Mayor"),AND(AF48="Muy Alta",AH48="Leve"),AND(AF48="Muy Alta",AH48="Menor"),AND(AF48="Muy Alta",AH48="Moderado"),AND(AF48="Muy Alta",AH48="Mayor")),"Alto",IF(OR(AND(AF48="Muy Baja",AH48="Catastrófico"),AND(AF48="Baja",AH48="Catastrófico"),AND(AF48="Media",AH48="Catastrófico"),AND(AF48="Alta",AH48="Catastrófico"),AND(AF48="Muy Alta",AH48="Catastrófico")),"Extremo","")))),"")</f>
        <v/>
      </c>
      <c r="AK48" s="195"/>
      <c r="AL48" s="186"/>
      <c r="AM48" s="196"/>
      <c r="AN48" s="196"/>
      <c r="AO48" s="197"/>
      <c r="AP48" s="341"/>
      <c r="AQ48" s="341"/>
      <c r="AR48" s="341"/>
    </row>
    <row r="49" spans="1:44" ht="37.5" hidden="1" customHeight="1" x14ac:dyDescent="0.2">
      <c r="A49" s="363">
        <v>7</v>
      </c>
      <c r="B49" s="345"/>
      <c r="C49" s="345"/>
      <c r="D49" s="366"/>
      <c r="E49" s="345"/>
      <c r="F49" s="345"/>
      <c r="G49" s="337"/>
      <c r="H49" s="337"/>
      <c r="I49" s="337"/>
      <c r="J49" s="337"/>
      <c r="K49" s="337"/>
      <c r="L49" s="337"/>
      <c r="M49" s="337"/>
      <c r="N49" s="341"/>
      <c r="O49" s="335" t="str">
        <f>IF(N49&lt;=0,"",IF(N49&lt;=2,"Muy Baja",IF(N49&lt;=24,"Baja",IF(N49&lt;=500,"Media",IF(N49&lt;=5000,"Alta","Muy Alta")))))</f>
        <v/>
      </c>
      <c r="P49" s="334" t="str">
        <f>IF(O49="","",IF(O49="Muy Baja",0.2,IF(O49="Baja",0.4,IF(O49="Media",0.6,IF(O49="Alta",0.8,IF(O49="Muy Alta",1,))))))</f>
        <v/>
      </c>
      <c r="Q49" s="324"/>
      <c r="R49" s="334">
        <f>IF(NOT(ISERROR(MATCH(Q49,'Tabla Impacto'!$B$222:$B$224,0))),'Tabla Impacto'!$F$224&amp;"Por favor no seleccionar los criterios de impacto(Afectación Económica o presupuestal y Pérdida Reputacional)",Q49)</f>
        <v>0</v>
      </c>
      <c r="S49" s="335" t="str">
        <f>IF(OR(R49='Tabla Impacto'!$C$12,R49='Tabla Impacto'!$D$12),"Leve",IF(OR(R49='Tabla Impacto'!$C$13,R49='Tabla Impacto'!$D$13),"Menor",IF(OR(R49='Tabla Impacto'!$C$14,R49='Tabla Impacto'!$D$14),"Moderado",IF(OR(R49='Tabla Impacto'!$C$15,R49='Tabla Impacto'!$D$15),"Mayor",IF(OR(R49='Tabla Impacto'!$C$16,R49='Tabla Impacto'!$D$16),"Catastrófico","")))))</f>
        <v/>
      </c>
      <c r="T49" s="334" t="str">
        <f>IF(S49="","",IF(S49="Leve",0.2,IF(S49="Menor",0.4,IF(S49="Moderado",0.6,IF(S49="Mayor",0.8,IF(S49="Catastrófico",1,))))))</f>
        <v/>
      </c>
      <c r="U49" s="333" t="str">
        <f>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
      </c>
      <c r="V49" s="214">
        <v>1</v>
      </c>
      <c r="W49" s="199"/>
      <c r="X49" s="189" t="str">
        <f>IF(OR(Y49="Preventivo",Y49="Detectivo"),"Probabilidad",IF(Y49="Correctivo","Impacto",""))</f>
        <v/>
      </c>
      <c r="Y49" s="190"/>
      <c r="Z49" s="190"/>
      <c r="AA49" s="191" t="str">
        <f>IF(AND(Y49="Preventivo",Z49="Automático"),"50%",IF(AND(Y49="Preventivo",Z49="Manual"),"40%",IF(AND(Y49="Detectivo",Z49="Automático"),"40%",IF(AND(Y49="Detectivo",Z49="Manual"),"30%",IF(AND(Y49="Correctivo",Z49="Automático"),"35%",IF(AND(Y49="Correctivo",Z49="Manual"),"25%",""))))))</f>
        <v/>
      </c>
      <c r="AB49" s="190"/>
      <c r="AC49" s="190"/>
      <c r="AD49" s="190"/>
      <c r="AE49" s="192" t="str">
        <f>IFERROR(IF(X49="Probabilidad",(P49-(+P49*AA49)),IF(X49="Impacto",P49,"")),"")</f>
        <v/>
      </c>
      <c r="AF49" s="193" t="str">
        <f>IFERROR(IF(AE49="","",IF(AE49&lt;=0.2,"Muy Baja",IF(AE49&lt;=0.4,"Baja",IF(AE49&lt;=0.6,"Media",IF(AE49&lt;=0.8,"Alta","Muy Alta"))))),"")</f>
        <v/>
      </c>
      <c r="AG49" s="191" t="str">
        <f>+AE49</f>
        <v/>
      </c>
      <c r="AH49" s="193" t="str">
        <f>IFERROR(IF(AI49="","",IF(AI49&lt;=0.2,"Leve",IF(AI49&lt;=0.4,"Menor",IF(AI49&lt;=0.6,"Moderado",IF(AI49&lt;=0.8,"Mayor","Catastrófico"))))),"")</f>
        <v/>
      </c>
      <c r="AI49" s="191" t="str">
        <f t="shared" ref="AI49" si="53">IFERROR(IF(X49="Impacto",(T49-(+T49*AA49)),IF(X49="Probabilidad",T49,"")),"")</f>
        <v/>
      </c>
      <c r="AJ49" s="194" t="str">
        <f>IFERROR(IF(OR(AND(AF49="Muy Baja",AH49="Leve"),AND(AF49="Muy Baja",AH49="Menor"),AND(AF49="Baja",AH49="Leve")),"Bajo",IF(OR(AND(AF49="Muy baja",AH49="Moderado"),AND(AF49="Baja",AH49="Menor"),AND(AF49="Baja",AH49="Moderado"),AND(AF49="Media",AH49="Leve"),AND(AF49="Media",AH49="Menor"),AND(AF49="Media",AH49="Moderado"),AND(AF49="Alta",AH49="Leve"),AND(AF49="Alta",AH49="Menor")),"Moderado",IF(OR(AND(AF49="Muy Baja",AH49="Mayor"),AND(AF49="Baja",AH49="Mayor"),AND(AF49="Media",AH49="Mayor"),AND(AF49="Alta",AH49="Moderado"),AND(AF49="Alta",AH49="Mayor"),AND(AF49="Muy Alta",AH49="Leve"),AND(AF49="Muy Alta",AH49="Menor"),AND(AF49="Muy Alta",AH49="Moderado"),AND(AF49="Muy Alta",AH49="Mayor")),"Alto",IF(OR(AND(AF49="Muy Baja",AH49="Catastrófico"),AND(AF49="Baja",AH49="Catastrófico"),AND(AF49="Media",AH49="Catastrófico"),AND(AF49="Alta",AH49="Catastrófico"),AND(AF49="Muy Alta",AH49="Catastrófico")),"Extremo","")))),"")</f>
        <v/>
      </c>
      <c r="AK49" s="195"/>
      <c r="AL49" s="186"/>
      <c r="AM49" s="196"/>
      <c r="AN49" s="196"/>
      <c r="AO49" s="197"/>
      <c r="AP49" s="341"/>
      <c r="AQ49" s="341"/>
      <c r="AR49" s="341"/>
    </row>
    <row r="50" spans="1:44" ht="37.5" hidden="1" customHeight="1" x14ac:dyDescent="0.2">
      <c r="A50" s="363"/>
      <c r="B50" s="345"/>
      <c r="C50" s="345"/>
      <c r="D50" s="366"/>
      <c r="E50" s="345"/>
      <c r="F50" s="345"/>
      <c r="G50" s="338"/>
      <c r="H50" s="338"/>
      <c r="I50" s="338"/>
      <c r="J50" s="338"/>
      <c r="K50" s="338"/>
      <c r="L50" s="338"/>
      <c r="M50" s="338"/>
      <c r="N50" s="341"/>
      <c r="O50" s="335"/>
      <c r="P50" s="334"/>
      <c r="Q50" s="324"/>
      <c r="R50" s="334">
        <f>IF(NOT(ISERROR(MATCH(Q50,_xlfn.ANCHORARRAY(E61),0))),P63&amp;"Por favor no seleccionar los criterios de impacto",Q50)</f>
        <v>0</v>
      </c>
      <c r="S50" s="335"/>
      <c r="T50" s="334"/>
      <c r="U50" s="333"/>
      <c r="V50" s="214">
        <v>2</v>
      </c>
      <c r="W50" s="187"/>
      <c r="X50" s="189" t="str">
        <f>IF(OR(Y50="Preventivo",Y50="Detectivo"),"Probabilidad",IF(Y50="Correctivo","Impacto",""))</f>
        <v/>
      </c>
      <c r="Y50" s="190"/>
      <c r="Z50" s="190"/>
      <c r="AA50" s="191" t="str">
        <f t="shared" ref="AA50:AA54" si="54">IF(AND(Y50="Preventivo",Z50="Automático"),"50%",IF(AND(Y50="Preventivo",Z50="Manual"),"40%",IF(AND(Y50="Detectivo",Z50="Automático"),"40%",IF(AND(Y50="Detectivo",Z50="Manual"),"30%",IF(AND(Y50="Correctivo",Z50="Automático"),"35%",IF(AND(Y50="Correctivo",Z50="Manual"),"25%",""))))))</f>
        <v/>
      </c>
      <c r="AB50" s="190"/>
      <c r="AC50" s="190"/>
      <c r="AD50" s="190"/>
      <c r="AE50" s="192" t="str">
        <f>IFERROR(IF(AND(X49="Probabilidad",X50="Probabilidad"),(AG49-(+AG49*AA50)),IF(X50="Probabilidad",(P49-(+P49*AA50)),IF(X50="Impacto",AG49,""))),"")</f>
        <v/>
      </c>
      <c r="AF50" s="193" t="str">
        <f t="shared" si="1"/>
        <v/>
      </c>
      <c r="AG50" s="191" t="str">
        <f t="shared" ref="AG50:AG54" si="55">+AE50</f>
        <v/>
      </c>
      <c r="AH50" s="193" t="str">
        <f t="shared" si="3"/>
        <v/>
      </c>
      <c r="AI50" s="191" t="str">
        <f t="shared" ref="AI50" si="56">IFERROR(IF(AND(X49="Impacto",X50="Impacto"),(AI49-(+AI49*AA50)),IF(X50="Impacto",($T$13-(+$T$13*AA50)),IF(X50="Probabilidad",AI49,""))),"")</f>
        <v/>
      </c>
      <c r="AJ50" s="194" t="str">
        <f t="shared" ref="AJ50:AJ51" si="57">IFERROR(IF(OR(AND(AF50="Muy Baja",AH50="Leve"),AND(AF50="Muy Baja",AH50="Menor"),AND(AF50="Baja",AH50="Leve")),"Bajo",IF(OR(AND(AF50="Muy baja",AH50="Moderado"),AND(AF50="Baja",AH50="Menor"),AND(AF50="Baja",AH50="Moderado"),AND(AF50="Media",AH50="Leve"),AND(AF50="Media",AH50="Menor"),AND(AF50="Media",AH50="Moderado"),AND(AF50="Alta",AH50="Leve"),AND(AF50="Alta",AH50="Menor")),"Moderado",IF(OR(AND(AF50="Muy Baja",AH50="Mayor"),AND(AF50="Baja",AH50="Mayor"),AND(AF50="Media",AH50="Mayor"),AND(AF50="Alta",AH50="Moderado"),AND(AF50="Alta",AH50="Mayor"),AND(AF50="Muy Alta",AH50="Leve"),AND(AF50="Muy Alta",AH50="Menor"),AND(AF50="Muy Alta",AH50="Moderado"),AND(AF50="Muy Alta",AH50="Mayor")),"Alto",IF(OR(AND(AF50="Muy Baja",AH50="Catastrófico"),AND(AF50="Baja",AH50="Catastrófico"),AND(AF50="Media",AH50="Catastrófico"),AND(AF50="Alta",AH50="Catastrófico"),AND(AF50="Muy Alta",AH50="Catastrófico")),"Extremo","")))),"")</f>
        <v/>
      </c>
      <c r="AK50" s="195"/>
      <c r="AL50" s="186"/>
      <c r="AM50" s="196"/>
      <c r="AN50" s="196"/>
      <c r="AO50" s="197"/>
      <c r="AP50" s="341"/>
      <c r="AQ50" s="341"/>
      <c r="AR50" s="341"/>
    </row>
    <row r="51" spans="1:44" ht="37.5" hidden="1" customHeight="1" x14ac:dyDescent="0.2">
      <c r="A51" s="363"/>
      <c r="B51" s="345"/>
      <c r="C51" s="345"/>
      <c r="D51" s="366"/>
      <c r="E51" s="345"/>
      <c r="F51" s="345"/>
      <c r="G51" s="338"/>
      <c r="H51" s="338"/>
      <c r="I51" s="338"/>
      <c r="J51" s="338"/>
      <c r="K51" s="338"/>
      <c r="L51" s="338"/>
      <c r="M51" s="338"/>
      <c r="N51" s="341"/>
      <c r="O51" s="335"/>
      <c r="P51" s="334"/>
      <c r="Q51" s="324"/>
      <c r="R51" s="334">
        <f>IF(NOT(ISERROR(MATCH(Q51,_xlfn.ANCHORARRAY(E62),0))),P64&amp;"Por favor no seleccionar los criterios de impacto",Q51)</f>
        <v>0</v>
      </c>
      <c r="S51" s="335"/>
      <c r="T51" s="334"/>
      <c r="U51" s="333"/>
      <c r="V51" s="214">
        <v>3</v>
      </c>
      <c r="W51" s="188"/>
      <c r="X51" s="189" t="str">
        <f>IF(OR(Y51="Preventivo",Y51="Detectivo"),"Probabilidad",IF(Y51="Correctivo","Impacto",""))</f>
        <v/>
      </c>
      <c r="Y51" s="190"/>
      <c r="Z51" s="190"/>
      <c r="AA51" s="191" t="str">
        <f t="shared" si="54"/>
        <v/>
      </c>
      <c r="AB51" s="190"/>
      <c r="AC51" s="190"/>
      <c r="AD51" s="190"/>
      <c r="AE51" s="192" t="str">
        <f>IFERROR(IF(AND(X50="Probabilidad",X51="Probabilidad"),(AG50-(+AG50*AA51)),IF(AND(X50="Impacto",X51="Probabilidad"),(AG49-(+AG49*AA51)),IF(X51="Impacto",AG50,""))),"")</f>
        <v/>
      </c>
      <c r="AF51" s="193" t="str">
        <f t="shared" si="1"/>
        <v/>
      </c>
      <c r="AG51" s="191" t="str">
        <f t="shared" si="55"/>
        <v/>
      </c>
      <c r="AH51" s="193" t="str">
        <f t="shared" si="3"/>
        <v/>
      </c>
      <c r="AI51" s="191" t="str">
        <f t="shared" ref="AI51" si="58">IFERROR(IF(AND(X50="Impacto",X51="Impacto"),(AI50-(+AI50*AA51)),IF(AND(X50="Probabilidad",X51="Impacto"),(AI49-(+AI49*AA51)),IF(X51="Probabilidad",AI50,""))),"")</f>
        <v/>
      </c>
      <c r="AJ51" s="194" t="str">
        <f t="shared" si="57"/>
        <v/>
      </c>
      <c r="AK51" s="195"/>
      <c r="AL51" s="186"/>
      <c r="AM51" s="196"/>
      <c r="AN51" s="196"/>
      <c r="AO51" s="197"/>
      <c r="AP51" s="341"/>
      <c r="AQ51" s="341"/>
      <c r="AR51" s="341"/>
    </row>
    <row r="52" spans="1:44" ht="37.5" hidden="1" customHeight="1" x14ac:dyDescent="0.2">
      <c r="A52" s="363"/>
      <c r="B52" s="345"/>
      <c r="C52" s="345"/>
      <c r="D52" s="366"/>
      <c r="E52" s="345"/>
      <c r="F52" s="345"/>
      <c r="G52" s="338"/>
      <c r="H52" s="338"/>
      <c r="I52" s="338"/>
      <c r="J52" s="338"/>
      <c r="K52" s="338"/>
      <c r="L52" s="338"/>
      <c r="M52" s="338"/>
      <c r="N52" s="341"/>
      <c r="O52" s="335"/>
      <c r="P52" s="334"/>
      <c r="Q52" s="324"/>
      <c r="R52" s="334">
        <f>IF(NOT(ISERROR(MATCH(Q52,_xlfn.ANCHORARRAY(E63),0))),P65&amp;"Por favor no seleccionar los criterios de impacto",Q52)</f>
        <v>0</v>
      </c>
      <c r="S52" s="335"/>
      <c r="T52" s="334"/>
      <c r="U52" s="333"/>
      <c r="V52" s="214">
        <v>4</v>
      </c>
      <c r="W52" s="187"/>
      <c r="X52" s="189" t="str">
        <f t="shared" ref="X52:X54" si="59">IF(OR(Y52="Preventivo",Y52="Detectivo"),"Probabilidad",IF(Y52="Correctivo","Impacto",""))</f>
        <v/>
      </c>
      <c r="Y52" s="190"/>
      <c r="Z52" s="190"/>
      <c r="AA52" s="191" t="str">
        <f t="shared" si="54"/>
        <v/>
      </c>
      <c r="AB52" s="190"/>
      <c r="AC52" s="190"/>
      <c r="AD52" s="190"/>
      <c r="AE52" s="192" t="str">
        <f t="shared" ref="AE52:AE54" si="60">IFERROR(IF(AND(X51="Probabilidad",X52="Probabilidad"),(AG51-(+AG51*AA52)),IF(AND(X51="Impacto",X52="Probabilidad"),(AG50-(+AG50*AA52)),IF(X52="Impacto",AG51,""))),"")</f>
        <v/>
      </c>
      <c r="AF52" s="193" t="str">
        <f t="shared" si="1"/>
        <v/>
      </c>
      <c r="AG52" s="191" t="str">
        <f t="shared" si="55"/>
        <v/>
      </c>
      <c r="AH52" s="193" t="str">
        <f t="shared" si="3"/>
        <v/>
      </c>
      <c r="AI52" s="191" t="str">
        <f t="shared" si="13"/>
        <v/>
      </c>
      <c r="AJ52" s="194" t="str">
        <f>IFERROR(IF(OR(AND(AF52="Muy Baja",AH52="Leve"),AND(AF52="Muy Baja",AH52="Menor"),AND(AF52="Baja",AH52="Leve")),"Bajo",IF(OR(AND(AF52="Muy baja",AH52="Moderado"),AND(AF52="Baja",AH52="Menor"),AND(AF52="Baja",AH52="Moderado"),AND(AF52="Media",AH52="Leve"),AND(AF52="Media",AH52="Menor"),AND(AF52="Media",AH52="Moderado"),AND(AF52="Alta",AH52="Leve"),AND(AF52="Alta",AH52="Menor")),"Moderado",IF(OR(AND(AF52="Muy Baja",AH52="Mayor"),AND(AF52="Baja",AH52="Mayor"),AND(AF52="Media",AH52="Mayor"),AND(AF52="Alta",AH52="Moderado"),AND(AF52="Alta",AH52="Mayor"),AND(AF52="Muy Alta",AH52="Leve"),AND(AF52="Muy Alta",AH52="Menor"),AND(AF52="Muy Alta",AH52="Moderado"),AND(AF52="Muy Alta",AH52="Mayor")),"Alto",IF(OR(AND(AF52="Muy Baja",AH52="Catastrófico"),AND(AF52="Baja",AH52="Catastrófico"),AND(AF52="Media",AH52="Catastrófico"),AND(AF52="Alta",AH52="Catastrófico"),AND(AF52="Muy Alta",AH52="Catastrófico")),"Extremo","")))),"")</f>
        <v/>
      </c>
      <c r="AK52" s="195"/>
      <c r="AL52" s="186"/>
      <c r="AM52" s="196"/>
      <c r="AN52" s="196"/>
      <c r="AO52" s="197"/>
      <c r="AP52" s="341"/>
      <c r="AQ52" s="341"/>
      <c r="AR52" s="341"/>
    </row>
    <row r="53" spans="1:44" ht="37.5" hidden="1" customHeight="1" x14ac:dyDescent="0.2">
      <c r="A53" s="363"/>
      <c r="B53" s="345"/>
      <c r="C53" s="345"/>
      <c r="D53" s="366"/>
      <c r="E53" s="345"/>
      <c r="F53" s="345"/>
      <c r="G53" s="338"/>
      <c r="H53" s="338"/>
      <c r="I53" s="338"/>
      <c r="J53" s="338"/>
      <c r="K53" s="338"/>
      <c r="L53" s="338"/>
      <c r="M53" s="338"/>
      <c r="N53" s="341"/>
      <c r="O53" s="335"/>
      <c r="P53" s="334"/>
      <c r="Q53" s="324"/>
      <c r="R53" s="334">
        <f>IF(NOT(ISERROR(MATCH(Q53,_xlfn.ANCHORARRAY(E64),0))),P66&amp;"Por favor no seleccionar los criterios de impacto",Q53)</f>
        <v>0</v>
      </c>
      <c r="S53" s="335"/>
      <c r="T53" s="334"/>
      <c r="U53" s="333"/>
      <c r="V53" s="214">
        <v>5</v>
      </c>
      <c r="W53" s="187"/>
      <c r="X53" s="189" t="str">
        <f t="shared" si="59"/>
        <v/>
      </c>
      <c r="Y53" s="190"/>
      <c r="Z53" s="190"/>
      <c r="AA53" s="191" t="str">
        <f t="shared" si="54"/>
        <v/>
      </c>
      <c r="AB53" s="190"/>
      <c r="AC53" s="190"/>
      <c r="AD53" s="190"/>
      <c r="AE53" s="192" t="str">
        <f t="shared" si="60"/>
        <v/>
      </c>
      <c r="AF53" s="193" t="str">
        <f t="shared" si="1"/>
        <v/>
      </c>
      <c r="AG53" s="191" t="str">
        <f t="shared" si="55"/>
        <v/>
      </c>
      <c r="AH53" s="193" t="str">
        <f t="shared" si="3"/>
        <v/>
      </c>
      <c r="AI53" s="191" t="str">
        <f t="shared" si="13"/>
        <v/>
      </c>
      <c r="AJ53" s="194" t="str">
        <f t="shared" ref="AJ53:AJ54" si="61">IFERROR(IF(OR(AND(AF53="Muy Baja",AH53="Leve"),AND(AF53="Muy Baja",AH53="Menor"),AND(AF53="Baja",AH53="Leve")),"Bajo",IF(OR(AND(AF53="Muy baja",AH53="Moderado"),AND(AF53="Baja",AH53="Menor"),AND(AF53="Baja",AH53="Moderado"),AND(AF53="Media",AH53="Leve"),AND(AF53="Media",AH53="Menor"),AND(AF53="Media",AH53="Moderado"),AND(AF53="Alta",AH53="Leve"),AND(AF53="Alta",AH53="Menor")),"Moderado",IF(OR(AND(AF53="Muy Baja",AH53="Mayor"),AND(AF53="Baja",AH53="Mayor"),AND(AF53="Media",AH53="Mayor"),AND(AF53="Alta",AH53="Moderado"),AND(AF53="Alta",AH53="Mayor"),AND(AF53="Muy Alta",AH53="Leve"),AND(AF53="Muy Alta",AH53="Menor"),AND(AF53="Muy Alta",AH53="Moderado"),AND(AF53="Muy Alta",AH53="Mayor")),"Alto",IF(OR(AND(AF53="Muy Baja",AH53="Catastrófico"),AND(AF53="Baja",AH53="Catastrófico"),AND(AF53="Media",AH53="Catastrófico"),AND(AF53="Alta",AH53="Catastrófico"),AND(AF53="Muy Alta",AH53="Catastrófico")),"Extremo","")))),"")</f>
        <v/>
      </c>
      <c r="AK53" s="195"/>
      <c r="AL53" s="186"/>
      <c r="AM53" s="196"/>
      <c r="AN53" s="196"/>
      <c r="AO53" s="197"/>
      <c r="AP53" s="341"/>
      <c r="AQ53" s="341"/>
      <c r="AR53" s="341"/>
    </row>
    <row r="54" spans="1:44" ht="37.5" hidden="1" customHeight="1" x14ac:dyDescent="0.2">
      <c r="A54" s="363"/>
      <c r="B54" s="345"/>
      <c r="C54" s="345"/>
      <c r="D54" s="366"/>
      <c r="E54" s="345"/>
      <c r="F54" s="345"/>
      <c r="G54" s="339"/>
      <c r="H54" s="339"/>
      <c r="I54" s="339"/>
      <c r="J54" s="339"/>
      <c r="K54" s="339"/>
      <c r="L54" s="339"/>
      <c r="M54" s="339"/>
      <c r="N54" s="341"/>
      <c r="O54" s="335"/>
      <c r="P54" s="334"/>
      <c r="Q54" s="324"/>
      <c r="R54" s="334">
        <f>IF(NOT(ISERROR(MATCH(Q54,_xlfn.ANCHORARRAY(E65),0))),P67&amp;"Por favor no seleccionar los criterios de impacto",Q54)</f>
        <v>0</v>
      </c>
      <c r="S54" s="335"/>
      <c r="T54" s="334"/>
      <c r="U54" s="333"/>
      <c r="V54" s="214">
        <v>6</v>
      </c>
      <c r="W54" s="187"/>
      <c r="X54" s="189" t="str">
        <f t="shared" si="59"/>
        <v/>
      </c>
      <c r="Y54" s="190"/>
      <c r="Z54" s="190"/>
      <c r="AA54" s="191" t="str">
        <f t="shared" si="54"/>
        <v/>
      </c>
      <c r="AB54" s="190"/>
      <c r="AC54" s="190"/>
      <c r="AD54" s="190"/>
      <c r="AE54" s="192" t="str">
        <f t="shared" si="60"/>
        <v/>
      </c>
      <c r="AF54" s="193" t="str">
        <f t="shared" si="1"/>
        <v/>
      </c>
      <c r="AG54" s="191" t="str">
        <f t="shared" si="55"/>
        <v/>
      </c>
      <c r="AH54" s="193" t="str">
        <f t="shared" si="3"/>
        <v/>
      </c>
      <c r="AI54" s="191" t="str">
        <f t="shared" si="13"/>
        <v/>
      </c>
      <c r="AJ54" s="194" t="str">
        <f t="shared" si="61"/>
        <v/>
      </c>
      <c r="AK54" s="195"/>
      <c r="AL54" s="186"/>
      <c r="AM54" s="196"/>
      <c r="AN54" s="196"/>
      <c r="AO54" s="197"/>
      <c r="AP54" s="341"/>
      <c r="AQ54" s="341"/>
      <c r="AR54" s="341"/>
    </row>
    <row r="55" spans="1:44" ht="37.5" hidden="1" customHeight="1" x14ac:dyDescent="0.2">
      <c r="A55" s="363">
        <v>8</v>
      </c>
      <c r="B55" s="345"/>
      <c r="C55" s="345"/>
      <c r="D55" s="345"/>
      <c r="E55" s="345"/>
      <c r="F55" s="345"/>
      <c r="G55" s="337"/>
      <c r="H55" s="337"/>
      <c r="I55" s="337"/>
      <c r="J55" s="337"/>
      <c r="K55" s="337"/>
      <c r="L55" s="337"/>
      <c r="M55" s="337"/>
      <c r="N55" s="341"/>
      <c r="O55" s="335" t="str">
        <f>IF(N55&lt;=0,"",IF(N55&lt;=2,"Muy Baja",IF(N55&lt;=24,"Baja",IF(N55&lt;=500,"Media",IF(N55&lt;=5000,"Alta","Muy Alta")))))</f>
        <v/>
      </c>
      <c r="P55" s="334" t="str">
        <f>IF(O55="","",IF(O55="Muy Baja",0.2,IF(O55="Baja",0.4,IF(O55="Media",0.6,IF(O55="Alta",0.8,IF(O55="Muy Alta",1,))))))</f>
        <v/>
      </c>
      <c r="Q55" s="324"/>
      <c r="R55" s="334">
        <f>IF(NOT(ISERROR(MATCH(Q55,'Tabla Impacto'!$B$222:$B$224,0))),'Tabla Impacto'!$F$224&amp;"Por favor no seleccionar los criterios de impacto(Afectación Económica o presupuestal y Pérdida Reputacional)",Q55)</f>
        <v>0</v>
      </c>
      <c r="S55" s="335" t="str">
        <f>IF(OR(R55='Tabla Impacto'!$C$12,R55='Tabla Impacto'!$D$12),"Leve",IF(OR(R55='Tabla Impacto'!$C$13,R55='Tabla Impacto'!$D$13),"Menor",IF(OR(R55='Tabla Impacto'!$C$14,R55='Tabla Impacto'!$D$14),"Moderado",IF(OR(R55='Tabla Impacto'!$C$15,R55='Tabla Impacto'!$D$15),"Mayor",IF(OR(R55='Tabla Impacto'!$C$16,R55='Tabla Impacto'!$D$16),"Catastrófico","")))))</f>
        <v/>
      </c>
      <c r="T55" s="334" t="str">
        <f>IF(S55="","",IF(S55="Leve",0.2,IF(S55="Menor",0.4,IF(S55="Moderado",0.6,IF(S55="Mayor",0.8,IF(S55="Catastrófico",1,))))))</f>
        <v/>
      </c>
      <c r="U55" s="333" t="str">
        <f>IF(OR(AND(O55="Muy Baja",S55="Leve"),AND(O55="Muy Baja",S55="Menor"),AND(O55="Baja",S55="Leve")),"Bajo",IF(OR(AND(O55="Muy baja",S55="Moderado"),AND(O55="Baja",S55="Menor"),AND(O55="Baja",S55="Moderado"),AND(O55="Media",S55="Leve"),AND(O55="Media",S55="Menor"),AND(O55="Media",S55="Moderado"),AND(O55="Alta",S55="Leve"),AND(O55="Alta",S55="Menor")),"Moderado",IF(OR(AND(O55="Muy Baja",S55="Mayor"),AND(O55="Baja",S55="Mayor"),AND(O55="Media",S55="Mayor"),AND(O55="Alta",S55="Moderado"),AND(O55="Alta",S55="Mayor"),AND(O55="Muy Alta",S55="Leve"),AND(O55="Muy Alta",S55="Menor"),AND(O55="Muy Alta",S55="Moderado"),AND(O55="Muy Alta",S55="Mayor")),"Alto",IF(OR(AND(O55="Muy Baja",S55="Catastrófico"),AND(O55="Baja",S55="Catastrófico"),AND(O55="Media",S55="Catastrófico"),AND(O55="Alta",S55="Catastrófico"),AND(O55="Muy Alta",S55="Catastrófico")),"Extremo",""))))</f>
        <v/>
      </c>
      <c r="V55" s="214">
        <v>1</v>
      </c>
      <c r="W55" s="187"/>
      <c r="X55" s="189" t="str">
        <f>IF(OR(Y55="Preventivo",Y55="Detectivo"),"Probabilidad",IF(Y55="Correctivo","Impacto",""))</f>
        <v/>
      </c>
      <c r="Y55" s="190"/>
      <c r="Z55" s="190"/>
      <c r="AA55" s="191" t="str">
        <f>IF(AND(Y55="Preventivo",Z55="Automático"),"50%",IF(AND(Y55="Preventivo",Z55="Manual"),"40%",IF(AND(Y55="Detectivo",Z55="Automático"),"40%",IF(AND(Y55="Detectivo",Z55="Manual"),"30%",IF(AND(Y55="Correctivo",Z55="Automático"),"35%",IF(AND(Y55="Correctivo",Z55="Manual"),"25%",""))))))</f>
        <v/>
      </c>
      <c r="AB55" s="190"/>
      <c r="AC55" s="190"/>
      <c r="AD55" s="190"/>
      <c r="AE55" s="192" t="str">
        <f>IFERROR(IF(X55="Probabilidad",(P55-(+P55*AA55)),IF(X55="Impacto",P55,"")),"")</f>
        <v/>
      </c>
      <c r="AF55" s="193" t="str">
        <f>IFERROR(IF(AE55="","",IF(AE55&lt;=0.2,"Muy Baja",IF(AE55&lt;=0.4,"Baja",IF(AE55&lt;=0.6,"Media",IF(AE55&lt;=0.8,"Alta","Muy Alta"))))),"")</f>
        <v/>
      </c>
      <c r="AG55" s="191" t="str">
        <f>+AE55</f>
        <v/>
      </c>
      <c r="AH55" s="193" t="str">
        <f>IFERROR(IF(AI55="","",IF(AI55&lt;=0.2,"Leve",IF(AI55&lt;=0.4,"Menor",IF(AI55&lt;=0.6,"Moderado",IF(AI55&lt;=0.8,"Mayor","Catastrófico"))))),"")</f>
        <v/>
      </c>
      <c r="AI55" s="191" t="str">
        <f t="shared" ref="AI55" si="62">IFERROR(IF(X55="Impacto",(T55-(+T55*AA55)),IF(X55="Probabilidad",T55,"")),"")</f>
        <v/>
      </c>
      <c r="AJ55" s="194" t="str">
        <f>IFERROR(IF(OR(AND(AF55="Muy Baja",AH55="Leve"),AND(AF55="Muy Baja",AH55="Menor"),AND(AF55="Baja",AH55="Leve")),"Bajo",IF(OR(AND(AF55="Muy baja",AH55="Moderado"),AND(AF55="Baja",AH55="Menor"),AND(AF55="Baja",AH55="Moderado"),AND(AF55="Media",AH55="Leve"),AND(AF55="Media",AH55="Menor"),AND(AF55="Media",AH55="Moderado"),AND(AF55="Alta",AH55="Leve"),AND(AF55="Alta",AH55="Menor")),"Moderado",IF(OR(AND(AF55="Muy Baja",AH55="Mayor"),AND(AF55="Baja",AH55="Mayor"),AND(AF55="Media",AH55="Mayor"),AND(AF55="Alta",AH55="Moderado"),AND(AF55="Alta",AH55="Mayor"),AND(AF55="Muy Alta",AH55="Leve"),AND(AF55="Muy Alta",AH55="Menor"),AND(AF55="Muy Alta",AH55="Moderado"),AND(AF55="Muy Alta",AH55="Mayor")),"Alto",IF(OR(AND(AF55="Muy Baja",AH55="Catastrófico"),AND(AF55="Baja",AH55="Catastrófico"),AND(AF55="Media",AH55="Catastrófico"),AND(AF55="Alta",AH55="Catastrófico"),AND(AF55="Muy Alta",AH55="Catastrófico")),"Extremo","")))),"")</f>
        <v/>
      </c>
      <c r="AK55" s="195"/>
      <c r="AL55" s="186"/>
      <c r="AM55" s="196"/>
      <c r="AN55" s="196"/>
      <c r="AO55" s="197"/>
      <c r="AP55" s="341"/>
      <c r="AQ55" s="341"/>
      <c r="AR55" s="341"/>
    </row>
    <row r="56" spans="1:44" ht="37.5" hidden="1" customHeight="1" x14ac:dyDescent="0.2">
      <c r="A56" s="363"/>
      <c r="B56" s="345"/>
      <c r="C56" s="345"/>
      <c r="D56" s="345"/>
      <c r="E56" s="345"/>
      <c r="F56" s="345"/>
      <c r="G56" s="338"/>
      <c r="H56" s="338"/>
      <c r="I56" s="338"/>
      <c r="J56" s="338"/>
      <c r="K56" s="338"/>
      <c r="L56" s="338"/>
      <c r="M56" s="338"/>
      <c r="N56" s="341"/>
      <c r="O56" s="335"/>
      <c r="P56" s="334"/>
      <c r="Q56" s="324"/>
      <c r="R56" s="334">
        <f>IF(NOT(ISERROR(MATCH(Q56,_xlfn.ANCHORARRAY(E67),0))),P69&amp;"Por favor no seleccionar los criterios de impacto",Q56)</f>
        <v>0</v>
      </c>
      <c r="S56" s="335"/>
      <c r="T56" s="334"/>
      <c r="U56" s="333"/>
      <c r="V56" s="214">
        <v>2</v>
      </c>
      <c r="W56" s="187"/>
      <c r="X56" s="189" t="str">
        <f>IF(OR(Y56="Preventivo",Y56="Detectivo"),"Probabilidad",IF(Y56="Correctivo","Impacto",""))</f>
        <v/>
      </c>
      <c r="Y56" s="190"/>
      <c r="Z56" s="190"/>
      <c r="AA56" s="191" t="str">
        <f t="shared" ref="AA56:AA60" si="63">IF(AND(Y56="Preventivo",Z56="Automático"),"50%",IF(AND(Y56="Preventivo",Z56="Manual"),"40%",IF(AND(Y56="Detectivo",Z56="Automático"),"40%",IF(AND(Y56="Detectivo",Z56="Manual"),"30%",IF(AND(Y56="Correctivo",Z56="Automático"),"35%",IF(AND(Y56="Correctivo",Z56="Manual"),"25%",""))))))</f>
        <v/>
      </c>
      <c r="AB56" s="190"/>
      <c r="AC56" s="190"/>
      <c r="AD56" s="190"/>
      <c r="AE56" s="192" t="str">
        <f>IFERROR(IF(AND(X55="Probabilidad",X56="Probabilidad"),(AG55-(+AG55*AA56)),IF(X56="Probabilidad",(P55-(+P55*AA56)),IF(X56="Impacto",AG55,""))),"")</f>
        <v/>
      </c>
      <c r="AF56" s="193" t="str">
        <f t="shared" si="1"/>
        <v/>
      </c>
      <c r="AG56" s="191" t="str">
        <f t="shared" ref="AG56:AG60" si="64">+AE56</f>
        <v/>
      </c>
      <c r="AH56" s="193" t="str">
        <f t="shared" si="3"/>
        <v/>
      </c>
      <c r="AI56" s="191" t="str">
        <f t="shared" ref="AI56" si="65">IFERROR(IF(AND(X55="Impacto",X56="Impacto"),(AI55-(+AI55*AA56)),IF(X56="Impacto",($T$13-(+$T$13*AA56)),IF(X56="Probabilidad",AI55,""))),"")</f>
        <v/>
      </c>
      <c r="AJ56" s="194" t="str">
        <f t="shared" ref="AJ56:AJ57" si="66">IFERROR(IF(OR(AND(AF56="Muy Baja",AH56="Leve"),AND(AF56="Muy Baja",AH56="Menor"),AND(AF56="Baja",AH56="Leve")),"Bajo",IF(OR(AND(AF56="Muy baja",AH56="Moderado"),AND(AF56="Baja",AH56="Menor"),AND(AF56="Baja",AH56="Moderado"),AND(AF56="Media",AH56="Leve"),AND(AF56="Media",AH56="Menor"),AND(AF56="Media",AH56="Moderado"),AND(AF56="Alta",AH56="Leve"),AND(AF56="Alta",AH56="Menor")),"Moderado",IF(OR(AND(AF56="Muy Baja",AH56="Mayor"),AND(AF56="Baja",AH56="Mayor"),AND(AF56="Media",AH56="Mayor"),AND(AF56="Alta",AH56="Moderado"),AND(AF56="Alta",AH56="Mayor"),AND(AF56="Muy Alta",AH56="Leve"),AND(AF56="Muy Alta",AH56="Menor"),AND(AF56="Muy Alta",AH56="Moderado"),AND(AF56="Muy Alta",AH56="Mayor")),"Alto",IF(OR(AND(AF56="Muy Baja",AH56="Catastrófico"),AND(AF56="Baja",AH56="Catastrófico"),AND(AF56="Media",AH56="Catastrófico"),AND(AF56="Alta",AH56="Catastrófico"),AND(AF56="Muy Alta",AH56="Catastrófico")),"Extremo","")))),"")</f>
        <v/>
      </c>
      <c r="AK56" s="195"/>
      <c r="AL56" s="186"/>
      <c r="AM56" s="196"/>
      <c r="AN56" s="196"/>
      <c r="AO56" s="197"/>
      <c r="AP56" s="341"/>
      <c r="AQ56" s="341"/>
      <c r="AR56" s="341"/>
    </row>
    <row r="57" spans="1:44" ht="37.5" hidden="1" customHeight="1" x14ac:dyDescent="0.2">
      <c r="A57" s="363"/>
      <c r="B57" s="345"/>
      <c r="C57" s="345"/>
      <c r="D57" s="345"/>
      <c r="E57" s="345"/>
      <c r="F57" s="345"/>
      <c r="G57" s="338"/>
      <c r="H57" s="338"/>
      <c r="I57" s="338"/>
      <c r="J57" s="338"/>
      <c r="K57" s="338"/>
      <c r="L57" s="338"/>
      <c r="M57" s="338"/>
      <c r="N57" s="341"/>
      <c r="O57" s="335"/>
      <c r="P57" s="334"/>
      <c r="Q57" s="324"/>
      <c r="R57" s="334">
        <f>IF(NOT(ISERROR(MATCH(Q57,_xlfn.ANCHORARRAY(E68),0))),P70&amp;"Por favor no seleccionar los criterios de impacto",Q57)</f>
        <v>0</v>
      </c>
      <c r="S57" s="335"/>
      <c r="T57" s="334"/>
      <c r="U57" s="333"/>
      <c r="V57" s="214">
        <v>3</v>
      </c>
      <c r="W57" s="188"/>
      <c r="X57" s="189" t="str">
        <f>IF(OR(Y57="Preventivo",Y57="Detectivo"),"Probabilidad",IF(Y57="Correctivo","Impacto",""))</f>
        <v/>
      </c>
      <c r="Y57" s="190"/>
      <c r="Z57" s="190"/>
      <c r="AA57" s="191" t="str">
        <f t="shared" si="63"/>
        <v/>
      </c>
      <c r="AB57" s="190"/>
      <c r="AC57" s="190"/>
      <c r="AD57" s="190"/>
      <c r="AE57" s="192" t="str">
        <f>IFERROR(IF(AND(X56="Probabilidad",X57="Probabilidad"),(AG56-(+AG56*AA57)),IF(AND(X56="Impacto",X57="Probabilidad"),(AG55-(+AG55*AA57)),IF(X57="Impacto",AG56,""))),"")</f>
        <v/>
      </c>
      <c r="AF57" s="193" t="str">
        <f t="shared" si="1"/>
        <v/>
      </c>
      <c r="AG57" s="191" t="str">
        <f t="shared" si="64"/>
        <v/>
      </c>
      <c r="AH57" s="193" t="str">
        <f t="shared" si="3"/>
        <v/>
      </c>
      <c r="AI57" s="191" t="str">
        <f t="shared" ref="AI57" si="67">IFERROR(IF(AND(X56="Impacto",X57="Impacto"),(AI56-(+AI56*AA57)),IF(AND(X56="Probabilidad",X57="Impacto"),(AI55-(+AI55*AA57)),IF(X57="Probabilidad",AI56,""))),"")</f>
        <v/>
      </c>
      <c r="AJ57" s="194" t="str">
        <f t="shared" si="66"/>
        <v/>
      </c>
      <c r="AK57" s="195"/>
      <c r="AL57" s="186"/>
      <c r="AM57" s="196"/>
      <c r="AN57" s="196"/>
      <c r="AO57" s="197"/>
      <c r="AP57" s="341"/>
      <c r="AQ57" s="341"/>
      <c r="AR57" s="341"/>
    </row>
    <row r="58" spans="1:44" ht="37.5" hidden="1" customHeight="1" x14ac:dyDescent="0.2">
      <c r="A58" s="363"/>
      <c r="B58" s="345"/>
      <c r="C58" s="345"/>
      <c r="D58" s="345"/>
      <c r="E58" s="345"/>
      <c r="F58" s="345"/>
      <c r="G58" s="338"/>
      <c r="H58" s="338"/>
      <c r="I58" s="338"/>
      <c r="J58" s="338"/>
      <c r="K58" s="338"/>
      <c r="L58" s="338"/>
      <c r="M58" s="338"/>
      <c r="N58" s="341"/>
      <c r="O58" s="335"/>
      <c r="P58" s="334"/>
      <c r="Q58" s="324"/>
      <c r="R58" s="334">
        <f>IF(NOT(ISERROR(MATCH(Q58,_xlfn.ANCHORARRAY(E69),0))),P71&amp;"Por favor no seleccionar los criterios de impacto",Q58)</f>
        <v>0</v>
      </c>
      <c r="S58" s="335"/>
      <c r="T58" s="334"/>
      <c r="U58" s="333"/>
      <c r="V58" s="214">
        <v>4</v>
      </c>
      <c r="W58" s="187"/>
      <c r="X58" s="189" t="str">
        <f t="shared" ref="X58:X60" si="68">IF(OR(Y58="Preventivo",Y58="Detectivo"),"Probabilidad",IF(Y58="Correctivo","Impacto",""))</f>
        <v/>
      </c>
      <c r="Y58" s="190"/>
      <c r="Z58" s="190"/>
      <c r="AA58" s="191" t="str">
        <f t="shared" si="63"/>
        <v/>
      </c>
      <c r="AB58" s="190"/>
      <c r="AC58" s="190"/>
      <c r="AD58" s="190"/>
      <c r="AE58" s="192" t="str">
        <f t="shared" ref="AE58:AE60" si="69">IFERROR(IF(AND(X57="Probabilidad",X58="Probabilidad"),(AG57-(+AG57*AA58)),IF(AND(X57="Impacto",X58="Probabilidad"),(AG56-(+AG56*AA58)),IF(X58="Impacto",AG57,""))),"")</f>
        <v/>
      </c>
      <c r="AF58" s="193" t="str">
        <f t="shared" si="1"/>
        <v/>
      </c>
      <c r="AG58" s="191" t="str">
        <f t="shared" si="64"/>
        <v/>
      </c>
      <c r="AH58" s="193" t="str">
        <f t="shared" si="3"/>
        <v/>
      </c>
      <c r="AI58" s="191" t="str">
        <f t="shared" si="13"/>
        <v/>
      </c>
      <c r="AJ58" s="194" t="str">
        <f>IFERROR(IF(OR(AND(AF58="Muy Baja",AH58="Leve"),AND(AF58="Muy Baja",AH58="Menor"),AND(AF58="Baja",AH58="Leve")),"Bajo",IF(OR(AND(AF58="Muy baja",AH58="Moderado"),AND(AF58="Baja",AH58="Menor"),AND(AF58="Baja",AH58="Moderado"),AND(AF58="Media",AH58="Leve"),AND(AF58="Media",AH58="Menor"),AND(AF58="Media",AH58="Moderado"),AND(AF58="Alta",AH58="Leve"),AND(AF58="Alta",AH58="Menor")),"Moderado",IF(OR(AND(AF58="Muy Baja",AH58="Mayor"),AND(AF58="Baja",AH58="Mayor"),AND(AF58="Media",AH58="Mayor"),AND(AF58="Alta",AH58="Moderado"),AND(AF58="Alta",AH58="Mayor"),AND(AF58="Muy Alta",AH58="Leve"),AND(AF58="Muy Alta",AH58="Menor"),AND(AF58="Muy Alta",AH58="Moderado"),AND(AF58="Muy Alta",AH58="Mayor")),"Alto",IF(OR(AND(AF58="Muy Baja",AH58="Catastrófico"),AND(AF58="Baja",AH58="Catastrófico"),AND(AF58="Media",AH58="Catastrófico"),AND(AF58="Alta",AH58="Catastrófico"),AND(AF58="Muy Alta",AH58="Catastrófico")),"Extremo","")))),"")</f>
        <v/>
      </c>
      <c r="AK58" s="195"/>
      <c r="AL58" s="186"/>
      <c r="AM58" s="196"/>
      <c r="AN58" s="196"/>
      <c r="AO58" s="197"/>
      <c r="AP58" s="341"/>
      <c r="AQ58" s="341"/>
      <c r="AR58" s="341"/>
    </row>
    <row r="59" spans="1:44" ht="37.5" hidden="1" customHeight="1" x14ac:dyDescent="0.2">
      <c r="A59" s="363"/>
      <c r="B59" s="345"/>
      <c r="C59" s="345"/>
      <c r="D59" s="345"/>
      <c r="E59" s="345"/>
      <c r="F59" s="345"/>
      <c r="G59" s="338"/>
      <c r="H59" s="338"/>
      <c r="I59" s="338"/>
      <c r="J59" s="338"/>
      <c r="K59" s="338"/>
      <c r="L59" s="338"/>
      <c r="M59" s="338"/>
      <c r="N59" s="341"/>
      <c r="O59" s="335"/>
      <c r="P59" s="334"/>
      <c r="Q59" s="324"/>
      <c r="R59" s="334">
        <f>IF(NOT(ISERROR(MATCH(Q59,_xlfn.ANCHORARRAY(E70),0))),P72&amp;"Por favor no seleccionar los criterios de impacto",Q59)</f>
        <v>0</v>
      </c>
      <c r="S59" s="335"/>
      <c r="T59" s="334"/>
      <c r="U59" s="333"/>
      <c r="V59" s="214">
        <v>5</v>
      </c>
      <c r="W59" s="187"/>
      <c r="X59" s="189" t="str">
        <f t="shared" si="68"/>
        <v/>
      </c>
      <c r="Y59" s="190"/>
      <c r="Z59" s="190"/>
      <c r="AA59" s="191" t="str">
        <f t="shared" si="63"/>
        <v/>
      </c>
      <c r="AB59" s="190"/>
      <c r="AC59" s="190"/>
      <c r="AD59" s="190"/>
      <c r="AE59" s="192" t="str">
        <f t="shared" si="69"/>
        <v/>
      </c>
      <c r="AF59" s="193" t="str">
        <f t="shared" si="1"/>
        <v/>
      </c>
      <c r="AG59" s="191" t="str">
        <f t="shared" si="64"/>
        <v/>
      </c>
      <c r="AH59" s="193" t="str">
        <f t="shared" si="3"/>
        <v/>
      </c>
      <c r="AI59" s="191" t="str">
        <f t="shared" si="13"/>
        <v/>
      </c>
      <c r="AJ59" s="194" t="str">
        <f t="shared" ref="AJ59:AJ60" si="70">IFERROR(IF(OR(AND(AF59="Muy Baja",AH59="Leve"),AND(AF59="Muy Baja",AH59="Menor"),AND(AF59="Baja",AH59="Leve")),"Bajo",IF(OR(AND(AF59="Muy baja",AH59="Moderado"),AND(AF59="Baja",AH59="Menor"),AND(AF59="Baja",AH59="Moderado"),AND(AF59="Media",AH59="Leve"),AND(AF59="Media",AH59="Menor"),AND(AF59="Media",AH59="Moderado"),AND(AF59="Alta",AH59="Leve"),AND(AF59="Alta",AH59="Menor")),"Moderado",IF(OR(AND(AF59="Muy Baja",AH59="Mayor"),AND(AF59="Baja",AH59="Mayor"),AND(AF59="Media",AH59="Mayor"),AND(AF59="Alta",AH59="Moderado"),AND(AF59="Alta",AH59="Mayor"),AND(AF59="Muy Alta",AH59="Leve"),AND(AF59="Muy Alta",AH59="Menor"),AND(AF59="Muy Alta",AH59="Moderado"),AND(AF59="Muy Alta",AH59="Mayor")),"Alto",IF(OR(AND(AF59="Muy Baja",AH59="Catastrófico"),AND(AF59="Baja",AH59="Catastrófico"),AND(AF59="Media",AH59="Catastrófico"),AND(AF59="Alta",AH59="Catastrófico"),AND(AF59="Muy Alta",AH59="Catastrófico")),"Extremo","")))),"")</f>
        <v/>
      </c>
      <c r="AK59" s="195"/>
      <c r="AL59" s="186"/>
      <c r="AM59" s="196"/>
      <c r="AN59" s="196"/>
      <c r="AO59" s="197"/>
      <c r="AP59" s="341"/>
      <c r="AQ59" s="341"/>
      <c r="AR59" s="341"/>
    </row>
    <row r="60" spans="1:44" ht="37.5" hidden="1" customHeight="1" x14ac:dyDescent="0.2">
      <c r="A60" s="363"/>
      <c r="B60" s="345"/>
      <c r="C60" s="345"/>
      <c r="D60" s="345"/>
      <c r="E60" s="345"/>
      <c r="F60" s="345"/>
      <c r="G60" s="339"/>
      <c r="H60" s="339"/>
      <c r="I60" s="339"/>
      <c r="J60" s="339"/>
      <c r="K60" s="339"/>
      <c r="L60" s="339"/>
      <c r="M60" s="339"/>
      <c r="N60" s="341"/>
      <c r="O60" s="335"/>
      <c r="P60" s="334"/>
      <c r="Q60" s="324"/>
      <c r="R60" s="334">
        <f>IF(NOT(ISERROR(MATCH(Q60,_xlfn.ANCHORARRAY(E71),0))),Q73&amp;"Por favor no seleccionar los criterios de impacto",Q60)</f>
        <v>0</v>
      </c>
      <c r="S60" s="335"/>
      <c r="T60" s="334"/>
      <c r="U60" s="333"/>
      <c r="V60" s="214">
        <v>6</v>
      </c>
      <c r="W60" s="187"/>
      <c r="X60" s="189" t="str">
        <f t="shared" si="68"/>
        <v/>
      </c>
      <c r="Y60" s="190"/>
      <c r="Z60" s="190"/>
      <c r="AA60" s="191" t="str">
        <f t="shared" si="63"/>
        <v/>
      </c>
      <c r="AB60" s="190"/>
      <c r="AC60" s="190"/>
      <c r="AD60" s="190"/>
      <c r="AE60" s="192" t="str">
        <f t="shared" si="69"/>
        <v/>
      </c>
      <c r="AF60" s="193" t="str">
        <f t="shared" si="1"/>
        <v/>
      </c>
      <c r="AG60" s="191" t="str">
        <f t="shared" si="64"/>
        <v/>
      </c>
      <c r="AH60" s="193" t="str">
        <f t="shared" si="3"/>
        <v/>
      </c>
      <c r="AI60" s="191" t="str">
        <f t="shared" si="13"/>
        <v/>
      </c>
      <c r="AJ60" s="194" t="str">
        <f t="shared" si="70"/>
        <v/>
      </c>
      <c r="AK60" s="195"/>
      <c r="AL60" s="186"/>
      <c r="AM60" s="196"/>
      <c r="AN60" s="196"/>
      <c r="AO60" s="197"/>
      <c r="AP60" s="341"/>
      <c r="AQ60" s="341"/>
      <c r="AR60" s="341"/>
    </row>
    <row r="61" spans="1:44" ht="37.5" hidden="1" customHeight="1" x14ac:dyDescent="0.2">
      <c r="A61" s="363">
        <v>9</v>
      </c>
      <c r="B61" s="345"/>
      <c r="C61" s="345"/>
      <c r="D61" s="345"/>
      <c r="E61" s="345"/>
      <c r="F61" s="345"/>
      <c r="G61" s="337"/>
      <c r="H61" s="337"/>
      <c r="I61" s="221"/>
      <c r="J61" s="221"/>
      <c r="K61" s="221"/>
      <c r="L61" s="337"/>
      <c r="M61" s="337"/>
      <c r="N61" s="341"/>
      <c r="O61" s="335" t="str">
        <f>IF(N61&lt;=0,"",IF(N61&lt;=2,"Muy Baja",IF(N61&lt;=24,"Baja",IF(N61&lt;=500,"Media",IF(N61&lt;=5000,"Alta","Muy Alta")))))</f>
        <v/>
      </c>
      <c r="P61" s="334" t="str">
        <f>IF(O61="","",IF(O61="Muy Baja",0.2,IF(O61="Baja",0.4,IF(O61="Media",0.6,IF(O61="Alta",0.8,IF(O61="Muy Alta",1,))))))</f>
        <v/>
      </c>
      <c r="Q61" s="324"/>
      <c r="R61" s="334">
        <f>IF(NOT(ISERROR(MATCH(Q61,'Tabla Impacto'!$B$222:$B$224,0))),'Tabla Impacto'!$F$224&amp;"Por favor no seleccionar los criterios de impacto(Afectación Económica o presupuestal y Pérdida Reputacional)",Q61)</f>
        <v>0</v>
      </c>
      <c r="S61" s="335" t="str">
        <f>IF(OR(R61='Tabla Impacto'!$C$12,R61='Tabla Impacto'!$D$12),"Leve",IF(OR(R61='Tabla Impacto'!$C$13,R61='Tabla Impacto'!$D$13),"Menor",IF(OR(R61='Tabla Impacto'!$C$14,R61='Tabla Impacto'!$D$14),"Moderado",IF(OR(R61='Tabla Impacto'!$C$15,R61='Tabla Impacto'!$D$15),"Mayor",IF(OR(R61='Tabla Impacto'!$C$16,R61='Tabla Impacto'!$D$16),"Catastrófico","")))))</f>
        <v/>
      </c>
      <c r="T61" s="334" t="str">
        <f>IF(S61="","",IF(S61="Leve",0.2,IF(S61="Menor",0.4,IF(S61="Moderado",0.6,IF(S61="Mayor",0.8,IF(S61="Catastrófico",1,))))))</f>
        <v/>
      </c>
      <c r="U61" s="333" t="str">
        <f>IF(OR(AND(O61="Muy Baja",S61="Leve"),AND(O61="Muy Baja",S61="Menor"),AND(O61="Baja",S61="Leve")),"Bajo",IF(OR(AND(O61="Muy baja",S61="Moderado"),AND(O61="Baja",S61="Menor"),AND(O61="Baja",S61="Moderado"),AND(O61="Media",S61="Leve"),AND(O61="Media",S61="Menor"),AND(O61="Media",S61="Moderado"),AND(O61="Alta",S61="Leve"),AND(O61="Alta",S61="Menor")),"Moderado",IF(OR(AND(O61="Muy Baja",S61="Mayor"),AND(O61="Baja",S61="Mayor"),AND(O61="Media",S61="Mayor"),AND(O61="Alta",S61="Moderado"),AND(O61="Alta",S61="Mayor"),AND(O61="Muy Alta",S61="Leve"),AND(O61="Muy Alta",S61="Menor"),AND(O61="Muy Alta",S61="Moderado"),AND(O61="Muy Alta",S61="Mayor")),"Alto",IF(OR(AND(O61="Muy Baja",S61="Catastrófico"),AND(O61="Baja",S61="Catastrófico"),AND(O61="Media",S61="Catastrófico"),AND(O61="Alta",S61="Catastrófico"),AND(O61="Muy Alta",S61="Catastrófico")),"Extremo",""))))</f>
        <v/>
      </c>
      <c r="V61" s="214">
        <v>1</v>
      </c>
      <c r="W61" s="187"/>
      <c r="X61" s="189" t="str">
        <f>IF(OR(Y61="Preventivo",Y61="Detectivo"),"Probabilidad",IF(Y61="Correctivo","Impacto",""))</f>
        <v/>
      </c>
      <c r="Y61" s="190"/>
      <c r="Z61" s="190"/>
      <c r="AA61" s="191" t="str">
        <f>IF(AND(Y61="Preventivo",Z61="Automático"),"50%",IF(AND(Y61="Preventivo",Z61="Manual"),"40%",IF(AND(Y61="Detectivo",Z61="Automático"),"40%",IF(AND(Y61="Detectivo",Z61="Manual"),"30%",IF(AND(Y61="Correctivo",Z61="Automático"),"35%",IF(AND(Y61="Correctivo",Z61="Manual"),"25%",""))))))</f>
        <v/>
      </c>
      <c r="AB61" s="190"/>
      <c r="AC61" s="190"/>
      <c r="AD61" s="190"/>
      <c r="AE61" s="192" t="str">
        <f>IFERROR(IF(X61="Probabilidad",(P61-(+P61*AA61)),IF(X61="Impacto",P61,"")),"")</f>
        <v/>
      </c>
      <c r="AF61" s="193" t="str">
        <f>IFERROR(IF(AE61="","",IF(AE61&lt;=0.2,"Muy Baja",IF(AE61&lt;=0.4,"Baja",IF(AE61&lt;=0.6,"Media",IF(AE61&lt;=0.8,"Alta","Muy Alta"))))),"")</f>
        <v/>
      </c>
      <c r="AG61" s="191" t="str">
        <f>+AE61</f>
        <v/>
      </c>
      <c r="AH61" s="193" t="str">
        <f>IFERROR(IF(AI61="","",IF(AI61&lt;=0.2,"Leve",IF(AI61&lt;=0.4,"Menor",IF(AI61&lt;=0.6,"Moderado",IF(AI61&lt;=0.8,"Mayor","Catastrófico"))))),"")</f>
        <v/>
      </c>
      <c r="AI61" s="191" t="str">
        <f t="shared" ref="AI61" si="71">IFERROR(IF(X61="Impacto",(T61-(+T61*AA61)),IF(X61="Probabilidad",T61,"")),"")</f>
        <v/>
      </c>
      <c r="AJ61" s="194" t="str">
        <f>IFERROR(IF(OR(AND(AF61="Muy Baja",AH61="Leve"),AND(AF61="Muy Baja",AH61="Menor"),AND(AF61="Baja",AH61="Leve")),"Bajo",IF(OR(AND(AF61="Muy baja",AH61="Moderado"),AND(AF61="Baja",AH61="Menor"),AND(AF61="Baja",AH61="Moderado"),AND(AF61="Media",AH61="Leve"),AND(AF61="Media",AH61="Menor"),AND(AF61="Media",AH61="Moderado"),AND(AF61="Alta",AH61="Leve"),AND(AF61="Alta",AH61="Menor")),"Moderado",IF(OR(AND(AF61="Muy Baja",AH61="Mayor"),AND(AF61="Baja",AH61="Mayor"),AND(AF61="Media",AH61="Mayor"),AND(AF61="Alta",AH61="Moderado"),AND(AF61="Alta",AH61="Mayor"),AND(AF61="Muy Alta",AH61="Leve"),AND(AF61="Muy Alta",AH61="Menor"),AND(AF61="Muy Alta",AH61="Moderado"),AND(AF61="Muy Alta",AH61="Mayor")),"Alto",IF(OR(AND(AF61="Muy Baja",AH61="Catastrófico"),AND(AF61="Baja",AH61="Catastrófico"),AND(AF61="Media",AH61="Catastrófico"),AND(AF61="Alta",AH61="Catastrófico"),AND(AF61="Muy Alta",AH61="Catastrófico")),"Extremo","")))),"")</f>
        <v/>
      </c>
      <c r="AK61" s="195"/>
      <c r="AL61" s="186"/>
      <c r="AM61" s="196"/>
      <c r="AN61" s="196"/>
      <c r="AO61" s="197"/>
      <c r="AP61" s="341"/>
      <c r="AQ61" s="341"/>
      <c r="AR61" s="341"/>
    </row>
    <row r="62" spans="1:44" ht="37.5" hidden="1" customHeight="1" x14ac:dyDescent="0.2">
      <c r="A62" s="363"/>
      <c r="B62" s="345"/>
      <c r="C62" s="345"/>
      <c r="D62" s="345"/>
      <c r="E62" s="345"/>
      <c r="F62" s="345"/>
      <c r="G62" s="338"/>
      <c r="H62" s="338"/>
      <c r="I62" s="222"/>
      <c r="J62" s="222"/>
      <c r="K62" s="222"/>
      <c r="L62" s="338"/>
      <c r="M62" s="338"/>
      <c r="N62" s="341"/>
      <c r="O62" s="335"/>
      <c r="P62" s="334"/>
      <c r="Q62" s="324"/>
      <c r="R62" s="334">
        <f>IF(NOT(ISERROR(MATCH(Q62,_xlfn.ANCHORARRAY(F73),0))),Q75&amp;"Por favor no seleccionar los criterios de impacto",Q62)</f>
        <v>0</v>
      </c>
      <c r="S62" s="335"/>
      <c r="T62" s="334"/>
      <c r="U62" s="333"/>
      <c r="V62" s="214">
        <v>2</v>
      </c>
      <c r="W62" s="187"/>
      <c r="X62" s="189" t="str">
        <f>IF(OR(Y62="Preventivo",Y62="Detectivo"),"Probabilidad",IF(Y62="Correctivo","Impacto",""))</f>
        <v/>
      </c>
      <c r="Y62" s="190"/>
      <c r="Z62" s="190"/>
      <c r="AA62" s="191" t="str">
        <f t="shared" ref="AA62:AA66" si="72">IF(AND(Y62="Preventivo",Z62="Automático"),"50%",IF(AND(Y62="Preventivo",Z62="Manual"),"40%",IF(AND(Y62="Detectivo",Z62="Automático"),"40%",IF(AND(Y62="Detectivo",Z62="Manual"),"30%",IF(AND(Y62="Correctivo",Z62="Automático"),"35%",IF(AND(Y62="Correctivo",Z62="Manual"),"25%",""))))))</f>
        <v/>
      </c>
      <c r="AB62" s="190"/>
      <c r="AC62" s="190"/>
      <c r="AD62" s="190"/>
      <c r="AE62" s="192" t="str">
        <f>IFERROR(IF(AND(X61="Probabilidad",X62="Probabilidad"),(AG61-(+AG61*AA62)),IF(X62="Probabilidad",(P61-(+P61*AA62)),IF(X62="Impacto",AG61,""))),"")</f>
        <v/>
      </c>
      <c r="AF62" s="193" t="str">
        <f t="shared" si="1"/>
        <v/>
      </c>
      <c r="AG62" s="191" t="str">
        <f t="shared" ref="AG62:AG66" si="73">+AE62</f>
        <v/>
      </c>
      <c r="AH62" s="193" t="str">
        <f t="shared" si="3"/>
        <v/>
      </c>
      <c r="AI62" s="191" t="str">
        <f t="shared" ref="AI62" si="74">IFERROR(IF(AND(X61="Impacto",X62="Impacto"),(AI61-(+AI61*AA62)),IF(X62="Impacto",($T$13-(+$T$13*AA62)),IF(X62="Probabilidad",AI61,""))),"")</f>
        <v/>
      </c>
      <c r="AJ62" s="194" t="str">
        <f t="shared" ref="AJ62:AJ63" si="75">IFERROR(IF(OR(AND(AF62="Muy Baja",AH62="Leve"),AND(AF62="Muy Baja",AH62="Menor"),AND(AF62="Baja",AH62="Leve")),"Bajo",IF(OR(AND(AF62="Muy baja",AH62="Moderado"),AND(AF62="Baja",AH62="Menor"),AND(AF62="Baja",AH62="Moderado"),AND(AF62="Media",AH62="Leve"),AND(AF62="Media",AH62="Menor"),AND(AF62="Media",AH62="Moderado"),AND(AF62="Alta",AH62="Leve"),AND(AF62="Alta",AH62="Menor")),"Moderado",IF(OR(AND(AF62="Muy Baja",AH62="Mayor"),AND(AF62="Baja",AH62="Mayor"),AND(AF62="Media",AH62="Mayor"),AND(AF62="Alta",AH62="Moderado"),AND(AF62="Alta",AH62="Mayor"),AND(AF62="Muy Alta",AH62="Leve"),AND(AF62="Muy Alta",AH62="Menor"),AND(AF62="Muy Alta",AH62="Moderado"),AND(AF62="Muy Alta",AH62="Mayor")),"Alto",IF(OR(AND(AF62="Muy Baja",AH62="Catastrófico"),AND(AF62="Baja",AH62="Catastrófico"),AND(AF62="Media",AH62="Catastrófico"),AND(AF62="Alta",AH62="Catastrófico"),AND(AF62="Muy Alta",AH62="Catastrófico")),"Extremo","")))),"")</f>
        <v/>
      </c>
      <c r="AK62" s="195"/>
      <c r="AL62" s="186"/>
      <c r="AM62" s="196"/>
      <c r="AN62" s="196"/>
      <c r="AO62" s="197"/>
      <c r="AP62" s="341"/>
      <c r="AQ62" s="341"/>
      <c r="AR62" s="341"/>
    </row>
    <row r="63" spans="1:44" ht="37.5" hidden="1" customHeight="1" x14ac:dyDescent="0.2">
      <c r="A63" s="363"/>
      <c r="B63" s="345"/>
      <c r="C63" s="345"/>
      <c r="D63" s="345"/>
      <c r="E63" s="345"/>
      <c r="F63" s="345"/>
      <c r="G63" s="338"/>
      <c r="H63" s="338"/>
      <c r="I63" s="222"/>
      <c r="J63" s="222"/>
      <c r="K63" s="222"/>
      <c r="L63" s="338"/>
      <c r="M63" s="338"/>
      <c r="N63" s="341"/>
      <c r="O63" s="335"/>
      <c r="P63" s="334"/>
      <c r="Q63" s="324"/>
      <c r="R63" s="334">
        <f>IF(NOT(ISERROR(MATCH(Q63,_xlfn.ANCHORARRAY(F74),0))),Q76&amp;"Por favor no seleccionar los criterios de impacto",Q63)</f>
        <v>0</v>
      </c>
      <c r="S63" s="335"/>
      <c r="T63" s="334"/>
      <c r="U63" s="333"/>
      <c r="V63" s="214">
        <v>3</v>
      </c>
      <c r="W63" s="187"/>
      <c r="X63" s="189" t="str">
        <f>IF(OR(Y63="Preventivo",Y63="Detectivo"),"Probabilidad",IF(Y63="Correctivo","Impacto",""))</f>
        <v/>
      </c>
      <c r="Y63" s="190"/>
      <c r="Z63" s="190"/>
      <c r="AA63" s="191" t="str">
        <f t="shared" si="72"/>
        <v/>
      </c>
      <c r="AB63" s="190"/>
      <c r="AC63" s="190"/>
      <c r="AD63" s="190"/>
      <c r="AE63" s="192" t="str">
        <f>IFERROR(IF(AND(X62="Probabilidad",X63="Probabilidad"),(AG62-(+AG62*AA63)),IF(AND(X62="Impacto",X63="Probabilidad"),(AG61-(+AG61*AA63)),IF(X63="Impacto",AG62,""))),"")</f>
        <v/>
      </c>
      <c r="AF63" s="193" t="str">
        <f t="shared" si="1"/>
        <v/>
      </c>
      <c r="AG63" s="191" t="str">
        <f t="shared" si="73"/>
        <v/>
      </c>
      <c r="AH63" s="193" t="str">
        <f t="shared" si="3"/>
        <v/>
      </c>
      <c r="AI63" s="191" t="str">
        <f t="shared" ref="AI63" si="76">IFERROR(IF(AND(X62="Impacto",X63="Impacto"),(AI62-(+AI62*AA63)),IF(AND(X62="Probabilidad",X63="Impacto"),(AI61-(+AI61*AA63)),IF(X63="Probabilidad",AI62,""))),"")</f>
        <v/>
      </c>
      <c r="AJ63" s="194" t="str">
        <f t="shared" si="75"/>
        <v/>
      </c>
      <c r="AK63" s="195"/>
      <c r="AL63" s="186"/>
      <c r="AM63" s="196"/>
      <c r="AN63" s="196"/>
      <c r="AO63" s="197"/>
      <c r="AP63" s="341"/>
      <c r="AQ63" s="341"/>
      <c r="AR63" s="341"/>
    </row>
    <row r="64" spans="1:44" ht="37.5" hidden="1" customHeight="1" x14ac:dyDescent="0.2">
      <c r="A64" s="363"/>
      <c r="B64" s="345"/>
      <c r="C64" s="345"/>
      <c r="D64" s="345"/>
      <c r="E64" s="345"/>
      <c r="F64" s="345"/>
      <c r="G64" s="338"/>
      <c r="H64" s="338"/>
      <c r="I64" s="222"/>
      <c r="J64" s="222"/>
      <c r="K64" s="222"/>
      <c r="L64" s="338"/>
      <c r="M64" s="338"/>
      <c r="N64" s="341"/>
      <c r="O64" s="335"/>
      <c r="P64" s="334"/>
      <c r="Q64" s="324"/>
      <c r="R64" s="334">
        <f>IF(NOT(ISERROR(MATCH(Q64,_xlfn.ANCHORARRAY(F75),0))),Q77&amp;"Por favor no seleccionar los criterios de impacto",Q64)</f>
        <v>0</v>
      </c>
      <c r="S64" s="335"/>
      <c r="T64" s="334"/>
      <c r="U64" s="333"/>
      <c r="V64" s="214">
        <v>4</v>
      </c>
      <c r="W64" s="187"/>
      <c r="X64" s="189" t="str">
        <f t="shared" ref="X64:X66" si="77">IF(OR(Y64="Preventivo",Y64="Detectivo"),"Probabilidad",IF(Y64="Correctivo","Impacto",""))</f>
        <v/>
      </c>
      <c r="Y64" s="190"/>
      <c r="Z64" s="190"/>
      <c r="AA64" s="191" t="str">
        <f t="shared" si="72"/>
        <v/>
      </c>
      <c r="AB64" s="190"/>
      <c r="AC64" s="190"/>
      <c r="AD64" s="190"/>
      <c r="AE64" s="192" t="str">
        <f t="shared" ref="AE64:AE66" si="78">IFERROR(IF(AND(X63="Probabilidad",X64="Probabilidad"),(AG63-(+AG63*AA64)),IF(AND(X63="Impacto",X64="Probabilidad"),(AG62-(+AG62*AA64)),IF(X64="Impacto",AG63,""))),"")</f>
        <v/>
      </c>
      <c r="AF64" s="193" t="str">
        <f t="shared" si="1"/>
        <v/>
      </c>
      <c r="AG64" s="191" t="str">
        <f t="shared" si="73"/>
        <v/>
      </c>
      <c r="AH64" s="193" t="str">
        <f t="shared" si="3"/>
        <v/>
      </c>
      <c r="AI64" s="191" t="str">
        <f t="shared" si="13"/>
        <v/>
      </c>
      <c r="AJ64" s="194" t="str">
        <f>IFERROR(IF(OR(AND(AF64="Muy Baja",AH64="Leve"),AND(AF64="Muy Baja",AH64="Menor"),AND(AF64="Baja",AH64="Leve")),"Bajo",IF(OR(AND(AF64="Muy baja",AH64="Moderado"),AND(AF64="Baja",AH64="Menor"),AND(AF64="Baja",AH64="Moderado"),AND(AF64="Media",AH64="Leve"),AND(AF64="Media",AH64="Menor"),AND(AF64="Media",AH64="Moderado"),AND(AF64="Alta",AH64="Leve"),AND(AF64="Alta",AH64="Menor")),"Moderado",IF(OR(AND(AF64="Muy Baja",AH64="Mayor"),AND(AF64="Baja",AH64="Mayor"),AND(AF64="Media",AH64="Mayor"),AND(AF64="Alta",AH64="Moderado"),AND(AF64="Alta",AH64="Mayor"),AND(AF64="Muy Alta",AH64="Leve"),AND(AF64="Muy Alta",AH64="Menor"),AND(AF64="Muy Alta",AH64="Moderado"),AND(AF64="Muy Alta",AH64="Mayor")),"Alto",IF(OR(AND(AF64="Muy Baja",AH64="Catastrófico"),AND(AF64="Baja",AH64="Catastrófico"),AND(AF64="Media",AH64="Catastrófico"),AND(AF64="Alta",AH64="Catastrófico"),AND(AF64="Muy Alta",AH64="Catastrófico")),"Extremo","")))),"")</f>
        <v/>
      </c>
      <c r="AK64" s="195"/>
      <c r="AL64" s="186"/>
      <c r="AM64" s="196"/>
      <c r="AN64" s="196"/>
      <c r="AO64" s="197"/>
      <c r="AP64" s="341"/>
      <c r="AQ64" s="341"/>
      <c r="AR64" s="341"/>
    </row>
    <row r="65" spans="1:44" ht="37.5" hidden="1" customHeight="1" x14ac:dyDescent="0.2">
      <c r="A65" s="363"/>
      <c r="B65" s="345"/>
      <c r="C65" s="345"/>
      <c r="D65" s="345"/>
      <c r="E65" s="345"/>
      <c r="F65" s="345"/>
      <c r="G65" s="338"/>
      <c r="H65" s="338"/>
      <c r="I65" s="222"/>
      <c r="J65" s="222"/>
      <c r="K65" s="222"/>
      <c r="L65" s="338"/>
      <c r="M65" s="338"/>
      <c r="N65" s="341"/>
      <c r="O65" s="335"/>
      <c r="P65" s="334"/>
      <c r="Q65" s="324"/>
      <c r="R65" s="334">
        <f>IF(NOT(ISERROR(MATCH(Q65,_xlfn.ANCHORARRAY(F76),0))),Q78&amp;"Por favor no seleccionar los criterios de impacto",Q65)</f>
        <v>0</v>
      </c>
      <c r="S65" s="335"/>
      <c r="T65" s="334"/>
      <c r="U65" s="333"/>
      <c r="V65" s="214">
        <v>5</v>
      </c>
      <c r="W65" s="187"/>
      <c r="X65" s="189" t="str">
        <f t="shared" si="77"/>
        <v/>
      </c>
      <c r="Y65" s="190"/>
      <c r="Z65" s="190"/>
      <c r="AA65" s="191" t="str">
        <f t="shared" si="72"/>
        <v/>
      </c>
      <c r="AB65" s="190"/>
      <c r="AC65" s="190"/>
      <c r="AD65" s="190"/>
      <c r="AE65" s="192" t="str">
        <f t="shared" si="78"/>
        <v/>
      </c>
      <c r="AF65" s="193" t="str">
        <f t="shared" si="1"/>
        <v/>
      </c>
      <c r="AG65" s="191" t="str">
        <f t="shared" si="73"/>
        <v/>
      </c>
      <c r="AH65" s="193" t="str">
        <f t="shared" si="3"/>
        <v/>
      </c>
      <c r="AI65" s="191" t="str">
        <f t="shared" si="13"/>
        <v/>
      </c>
      <c r="AJ65" s="194" t="str">
        <f t="shared" ref="AJ65:AJ66" si="79">IFERROR(IF(OR(AND(AF65="Muy Baja",AH65="Leve"),AND(AF65="Muy Baja",AH65="Menor"),AND(AF65="Baja",AH65="Leve")),"Bajo",IF(OR(AND(AF65="Muy baja",AH65="Moderado"),AND(AF65="Baja",AH65="Menor"),AND(AF65="Baja",AH65="Moderado"),AND(AF65="Media",AH65="Leve"),AND(AF65="Media",AH65="Menor"),AND(AF65="Media",AH65="Moderado"),AND(AF65="Alta",AH65="Leve"),AND(AF65="Alta",AH65="Menor")),"Moderado",IF(OR(AND(AF65="Muy Baja",AH65="Mayor"),AND(AF65="Baja",AH65="Mayor"),AND(AF65="Media",AH65="Mayor"),AND(AF65="Alta",AH65="Moderado"),AND(AF65="Alta",AH65="Mayor"),AND(AF65="Muy Alta",AH65="Leve"),AND(AF65="Muy Alta",AH65="Menor"),AND(AF65="Muy Alta",AH65="Moderado"),AND(AF65="Muy Alta",AH65="Mayor")),"Alto",IF(OR(AND(AF65="Muy Baja",AH65="Catastrófico"),AND(AF65="Baja",AH65="Catastrófico"),AND(AF65="Media",AH65="Catastrófico"),AND(AF65="Alta",AH65="Catastrófico"),AND(AF65="Muy Alta",AH65="Catastrófico")),"Extremo","")))),"")</f>
        <v/>
      </c>
      <c r="AK65" s="195"/>
      <c r="AL65" s="186"/>
      <c r="AM65" s="196"/>
      <c r="AN65" s="196"/>
      <c r="AO65" s="197"/>
      <c r="AP65" s="341"/>
      <c r="AQ65" s="341"/>
      <c r="AR65" s="341"/>
    </row>
    <row r="66" spans="1:44" ht="37.5" hidden="1" customHeight="1" x14ac:dyDescent="0.2">
      <c r="A66" s="363"/>
      <c r="B66" s="345"/>
      <c r="C66" s="345"/>
      <c r="D66" s="345"/>
      <c r="E66" s="345"/>
      <c r="F66" s="345"/>
      <c r="G66" s="339"/>
      <c r="H66" s="339"/>
      <c r="I66" s="223"/>
      <c r="J66" s="223"/>
      <c r="K66" s="223"/>
      <c r="L66" s="339"/>
      <c r="M66" s="339"/>
      <c r="N66" s="341"/>
      <c r="O66" s="335"/>
      <c r="P66" s="334"/>
      <c r="Q66" s="324"/>
      <c r="R66" s="334">
        <f>IF(NOT(ISERROR(MATCH(Q66,_xlfn.ANCHORARRAY(F77),0))),Q79&amp;"Por favor no seleccionar los criterios de impacto",Q66)</f>
        <v>0</v>
      </c>
      <c r="S66" s="335"/>
      <c r="T66" s="334"/>
      <c r="U66" s="333"/>
      <c r="V66" s="214">
        <v>6</v>
      </c>
      <c r="W66" s="187"/>
      <c r="X66" s="189" t="str">
        <f t="shared" si="77"/>
        <v/>
      </c>
      <c r="Y66" s="190"/>
      <c r="Z66" s="190"/>
      <c r="AA66" s="191" t="str">
        <f t="shared" si="72"/>
        <v/>
      </c>
      <c r="AB66" s="190"/>
      <c r="AC66" s="190"/>
      <c r="AD66" s="190"/>
      <c r="AE66" s="192" t="str">
        <f t="shared" si="78"/>
        <v/>
      </c>
      <c r="AF66" s="193" t="str">
        <f t="shared" si="1"/>
        <v/>
      </c>
      <c r="AG66" s="191" t="str">
        <f t="shared" si="73"/>
        <v/>
      </c>
      <c r="AH66" s="193" t="str">
        <f t="shared" si="3"/>
        <v/>
      </c>
      <c r="AI66" s="191" t="str">
        <f t="shared" si="13"/>
        <v/>
      </c>
      <c r="AJ66" s="194" t="str">
        <f t="shared" si="79"/>
        <v/>
      </c>
      <c r="AK66" s="195"/>
      <c r="AL66" s="186"/>
      <c r="AM66" s="196"/>
      <c r="AN66" s="196"/>
      <c r="AO66" s="197"/>
      <c r="AP66" s="341"/>
      <c r="AQ66" s="341"/>
      <c r="AR66" s="341"/>
    </row>
    <row r="67" spans="1:44" ht="37.5" hidden="1" customHeight="1" x14ac:dyDescent="0.2">
      <c r="A67" s="363">
        <v>10</v>
      </c>
      <c r="B67" s="345"/>
      <c r="C67" s="345"/>
      <c r="D67" s="345"/>
      <c r="E67" s="345"/>
      <c r="F67" s="345"/>
      <c r="G67" s="337"/>
      <c r="H67" s="337"/>
      <c r="I67" s="221"/>
      <c r="J67" s="221"/>
      <c r="K67" s="221"/>
      <c r="L67" s="337"/>
      <c r="M67" s="337"/>
      <c r="N67" s="341"/>
      <c r="O67" s="335" t="str">
        <f>IF(N67&lt;=0,"",IF(N67&lt;=2,"Muy Baja",IF(N67&lt;=24,"Baja",IF(N67&lt;=500,"Media",IF(N67&lt;=5000,"Alta","Muy Alta")))))</f>
        <v/>
      </c>
      <c r="P67" s="334" t="str">
        <f>IF(O67="","",IF(O67="Muy Baja",0.2,IF(O67="Baja",0.4,IF(O67="Media",0.6,IF(O67="Alta",0.8,IF(O67="Muy Alta",1,))))))</f>
        <v/>
      </c>
      <c r="Q67" s="324"/>
      <c r="R67" s="334">
        <f>IF(NOT(ISERROR(MATCH(Q67,'Tabla Impacto'!$B$222:$B$224,0))),'Tabla Impacto'!$F$224&amp;"Por favor no seleccionar los criterios de impacto(Afectación Económica o presupuestal y Pérdida Reputacional)",Q67)</f>
        <v>0</v>
      </c>
      <c r="S67" s="335" t="str">
        <f>IF(OR(R67='Tabla Impacto'!$C$12,R67='Tabla Impacto'!$D$12),"Leve",IF(OR(R67='Tabla Impacto'!$C$13,R67='Tabla Impacto'!$D$13),"Menor",IF(OR(R67='Tabla Impacto'!$C$14,R67='Tabla Impacto'!$D$14),"Moderado",IF(OR(R67='Tabla Impacto'!$C$15,R67='Tabla Impacto'!$D$15),"Mayor",IF(OR(R67='Tabla Impacto'!$C$16,R67='Tabla Impacto'!$D$16),"Catastrófico","")))))</f>
        <v/>
      </c>
      <c r="T67" s="334" t="str">
        <f>IF(S67="","",IF(S67="Leve",0.2,IF(S67="Menor",0.4,IF(S67="Moderado",0.6,IF(S67="Mayor",0.8,IF(S67="Catastrófico",1,))))))</f>
        <v/>
      </c>
      <c r="U67" s="333" t="str">
        <f>IF(OR(AND(O67="Muy Baja",S67="Leve"),AND(O67="Muy Baja",S67="Menor"),AND(O67="Baja",S67="Leve")),"Bajo",IF(OR(AND(O67="Muy baja",S67="Moderado"),AND(O67="Baja",S67="Menor"),AND(O67="Baja",S67="Moderado"),AND(O67="Media",S67="Leve"),AND(O67="Media",S67="Menor"),AND(O67="Media",S67="Moderado"),AND(O67="Alta",S67="Leve"),AND(O67="Alta",S67="Menor")),"Moderado",IF(OR(AND(O67="Muy Baja",S67="Mayor"),AND(O67="Baja",S67="Mayor"),AND(O67="Media",S67="Mayor"),AND(O67="Alta",S67="Moderado"),AND(O67="Alta",S67="Mayor"),AND(O67="Muy Alta",S67="Leve"),AND(O67="Muy Alta",S67="Menor"),AND(O67="Muy Alta",S67="Moderado"),AND(O67="Muy Alta",S67="Mayor")),"Alto",IF(OR(AND(O67="Muy Baja",S67="Catastrófico"),AND(O67="Baja",S67="Catastrófico"),AND(O67="Media",S67="Catastrófico"),AND(O67="Alta",S67="Catastrófico"),AND(O67="Muy Alta",S67="Catastrófico")),"Extremo",""))))</f>
        <v/>
      </c>
      <c r="V67" s="214">
        <v>1</v>
      </c>
      <c r="W67" s="187"/>
      <c r="X67" s="189" t="str">
        <f>IF(OR(Y67="Preventivo",Y67="Detectivo"),"Probabilidad",IF(Y67="Correctivo","Impacto",""))</f>
        <v/>
      </c>
      <c r="Y67" s="190"/>
      <c r="Z67" s="190"/>
      <c r="AA67" s="191" t="str">
        <f>IF(AND(Y67="Preventivo",Z67="Automático"),"50%",IF(AND(Y67="Preventivo",Z67="Manual"),"40%",IF(AND(Y67="Detectivo",Z67="Automático"),"40%",IF(AND(Y67="Detectivo",Z67="Manual"),"30%",IF(AND(Y67="Correctivo",Z67="Automático"),"35%",IF(AND(Y67="Correctivo",Z67="Manual"),"25%",""))))))</f>
        <v/>
      </c>
      <c r="AB67" s="190"/>
      <c r="AC67" s="190"/>
      <c r="AD67" s="190"/>
      <c r="AE67" s="192" t="str">
        <f>IFERROR(IF(X67="Probabilidad",(P67-(+P67*AA67)),IF(X67="Impacto",P67,"")),"")</f>
        <v/>
      </c>
      <c r="AF67" s="193" t="str">
        <f>IFERROR(IF(AE67="","",IF(AE67&lt;=0.2,"Muy Baja",IF(AE67&lt;=0.4,"Baja",IF(AE67&lt;=0.6,"Media",IF(AE67&lt;=0.8,"Alta","Muy Alta"))))),"")</f>
        <v/>
      </c>
      <c r="AG67" s="191" t="str">
        <f>+AE67</f>
        <v/>
      </c>
      <c r="AH67" s="193" t="str">
        <f>IFERROR(IF(AI67="","",IF(AI67&lt;=0.2,"Leve",IF(AI67&lt;=0.4,"Menor",IF(AI67&lt;=0.6,"Moderado",IF(AI67&lt;=0.8,"Mayor","Catastrófico"))))),"")</f>
        <v/>
      </c>
      <c r="AI67" s="191" t="str">
        <f t="shared" ref="AI67" si="80">IFERROR(IF(X67="Impacto",(T67-(+T67*AA67)),IF(X67="Probabilidad",T67,"")),"")</f>
        <v/>
      </c>
      <c r="AJ67" s="194" t="str">
        <f>IFERROR(IF(OR(AND(AF67="Muy Baja",AH67="Leve"),AND(AF67="Muy Baja",AH67="Menor"),AND(AF67="Baja",AH67="Leve")),"Bajo",IF(OR(AND(AF67="Muy baja",AH67="Moderado"),AND(AF67="Baja",AH67="Menor"),AND(AF67="Baja",AH67="Moderado"),AND(AF67="Media",AH67="Leve"),AND(AF67="Media",AH67="Menor"),AND(AF67="Media",AH67="Moderado"),AND(AF67="Alta",AH67="Leve"),AND(AF67="Alta",AH67="Menor")),"Moderado",IF(OR(AND(AF67="Muy Baja",AH67="Mayor"),AND(AF67="Baja",AH67="Mayor"),AND(AF67="Media",AH67="Mayor"),AND(AF67="Alta",AH67="Moderado"),AND(AF67="Alta",AH67="Mayor"),AND(AF67="Muy Alta",AH67="Leve"),AND(AF67="Muy Alta",AH67="Menor"),AND(AF67="Muy Alta",AH67="Moderado"),AND(AF67="Muy Alta",AH67="Mayor")),"Alto",IF(OR(AND(AF67="Muy Baja",AH67="Catastrófico"),AND(AF67="Baja",AH67="Catastrófico"),AND(AF67="Media",AH67="Catastrófico"),AND(AF67="Alta",AH67="Catastrófico"),AND(AF67="Muy Alta",AH67="Catastrófico")),"Extremo","")))),"")</f>
        <v/>
      </c>
      <c r="AK67" s="195"/>
      <c r="AL67" s="186"/>
      <c r="AM67" s="196"/>
      <c r="AN67" s="196"/>
      <c r="AO67" s="197"/>
      <c r="AP67" s="341"/>
      <c r="AQ67" s="341"/>
      <c r="AR67" s="341"/>
    </row>
    <row r="68" spans="1:44" ht="37.5" hidden="1" customHeight="1" x14ac:dyDescent="0.2">
      <c r="A68" s="363"/>
      <c r="B68" s="345"/>
      <c r="C68" s="345"/>
      <c r="D68" s="345"/>
      <c r="E68" s="345"/>
      <c r="F68" s="345"/>
      <c r="G68" s="338"/>
      <c r="H68" s="338"/>
      <c r="I68" s="222"/>
      <c r="J68" s="222"/>
      <c r="K68" s="222"/>
      <c r="L68" s="338"/>
      <c r="M68" s="338"/>
      <c r="N68" s="341"/>
      <c r="O68" s="335"/>
      <c r="P68" s="334"/>
      <c r="Q68" s="324"/>
      <c r="R68" s="334">
        <f>IF(NOT(ISERROR(MATCH(Q68,_xlfn.ANCHORARRAY(F79),0))),Q81&amp;"Por favor no seleccionar los criterios de impacto",Q68)</f>
        <v>0</v>
      </c>
      <c r="S68" s="335"/>
      <c r="T68" s="334"/>
      <c r="U68" s="333"/>
      <c r="V68" s="214">
        <v>2</v>
      </c>
      <c r="W68" s="187"/>
      <c r="X68" s="189" t="str">
        <f>IF(OR(Y68="Preventivo",Y68="Detectivo"),"Probabilidad",IF(Y68="Correctivo","Impacto",""))</f>
        <v/>
      </c>
      <c r="Y68" s="190"/>
      <c r="Z68" s="190"/>
      <c r="AA68" s="191" t="str">
        <f t="shared" ref="AA68:AA72" si="81">IF(AND(Y68="Preventivo",Z68="Automático"),"50%",IF(AND(Y68="Preventivo",Z68="Manual"),"40%",IF(AND(Y68="Detectivo",Z68="Automático"),"40%",IF(AND(Y68="Detectivo",Z68="Manual"),"30%",IF(AND(Y68="Correctivo",Z68="Automático"),"35%",IF(AND(Y68="Correctivo",Z68="Manual"),"25%",""))))))</f>
        <v/>
      </c>
      <c r="AB68" s="190"/>
      <c r="AC68" s="190"/>
      <c r="AD68" s="190"/>
      <c r="AE68" s="192" t="str">
        <f>IFERROR(IF(AND(X67="Probabilidad",X68="Probabilidad"),(AG67-(+AG67*AA68)),IF(X68="Probabilidad",(P67-(+P67*AA68)),IF(X68="Impacto",AG67,""))),"")</f>
        <v/>
      </c>
      <c r="AF68" s="193" t="str">
        <f t="shared" si="1"/>
        <v/>
      </c>
      <c r="AG68" s="191" t="str">
        <f t="shared" ref="AG68:AG72" si="82">+AE68</f>
        <v/>
      </c>
      <c r="AH68" s="193" t="str">
        <f t="shared" si="3"/>
        <v/>
      </c>
      <c r="AI68" s="191" t="str">
        <f t="shared" ref="AI68" si="83">IFERROR(IF(AND(X67="Impacto",X68="Impacto"),(AI67-(+AI67*AA68)),IF(X68="Impacto",($T$13-(+$T$13*AA68)),IF(X68="Probabilidad",AI67,""))),"")</f>
        <v/>
      </c>
      <c r="AJ68" s="194" t="str">
        <f t="shared" ref="AJ68:AJ69" si="84">IFERROR(IF(OR(AND(AF68="Muy Baja",AH68="Leve"),AND(AF68="Muy Baja",AH68="Menor"),AND(AF68="Baja",AH68="Leve")),"Bajo",IF(OR(AND(AF68="Muy baja",AH68="Moderado"),AND(AF68="Baja",AH68="Menor"),AND(AF68="Baja",AH68="Moderado"),AND(AF68="Media",AH68="Leve"),AND(AF68="Media",AH68="Menor"),AND(AF68="Media",AH68="Moderado"),AND(AF68="Alta",AH68="Leve"),AND(AF68="Alta",AH68="Menor")),"Moderado",IF(OR(AND(AF68="Muy Baja",AH68="Mayor"),AND(AF68="Baja",AH68="Mayor"),AND(AF68="Media",AH68="Mayor"),AND(AF68="Alta",AH68="Moderado"),AND(AF68="Alta",AH68="Mayor"),AND(AF68="Muy Alta",AH68="Leve"),AND(AF68="Muy Alta",AH68="Menor"),AND(AF68="Muy Alta",AH68="Moderado"),AND(AF68="Muy Alta",AH68="Mayor")),"Alto",IF(OR(AND(AF68="Muy Baja",AH68="Catastrófico"),AND(AF68="Baja",AH68="Catastrófico"),AND(AF68="Media",AH68="Catastrófico"),AND(AF68="Alta",AH68="Catastrófico"),AND(AF68="Muy Alta",AH68="Catastrófico")),"Extremo","")))),"")</f>
        <v/>
      </c>
      <c r="AK68" s="195"/>
      <c r="AL68" s="186"/>
      <c r="AM68" s="196"/>
      <c r="AN68" s="196"/>
      <c r="AO68" s="197"/>
      <c r="AP68" s="341"/>
      <c r="AQ68" s="341"/>
      <c r="AR68" s="341"/>
    </row>
    <row r="69" spans="1:44" ht="37.5" hidden="1" customHeight="1" x14ac:dyDescent="0.2">
      <c r="A69" s="363"/>
      <c r="B69" s="345"/>
      <c r="C69" s="345"/>
      <c r="D69" s="345"/>
      <c r="E69" s="345"/>
      <c r="F69" s="345"/>
      <c r="G69" s="338"/>
      <c r="H69" s="338"/>
      <c r="I69" s="222"/>
      <c r="J69" s="222"/>
      <c r="K69" s="222"/>
      <c r="L69" s="338"/>
      <c r="M69" s="338"/>
      <c r="N69" s="341"/>
      <c r="O69" s="335"/>
      <c r="P69" s="334"/>
      <c r="Q69" s="324"/>
      <c r="R69" s="334">
        <f>IF(NOT(ISERROR(MATCH(Q69,_xlfn.ANCHORARRAY(F80),0))),Q82&amp;"Por favor no seleccionar los criterios de impacto",Q69)</f>
        <v>0</v>
      </c>
      <c r="S69" s="335"/>
      <c r="T69" s="334"/>
      <c r="U69" s="333"/>
      <c r="V69" s="214">
        <v>3</v>
      </c>
      <c r="W69" s="187"/>
      <c r="X69" s="189" t="str">
        <f>IF(OR(Y69="Preventivo",Y69="Detectivo"),"Probabilidad",IF(Y69="Correctivo","Impacto",""))</f>
        <v/>
      </c>
      <c r="Y69" s="190"/>
      <c r="Z69" s="190"/>
      <c r="AA69" s="191" t="str">
        <f t="shared" si="81"/>
        <v/>
      </c>
      <c r="AB69" s="190"/>
      <c r="AC69" s="190"/>
      <c r="AD69" s="190"/>
      <c r="AE69" s="192" t="str">
        <f>IFERROR(IF(AND(X68="Probabilidad",X69="Probabilidad"),(AG68-(+AG68*AA69)),IF(AND(X68="Impacto",X69="Probabilidad"),(AG67-(+AG67*AA69)),IF(X69="Impacto",AG68,""))),"")</f>
        <v/>
      </c>
      <c r="AF69" s="193" t="str">
        <f t="shared" si="1"/>
        <v/>
      </c>
      <c r="AG69" s="191" t="str">
        <f t="shared" si="82"/>
        <v/>
      </c>
      <c r="AH69" s="193" t="str">
        <f t="shared" si="3"/>
        <v/>
      </c>
      <c r="AI69" s="191" t="str">
        <f t="shared" ref="AI69" si="85">IFERROR(IF(AND(X68="Impacto",X69="Impacto"),(AI68-(+AI68*AA69)),IF(AND(X68="Probabilidad",X69="Impacto"),(AI67-(+AI67*AA69)),IF(X69="Probabilidad",AI68,""))),"")</f>
        <v/>
      </c>
      <c r="AJ69" s="194" t="str">
        <f t="shared" si="84"/>
        <v/>
      </c>
      <c r="AK69" s="195"/>
      <c r="AL69" s="186"/>
      <c r="AM69" s="196"/>
      <c r="AN69" s="196"/>
      <c r="AO69" s="197"/>
      <c r="AP69" s="341"/>
      <c r="AQ69" s="341"/>
      <c r="AR69" s="341"/>
    </row>
    <row r="70" spans="1:44" ht="37.5" hidden="1" customHeight="1" x14ac:dyDescent="0.2">
      <c r="A70" s="363"/>
      <c r="B70" s="345"/>
      <c r="C70" s="345"/>
      <c r="D70" s="345"/>
      <c r="E70" s="345"/>
      <c r="F70" s="345"/>
      <c r="G70" s="338"/>
      <c r="H70" s="338"/>
      <c r="I70" s="222"/>
      <c r="J70" s="222"/>
      <c r="K70" s="222"/>
      <c r="L70" s="338"/>
      <c r="M70" s="338"/>
      <c r="N70" s="341"/>
      <c r="O70" s="335"/>
      <c r="P70" s="334"/>
      <c r="Q70" s="324"/>
      <c r="R70" s="334">
        <f>IF(NOT(ISERROR(MATCH(Q70,_xlfn.ANCHORARRAY(F81),0))),Q83&amp;"Por favor no seleccionar los criterios de impacto",Q70)</f>
        <v>0</v>
      </c>
      <c r="S70" s="335"/>
      <c r="T70" s="334"/>
      <c r="U70" s="333"/>
      <c r="V70" s="214">
        <v>4</v>
      </c>
      <c r="W70" s="187"/>
      <c r="X70" s="189" t="str">
        <f t="shared" ref="X70:X72" si="86">IF(OR(Y70="Preventivo",Y70="Detectivo"),"Probabilidad",IF(Y70="Correctivo","Impacto",""))</f>
        <v/>
      </c>
      <c r="Y70" s="190"/>
      <c r="Z70" s="190"/>
      <c r="AA70" s="191" t="str">
        <f t="shared" si="81"/>
        <v/>
      </c>
      <c r="AB70" s="190"/>
      <c r="AC70" s="190"/>
      <c r="AD70" s="190"/>
      <c r="AE70" s="192" t="str">
        <f t="shared" ref="AE70:AE72" si="87">IFERROR(IF(AND(X69="Probabilidad",X70="Probabilidad"),(AG69-(+AG69*AA70)),IF(AND(X69="Impacto",X70="Probabilidad"),(AG68-(+AG68*AA70)),IF(X70="Impacto",AG69,""))),"")</f>
        <v/>
      </c>
      <c r="AF70" s="193" t="str">
        <f t="shared" si="1"/>
        <v/>
      </c>
      <c r="AG70" s="191" t="str">
        <f t="shared" si="82"/>
        <v/>
      </c>
      <c r="AH70" s="193" t="str">
        <f t="shared" si="3"/>
        <v/>
      </c>
      <c r="AI70" s="191" t="str">
        <f t="shared" si="13"/>
        <v/>
      </c>
      <c r="AJ70" s="194" t="str">
        <f>IFERROR(IF(OR(AND(AF70="Muy Baja",AH70="Leve"),AND(AF70="Muy Baja",AH70="Menor"),AND(AF70="Baja",AH70="Leve")),"Bajo",IF(OR(AND(AF70="Muy baja",AH70="Moderado"),AND(AF70="Baja",AH70="Menor"),AND(AF70="Baja",AH70="Moderado"),AND(AF70="Media",AH70="Leve"),AND(AF70="Media",AH70="Menor"),AND(AF70="Media",AH70="Moderado"),AND(AF70="Alta",AH70="Leve"),AND(AF70="Alta",AH70="Menor")),"Moderado",IF(OR(AND(AF70="Muy Baja",AH70="Mayor"),AND(AF70="Baja",AH70="Mayor"),AND(AF70="Media",AH70="Mayor"),AND(AF70="Alta",AH70="Moderado"),AND(AF70="Alta",AH70="Mayor"),AND(AF70="Muy Alta",AH70="Leve"),AND(AF70="Muy Alta",AH70="Menor"),AND(AF70="Muy Alta",AH70="Moderado"),AND(AF70="Muy Alta",AH70="Mayor")),"Alto",IF(OR(AND(AF70="Muy Baja",AH70="Catastrófico"),AND(AF70="Baja",AH70="Catastrófico"),AND(AF70="Media",AH70="Catastrófico"),AND(AF70="Alta",AH70="Catastrófico"),AND(AF70="Muy Alta",AH70="Catastrófico")),"Extremo","")))),"")</f>
        <v/>
      </c>
      <c r="AK70" s="195"/>
      <c r="AL70" s="186"/>
      <c r="AM70" s="196"/>
      <c r="AN70" s="196"/>
      <c r="AO70" s="197"/>
      <c r="AP70" s="341"/>
      <c r="AQ70" s="341"/>
      <c r="AR70" s="341"/>
    </row>
    <row r="71" spans="1:44" ht="37.5" hidden="1" customHeight="1" x14ac:dyDescent="0.2">
      <c r="A71" s="363"/>
      <c r="B71" s="345"/>
      <c r="C71" s="345"/>
      <c r="D71" s="345"/>
      <c r="E71" s="345"/>
      <c r="F71" s="345"/>
      <c r="G71" s="338"/>
      <c r="H71" s="338"/>
      <c r="I71" s="222"/>
      <c r="J71" s="222"/>
      <c r="K71" s="222"/>
      <c r="L71" s="338"/>
      <c r="M71" s="338"/>
      <c r="N71" s="341"/>
      <c r="O71" s="335"/>
      <c r="P71" s="334"/>
      <c r="Q71" s="324"/>
      <c r="R71" s="334">
        <f>IF(NOT(ISERROR(MATCH(Q71,_xlfn.ANCHORARRAY(F82),0))),Q84&amp;"Por favor no seleccionar los criterios de impacto",Q71)</f>
        <v>0</v>
      </c>
      <c r="S71" s="335"/>
      <c r="T71" s="334"/>
      <c r="U71" s="333"/>
      <c r="V71" s="214">
        <v>5</v>
      </c>
      <c r="W71" s="187"/>
      <c r="X71" s="189" t="str">
        <f t="shared" si="86"/>
        <v/>
      </c>
      <c r="Y71" s="190"/>
      <c r="Z71" s="190"/>
      <c r="AA71" s="191" t="str">
        <f t="shared" si="81"/>
        <v/>
      </c>
      <c r="AB71" s="190"/>
      <c r="AC71" s="190"/>
      <c r="AD71" s="190"/>
      <c r="AE71" s="192" t="str">
        <f t="shared" si="87"/>
        <v/>
      </c>
      <c r="AF71" s="193" t="str">
        <f t="shared" si="1"/>
        <v/>
      </c>
      <c r="AG71" s="191" t="str">
        <f t="shared" si="82"/>
        <v/>
      </c>
      <c r="AH71" s="193" t="str">
        <f t="shared" si="3"/>
        <v/>
      </c>
      <c r="AI71" s="191" t="str">
        <f t="shared" si="13"/>
        <v/>
      </c>
      <c r="AJ71" s="194" t="str">
        <f t="shared" ref="AJ71:AJ72" si="88">IFERROR(IF(OR(AND(AF71="Muy Baja",AH71="Leve"),AND(AF71="Muy Baja",AH71="Menor"),AND(AF71="Baja",AH71="Leve")),"Bajo",IF(OR(AND(AF71="Muy baja",AH71="Moderado"),AND(AF71="Baja",AH71="Menor"),AND(AF71="Baja",AH71="Moderado"),AND(AF71="Media",AH71="Leve"),AND(AF71="Media",AH71="Menor"),AND(AF71="Media",AH71="Moderado"),AND(AF71="Alta",AH71="Leve"),AND(AF71="Alta",AH71="Menor")),"Moderado",IF(OR(AND(AF71="Muy Baja",AH71="Mayor"),AND(AF71="Baja",AH71="Mayor"),AND(AF71="Media",AH71="Mayor"),AND(AF71="Alta",AH71="Moderado"),AND(AF71="Alta",AH71="Mayor"),AND(AF71="Muy Alta",AH71="Leve"),AND(AF71="Muy Alta",AH71="Menor"),AND(AF71="Muy Alta",AH71="Moderado"),AND(AF71="Muy Alta",AH71="Mayor")),"Alto",IF(OR(AND(AF71="Muy Baja",AH71="Catastrófico"),AND(AF71="Baja",AH71="Catastrófico"),AND(AF71="Media",AH71="Catastrófico"),AND(AF71="Alta",AH71="Catastrófico"),AND(AF71="Muy Alta",AH71="Catastrófico")),"Extremo","")))),"")</f>
        <v/>
      </c>
      <c r="AK71" s="195"/>
      <c r="AL71" s="186"/>
      <c r="AM71" s="196"/>
      <c r="AN71" s="196"/>
      <c r="AO71" s="197"/>
      <c r="AP71" s="341"/>
      <c r="AQ71" s="341"/>
      <c r="AR71" s="341"/>
    </row>
    <row r="72" spans="1:44" ht="37.5" hidden="1" customHeight="1" x14ac:dyDescent="0.2">
      <c r="A72" s="363"/>
      <c r="B72" s="345"/>
      <c r="C72" s="345"/>
      <c r="D72" s="345"/>
      <c r="E72" s="345"/>
      <c r="F72" s="345"/>
      <c r="G72" s="339"/>
      <c r="H72" s="339"/>
      <c r="I72" s="223"/>
      <c r="J72" s="223"/>
      <c r="K72" s="223"/>
      <c r="L72" s="339"/>
      <c r="M72" s="339"/>
      <c r="N72" s="341"/>
      <c r="O72" s="335"/>
      <c r="P72" s="334"/>
      <c r="Q72" s="324"/>
      <c r="R72" s="334">
        <f>IF(NOT(ISERROR(MATCH(Q72,_xlfn.ANCHORARRAY(F83),0))),Q85&amp;"Por favor no seleccionar los criterios de impacto",Q72)</f>
        <v>0</v>
      </c>
      <c r="S72" s="335"/>
      <c r="T72" s="334"/>
      <c r="U72" s="333"/>
      <c r="V72" s="214">
        <v>6</v>
      </c>
      <c r="W72" s="187"/>
      <c r="X72" s="189" t="str">
        <f t="shared" si="86"/>
        <v/>
      </c>
      <c r="Y72" s="190"/>
      <c r="Z72" s="190"/>
      <c r="AA72" s="191" t="str">
        <f t="shared" si="81"/>
        <v/>
      </c>
      <c r="AB72" s="190"/>
      <c r="AC72" s="190"/>
      <c r="AD72" s="190"/>
      <c r="AE72" s="192" t="str">
        <f t="shared" si="87"/>
        <v/>
      </c>
      <c r="AF72" s="193" t="str">
        <f t="shared" si="1"/>
        <v/>
      </c>
      <c r="AG72" s="191" t="str">
        <f t="shared" si="82"/>
        <v/>
      </c>
      <c r="AH72" s="193" t="str">
        <f t="shared" si="3"/>
        <v/>
      </c>
      <c r="AI72" s="191" t="str">
        <f t="shared" si="13"/>
        <v/>
      </c>
      <c r="AJ72" s="194" t="str">
        <f t="shared" si="88"/>
        <v/>
      </c>
      <c r="AK72" s="195"/>
      <c r="AL72" s="186"/>
      <c r="AM72" s="196"/>
      <c r="AN72" s="196"/>
      <c r="AO72" s="197"/>
      <c r="AP72" s="341"/>
      <c r="AQ72" s="341"/>
      <c r="AR72" s="341"/>
    </row>
    <row r="73" spans="1:44" ht="49.5" customHeight="1" x14ac:dyDescent="0.2">
      <c r="A73" s="216"/>
      <c r="B73" s="367" t="s">
        <v>261</v>
      </c>
      <c r="C73" s="368"/>
      <c r="D73" s="368"/>
      <c r="E73" s="368"/>
      <c r="F73" s="368"/>
      <c r="G73" s="368"/>
      <c r="H73" s="368"/>
      <c r="I73" s="368"/>
      <c r="J73" s="368"/>
      <c r="K73" s="368"/>
      <c r="L73" s="368"/>
      <c r="M73" s="368"/>
      <c r="N73" s="368"/>
      <c r="O73" s="368"/>
      <c r="P73" s="368"/>
      <c r="Q73" s="368"/>
      <c r="R73" s="368"/>
      <c r="S73" s="368"/>
      <c r="T73" s="368"/>
      <c r="U73" s="368"/>
      <c r="V73" s="368"/>
      <c r="W73" s="368"/>
      <c r="X73" s="368"/>
      <c r="Y73" s="368"/>
      <c r="Z73" s="368"/>
      <c r="AA73" s="368"/>
      <c r="AB73" s="368"/>
      <c r="AC73" s="368"/>
      <c r="AD73" s="368"/>
      <c r="AE73" s="368"/>
      <c r="AF73" s="368"/>
      <c r="AG73" s="368"/>
      <c r="AH73" s="368"/>
      <c r="AI73" s="368"/>
      <c r="AJ73" s="368"/>
      <c r="AK73" s="368"/>
      <c r="AL73" s="368"/>
      <c r="AM73" s="368"/>
      <c r="AN73" s="368"/>
      <c r="AO73" s="368"/>
      <c r="AP73" s="368"/>
    </row>
    <row r="75" spans="1:44" ht="15.75" x14ac:dyDescent="0.2">
      <c r="A75" s="198"/>
      <c r="B75" s="206" t="s">
        <v>262</v>
      </c>
      <c r="C75" s="198"/>
      <c r="D75" s="198"/>
      <c r="E75" s="198"/>
      <c r="N75" s="198"/>
    </row>
  </sheetData>
  <dataConsolidate/>
  <mergeCells count="303">
    <mergeCell ref="AO13:AO15"/>
    <mergeCell ref="AN13:AN15"/>
    <mergeCell ref="AM13:AM15"/>
    <mergeCell ref="AL13:AL15"/>
    <mergeCell ref="A6:B6"/>
    <mergeCell ref="W6:Y6"/>
    <mergeCell ref="Z6:AR6"/>
    <mergeCell ref="A7:B7"/>
    <mergeCell ref="Z7:AR7"/>
    <mergeCell ref="C6:T6"/>
    <mergeCell ref="C7:T7"/>
    <mergeCell ref="A8:B8"/>
    <mergeCell ref="Z8:AR8"/>
    <mergeCell ref="A10:F10"/>
    <mergeCell ref="G10:K10"/>
    <mergeCell ref="P10:V10"/>
    <mergeCell ref="W10:AE10"/>
    <mergeCell ref="AF10:AJ10"/>
    <mergeCell ref="AK10:AO10"/>
    <mergeCell ref="AP10:AR10"/>
    <mergeCell ref="C8:T8"/>
    <mergeCell ref="A11:A12"/>
    <mergeCell ref="B11:B12"/>
    <mergeCell ref="C11:C12"/>
    <mergeCell ref="A1:C4"/>
    <mergeCell ref="X1:AR2"/>
    <mergeCell ref="X3:AL3"/>
    <mergeCell ref="AM3:AR3"/>
    <mergeCell ref="X4:AR4"/>
    <mergeCell ref="D1:S2"/>
    <mergeCell ref="D3:I3"/>
    <mergeCell ref="J3:S3"/>
    <mergeCell ref="D4:S4"/>
    <mergeCell ref="A13:A18"/>
    <mergeCell ref="B13:B18"/>
    <mergeCell ref="C13:C18"/>
    <mergeCell ref="D13:D18"/>
    <mergeCell ref="E13:E18"/>
    <mergeCell ref="F13:F18"/>
    <mergeCell ref="AI11:AI12"/>
    <mergeCell ref="AJ11:AJ12"/>
    <mergeCell ref="D11:D12"/>
    <mergeCell ref="E11:E12"/>
    <mergeCell ref="F11:F12"/>
    <mergeCell ref="G11:G12"/>
    <mergeCell ref="H11:H12"/>
    <mergeCell ref="I11:I12"/>
    <mergeCell ref="W11:W12"/>
    <mergeCell ref="J11:J12"/>
    <mergeCell ref="K11:K12"/>
    <mergeCell ref="N11:N12"/>
    <mergeCell ref="O11:O12"/>
    <mergeCell ref="P11:P12"/>
    <mergeCell ref="Q11:Q12"/>
    <mergeCell ref="X11:X12"/>
    <mergeCell ref="Y11:AD11"/>
    <mergeCell ref="AE11:AE12"/>
    <mergeCell ref="AP19:AP24"/>
    <mergeCell ref="AQ19:AQ24"/>
    <mergeCell ref="AR19:AR24"/>
    <mergeCell ref="U19:U24"/>
    <mergeCell ref="T11:T12"/>
    <mergeCell ref="U11:U12"/>
    <mergeCell ref="V11:V12"/>
    <mergeCell ref="AR13:AR18"/>
    <mergeCell ref="M13:M18"/>
    <mergeCell ref="N13:N18"/>
    <mergeCell ref="O13:O18"/>
    <mergeCell ref="P13:P18"/>
    <mergeCell ref="Q13:Q18"/>
    <mergeCell ref="R13:R18"/>
    <mergeCell ref="U13:U18"/>
    <mergeCell ref="AP13:AP18"/>
    <mergeCell ref="AQ13:AQ18"/>
    <mergeCell ref="AR11:AR12"/>
    <mergeCell ref="AL11:AL12"/>
    <mergeCell ref="S11:S12"/>
    <mergeCell ref="AO11:AO12"/>
    <mergeCell ref="AP11:AP12"/>
    <mergeCell ref="AQ11:AQ12"/>
    <mergeCell ref="AN11:AN12"/>
    <mergeCell ref="AM11:AM12"/>
    <mergeCell ref="G13:G18"/>
    <mergeCell ref="H13:H18"/>
    <mergeCell ref="I13:I18"/>
    <mergeCell ref="J13:J18"/>
    <mergeCell ref="K13:K18"/>
    <mergeCell ref="L13:L18"/>
    <mergeCell ref="S13:S18"/>
    <mergeCell ref="T13:T18"/>
    <mergeCell ref="AK11:AK12"/>
    <mergeCell ref="AF11:AF12"/>
    <mergeCell ref="AG11:AG12"/>
    <mergeCell ref="AH11:AH12"/>
    <mergeCell ref="R11:R12"/>
    <mergeCell ref="A19:A24"/>
    <mergeCell ref="B19:B24"/>
    <mergeCell ref="C19:C24"/>
    <mergeCell ref="D19:D24"/>
    <mergeCell ref="E19:E24"/>
    <mergeCell ref="F19:F24"/>
    <mergeCell ref="S19:S24"/>
    <mergeCell ref="T19:T24"/>
    <mergeCell ref="M19:M24"/>
    <mergeCell ref="N19:N24"/>
    <mergeCell ref="O19:O24"/>
    <mergeCell ref="P19:P24"/>
    <mergeCell ref="Q19:Q24"/>
    <mergeCell ref="R19:R24"/>
    <mergeCell ref="G19:G24"/>
    <mergeCell ref="H19:H24"/>
    <mergeCell ref="I19:I24"/>
    <mergeCell ref="J19:J24"/>
    <mergeCell ref="K19:K24"/>
    <mergeCell ref="L19:L24"/>
    <mergeCell ref="G25:G30"/>
    <mergeCell ref="H25:H30"/>
    <mergeCell ref="I25:I30"/>
    <mergeCell ref="J25:J30"/>
    <mergeCell ref="K25:K30"/>
    <mergeCell ref="L25:L30"/>
    <mergeCell ref="A25:A30"/>
    <mergeCell ref="B25:B30"/>
    <mergeCell ref="C25:C30"/>
    <mergeCell ref="D25:D30"/>
    <mergeCell ref="E25:E30"/>
    <mergeCell ref="F25:F30"/>
    <mergeCell ref="S25:S30"/>
    <mergeCell ref="T25:T30"/>
    <mergeCell ref="U25:U30"/>
    <mergeCell ref="AP25:AP30"/>
    <mergeCell ref="AQ25:AQ30"/>
    <mergeCell ref="AR25:AR30"/>
    <mergeCell ref="M25:M30"/>
    <mergeCell ref="N25:N30"/>
    <mergeCell ref="O25:O30"/>
    <mergeCell ref="P25:P30"/>
    <mergeCell ref="Q25:Q30"/>
    <mergeCell ref="R25:R30"/>
    <mergeCell ref="G31:G36"/>
    <mergeCell ref="H31:H36"/>
    <mergeCell ref="I31:I36"/>
    <mergeCell ref="J31:J36"/>
    <mergeCell ref="K31:K36"/>
    <mergeCell ref="L31:L36"/>
    <mergeCell ref="A31:A36"/>
    <mergeCell ref="B31:B36"/>
    <mergeCell ref="C31:C36"/>
    <mergeCell ref="D31:D36"/>
    <mergeCell ref="E31:E36"/>
    <mergeCell ref="F31:F36"/>
    <mergeCell ref="S31:S36"/>
    <mergeCell ref="T31:T36"/>
    <mergeCell ref="U31:U36"/>
    <mergeCell ref="AP31:AP36"/>
    <mergeCell ref="AQ31:AQ36"/>
    <mergeCell ref="AR31:AR36"/>
    <mergeCell ref="M31:M36"/>
    <mergeCell ref="N31:N36"/>
    <mergeCell ref="O31:O36"/>
    <mergeCell ref="P31:P36"/>
    <mergeCell ref="Q31:Q36"/>
    <mergeCell ref="R31:R36"/>
    <mergeCell ref="G37:G42"/>
    <mergeCell ref="H37:H42"/>
    <mergeCell ref="I37:I42"/>
    <mergeCell ref="J37:J42"/>
    <mergeCell ref="K37:K42"/>
    <mergeCell ref="L37:L42"/>
    <mergeCell ref="A37:A42"/>
    <mergeCell ref="B37:B42"/>
    <mergeCell ref="C37:C42"/>
    <mergeCell ref="D37:D42"/>
    <mergeCell ref="E37:E42"/>
    <mergeCell ref="F37:F42"/>
    <mergeCell ref="S37:S42"/>
    <mergeCell ref="T37:T42"/>
    <mergeCell ref="U37:U42"/>
    <mergeCell ref="AP37:AP42"/>
    <mergeCell ref="AQ37:AQ42"/>
    <mergeCell ref="AR37:AR42"/>
    <mergeCell ref="M37:M42"/>
    <mergeCell ref="N37:N42"/>
    <mergeCell ref="O37:O42"/>
    <mergeCell ref="P37:P42"/>
    <mergeCell ref="Q37:Q42"/>
    <mergeCell ref="R37:R42"/>
    <mergeCell ref="G43:G48"/>
    <mergeCell ref="H43:H48"/>
    <mergeCell ref="I43:I48"/>
    <mergeCell ref="J43:J48"/>
    <mergeCell ref="K43:K48"/>
    <mergeCell ref="L43:L48"/>
    <mergeCell ref="A43:A48"/>
    <mergeCell ref="B43:B48"/>
    <mergeCell ref="C43:C48"/>
    <mergeCell ref="D43:D48"/>
    <mergeCell ref="E43:E48"/>
    <mergeCell ref="F43:F48"/>
    <mergeCell ref="S43:S48"/>
    <mergeCell ref="T43:T48"/>
    <mergeCell ref="U43:U48"/>
    <mergeCell ref="AP43:AP48"/>
    <mergeCell ref="AQ43:AQ48"/>
    <mergeCell ref="AR43:AR48"/>
    <mergeCell ref="M43:M48"/>
    <mergeCell ref="N43:N48"/>
    <mergeCell ref="O43:O48"/>
    <mergeCell ref="P43:P48"/>
    <mergeCell ref="Q43:Q48"/>
    <mergeCell ref="R43:R48"/>
    <mergeCell ref="G49:G54"/>
    <mergeCell ref="H49:H54"/>
    <mergeCell ref="I49:I54"/>
    <mergeCell ref="J49:J54"/>
    <mergeCell ref="K49:K54"/>
    <mergeCell ref="L49:L54"/>
    <mergeCell ref="A49:A54"/>
    <mergeCell ref="B49:B54"/>
    <mergeCell ref="C49:C54"/>
    <mergeCell ref="D49:D54"/>
    <mergeCell ref="E49:E54"/>
    <mergeCell ref="F49:F54"/>
    <mergeCell ref="S49:S54"/>
    <mergeCell ref="T49:T54"/>
    <mergeCell ref="U49:U54"/>
    <mergeCell ref="AP49:AP54"/>
    <mergeCell ref="AQ49:AQ54"/>
    <mergeCell ref="AR49:AR54"/>
    <mergeCell ref="M49:M54"/>
    <mergeCell ref="N49:N54"/>
    <mergeCell ref="O49:O54"/>
    <mergeCell ref="P49:P54"/>
    <mergeCell ref="Q49:Q54"/>
    <mergeCell ref="R49:R54"/>
    <mergeCell ref="G55:G60"/>
    <mergeCell ref="H55:H60"/>
    <mergeCell ref="I55:I60"/>
    <mergeCell ref="J55:J60"/>
    <mergeCell ref="K55:K60"/>
    <mergeCell ref="L55:L60"/>
    <mergeCell ref="A55:A60"/>
    <mergeCell ref="B55:B60"/>
    <mergeCell ref="C55:C60"/>
    <mergeCell ref="D55:D60"/>
    <mergeCell ref="E55:E60"/>
    <mergeCell ref="F55:F60"/>
    <mergeCell ref="T55:T60"/>
    <mergeCell ref="U55:U60"/>
    <mergeCell ref="AP55:AP60"/>
    <mergeCell ref="AQ55:AQ60"/>
    <mergeCell ref="AR55:AR60"/>
    <mergeCell ref="M55:M60"/>
    <mergeCell ref="N55:N60"/>
    <mergeCell ref="O55:O60"/>
    <mergeCell ref="P55:P60"/>
    <mergeCell ref="Q55:Q60"/>
    <mergeCell ref="R55:R60"/>
    <mergeCell ref="A67:A72"/>
    <mergeCell ref="B67:B72"/>
    <mergeCell ref="C67:C72"/>
    <mergeCell ref="D67:D72"/>
    <mergeCell ref="E67:E72"/>
    <mergeCell ref="F67:F72"/>
    <mergeCell ref="G67:G72"/>
    <mergeCell ref="P61:P66"/>
    <mergeCell ref="Q61:Q66"/>
    <mergeCell ref="G61:G66"/>
    <mergeCell ref="H61:H66"/>
    <mergeCell ref="L61:L66"/>
    <mergeCell ref="M61:M66"/>
    <mergeCell ref="N61:N66"/>
    <mergeCell ref="O61:O66"/>
    <mergeCell ref="A61:A66"/>
    <mergeCell ref="B61:B66"/>
    <mergeCell ref="C61:C66"/>
    <mergeCell ref="D61:D66"/>
    <mergeCell ref="E61:E66"/>
    <mergeCell ref="F61:F66"/>
    <mergeCell ref="AQ67:AQ72"/>
    <mergeCell ref="AR67:AR72"/>
    <mergeCell ref="B73:AP73"/>
    <mergeCell ref="L10:M11"/>
    <mergeCell ref="Q67:Q72"/>
    <mergeCell ref="R67:R72"/>
    <mergeCell ref="S67:S72"/>
    <mergeCell ref="T67:T72"/>
    <mergeCell ref="U67:U72"/>
    <mergeCell ref="AP67:AP72"/>
    <mergeCell ref="H67:H72"/>
    <mergeCell ref="L67:L72"/>
    <mergeCell ref="M67:M72"/>
    <mergeCell ref="N67:N72"/>
    <mergeCell ref="O67:O72"/>
    <mergeCell ref="P67:P72"/>
    <mergeCell ref="AP61:AP66"/>
    <mergeCell ref="AQ61:AQ66"/>
    <mergeCell ref="AR61:AR66"/>
    <mergeCell ref="R61:R66"/>
    <mergeCell ref="S61:S66"/>
    <mergeCell ref="T61:T66"/>
    <mergeCell ref="U61:U66"/>
    <mergeCell ref="S55:S60"/>
  </mergeCells>
  <conditionalFormatting sqref="O13 O19">
    <cfRule type="cellIs" dxfId="469" priority="227" operator="equal">
      <formula>"Muy Alta"</formula>
    </cfRule>
    <cfRule type="cellIs" dxfId="468" priority="228" operator="equal">
      <formula>"Alta"</formula>
    </cfRule>
    <cfRule type="cellIs" dxfId="467" priority="229" operator="equal">
      <formula>"Media"</formula>
    </cfRule>
    <cfRule type="cellIs" dxfId="466" priority="230" operator="equal">
      <formula>"Baja"</formula>
    </cfRule>
    <cfRule type="cellIs" dxfId="465" priority="231" operator="equal">
      <formula>"Muy Baja"</formula>
    </cfRule>
  </conditionalFormatting>
  <conditionalFormatting sqref="S13 S19 S25 S31 S37 S43 S49 S55 S61 S67">
    <cfRule type="cellIs" dxfId="464" priority="222" operator="equal">
      <formula>"Catastrófico"</formula>
    </cfRule>
    <cfRule type="cellIs" dxfId="463" priority="223" operator="equal">
      <formula>"Mayor"</formula>
    </cfRule>
    <cfRule type="cellIs" dxfId="462" priority="224" operator="equal">
      <formula>"Moderado"</formula>
    </cfRule>
    <cfRule type="cellIs" dxfId="461" priority="225" operator="equal">
      <formula>"Menor"</formula>
    </cfRule>
    <cfRule type="cellIs" dxfId="460" priority="226" operator="equal">
      <formula>"Leve"</formula>
    </cfRule>
  </conditionalFormatting>
  <conditionalFormatting sqref="U13">
    <cfRule type="cellIs" dxfId="459" priority="218" operator="equal">
      <formula>"Extremo"</formula>
    </cfRule>
    <cfRule type="cellIs" dxfId="458" priority="219" operator="equal">
      <formula>"Alto"</formula>
    </cfRule>
    <cfRule type="cellIs" dxfId="457" priority="220" operator="equal">
      <formula>"Moderado"</formula>
    </cfRule>
    <cfRule type="cellIs" dxfId="456" priority="221" operator="equal">
      <formula>"Bajo"</formula>
    </cfRule>
  </conditionalFormatting>
  <conditionalFormatting sqref="AF13:AF18">
    <cfRule type="cellIs" dxfId="455" priority="213" operator="equal">
      <formula>"Muy Alta"</formula>
    </cfRule>
    <cfRule type="cellIs" dxfId="454" priority="214" operator="equal">
      <formula>"Alta"</formula>
    </cfRule>
    <cfRule type="cellIs" dxfId="453" priority="215" operator="equal">
      <formula>"Media"</formula>
    </cfRule>
    <cfRule type="cellIs" dxfId="452" priority="216" operator="equal">
      <formula>"Baja"</formula>
    </cfRule>
    <cfRule type="cellIs" dxfId="451" priority="217" operator="equal">
      <formula>"Muy Baja"</formula>
    </cfRule>
  </conditionalFormatting>
  <conditionalFormatting sqref="AH13:AH18">
    <cfRule type="cellIs" dxfId="450" priority="208" operator="equal">
      <formula>"Catastrófico"</formula>
    </cfRule>
    <cfRule type="cellIs" dxfId="449" priority="209" operator="equal">
      <formula>"Mayor"</formula>
    </cfRule>
    <cfRule type="cellIs" dxfId="448" priority="210" operator="equal">
      <formula>"Moderado"</formula>
    </cfRule>
    <cfRule type="cellIs" dxfId="447" priority="211" operator="equal">
      <formula>"Menor"</formula>
    </cfRule>
    <cfRule type="cellIs" dxfId="446" priority="212" operator="equal">
      <formula>"Leve"</formula>
    </cfRule>
  </conditionalFormatting>
  <conditionalFormatting sqref="AJ13:AJ18">
    <cfRule type="cellIs" dxfId="445" priority="204" operator="equal">
      <formula>"Extremo"</formula>
    </cfRule>
    <cfRule type="cellIs" dxfId="444" priority="205" operator="equal">
      <formula>"Alto"</formula>
    </cfRule>
    <cfRule type="cellIs" dxfId="443" priority="206" operator="equal">
      <formula>"Moderado"</formula>
    </cfRule>
    <cfRule type="cellIs" dxfId="442" priority="207" operator="equal">
      <formula>"Bajo"</formula>
    </cfRule>
  </conditionalFormatting>
  <conditionalFormatting sqref="O61">
    <cfRule type="cellIs" dxfId="441" priority="48" operator="equal">
      <formula>"Muy Alta"</formula>
    </cfRule>
    <cfRule type="cellIs" dxfId="440" priority="49" operator="equal">
      <formula>"Alta"</formula>
    </cfRule>
    <cfRule type="cellIs" dxfId="439" priority="50" operator="equal">
      <formula>"Media"</formula>
    </cfRule>
    <cfRule type="cellIs" dxfId="438" priority="51" operator="equal">
      <formula>"Baja"</formula>
    </cfRule>
    <cfRule type="cellIs" dxfId="437" priority="52" operator="equal">
      <formula>"Muy Baja"</formula>
    </cfRule>
  </conditionalFormatting>
  <conditionalFormatting sqref="U19">
    <cfRule type="cellIs" dxfId="436" priority="200" operator="equal">
      <formula>"Extremo"</formula>
    </cfRule>
    <cfRule type="cellIs" dxfId="435" priority="201" operator="equal">
      <formula>"Alto"</formula>
    </cfRule>
    <cfRule type="cellIs" dxfId="434" priority="202" operator="equal">
      <formula>"Moderado"</formula>
    </cfRule>
    <cfRule type="cellIs" dxfId="433" priority="203" operator="equal">
      <formula>"Bajo"</formula>
    </cfRule>
  </conditionalFormatting>
  <conditionalFormatting sqref="AF19:AF24">
    <cfRule type="cellIs" dxfId="432" priority="195" operator="equal">
      <formula>"Muy Alta"</formula>
    </cfRule>
    <cfRule type="cellIs" dxfId="431" priority="196" operator="equal">
      <formula>"Alta"</formula>
    </cfRule>
    <cfRule type="cellIs" dxfId="430" priority="197" operator="equal">
      <formula>"Media"</formula>
    </cfRule>
    <cfRule type="cellIs" dxfId="429" priority="198" operator="equal">
      <formula>"Baja"</formula>
    </cfRule>
    <cfRule type="cellIs" dxfId="428" priority="199" operator="equal">
      <formula>"Muy Baja"</formula>
    </cfRule>
  </conditionalFormatting>
  <conditionalFormatting sqref="AH19:AH24">
    <cfRule type="cellIs" dxfId="427" priority="190" operator="equal">
      <formula>"Catastrófico"</formula>
    </cfRule>
    <cfRule type="cellIs" dxfId="426" priority="191" operator="equal">
      <formula>"Mayor"</formula>
    </cfRule>
    <cfRule type="cellIs" dxfId="425" priority="192" operator="equal">
      <formula>"Moderado"</formula>
    </cfRule>
    <cfRule type="cellIs" dxfId="424" priority="193" operator="equal">
      <formula>"Menor"</formula>
    </cfRule>
    <cfRule type="cellIs" dxfId="423" priority="194" operator="equal">
      <formula>"Leve"</formula>
    </cfRule>
  </conditionalFormatting>
  <conditionalFormatting sqref="AJ19:AJ24">
    <cfRule type="cellIs" dxfId="422" priority="186" operator="equal">
      <formula>"Extremo"</formula>
    </cfRule>
    <cfRule type="cellIs" dxfId="421" priority="187" operator="equal">
      <formula>"Alto"</formula>
    </cfRule>
    <cfRule type="cellIs" dxfId="420" priority="188" operator="equal">
      <formula>"Moderado"</formula>
    </cfRule>
    <cfRule type="cellIs" dxfId="419" priority="189" operator="equal">
      <formula>"Bajo"</formula>
    </cfRule>
  </conditionalFormatting>
  <conditionalFormatting sqref="O25">
    <cfRule type="cellIs" dxfId="418" priority="181" operator="equal">
      <formula>"Muy Alta"</formula>
    </cfRule>
    <cfRule type="cellIs" dxfId="417" priority="182" operator="equal">
      <formula>"Alta"</formula>
    </cfRule>
    <cfRule type="cellIs" dxfId="416" priority="183" operator="equal">
      <formula>"Media"</formula>
    </cfRule>
    <cfRule type="cellIs" dxfId="415" priority="184" operator="equal">
      <formula>"Baja"</formula>
    </cfRule>
    <cfRule type="cellIs" dxfId="414" priority="185" operator="equal">
      <formula>"Muy Baja"</formula>
    </cfRule>
  </conditionalFormatting>
  <conditionalFormatting sqref="U25">
    <cfRule type="cellIs" dxfId="413" priority="177" operator="equal">
      <formula>"Extremo"</formula>
    </cfRule>
    <cfRule type="cellIs" dxfId="412" priority="178" operator="equal">
      <formula>"Alto"</formula>
    </cfRule>
    <cfRule type="cellIs" dxfId="411" priority="179" operator="equal">
      <formula>"Moderado"</formula>
    </cfRule>
    <cfRule type="cellIs" dxfId="410" priority="180" operator="equal">
      <formula>"Bajo"</formula>
    </cfRule>
  </conditionalFormatting>
  <conditionalFormatting sqref="AF25:AF30">
    <cfRule type="cellIs" dxfId="409" priority="172" operator="equal">
      <formula>"Muy Alta"</formula>
    </cfRule>
    <cfRule type="cellIs" dxfId="408" priority="173" operator="equal">
      <formula>"Alta"</formula>
    </cfRule>
    <cfRule type="cellIs" dxfId="407" priority="174" operator="equal">
      <formula>"Media"</formula>
    </cfRule>
    <cfRule type="cellIs" dxfId="406" priority="175" operator="equal">
      <formula>"Baja"</formula>
    </cfRule>
    <cfRule type="cellIs" dxfId="405" priority="176" operator="equal">
      <formula>"Muy Baja"</formula>
    </cfRule>
  </conditionalFormatting>
  <conditionalFormatting sqref="AH25:AH30">
    <cfRule type="cellIs" dxfId="404" priority="167" operator="equal">
      <formula>"Catastrófico"</formula>
    </cfRule>
    <cfRule type="cellIs" dxfId="403" priority="168" operator="equal">
      <formula>"Mayor"</formula>
    </cfRule>
    <cfRule type="cellIs" dxfId="402" priority="169" operator="equal">
      <formula>"Moderado"</formula>
    </cfRule>
    <cfRule type="cellIs" dxfId="401" priority="170" operator="equal">
      <formula>"Menor"</formula>
    </cfRule>
    <cfRule type="cellIs" dxfId="400" priority="171" operator="equal">
      <formula>"Leve"</formula>
    </cfRule>
  </conditionalFormatting>
  <conditionalFormatting sqref="AJ25:AJ30">
    <cfRule type="cellIs" dxfId="399" priority="163" operator="equal">
      <formula>"Extremo"</formula>
    </cfRule>
    <cfRule type="cellIs" dxfId="398" priority="164" operator="equal">
      <formula>"Alto"</formula>
    </cfRule>
    <cfRule type="cellIs" dxfId="397" priority="165" operator="equal">
      <formula>"Moderado"</formula>
    </cfRule>
    <cfRule type="cellIs" dxfId="396" priority="166" operator="equal">
      <formula>"Bajo"</formula>
    </cfRule>
  </conditionalFormatting>
  <conditionalFormatting sqref="O31">
    <cfRule type="cellIs" dxfId="395" priority="158" operator="equal">
      <formula>"Muy Alta"</formula>
    </cfRule>
    <cfRule type="cellIs" dxfId="394" priority="159" operator="equal">
      <formula>"Alta"</formula>
    </cfRule>
    <cfRule type="cellIs" dxfId="393" priority="160" operator="equal">
      <formula>"Media"</formula>
    </cfRule>
    <cfRule type="cellIs" dxfId="392" priority="161" operator="equal">
      <formula>"Baja"</formula>
    </cfRule>
    <cfRule type="cellIs" dxfId="391" priority="162" operator="equal">
      <formula>"Muy Baja"</formula>
    </cfRule>
  </conditionalFormatting>
  <conditionalFormatting sqref="U31">
    <cfRule type="cellIs" dxfId="390" priority="154" operator="equal">
      <formula>"Extremo"</formula>
    </cfRule>
    <cfRule type="cellIs" dxfId="389" priority="155" operator="equal">
      <formula>"Alto"</formula>
    </cfRule>
    <cfRule type="cellIs" dxfId="388" priority="156" operator="equal">
      <formula>"Moderado"</formula>
    </cfRule>
    <cfRule type="cellIs" dxfId="387" priority="157" operator="equal">
      <formula>"Bajo"</formula>
    </cfRule>
  </conditionalFormatting>
  <conditionalFormatting sqref="AF31:AF36">
    <cfRule type="cellIs" dxfId="386" priority="149" operator="equal">
      <formula>"Muy Alta"</formula>
    </cfRule>
    <cfRule type="cellIs" dxfId="385" priority="150" operator="equal">
      <formula>"Alta"</formula>
    </cfRule>
    <cfRule type="cellIs" dxfId="384" priority="151" operator="equal">
      <formula>"Media"</formula>
    </cfRule>
    <cfRule type="cellIs" dxfId="383" priority="152" operator="equal">
      <formula>"Baja"</formula>
    </cfRule>
    <cfRule type="cellIs" dxfId="382" priority="153" operator="equal">
      <formula>"Muy Baja"</formula>
    </cfRule>
  </conditionalFormatting>
  <conditionalFormatting sqref="AH31:AH36">
    <cfRule type="cellIs" dxfId="381" priority="144" operator="equal">
      <formula>"Catastrófico"</formula>
    </cfRule>
    <cfRule type="cellIs" dxfId="380" priority="145" operator="equal">
      <formula>"Mayor"</formula>
    </cfRule>
    <cfRule type="cellIs" dxfId="379" priority="146" operator="equal">
      <formula>"Moderado"</formula>
    </cfRule>
    <cfRule type="cellIs" dxfId="378" priority="147" operator="equal">
      <formula>"Menor"</formula>
    </cfRule>
    <cfRule type="cellIs" dxfId="377" priority="148" operator="equal">
      <formula>"Leve"</formula>
    </cfRule>
  </conditionalFormatting>
  <conditionalFormatting sqref="AJ31:AJ36">
    <cfRule type="cellIs" dxfId="376" priority="140" operator="equal">
      <formula>"Extremo"</formula>
    </cfRule>
    <cfRule type="cellIs" dxfId="375" priority="141" operator="equal">
      <formula>"Alto"</formula>
    </cfRule>
    <cfRule type="cellIs" dxfId="374" priority="142" operator="equal">
      <formula>"Moderado"</formula>
    </cfRule>
    <cfRule type="cellIs" dxfId="373" priority="143" operator="equal">
      <formula>"Bajo"</formula>
    </cfRule>
  </conditionalFormatting>
  <conditionalFormatting sqref="O37">
    <cfRule type="cellIs" dxfId="372" priority="135" operator="equal">
      <formula>"Muy Alta"</formula>
    </cfRule>
    <cfRule type="cellIs" dxfId="371" priority="136" operator="equal">
      <formula>"Alta"</formula>
    </cfRule>
    <cfRule type="cellIs" dxfId="370" priority="137" operator="equal">
      <formula>"Media"</formula>
    </cfRule>
    <cfRule type="cellIs" dxfId="369" priority="138" operator="equal">
      <formula>"Baja"</formula>
    </cfRule>
    <cfRule type="cellIs" dxfId="368" priority="139" operator="equal">
      <formula>"Muy Baja"</formula>
    </cfRule>
  </conditionalFormatting>
  <conditionalFormatting sqref="U37">
    <cfRule type="cellIs" dxfId="367" priority="131" operator="equal">
      <formula>"Extremo"</formula>
    </cfRule>
    <cfRule type="cellIs" dxfId="366" priority="132" operator="equal">
      <formula>"Alto"</formula>
    </cfRule>
    <cfRule type="cellIs" dxfId="365" priority="133" operator="equal">
      <formula>"Moderado"</formula>
    </cfRule>
    <cfRule type="cellIs" dxfId="364" priority="134" operator="equal">
      <formula>"Bajo"</formula>
    </cfRule>
  </conditionalFormatting>
  <conditionalFormatting sqref="AF37:AF42">
    <cfRule type="cellIs" dxfId="363" priority="126" operator="equal">
      <formula>"Muy Alta"</formula>
    </cfRule>
    <cfRule type="cellIs" dxfId="362" priority="127" operator="equal">
      <formula>"Alta"</formula>
    </cfRule>
    <cfRule type="cellIs" dxfId="361" priority="128" operator="equal">
      <formula>"Media"</formula>
    </cfRule>
    <cfRule type="cellIs" dxfId="360" priority="129" operator="equal">
      <formula>"Baja"</formula>
    </cfRule>
    <cfRule type="cellIs" dxfId="359" priority="130" operator="equal">
      <formula>"Muy Baja"</formula>
    </cfRule>
  </conditionalFormatting>
  <conditionalFormatting sqref="AH37:AH42">
    <cfRule type="cellIs" dxfId="358" priority="121" operator="equal">
      <formula>"Catastrófico"</formula>
    </cfRule>
    <cfRule type="cellIs" dxfId="357" priority="122" operator="equal">
      <formula>"Mayor"</formula>
    </cfRule>
    <cfRule type="cellIs" dxfId="356" priority="123" operator="equal">
      <formula>"Moderado"</formula>
    </cfRule>
    <cfRule type="cellIs" dxfId="355" priority="124" operator="equal">
      <formula>"Menor"</formula>
    </cfRule>
    <cfRule type="cellIs" dxfId="354" priority="125" operator="equal">
      <formula>"Leve"</formula>
    </cfRule>
  </conditionalFormatting>
  <conditionalFormatting sqref="AJ37:AJ42">
    <cfRule type="cellIs" dxfId="353" priority="117" operator="equal">
      <formula>"Extremo"</formula>
    </cfRule>
    <cfRule type="cellIs" dxfId="352" priority="118" operator="equal">
      <formula>"Alto"</formula>
    </cfRule>
    <cfRule type="cellIs" dxfId="351" priority="119" operator="equal">
      <formula>"Moderado"</formula>
    </cfRule>
    <cfRule type="cellIs" dxfId="350" priority="120" operator="equal">
      <formula>"Bajo"</formula>
    </cfRule>
  </conditionalFormatting>
  <conditionalFormatting sqref="O43">
    <cfRule type="cellIs" dxfId="349" priority="112" operator="equal">
      <formula>"Muy Alta"</formula>
    </cfRule>
    <cfRule type="cellIs" dxfId="348" priority="113" operator="equal">
      <formula>"Alta"</formula>
    </cfRule>
    <cfRule type="cellIs" dxfId="347" priority="114" operator="equal">
      <formula>"Media"</formula>
    </cfRule>
    <cfRule type="cellIs" dxfId="346" priority="115" operator="equal">
      <formula>"Baja"</formula>
    </cfRule>
    <cfRule type="cellIs" dxfId="345" priority="116" operator="equal">
      <formula>"Muy Baja"</formula>
    </cfRule>
  </conditionalFormatting>
  <conditionalFormatting sqref="U43">
    <cfRule type="cellIs" dxfId="344" priority="108" operator="equal">
      <formula>"Extremo"</formula>
    </cfRule>
    <cfRule type="cellIs" dxfId="343" priority="109" operator="equal">
      <formula>"Alto"</formula>
    </cfRule>
    <cfRule type="cellIs" dxfId="342" priority="110" operator="equal">
      <formula>"Moderado"</formula>
    </cfRule>
    <cfRule type="cellIs" dxfId="341" priority="111" operator="equal">
      <formula>"Bajo"</formula>
    </cfRule>
  </conditionalFormatting>
  <conditionalFormatting sqref="AF43:AF48">
    <cfRule type="cellIs" dxfId="340" priority="103" operator="equal">
      <formula>"Muy Alta"</formula>
    </cfRule>
    <cfRule type="cellIs" dxfId="339" priority="104" operator="equal">
      <formula>"Alta"</formula>
    </cfRule>
    <cfRule type="cellIs" dxfId="338" priority="105" operator="equal">
      <formula>"Media"</formula>
    </cfRule>
    <cfRule type="cellIs" dxfId="337" priority="106" operator="equal">
      <formula>"Baja"</formula>
    </cfRule>
    <cfRule type="cellIs" dxfId="336" priority="107" operator="equal">
      <formula>"Muy Baja"</formula>
    </cfRule>
  </conditionalFormatting>
  <conditionalFormatting sqref="AH43:AH48">
    <cfRule type="cellIs" dxfId="335" priority="98" operator="equal">
      <formula>"Catastrófico"</formula>
    </cfRule>
    <cfRule type="cellIs" dxfId="334" priority="99" operator="equal">
      <formula>"Mayor"</formula>
    </cfRule>
    <cfRule type="cellIs" dxfId="333" priority="100" operator="equal">
      <formula>"Moderado"</formula>
    </cfRule>
    <cfRule type="cellIs" dxfId="332" priority="101" operator="equal">
      <formula>"Menor"</formula>
    </cfRule>
    <cfRule type="cellIs" dxfId="331" priority="102" operator="equal">
      <formula>"Leve"</formula>
    </cfRule>
  </conditionalFormatting>
  <conditionalFormatting sqref="AJ43:AJ48">
    <cfRule type="cellIs" dxfId="330" priority="94" operator="equal">
      <formula>"Extremo"</formula>
    </cfRule>
    <cfRule type="cellIs" dxfId="329" priority="95" operator="equal">
      <formula>"Alto"</formula>
    </cfRule>
    <cfRule type="cellIs" dxfId="328" priority="96" operator="equal">
      <formula>"Moderado"</formula>
    </cfRule>
    <cfRule type="cellIs" dxfId="327" priority="97" operator="equal">
      <formula>"Bajo"</formula>
    </cfRule>
  </conditionalFormatting>
  <conditionalFormatting sqref="O49">
    <cfRule type="cellIs" dxfId="326" priority="89" operator="equal">
      <formula>"Muy Alta"</formula>
    </cfRule>
    <cfRule type="cellIs" dxfId="325" priority="90" operator="equal">
      <formula>"Alta"</formula>
    </cfRule>
    <cfRule type="cellIs" dxfId="324" priority="91" operator="equal">
      <formula>"Media"</formula>
    </cfRule>
    <cfRule type="cellIs" dxfId="323" priority="92" operator="equal">
      <formula>"Baja"</formula>
    </cfRule>
    <cfRule type="cellIs" dxfId="322" priority="93" operator="equal">
      <formula>"Muy Baja"</formula>
    </cfRule>
  </conditionalFormatting>
  <conditionalFormatting sqref="U49">
    <cfRule type="cellIs" dxfId="321" priority="85" operator="equal">
      <formula>"Extremo"</formula>
    </cfRule>
    <cfRule type="cellIs" dxfId="320" priority="86" operator="equal">
      <formula>"Alto"</formula>
    </cfRule>
    <cfRule type="cellIs" dxfId="319" priority="87" operator="equal">
      <formula>"Moderado"</formula>
    </cfRule>
    <cfRule type="cellIs" dxfId="318" priority="88" operator="equal">
      <formula>"Bajo"</formula>
    </cfRule>
  </conditionalFormatting>
  <conditionalFormatting sqref="AF49:AF54">
    <cfRule type="cellIs" dxfId="317" priority="80" operator="equal">
      <formula>"Muy Alta"</formula>
    </cfRule>
    <cfRule type="cellIs" dxfId="316" priority="81" operator="equal">
      <formula>"Alta"</formula>
    </cfRule>
    <cfRule type="cellIs" dxfId="315" priority="82" operator="equal">
      <formula>"Media"</formula>
    </cfRule>
    <cfRule type="cellIs" dxfId="314" priority="83" operator="equal">
      <formula>"Baja"</formula>
    </cfRule>
    <cfRule type="cellIs" dxfId="313" priority="84" operator="equal">
      <formula>"Muy Baja"</formula>
    </cfRule>
  </conditionalFormatting>
  <conditionalFormatting sqref="AH49:AH54">
    <cfRule type="cellIs" dxfId="312" priority="75" operator="equal">
      <formula>"Catastrófico"</formula>
    </cfRule>
    <cfRule type="cellIs" dxfId="311" priority="76" operator="equal">
      <formula>"Mayor"</formula>
    </cfRule>
    <cfRule type="cellIs" dxfId="310" priority="77" operator="equal">
      <formula>"Moderado"</formula>
    </cfRule>
    <cfRule type="cellIs" dxfId="309" priority="78" operator="equal">
      <formula>"Menor"</formula>
    </cfRule>
    <cfRule type="cellIs" dxfId="308" priority="79" operator="equal">
      <formula>"Leve"</formula>
    </cfRule>
  </conditionalFormatting>
  <conditionalFormatting sqref="AJ49:AJ54">
    <cfRule type="cellIs" dxfId="307" priority="71" operator="equal">
      <formula>"Extremo"</formula>
    </cfRule>
    <cfRule type="cellIs" dxfId="306" priority="72" operator="equal">
      <formula>"Alto"</formula>
    </cfRule>
    <cfRule type="cellIs" dxfId="305" priority="73" operator="equal">
      <formula>"Moderado"</formula>
    </cfRule>
    <cfRule type="cellIs" dxfId="304" priority="74" operator="equal">
      <formula>"Bajo"</formula>
    </cfRule>
  </conditionalFormatting>
  <conditionalFormatting sqref="U55">
    <cfRule type="cellIs" dxfId="303" priority="67" operator="equal">
      <formula>"Extremo"</formula>
    </cfRule>
    <cfRule type="cellIs" dxfId="302" priority="68" operator="equal">
      <formula>"Alto"</formula>
    </cfRule>
    <cfRule type="cellIs" dxfId="301" priority="69" operator="equal">
      <formula>"Moderado"</formula>
    </cfRule>
    <cfRule type="cellIs" dxfId="300" priority="70" operator="equal">
      <formula>"Bajo"</formula>
    </cfRule>
  </conditionalFormatting>
  <conditionalFormatting sqref="AF55:AF60">
    <cfRule type="cellIs" dxfId="299" priority="62" operator="equal">
      <formula>"Muy Alta"</formula>
    </cfRule>
    <cfRule type="cellIs" dxfId="298" priority="63" operator="equal">
      <formula>"Alta"</formula>
    </cfRule>
    <cfRule type="cellIs" dxfId="297" priority="64" operator="equal">
      <formula>"Media"</formula>
    </cfRule>
    <cfRule type="cellIs" dxfId="296" priority="65" operator="equal">
      <formula>"Baja"</formula>
    </cfRule>
    <cfRule type="cellIs" dxfId="295" priority="66" operator="equal">
      <formula>"Muy Baja"</formula>
    </cfRule>
  </conditionalFormatting>
  <conditionalFormatting sqref="AH55:AH60">
    <cfRule type="cellIs" dxfId="294" priority="57" operator="equal">
      <formula>"Catastrófico"</formula>
    </cfRule>
    <cfRule type="cellIs" dxfId="293" priority="58" operator="equal">
      <formula>"Mayor"</formula>
    </cfRule>
    <cfRule type="cellIs" dxfId="292" priority="59" operator="equal">
      <formula>"Moderado"</formula>
    </cfRule>
    <cfRule type="cellIs" dxfId="291" priority="60" operator="equal">
      <formula>"Menor"</formula>
    </cfRule>
    <cfRule type="cellIs" dxfId="290" priority="61" operator="equal">
      <formula>"Leve"</formula>
    </cfRule>
  </conditionalFormatting>
  <conditionalFormatting sqref="AJ55:AJ60">
    <cfRule type="cellIs" dxfId="289" priority="53" operator="equal">
      <formula>"Extremo"</formula>
    </cfRule>
    <cfRule type="cellIs" dxfId="288" priority="54" operator="equal">
      <formula>"Alto"</formula>
    </cfRule>
    <cfRule type="cellIs" dxfId="287" priority="55" operator="equal">
      <formula>"Moderado"</formula>
    </cfRule>
    <cfRule type="cellIs" dxfId="286" priority="56" operator="equal">
      <formula>"Bajo"</formula>
    </cfRule>
  </conditionalFormatting>
  <conditionalFormatting sqref="U61">
    <cfRule type="cellIs" dxfId="285" priority="44" operator="equal">
      <formula>"Extremo"</formula>
    </cfRule>
    <cfRule type="cellIs" dxfId="284" priority="45" operator="equal">
      <formula>"Alto"</formula>
    </cfRule>
    <cfRule type="cellIs" dxfId="283" priority="46" operator="equal">
      <formula>"Moderado"</formula>
    </cfRule>
    <cfRule type="cellIs" dxfId="282" priority="47" operator="equal">
      <formula>"Bajo"</formula>
    </cfRule>
  </conditionalFormatting>
  <conditionalFormatting sqref="AF61:AF66">
    <cfRule type="cellIs" dxfId="281" priority="39" operator="equal">
      <formula>"Muy Alta"</formula>
    </cfRule>
    <cfRule type="cellIs" dxfId="280" priority="40" operator="equal">
      <formula>"Alta"</formula>
    </cfRule>
    <cfRule type="cellIs" dxfId="279" priority="41" operator="equal">
      <formula>"Media"</formula>
    </cfRule>
    <cfRule type="cellIs" dxfId="278" priority="42" operator="equal">
      <formula>"Baja"</formula>
    </cfRule>
    <cfRule type="cellIs" dxfId="277" priority="43" operator="equal">
      <formula>"Muy Baja"</formula>
    </cfRule>
  </conditionalFormatting>
  <conditionalFormatting sqref="AH61:AH66">
    <cfRule type="cellIs" dxfId="276" priority="34" operator="equal">
      <formula>"Catastrófico"</formula>
    </cfRule>
    <cfRule type="cellIs" dxfId="275" priority="35" operator="equal">
      <formula>"Mayor"</formula>
    </cfRule>
    <cfRule type="cellIs" dxfId="274" priority="36" operator="equal">
      <formula>"Moderado"</formula>
    </cfRule>
    <cfRule type="cellIs" dxfId="273" priority="37" operator="equal">
      <formula>"Menor"</formula>
    </cfRule>
    <cfRule type="cellIs" dxfId="272" priority="38" operator="equal">
      <formula>"Leve"</formula>
    </cfRule>
  </conditionalFormatting>
  <conditionalFormatting sqref="AJ61:AJ66">
    <cfRule type="cellIs" dxfId="271" priority="30" operator="equal">
      <formula>"Extremo"</formula>
    </cfRule>
    <cfRule type="cellIs" dxfId="270" priority="31" operator="equal">
      <formula>"Alto"</formula>
    </cfRule>
    <cfRule type="cellIs" dxfId="269" priority="32" operator="equal">
      <formula>"Moderado"</formula>
    </cfRule>
    <cfRule type="cellIs" dxfId="268" priority="33" operator="equal">
      <formula>"Bajo"</formula>
    </cfRule>
  </conditionalFormatting>
  <conditionalFormatting sqref="O67">
    <cfRule type="cellIs" dxfId="267" priority="25" operator="equal">
      <formula>"Muy Alta"</formula>
    </cfRule>
    <cfRule type="cellIs" dxfId="266" priority="26" operator="equal">
      <formula>"Alta"</formula>
    </cfRule>
    <cfRule type="cellIs" dxfId="265" priority="27" operator="equal">
      <formula>"Media"</formula>
    </cfRule>
    <cfRule type="cellIs" dxfId="264" priority="28" operator="equal">
      <formula>"Baja"</formula>
    </cfRule>
    <cfRule type="cellIs" dxfId="263" priority="29" operator="equal">
      <formula>"Muy Baja"</formula>
    </cfRule>
  </conditionalFormatting>
  <conditionalFormatting sqref="U67">
    <cfRule type="cellIs" dxfId="262" priority="21" operator="equal">
      <formula>"Extremo"</formula>
    </cfRule>
    <cfRule type="cellIs" dxfId="261" priority="22" operator="equal">
      <formula>"Alto"</formula>
    </cfRule>
    <cfRule type="cellIs" dxfId="260" priority="23" operator="equal">
      <formula>"Moderado"</formula>
    </cfRule>
    <cfRule type="cellIs" dxfId="259" priority="24" operator="equal">
      <formula>"Bajo"</formula>
    </cfRule>
  </conditionalFormatting>
  <conditionalFormatting sqref="AF67:AF72">
    <cfRule type="cellIs" dxfId="258" priority="16" operator="equal">
      <formula>"Muy Alta"</formula>
    </cfRule>
    <cfRule type="cellIs" dxfId="257" priority="17" operator="equal">
      <formula>"Alta"</formula>
    </cfRule>
    <cfRule type="cellIs" dxfId="256" priority="18" operator="equal">
      <formula>"Media"</formula>
    </cfRule>
    <cfRule type="cellIs" dxfId="255" priority="19" operator="equal">
      <formula>"Baja"</formula>
    </cfRule>
    <cfRule type="cellIs" dxfId="254" priority="20" operator="equal">
      <formula>"Muy Baja"</formula>
    </cfRule>
  </conditionalFormatting>
  <conditionalFormatting sqref="AH67:AH72">
    <cfRule type="cellIs" dxfId="253" priority="11" operator="equal">
      <formula>"Catastrófico"</formula>
    </cfRule>
    <cfRule type="cellIs" dxfId="252" priority="12" operator="equal">
      <formula>"Mayor"</formula>
    </cfRule>
    <cfRule type="cellIs" dxfId="251" priority="13" operator="equal">
      <formula>"Moderado"</formula>
    </cfRule>
    <cfRule type="cellIs" dxfId="250" priority="14" operator="equal">
      <formula>"Menor"</formula>
    </cfRule>
    <cfRule type="cellIs" dxfId="249" priority="15" operator="equal">
      <formula>"Leve"</formula>
    </cfRule>
  </conditionalFormatting>
  <conditionalFormatting sqref="AJ67:AJ72">
    <cfRule type="cellIs" dxfId="248" priority="7" operator="equal">
      <formula>"Extremo"</formula>
    </cfRule>
    <cfRule type="cellIs" dxfId="247" priority="8" operator="equal">
      <formula>"Alto"</formula>
    </cfRule>
    <cfRule type="cellIs" dxfId="246" priority="9" operator="equal">
      <formula>"Moderado"</formula>
    </cfRule>
    <cfRule type="cellIs" dxfId="245" priority="10" operator="equal">
      <formula>"Bajo"</formula>
    </cfRule>
  </conditionalFormatting>
  <conditionalFormatting sqref="R13:R72">
    <cfRule type="containsText" dxfId="244" priority="6" operator="containsText" text="❌">
      <formula>NOT(ISERROR(SEARCH("❌",R13)))</formula>
    </cfRule>
  </conditionalFormatting>
  <conditionalFormatting sqref="O55">
    <cfRule type="cellIs" dxfId="243" priority="1" operator="equal">
      <formula>"Muy Alta"</formula>
    </cfRule>
    <cfRule type="cellIs" dxfId="242" priority="2" operator="equal">
      <formula>"Alta"</formula>
    </cfRule>
    <cfRule type="cellIs" dxfId="241" priority="3" operator="equal">
      <formula>"Media"</formula>
    </cfRule>
    <cfRule type="cellIs" dxfId="240" priority="4" operator="equal">
      <formula>"Baja"</formula>
    </cfRule>
    <cfRule type="cellIs" dxfId="239"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&amp;LAvenida Calle 26 No. 69-76,Edificio Elemento ,   Torre Aire , Piso 3, CP-111071
PBX:(+57) 601-3779555 - Información: Línea 195
Sede Operativa - Atención al Ciudadano: Calle 22D No. 120-40 
www.umv.gov.co&amp;CDESI-FM-018
Página &amp;P de &amp;N</oddFooter>
  </headerFooter>
  <rowBreaks count="1" manualBreakCount="1">
    <brk id="30" max="43" man="1"/>
  </rowBreaks>
  <colBreaks count="1" manualBreakCount="1">
    <brk id="20" min="3" max="65" man="1"/>
  </colBreaks>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600-000000000000}">
          <x14:formula1>
            <xm:f>Listas!$H$14:$H$18</xm:f>
          </x14:formula1>
          <xm:sqref>M13:M72</xm:sqref>
        </x14:dataValidation>
        <x14:dataValidation type="list" allowBlank="1" showInputMessage="1" showErrorMessage="1" xr:uid="{00000000-0002-0000-0600-000001000000}">
          <x14:formula1>
            <xm:f>Listas!$H$8:$H$12</xm:f>
          </x14:formula1>
          <xm:sqref>L13:L72</xm:sqref>
        </x14:dataValidation>
        <x14:dataValidation type="list" allowBlank="1" showInputMessage="1" showErrorMessage="1" xr:uid="{00000000-0002-0000-0600-000002000000}">
          <x14:formula1>
            <xm:f>Intructivo!$C$300:$C$316</xm:f>
          </x14:formula1>
          <xm:sqref>U6:V6 C6</xm:sqref>
        </x14:dataValidation>
        <x14:dataValidation type="list" allowBlank="1" showInputMessage="1" showErrorMessage="1" xr:uid="{00000000-0002-0000-0600-000003000000}">
          <x14:formula1>
            <xm:f>Listas!$F$8:$F$9</xm:f>
          </x14:formula1>
          <xm:sqref>G13:G72</xm:sqref>
        </x14:dataValidation>
        <x14:dataValidation type="list" allowBlank="1" showInputMessage="1" showErrorMessage="1" xr:uid="{00000000-0002-0000-0600-000004000000}">
          <x14:formula1>
            <xm:f>Listas!$B$17:$B$19</xm:f>
          </x14:formula1>
          <xm:sqref>F13:F72</xm:sqref>
        </x14:dataValidation>
        <x14:dataValidation type="custom" allowBlank="1" showInputMessage="1" showErrorMessage="1" error="Recuerde que las acciones se generan bajo la medida de mitigar el riesgo" xr:uid="{00000000-0002-0000-0600-000005000000}">
          <x14:formula1>
            <xm:f>IF(OR(#REF!=Listas!$B$2,#REF!=Listas!$B$3,#REF!=Listas!$B$4),ISBLANK(#REF!),ISTEXT(#REF!))</xm:f>
          </x14:formula1>
          <xm:sqref>AP19:AR19 AP67:AR67 AP61:AR61 AP55:AR55 AP49:AR49 AP43:AR43 AP37:AR37 AP31:AR31 AP25:AR25</xm:sqref>
        </x14:dataValidation>
        <x14:dataValidation type="custom" allowBlank="1" showInputMessage="1" showErrorMessage="1" error="Recuerde que las acciones se generan bajo la medida de mitigar el riesgo" xr:uid="{00000000-0002-0000-0600-000006000000}">
          <x14:formula1>
            <xm:f>IF(OR(AK13=Listas!$B$2,AK13=Listas!$B$3,AK13=Listas!$B$4),ISBLANK(AK13),ISTEXT(AK13))</xm:f>
          </x14:formula1>
          <xm:sqref>AO13 AO16:AO72</xm:sqref>
        </x14:dataValidation>
        <x14:dataValidation type="custom" allowBlank="1" showInputMessage="1" showErrorMessage="1" error="Recuerde que las acciones se generan bajo la medida de mitigar el riesgo" xr:uid="{00000000-0002-0000-0600-000007000000}">
          <x14:formula1>
            <xm:f>IF(OR(AK13=Listas!$B$2,AK13=Listas!$B$3,AK13=Listas!$B$4),ISBLANK(AK13),ISTEXT(AK13))</xm:f>
          </x14:formula1>
          <xm:sqref>AM13:AN13 AM16:AN72</xm:sqref>
        </x14:dataValidation>
        <x14:dataValidation type="custom" allowBlank="1" showInputMessage="1" showErrorMessage="1" error="Recuerde que las acciones se generan bajo la medida de mitigar el riesgo" xr:uid="{00000000-0002-0000-0600-000008000000}">
          <x14:formula1>
            <xm:f>IF(OR(AK13=Listas!$B$2,AK13=Listas!$B$3,AK13=Listas!$B$4),ISBLANK(AK13),ISTEXT(AK13))</xm:f>
          </x14:formula1>
          <xm:sqref>AL13 AL16:AL72</xm:sqref>
        </x14:dataValidation>
        <x14:dataValidation type="list" allowBlank="1" showInputMessage="1" showErrorMessage="1" xr:uid="{00000000-0002-0000-0600-000009000000}">
          <x14:formula1>
            <xm:f>Listas!$B$2:$B$5</xm:f>
          </x14:formula1>
          <xm:sqref>AK13:AK72</xm:sqref>
        </x14:dataValidation>
        <x14:dataValidation type="list" allowBlank="1" showInputMessage="1" showErrorMessage="1" xr:uid="{00000000-0002-0000-0600-00000A000000}">
          <x14:formula1>
            <xm:f>Listas!$E$2:$E$4</xm:f>
          </x14:formula1>
          <xm:sqref>B13:B72</xm:sqref>
        </x14:dataValidation>
        <x14:dataValidation type="list" allowBlank="1" showInputMessage="1" showErrorMessage="1" xr:uid="{00000000-0002-0000-0600-00000B000000}">
          <x14:formula1>
            <xm:f>'Tabla Valoración controles'!$D$13:$D$14</xm:f>
          </x14:formula1>
          <xm:sqref>AD13:AD72</xm:sqref>
        </x14:dataValidation>
        <x14:dataValidation type="list" allowBlank="1" showInputMessage="1" showErrorMessage="1" xr:uid="{00000000-0002-0000-0600-00000C000000}">
          <x14:formula1>
            <xm:f>'Tabla Valoración controles'!$D$11:$D$12</xm:f>
          </x14:formula1>
          <xm:sqref>AC13:AC72</xm:sqref>
        </x14:dataValidation>
        <x14:dataValidation type="list" allowBlank="1" showInputMessage="1" showErrorMessage="1" xr:uid="{00000000-0002-0000-0600-00000D000000}">
          <x14:formula1>
            <xm:f>'Tabla Valoración controles'!$D$9:$D$10</xm:f>
          </x14:formula1>
          <xm:sqref>AB13:AB72</xm:sqref>
        </x14:dataValidation>
        <x14:dataValidation type="list" allowBlank="1" showInputMessage="1" showErrorMessage="1" xr:uid="{00000000-0002-0000-0600-00000E000000}">
          <x14:formula1>
            <xm:f>'Tabla Valoración controles'!$D$7:$D$8</xm:f>
          </x14:formula1>
          <xm:sqref>Z13:Z72</xm:sqref>
        </x14:dataValidation>
        <x14:dataValidation type="list" allowBlank="1" showInputMessage="1" showErrorMessage="1" xr:uid="{00000000-0002-0000-0600-00000F000000}">
          <x14:formula1>
            <xm:f>'Tabla Valoración controles'!$D$4:$D$6</xm:f>
          </x14:formula1>
          <xm:sqref>Y13:Y72</xm:sqref>
        </x14:dataValidation>
        <x14:dataValidation type="list" allowBlank="1" showInputMessage="1" showErrorMessage="1" xr:uid="{00000000-0002-0000-0600-000010000000}">
          <x14:formula1>
            <xm:f>'Tabla Impacto'!$F$220:$F$222</xm:f>
          </x14:formula1>
          <xm:sqref>Q13:Q72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29"/>
  <sheetViews>
    <sheetView topLeftCell="A20" zoomScaleNormal="100" zoomScaleSheetLayoutView="90" workbookViewId="0">
      <selection activeCell="B25" sqref="B25:F25"/>
    </sheetView>
  </sheetViews>
  <sheetFormatPr baseColWidth="10" defaultColWidth="11.42578125" defaultRowHeight="14.25" x14ac:dyDescent="0.25"/>
  <cols>
    <col min="1" max="1" width="2.140625" style="148" customWidth="1"/>
    <col min="2" max="2" width="11.42578125" style="148"/>
    <col min="3" max="3" width="34.28515625" style="148" customWidth="1"/>
    <col min="4" max="4" width="36.42578125" style="148" customWidth="1"/>
    <col min="5" max="6" width="13.85546875" style="148" customWidth="1"/>
    <col min="7" max="7" width="1.28515625" style="148" customWidth="1"/>
    <col min="8" max="16384" width="11.42578125" style="148"/>
  </cols>
  <sheetData>
    <row r="1" spans="2:6" ht="11.25" customHeight="1" thickBot="1" x14ac:dyDescent="0.3"/>
    <row r="2" spans="2:6" ht="18.75" customHeight="1" thickBot="1" x14ac:dyDescent="0.3">
      <c r="B2" s="567" t="s">
        <v>282</v>
      </c>
      <c r="C2" s="568"/>
      <c r="D2" s="568"/>
      <c r="E2" s="568"/>
      <c r="F2" s="569"/>
    </row>
    <row r="3" spans="2:6" ht="31.9" customHeight="1" x14ac:dyDescent="0.25">
      <c r="B3" s="570" t="s">
        <v>283</v>
      </c>
      <c r="C3" s="572" t="s">
        <v>284</v>
      </c>
      <c r="D3" s="572"/>
      <c r="E3" s="572" t="s">
        <v>285</v>
      </c>
      <c r="F3" s="574"/>
    </row>
    <row r="4" spans="2:6" ht="28.15" customHeight="1" thickBot="1" x14ac:dyDescent="0.3">
      <c r="B4" s="571"/>
      <c r="C4" s="573"/>
      <c r="D4" s="573"/>
      <c r="E4" s="158" t="s">
        <v>286</v>
      </c>
      <c r="F4" s="159" t="s">
        <v>287</v>
      </c>
    </row>
    <row r="5" spans="2:6" ht="23.25" customHeight="1" x14ac:dyDescent="0.25">
      <c r="B5" s="149">
        <v>1</v>
      </c>
      <c r="C5" s="575" t="s">
        <v>288</v>
      </c>
      <c r="D5" s="575"/>
      <c r="E5" s="178"/>
      <c r="F5" s="179"/>
    </row>
    <row r="6" spans="2:6" ht="33" customHeight="1" x14ac:dyDescent="0.25">
      <c r="B6" s="150">
        <v>2</v>
      </c>
      <c r="C6" s="566" t="s">
        <v>289</v>
      </c>
      <c r="D6" s="566"/>
      <c r="E6" s="180"/>
      <c r="F6" s="181"/>
    </row>
    <row r="7" spans="2:6" ht="39" customHeight="1" x14ac:dyDescent="0.25">
      <c r="B7" s="150">
        <v>3</v>
      </c>
      <c r="C7" s="566" t="s">
        <v>290</v>
      </c>
      <c r="D7" s="566"/>
      <c r="E7" s="180"/>
      <c r="F7" s="181"/>
    </row>
    <row r="8" spans="2:6" ht="24.75" customHeight="1" x14ac:dyDescent="0.25">
      <c r="B8" s="150">
        <v>4</v>
      </c>
      <c r="C8" s="566" t="s">
        <v>291</v>
      </c>
      <c r="D8" s="566"/>
      <c r="E8" s="180"/>
      <c r="F8" s="181"/>
    </row>
    <row r="9" spans="2:6" ht="23.25" customHeight="1" x14ac:dyDescent="0.25">
      <c r="B9" s="150">
        <v>5</v>
      </c>
      <c r="C9" s="566" t="s">
        <v>292</v>
      </c>
      <c r="D9" s="566"/>
      <c r="E9" s="180"/>
      <c r="F9" s="181"/>
    </row>
    <row r="10" spans="2:6" ht="23.25" customHeight="1" x14ac:dyDescent="0.25">
      <c r="B10" s="150">
        <v>6</v>
      </c>
      <c r="C10" s="566" t="s">
        <v>293</v>
      </c>
      <c r="D10" s="566"/>
      <c r="E10" s="180"/>
      <c r="F10" s="181"/>
    </row>
    <row r="11" spans="2:6" ht="23.25" customHeight="1" x14ac:dyDescent="0.25">
      <c r="B11" s="150">
        <v>7</v>
      </c>
      <c r="C11" s="566" t="s">
        <v>294</v>
      </c>
      <c r="D11" s="566"/>
      <c r="E11" s="180"/>
      <c r="F11" s="181"/>
    </row>
    <row r="12" spans="2:6" ht="25.5" customHeight="1" x14ac:dyDescent="0.25">
      <c r="B12" s="150">
        <v>8</v>
      </c>
      <c r="C12" s="566" t="s">
        <v>295</v>
      </c>
      <c r="D12" s="566"/>
      <c r="E12" s="151"/>
      <c r="F12" s="152"/>
    </row>
    <row r="13" spans="2:6" ht="23.25" customHeight="1" x14ac:dyDescent="0.25">
      <c r="B13" s="150">
        <v>9</v>
      </c>
      <c r="C13" s="566" t="s">
        <v>296</v>
      </c>
      <c r="D13" s="566"/>
      <c r="E13" s="151"/>
      <c r="F13" s="152"/>
    </row>
    <row r="14" spans="2:6" ht="23.25" customHeight="1" x14ac:dyDescent="0.25">
      <c r="B14" s="150">
        <v>10</v>
      </c>
      <c r="C14" s="566" t="s">
        <v>297</v>
      </c>
      <c r="D14" s="566"/>
      <c r="E14" s="151"/>
      <c r="F14" s="152"/>
    </row>
    <row r="15" spans="2:6" ht="23.25" customHeight="1" x14ac:dyDescent="0.25">
      <c r="B15" s="150">
        <v>11</v>
      </c>
      <c r="C15" s="566" t="s">
        <v>298</v>
      </c>
      <c r="D15" s="566"/>
      <c r="E15" s="151"/>
      <c r="F15" s="152"/>
    </row>
    <row r="16" spans="2:6" ht="23.25" customHeight="1" x14ac:dyDescent="0.25">
      <c r="B16" s="150">
        <v>12</v>
      </c>
      <c r="C16" s="566" t="s">
        <v>299</v>
      </c>
      <c r="D16" s="566"/>
      <c r="E16" s="151"/>
      <c r="F16" s="152"/>
    </row>
    <row r="17" spans="2:6" ht="23.25" customHeight="1" x14ac:dyDescent="0.25">
      <c r="B17" s="150">
        <v>13</v>
      </c>
      <c r="C17" s="566" t="s">
        <v>300</v>
      </c>
      <c r="D17" s="566"/>
      <c r="E17" s="151"/>
      <c r="F17" s="152"/>
    </row>
    <row r="18" spans="2:6" ht="23.25" customHeight="1" x14ac:dyDescent="0.25">
      <c r="B18" s="150">
        <v>14</v>
      </c>
      <c r="C18" s="566" t="s">
        <v>301</v>
      </c>
      <c r="D18" s="566"/>
      <c r="E18" s="151"/>
      <c r="F18" s="152"/>
    </row>
    <row r="19" spans="2:6" ht="23.25" customHeight="1" x14ac:dyDescent="0.25">
      <c r="B19" s="150">
        <v>15</v>
      </c>
      <c r="C19" s="566" t="s">
        <v>302</v>
      </c>
      <c r="D19" s="566"/>
      <c r="E19" s="151"/>
      <c r="F19" s="152"/>
    </row>
    <row r="20" spans="2:6" ht="23.25" customHeight="1" x14ac:dyDescent="0.25">
      <c r="B20" s="150">
        <v>16</v>
      </c>
      <c r="C20" s="566" t="s">
        <v>303</v>
      </c>
      <c r="D20" s="566"/>
      <c r="E20" s="151"/>
      <c r="F20" s="152"/>
    </row>
    <row r="21" spans="2:6" ht="23.25" customHeight="1" x14ac:dyDescent="0.25">
      <c r="B21" s="150">
        <v>17</v>
      </c>
      <c r="C21" s="566" t="s">
        <v>304</v>
      </c>
      <c r="D21" s="566"/>
      <c r="E21" s="151"/>
      <c r="F21" s="152"/>
    </row>
    <row r="22" spans="2:6" ht="23.25" customHeight="1" x14ac:dyDescent="0.25">
      <c r="B22" s="150">
        <v>18</v>
      </c>
      <c r="C22" s="580" t="s">
        <v>305</v>
      </c>
      <c r="D22" s="580"/>
      <c r="E22" s="151"/>
      <c r="F22" s="152"/>
    </row>
    <row r="23" spans="2:6" ht="23.25" customHeight="1" thickBot="1" x14ac:dyDescent="0.3">
      <c r="B23" s="150">
        <v>19</v>
      </c>
      <c r="C23" s="566" t="s">
        <v>306</v>
      </c>
      <c r="D23" s="566"/>
      <c r="E23" s="151"/>
      <c r="F23" s="152"/>
    </row>
    <row r="24" spans="2:6" ht="15.75" customHeight="1" thickBot="1" x14ac:dyDescent="0.3">
      <c r="B24" s="581" t="s">
        <v>307</v>
      </c>
      <c r="C24" s="576"/>
      <c r="D24" s="576"/>
      <c r="E24" s="576">
        <f>COUNTIF(E5:E23,"X")</f>
        <v>0</v>
      </c>
      <c r="F24" s="577"/>
    </row>
    <row r="25" spans="2:6" ht="45.75" customHeight="1" x14ac:dyDescent="0.25">
      <c r="B25" s="578" t="s">
        <v>308</v>
      </c>
      <c r="C25" s="578"/>
      <c r="D25" s="578"/>
      <c r="E25" s="578"/>
      <c r="F25" s="578"/>
    </row>
    <row r="26" spans="2:6" ht="9.75" customHeight="1" x14ac:dyDescent="0.25">
      <c r="B26" s="579"/>
      <c r="C26" s="579"/>
      <c r="D26" s="579"/>
      <c r="E26" s="579"/>
      <c r="F26" s="579"/>
    </row>
    <row r="27" spans="2:6" x14ac:dyDescent="0.25">
      <c r="B27" s="247"/>
    </row>
    <row r="28" spans="2:6" x14ac:dyDescent="0.25">
      <c r="B28" s="247"/>
    </row>
    <row r="29" spans="2:6" x14ac:dyDescent="0.25">
      <c r="B29" s="247"/>
    </row>
  </sheetData>
  <mergeCells count="27">
    <mergeCell ref="E24:F24"/>
    <mergeCell ref="B25:F25"/>
    <mergeCell ref="B26:F26"/>
    <mergeCell ref="C19:D19"/>
    <mergeCell ref="C20:D20"/>
    <mergeCell ref="C21:D21"/>
    <mergeCell ref="C22:D22"/>
    <mergeCell ref="C23:D23"/>
    <mergeCell ref="B24:D24"/>
    <mergeCell ref="C18:D18"/>
    <mergeCell ref="C7:D7"/>
    <mergeCell ref="C8:D8"/>
    <mergeCell ref="C9:D9"/>
    <mergeCell ref="C10:D10"/>
    <mergeCell ref="C11:D11"/>
    <mergeCell ref="C12:D12"/>
    <mergeCell ref="C13:D13"/>
    <mergeCell ref="C14:D14"/>
    <mergeCell ref="C15:D15"/>
    <mergeCell ref="C16:D16"/>
    <mergeCell ref="C17:D17"/>
    <mergeCell ref="C6:D6"/>
    <mergeCell ref="B2:F2"/>
    <mergeCell ref="B3:B4"/>
    <mergeCell ref="C3:D4"/>
    <mergeCell ref="E3:F3"/>
    <mergeCell ref="C5:D5"/>
  </mergeCells>
  <dataValidations count="1">
    <dataValidation type="list" allowBlank="1" showInputMessage="1" showErrorMessage="1" sqref="E5:F23" xr:uid="{00000000-0002-0000-0700-000000000000}">
      <formula1>"X"</formula1>
    </dataValidation>
  </dataValidations>
  <printOptions horizontalCentered="1"/>
  <pageMargins left="0.25" right="0.25" top="0.75" bottom="0.75" header="0.3" footer="0.3"/>
  <pageSetup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JP75"/>
  <sheetViews>
    <sheetView zoomScale="60" zoomScaleNormal="60" zoomScaleSheetLayoutView="50" zoomScalePageLayoutView="60" workbookViewId="0">
      <selection activeCell="A13" sqref="A13:A18"/>
    </sheetView>
  </sheetViews>
  <sheetFormatPr baseColWidth="10" defaultColWidth="11.42578125" defaultRowHeight="15" x14ac:dyDescent="0.2"/>
  <cols>
    <col min="1" max="1" width="6.5703125" style="218" customWidth="1"/>
    <col min="2" max="2" width="16" style="218" customWidth="1"/>
    <col min="3" max="3" width="19.140625" style="218" customWidth="1"/>
    <col min="4" max="4" width="25.28515625" style="218" customWidth="1"/>
    <col min="5" max="5" width="52.5703125" style="218" customWidth="1"/>
    <col min="6" max="10" width="17.7109375" style="198" customWidth="1"/>
    <col min="11" max="11" width="18.5703125" style="198" customWidth="1"/>
    <col min="12" max="12" width="24.28515625" style="198" customWidth="1"/>
    <col min="13" max="14" width="29.42578125" style="198" customWidth="1"/>
    <col min="15" max="15" width="24.28515625" style="198" customWidth="1"/>
    <col min="16" max="16" width="19.42578125" style="198" customWidth="1"/>
    <col min="17" max="17" width="20.5703125" style="198" customWidth="1"/>
    <col min="18" max="18" width="16.7109375" style="219" customWidth="1"/>
    <col min="19" max="19" width="19.28515625" style="198" customWidth="1"/>
    <col min="20" max="20" width="20.42578125" style="198" customWidth="1"/>
    <col min="21" max="21" width="24.5703125" style="198" customWidth="1"/>
    <col min="22" max="22" width="35.85546875" style="198" hidden="1" customWidth="1"/>
    <col min="23" max="23" width="30.5703125" style="198" hidden="1" customWidth="1"/>
    <col min="24" max="24" width="17.5703125" style="198" customWidth="1"/>
    <col min="25" max="25" width="15" style="198" customWidth="1"/>
    <col min="26" max="26" width="13.42578125" style="198" customWidth="1"/>
    <col min="27" max="27" width="74.140625" style="198" customWidth="1"/>
    <col min="28" max="28" width="5.7109375" style="198" hidden="1" customWidth="1"/>
    <col min="29" max="29" width="5.85546875" style="198" customWidth="1"/>
    <col min="30" max="30" width="6.85546875" style="198" customWidth="1"/>
    <col min="31" max="31" width="5" style="198" hidden="1" customWidth="1"/>
    <col min="32" max="32" width="5.5703125" style="198" customWidth="1"/>
    <col min="33" max="33" width="7.140625" style="198" customWidth="1"/>
    <col min="34" max="34" width="6.7109375" style="198" customWidth="1"/>
    <col min="35" max="35" width="7.5703125" style="198" hidden="1" customWidth="1"/>
    <col min="36" max="36" width="8.5703125" style="198" customWidth="1"/>
    <col min="37" max="41" width="10.85546875" style="198" customWidth="1"/>
    <col min="42" max="42" width="10.85546875" style="217" customWidth="1"/>
    <col min="43" max="43" width="23" style="198" customWidth="1"/>
    <col min="44" max="44" width="18.85546875" style="198" customWidth="1"/>
    <col min="45" max="45" width="21.5703125" style="198" customWidth="1"/>
    <col min="46" max="46" width="22.42578125" style="198" customWidth="1"/>
    <col min="47" max="47" width="18.28515625" style="198" customWidth="1"/>
    <col min="48" max="48" width="22.7109375" style="198" customWidth="1"/>
    <col min="49" max="16384" width="11.42578125" style="198"/>
  </cols>
  <sheetData>
    <row r="1" spans="1:276" s="201" customFormat="1" ht="24" customHeight="1" x14ac:dyDescent="0.3">
      <c r="A1" s="401"/>
      <c r="B1" s="402"/>
      <c r="C1" s="545"/>
      <c r="D1" s="596" t="s">
        <v>208</v>
      </c>
      <c r="E1" s="596"/>
      <c r="F1" s="597"/>
      <c r="G1" s="597"/>
      <c r="H1" s="597"/>
      <c r="I1" s="597"/>
      <c r="J1" s="597"/>
      <c r="K1" s="597"/>
      <c r="L1" s="597"/>
      <c r="M1" s="597"/>
      <c r="N1" s="597"/>
      <c r="O1" s="597"/>
      <c r="P1" s="597"/>
      <c r="Q1" s="597"/>
      <c r="R1" s="597"/>
      <c r="S1" s="597"/>
      <c r="T1" s="597"/>
      <c r="U1" s="597"/>
      <c r="V1" s="597"/>
      <c r="W1" s="597"/>
      <c r="X1" s="597"/>
      <c r="Y1" s="597"/>
      <c r="Z1" s="598"/>
      <c r="AA1" s="253"/>
      <c r="AB1" s="370"/>
      <c r="AC1" s="370"/>
      <c r="AD1" s="370"/>
      <c r="AE1" s="370"/>
      <c r="AF1" s="370"/>
      <c r="AG1" s="370"/>
      <c r="AH1" s="370"/>
      <c r="AI1" s="370"/>
      <c r="AJ1" s="370"/>
      <c r="AK1" s="370"/>
      <c r="AL1" s="370"/>
      <c r="AM1" s="370"/>
      <c r="AN1" s="370"/>
      <c r="AO1" s="370"/>
      <c r="AP1" s="370"/>
      <c r="AQ1" s="370"/>
      <c r="AR1" s="370"/>
      <c r="AS1" s="370"/>
      <c r="AT1" s="370"/>
      <c r="AU1" s="370"/>
      <c r="AV1" s="370"/>
      <c r="AW1" s="200"/>
      <c r="AX1" s="200"/>
      <c r="AY1" s="200"/>
      <c r="AZ1" s="200"/>
      <c r="BA1" s="200"/>
      <c r="BB1" s="200"/>
      <c r="BC1" s="200"/>
      <c r="BD1" s="200"/>
      <c r="BE1" s="200"/>
      <c r="BF1" s="200"/>
      <c r="BG1" s="200"/>
      <c r="BH1" s="200"/>
      <c r="BI1" s="200"/>
      <c r="BJ1" s="200"/>
      <c r="BK1" s="200"/>
      <c r="BL1" s="200"/>
      <c r="BM1" s="200"/>
      <c r="BN1" s="200"/>
      <c r="BO1" s="200"/>
      <c r="BP1" s="200"/>
      <c r="BQ1" s="200"/>
      <c r="BR1" s="200"/>
      <c r="BS1" s="200"/>
      <c r="BT1" s="200"/>
    </row>
    <row r="2" spans="1:276" s="201" customFormat="1" ht="24" customHeight="1" thickBot="1" x14ac:dyDescent="0.35">
      <c r="A2" s="404"/>
      <c r="B2" s="405"/>
      <c r="C2" s="546"/>
      <c r="D2" s="599"/>
      <c r="E2" s="599"/>
      <c r="F2" s="600"/>
      <c r="G2" s="600"/>
      <c r="H2" s="600"/>
      <c r="I2" s="600"/>
      <c r="J2" s="600"/>
      <c r="K2" s="600"/>
      <c r="L2" s="600"/>
      <c r="M2" s="600"/>
      <c r="N2" s="600"/>
      <c r="O2" s="600"/>
      <c r="P2" s="600"/>
      <c r="Q2" s="600"/>
      <c r="R2" s="600"/>
      <c r="S2" s="600"/>
      <c r="T2" s="600"/>
      <c r="U2" s="600"/>
      <c r="V2" s="600"/>
      <c r="W2" s="600"/>
      <c r="X2" s="600"/>
      <c r="Y2" s="600"/>
      <c r="Z2" s="601"/>
      <c r="AA2" s="253"/>
      <c r="AB2" s="370"/>
      <c r="AC2" s="370"/>
      <c r="AD2" s="370"/>
      <c r="AE2" s="370"/>
      <c r="AF2" s="370"/>
      <c r="AG2" s="370"/>
      <c r="AH2" s="370"/>
      <c r="AI2" s="370"/>
      <c r="AJ2" s="370"/>
      <c r="AK2" s="370"/>
      <c r="AL2" s="370"/>
      <c r="AM2" s="370"/>
      <c r="AN2" s="370"/>
      <c r="AO2" s="370"/>
      <c r="AP2" s="370"/>
      <c r="AQ2" s="370"/>
      <c r="AR2" s="370"/>
      <c r="AS2" s="370"/>
      <c r="AT2" s="370"/>
      <c r="AU2" s="370"/>
      <c r="AV2" s="37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row>
    <row r="3" spans="1:276" s="201" customFormat="1" ht="24" customHeight="1" x14ac:dyDescent="0.3">
      <c r="A3" s="404"/>
      <c r="B3" s="405"/>
      <c r="C3" s="546"/>
      <c r="D3" s="602" t="s">
        <v>209</v>
      </c>
      <c r="E3" s="602"/>
      <c r="F3" s="603"/>
      <c r="G3" s="603"/>
      <c r="H3" s="603"/>
      <c r="I3" s="603"/>
      <c r="J3" s="603"/>
      <c r="K3" s="603"/>
      <c r="L3" s="603"/>
      <c r="M3" s="603"/>
      <c r="N3" s="603"/>
      <c r="O3" s="603"/>
      <c r="P3" s="603"/>
      <c r="Q3" s="603"/>
      <c r="R3" s="603"/>
      <c r="S3" s="603" t="s">
        <v>210</v>
      </c>
      <c r="T3" s="603"/>
      <c r="U3" s="603"/>
      <c r="V3" s="603"/>
      <c r="W3" s="603"/>
      <c r="X3" s="603"/>
      <c r="Y3" s="603"/>
      <c r="Z3" s="604"/>
      <c r="AA3" s="253"/>
      <c r="AB3" s="371"/>
      <c r="AC3" s="371"/>
      <c r="AD3" s="371"/>
      <c r="AE3" s="371"/>
      <c r="AF3" s="371"/>
      <c r="AG3" s="371"/>
      <c r="AH3" s="371"/>
      <c r="AI3" s="371"/>
      <c r="AJ3" s="371"/>
      <c r="AK3" s="371"/>
      <c r="AL3" s="371"/>
      <c r="AM3" s="371"/>
      <c r="AN3" s="371"/>
      <c r="AO3" s="371"/>
      <c r="AP3" s="371"/>
      <c r="AQ3" s="371"/>
      <c r="AR3" s="371"/>
      <c r="AS3" s="371"/>
      <c r="AT3" s="371"/>
      <c r="AU3" s="371"/>
      <c r="AV3" s="371"/>
      <c r="AW3" s="200"/>
      <c r="AX3" s="200"/>
      <c r="AY3" s="200"/>
      <c r="AZ3" s="200"/>
      <c r="BA3" s="200"/>
      <c r="BB3" s="200"/>
      <c r="BC3" s="200"/>
      <c r="BD3" s="200"/>
      <c r="BE3" s="200"/>
      <c r="BF3" s="200"/>
      <c r="BG3" s="200"/>
      <c r="BH3" s="200"/>
      <c r="BI3" s="200"/>
      <c r="BJ3" s="200"/>
      <c r="BK3" s="200"/>
      <c r="BL3" s="200"/>
      <c r="BM3" s="200"/>
      <c r="BN3" s="200"/>
      <c r="BO3" s="200"/>
      <c r="BP3" s="200"/>
      <c r="BQ3" s="200"/>
      <c r="BR3" s="200"/>
      <c r="BS3" s="200"/>
      <c r="BT3" s="200"/>
    </row>
    <row r="4" spans="1:276" s="201" customFormat="1" ht="24" customHeight="1" thickBot="1" x14ac:dyDescent="0.35">
      <c r="A4" s="407"/>
      <c r="B4" s="408"/>
      <c r="C4" s="547"/>
      <c r="D4" s="562" t="s">
        <v>422</v>
      </c>
      <c r="E4" s="562"/>
      <c r="F4" s="605"/>
      <c r="G4" s="605"/>
      <c r="H4" s="605"/>
      <c r="I4" s="605"/>
      <c r="J4" s="605"/>
      <c r="K4" s="605"/>
      <c r="L4" s="605"/>
      <c r="M4" s="605"/>
      <c r="N4" s="605"/>
      <c r="O4" s="605"/>
      <c r="P4" s="605"/>
      <c r="Q4" s="605"/>
      <c r="R4" s="605"/>
      <c r="S4" s="605"/>
      <c r="T4" s="605"/>
      <c r="U4" s="605"/>
      <c r="V4" s="605"/>
      <c r="W4" s="605"/>
      <c r="X4" s="605"/>
      <c r="Y4" s="605"/>
      <c r="Z4" s="606"/>
      <c r="AA4" s="253"/>
      <c r="AB4" s="371"/>
      <c r="AC4" s="371"/>
      <c r="AD4" s="371"/>
      <c r="AE4" s="371"/>
      <c r="AF4" s="371"/>
      <c r="AG4" s="371"/>
      <c r="AH4" s="371"/>
      <c r="AI4" s="371"/>
      <c r="AJ4" s="371"/>
      <c r="AK4" s="371"/>
      <c r="AL4" s="371"/>
      <c r="AM4" s="371"/>
      <c r="AN4" s="371"/>
      <c r="AO4" s="371"/>
      <c r="AP4" s="371"/>
      <c r="AQ4" s="371"/>
      <c r="AR4" s="371"/>
      <c r="AS4" s="371"/>
      <c r="AT4" s="371"/>
      <c r="AU4" s="371"/>
      <c r="AV4" s="371"/>
      <c r="AW4" s="200"/>
      <c r="AX4" s="200"/>
      <c r="AY4" s="200"/>
      <c r="AZ4" s="200"/>
      <c r="BA4" s="200"/>
      <c r="BB4" s="200"/>
      <c r="BC4" s="200"/>
      <c r="BD4" s="200"/>
      <c r="BE4" s="200"/>
      <c r="BF4" s="200"/>
      <c r="BG4" s="200"/>
      <c r="BH4" s="200"/>
      <c r="BI4" s="200"/>
      <c r="BJ4" s="200"/>
      <c r="BK4" s="200"/>
      <c r="BL4" s="200"/>
      <c r="BM4" s="200"/>
      <c r="BN4" s="200"/>
      <c r="BO4" s="200"/>
      <c r="BP4" s="200"/>
      <c r="BQ4" s="200"/>
      <c r="BR4" s="200"/>
      <c r="BS4" s="200"/>
      <c r="BT4" s="200"/>
    </row>
    <row r="5" spans="1:276" ht="15.75" thickBot="1" x14ac:dyDescent="0.25">
      <c r="A5" s="202"/>
      <c r="B5" s="203"/>
      <c r="C5" s="202"/>
      <c r="D5" s="202"/>
      <c r="E5" s="202"/>
      <c r="F5" s="204"/>
      <c r="G5" s="204"/>
      <c r="H5" s="204"/>
      <c r="I5" s="204"/>
      <c r="J5" s="204"/>
      <c r="K5" s="204"/>
      <c r="L5" s="204"/>
      <c r="M5" s="204"/>
      <c r="N5" s="204"/>
      <c r="O5" s="204"/>
      <c r="P5" s="204"/>
      <c r="Q5" s="204"/>
      <c r="R5" s="205"/>
      <c r="S5" s="204"/>
      <c r="T5" s="204"/>
      <c r="U5" s="204"/>
      <c r="V5" s="204"/>
      <c r="W5" s="204"/>
      <c r="X5" s="204"/>
      <c r="Y5" s="204"/>
      <c r="Z5" s="204"/>
      <c r="AA5" s="255"/>
      <c r="AB5" s="255"/>
      <c r="AC5" s="255"/>
      <c r="AD5" s="255"/>
      <c r="AE5" s="255"/>
      <c r="AF5" s="255"/>
      <c r="AG5" s="255"/>
      <c r="AH5" s="255"/>
      <c r="AI5" s="255"/>
      <c r="AJ5" s="255"/>
      <c r="AK5" s="255"/>
      <c r="AL5" s="255"/>
      <c r="AM5" s="255"/>
      <c r="AN5" s="255"/>
      <c r="AO5" s="255"/>
      <c r="AP5" s="257"/>
      <c r="AQ5" s="255"/>
      <c r="AR5" s="255"/>
      <c r="AS5" s="255"/>
      <c r="AT5" s="255"/>
      <c r="AU5" s="255"/>
      <c r="AV5" s="255"/>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row>
    <row r="6" spans="1:276" ht="27.75" customHeight="1" x14ac:dyDescent="0.2">
      <c r="A6" s="372" t="s">
        <v>211</v>
      </c>
      <c r="B6" s="373"/>
      <c r="C6" s="590" t="s">
        <v>83</v>
      </c>
      <c r="D6" s="591"/>
      <c r="E6" s="591"/>
      <c r="F6" s="591"/>
      <c r="G6" s="591"/>
      <c r="H6" s="591"/>
      <c r="I6" s="591"/>
      <c r="J6" s="591"/>
      <c r="K6" s="591"/>
      <c r="L6" s="591"/>
      <c r="M6" s="591"/>
      <c r="N6" s="591"/>
      <c r="O6" s="591"/>
      <c r="P6" s="591"/>
      <c r="Q6" s="591"/>
      <c r="R6" s="591"/>
      <c r="S6" s="591"/>
      <c r="T6" s="591"/>
      <c r="U6" s="591"/>
      <c r="V6" s="591"/>
      <c r="W6" s="591"/>
      <c r="X6" s="591"/>
      <c r="Y6" s="591"/>
      <c r="Z6" s="592"/>
      <c r="AA6" s="378"/>
      <c r="AB6" s="378"/>
      <c r="AC6" s="378"/>
      <c r="AD6" s="369"/>
      <c r="AE6" s="369"/>
      <c r="AF6" s="369"/>
      <c r="AG6" s="369"/>
      <c r="AH6" s="369"/>
      <c r="AI6" s="369"/>
      <c r="AJ6" s="369"/>
      <c r="AK6" s="369"/>
      <c r="AL6" s="369"/>
      <c r="AM6" s="369"/>
      <c r="AN6" s="369"/>
      <c r="AO6" s="369"/>
      <c r="AP6" s="369"/>
      <c r="AQ6" s="369"/>
      <c r="AR6" s="369"/>
      <c r="AS6" s="369"/>
      <c r="AT6" s="369"/>
      <c r="AU6" s="369"/>
      <c r="AV6" s="369"/>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row>
    <row r="7" spans="1:276" ht="36.75" customHeight="1" x14ac:dyDescent="0.25">
      <c r="A7" s="374" t="s">
        <v>212</v>
      </c>
      <c r="B7" s="375"/>
      <c r="C7" s="593" t="s">
        <v>426</v>
      </c>
      <c r="D7" s="594"/>
      <c r="E7" s="594"/>
      <c r="F7" s="594"/>
      <c r="G7" s="594"/>
      <c r="H7" s="594"/>
      <c r="I7" s="594"/>
      <c r="J7" s="594"/>
      <c r="K7" s="594"/>
      <c r="L7" s="594"/>
      <c r="M7" s="594"/>
      <c r="N7" s="594"/>
      <c r="O7" s="594"/>
      <c r="P7" s="594"/>
      <c r="Q7" s="594"/>
      <c r="R7" s="594"/>
      <c r="S7" s="594"/>
      <c r="T7" s="594"/>
      <c r="U7" s="594"/>
      <c r="V7" s="594"/>
      <c r="W7" s="594"/>
      <c r="X7" s="594"/>
      <c r="Y7" s="594"/>
      <c r="Z7" s="595"/>
      <c r="AA7" s="260"/>
      <c r="AB7" s="260"/>
      <c r="AC7" s="260"/>
      <c r="AD7" s="369"/>
      <c r="AE7" s="369"/>
      <c r="AF7" s="369"/>
      <c r="AG7" s="369"/>
      <c r="AH7" s="369"/>
      <c r="AI7" s="369"/>
      <c r="AJ7" s="369"/>
      <c r="AK7" s="369"/>
      <c r="AL7" s="369"/>
      <c r="AM7" s="369"/>
      <c r="AN7" s="369"/>
      <c r="AO7" s="369"/>
      <c r="AP7" s="369"/>
      <c r="AQ7" s="369"/>
      <c r="AR7" s="369"/>
      <c r="AS7" s="369"/>
      <c r="AT7" s="369"/>
      <c r="AU7" s="369"/>
      <c r="AV7" s="369"/>
      <c r="AW7" s="204"/>
      <c r="AX7" s="204"/>
      <c r="AY7" s="204"/>
      <c r="AZ7" s="204"/>
      <c r="BA7" s="204"/>
      <c r="BB7" s="204"/>
      <c r="BC7" s="204"/>
      <c r="BD7" s="204"/>
      <c r="BE7" s="204"/>
      <c r="BF7" s="204"/>
      <c r="BG7" s="204"/>
      <c r="BH7" s="204"/>
      <c r="BI7" s="204"/>
      <c r="BJ7" s="204"/>
      <c r="BK7" s="204"/>
      <c r="BL7" s="204"/>
      <c r="BM7" s="204"/>
      <c r="BN7" s="204"/>
      <c r="BO7" s="204"/>
      <c r="BP7" s="204"/>
      <c r="BQ7" s="204"/>
      <c r="BR7" s="204"/>
      <c r="BS7" s="204"/>
      <c r="BT7" s="204"/>
    </row>
    <row r="8" spans="1:276" ht="30" customHeight="1" thickBot="1" x14ac:dyDescent="0.3">
      <c r="A8" s="376" t="s">
        <v>213</v>
      </c>
      <c r="B8" s="377"/>
      <c r="C8" s="585" t="s">
        <v>427</v>
      </c>
      <c r="D8" s="586"/>
      <c r="E8" s="586"/>
      <c r="F8" s="586"/>
      <c r="G8" s="586"/>
      <c r="H8" s="586"/>
      <c r="I8" s="586"/>
      <c r="J8" s="586"/>
      <c r="K8" s="586"/>
      <c r="L8" s="586"/>
      <c r="M8" s="586"/>
      <c r="N8" s="586"/>
      <c r="O8" s="586"/>
      <c r="P8" s="586"/>
      <c r="Q8" s="586"/>
      <c r="R8" s="586"/>
      <c r="S8" s="586"/>
      <c r="T8" s="586"/>
      <c r="U8" s="586"/>
      <c r="V8" s="586"/>
      <c r="W8" s="586"/>
      <c r="X8" s="586"/>
      <c r="Y8" s="586"/>
      <c r="Z8" s="587"/>
      <c r="AA8" s="260"/>
      <c r="AB8" s="260"/>
      <c r="AC8" s="260"/>
      <c r="AD8" s="369"/>
      <c r="AE8" s="369"/>
      <c r="AF8" s="369"/>
      <c r="AG8" s="369"/>
      <c r="AH8" s="369"/>
      <c r="AI8" s="369"/>
      <c r="AJ8" s="369"/>
      <c r="AK8" s="369"/>
      <c r="AL8" s="369"/>
      <c r="AM8" s="369"/>
      <c r="AN8" s="369"/>
      <c r="AO8" s="369"/>
      <c r="AP8" s="369"/>
      <c r="AQ8" s="369"/>
      <c r="AR8" s="369"/>
      <c r="AS8" s="369"/>
      <c r="AT8" s="369"/>
      <c r="AU8" s="369"/>
      <c r="AV8" s="369"/>
      <c r="AW8" s="204"/>
      <c r="AX8" s="204"/>
      <c r="AY8" s="204"/>
      <c r="AZ8" s="204"/>
      <c r="BA8" s="204"/>
      <c r="BB8" s="204"/>
      <c r="BC8" s="204"/>
      <c r="BD8" s="204"/>
      <c r="BE8" s="204"/>
      <c r="BF8" s="204"/>
      <c r="BG8" s="204"/>
      <c r="BH8" s="204"/>
      <c r="BI8" s="204"/>
      <c r="BJ8" s="204"/>
      <c r="BK8" s="204"/>
      <c r="BL8" s="204"/>
      <c r="BM8" s="204"/>
      <c r="BN8" s="204"/>
      <c r="BO8" s="204"/>
      <c r="BP8" s="204"/>
      <c r="BQ8" s="204"/>
      <c r="BR8" s="204"/>
      <c r="BS8" s="204"/>
      <c r="BT8" s="204"/>
    </row>
    <row r="9" spans="1:276" ht="12" customHeight="1" x14ac:dyDescent="0.25">
      <c r="A9" s="206"/>
      <c r="B9" s="206"/>
      <c r="C9" s="207"/>
      <c r="D9" s="207"/>
      <c r="E9" s="207"/>
      <c r="F9" s="207"/>
      <c r="G9" s="207"/>
      <c r="H9" s="207"/>
      <c r="I9" s="207"/>
      <c r="J9" s="207"/>
      <c r="K9" s="207"/>
      <c r="L9" s="207"/>
      <c r="M9" s="207"/>
      <c r="N9" s="207"/>
      <c r="O9" s="207"/>
      <c r="P9" s="207"/>
      <c r="Q9" s="207"/>
      <c r="R9" s="207"/>
      <c r="S9" s="207"/>
      <c r="T9" s="207"/>
      <c r="U9" s="207"/>
      <c r="V9" s="207"/>
      <c r="W9" s="207"/>
      <c r="X9" s="207"/>
      <c r="Y9" s="207"/>
      <c r="Z9" s="207"/>
      <c r="AA9" s="208"/>
      <c r="AB9" s="208"/>
      <c r="AC9" s="208"/>
      <c r="AD9" s="209"/>
      <c r="AE9" s="209"/>
      <c r="AF9" s="209"/>
      <c r="AG9" s="209"/>
      <c r="AH9" s="209"/>
      <c r="AI9" s="209"/>
      <c r="AJ9" s="209"/>
      <c r="AK9" s="209"/>
      <c r="AL9" s="209"/>
      <c r="AM9" s="209"/>
      <c r="AN9" s="209"/>
      <c r="AO9" s="209"/>
      <c r="AP9" s="209"/>
      <c r="AQ9" s="209"/>
      <c r="AR9" s="209"/>
      <c r="AS9" s="209"/>
      <c r="AT9" s="209"/>
      <c r="AU9" s="209"/>
      <c r="AV9" s="209"/>
    </row>
    <row r="10" spans="1:276" ht="39" customHeight="1" x14ac:dyDescent="0.2">
      <c r="A10" s="385" t="s">
        <v>214</v>
      </c>
      <c r="B10" s="386"/>
      <c r="C10" s="386"/>
      <c r="D10" s="386"/>
      <c r="E10" s="386"/>
      <c r="F10" s="386"/>
      <c r="G10" s="386"/>
      <c r="H10" s="386"/>
      <c r="I10" s="386"/>
      <c r="J10" s="387"/>
      <c r="K10" s="342" t="s">
        <v>215</v>
      </c>
      <c r="L10" s="343"/>
      <c r="M10" s="343"/>
      <c r="N10" s="343"/>
      <c r="O10" s="344"/>
      <c r="P10" s="588" t="s">
        <v>216</v>
      </c>
      <c r="Q10" s="589"/>
      <c r="R10" s="224"/>
      <c r="S10" s="224"/>
      <c r="T10" s="340" t="s">
        <v>217</v>
      </c>
      <c r="U10" s="340"/>
      <c r="V10" s="340"/>
      <c r="W10" s="340"/>
      <c r="X10" s="340"/>
      <c r="Y10" s="340"/>
      <c r="Z10" s="340"/>
      <c r="AA10" s="340" t="s">
        <v>218</v>
      </c>
      <c r="AB10" s="340"/>
      <c r="AC10" s="340"/>
      <c r="AD10" s="340"/>
      <c r="AE10" s="340"/>
      <c r="AF10" s="340"/>
      <c r="AG10" s="340"/>
      <c r="AH10" s="340"/>
      <c r="AI10" s="340"/>
      <c r="AJ10" s="327" t="s">
        <v>219</v>
      </c>
      <c r="AK10" s="328"/>
      <c r="AL10" s="328"/>
      <c r="AM10" s="328"/>
      <c r="AN10" s="329"/>
      <c r="AO10" s="327" t="s">
        <v>220</v>
      </c>
      <c r="AP10" s="328"/>
      <c r="AQ10" s="328"/>
      <c r="AR10" s="328"/>
      <c r="AS10" s="329"/>
      <c r="AT10" s="327" t="s">
        <v>221</v>
      </c>
      <c r="AU10" s="328"/>
      <c r="AV10" s="329"/>
      <c r="AW10" s="204"/>
      <c r="AX10" s="204"/>
      <c r="AY10" s="204"/>
      <c r="AZ10" s="204"/>
      <c r="BA10" s="204"/>
      <c r="BB10" s="204"/>
      <c r="BC10" s="204"/>
      <c r="BD10" s="204"/>
      <c r="BE10" s="204"/>
      <c r="BF10" s="204"/>
      <c r="BG10" s="204"/>
      <c r="BH10" s="204"/>
      <c r="BI10" s="204"/>
      <c r="BJ10" s="204"/>
      <c r="BK10" s="204"/>
      <c r="BL10" s="204"/>
      <c r="BM10" s="204"/>
      <c r="BN10" s="204"/>
      <c r="BO10" s="204"/>
      <c r="BP10" s="204"/>
      <c r="BQ10" s="204"/>
      <c r="BR10" s="204"/>
      <c r="BS10" s="204"/>
      <c r="BT10" s="204"/>
    </row>
    <row r="11" spans="1:276" ht="26.25" customHeight="1" x14ac:dyDescent="0.2">
      <c r="A11" s="358" t="s">
        <v>222</v>
      </c>
      <c r="B11" s="359" t="s">
        <v>15</v>
      </c>
      <c r="C11" s="360" t="s">
        <v>17</v>
      </c>
      <c r="D11" s="360" t="s">
        <v>19</v>
      </c>
      <c r="E11" s="359" t="s">
        <v>21</v>
      </c>
      <c r="F11" s="360" t="s">
        <v>23</v>
      </c>
      <c r="G11" s="582" t="s">
        <v>309</v>
      </c>
      <c r="H11" s="584" t="s">
        <v>310</v>
      </c>
      <c r="I11" s="584" t="s">
        <v>311</v>
      </c>
      <c r="J11" s="584" t="s">
        <v>312</v>
      </c>
      <c r="K11" s="361" t="s">
        <v>124</v>
      </c>
      <c r="L11" s="361" t="s">
        <v>280</v>
      </c>
      <c r="M11" s="361" t="s">
        <v>224</v>
      </c>
      <c r="N11" s="361" t="s">
        <v>225</v>
      </c>
      <c r="O11" s="361" t="s">
        <v>226</v>
      </c>
      <c r="P11" s="251"/>
      <c r="Q11" s="251"/>
      <c r="R11" s="323" t="s">
        <v>227</v>
      </c>
      <c r="S11" s="323" t="s">
        <v>228</v>
      </c>
      <c r="T11" s="350" t="s">
        <v>229</v>
      </c>
      <c r="U11" s="323" t="s">
        <v>230</v>
      </c>
      <c r="V11" s="323" t="s">
        <v>231</v>
      </c>
      <c r="W11" s="323" t="s">
        <v>232</v>
      </c>
      <c r="X11" s="350" t="s">
        <v>229</v>
      </c>
      <c r="Y11" s="323" t="s">
        <v>29</v>
      </c>
      <c r="Z11" s="336" t="s">
        <v>233</v>
      </c>
      <c r="AA11" s="323" t="s">
        <v>31</v>
      </c>
      <c r="AB11" s="323" t="s">
        <v>33</v>
      </c>
      <c r="AC11" s="323" t="s">
        <v>234</v>
      </c>
      <c r="AD11" s="323"/>
      <c r="AE11" s="323"/>
      <c r="AF11" s="323"/>
      <c r="AG11" s="323"/>
      <c r="AH11" s="323"/>
      <c r="AI11" s="336" t="s">
        <v>235</v>
      </c>
      <c r="AJ11" s="336" t="s">
        <v>236</v>
      </c>
      <c r="AK11" s="336" t="s">
        <v>229</v>
      </c>
      <c r="AL11" s="336" t="s">
        <v>237</v>
      </c>
      <c r="AM11" s="336" t="s">
        <v>229</v>
      </c>
      <c r="AN11" s="336" t="s">
        <v>238</v>
      </c>
      <c r="AO11" s="336" t="s">
        <v>49</v>
      </c>
      <c r="AP11" s="323" t="s">
        <v>239</v>
      </c>
      <c r="AQ11" s="323" t="s">
        <v>240</v>
      </c>
      <c r="AR11" s="323" t="s">
        <v>241</v>
      </c>
      <c r="AS11" s="323" t="s">
        <v>242</v>
      </c>
      <c r="AT11" s="323" t="s">
        <v>243</v>
      </c>
      <c r="AU11" s="323" t="s">
        <v>244</v>
      </c>
      <c r="AV11" s="323" t="s">
        <v>245</v>
      </c>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row>
    <row r="12" spans="1:276" s="213" customFormat="1" ht="73.5" customHeight="1" x14ac:dyDescent="0.25">
      <c r="A12" s="358"/>
      <c r="B12" s="359"/>
      <c r="C12" s="360"/>
      <c r="D12" s="360"/>
      <c r="E12" s="359"/>
      <c r="F12" s="360"/>
      <c r="G12" s="583"/>
      <c r="H12" s="584"/>
      <c r="I12" s="584"/>
      <c r="J12" s="584"/>
      <c r="K12" s="362"/>
      <c r="L12" s="362"/>
      <c r="M12" s="362"/>
      <c r="N12" s="362"/>
      <c r="O12" s="362"/>
      <c r="P12" s="250" t="s">
        <v>425</v>
      </c>
      <c r="Q12" s="250" t="s">
        <v>246</v>
      </c>
      <c r="R12" s="323"/>
      <c r="S12" s="323"/>
      <c r="T12" s="350"/>
      <c r="U12" s="323"/>
      <c r="V12" s="323"/>
      <c r="W12" s="350"/>
      <c r="X12" s="350"/>
      <c r="Y12" s="323"/>
      <c r="Z12" s="336"/>
      <c r="AA12" s="323"/>
      <c r="AB12" s="323"/>
      <c r="AC12" s="210" t="s">
        <v>247</v>
      </c>
      <c r="AD12" s="210" t="s">
        <v>248</v>
      </c>
      <c r="AE12" s="210" t="s">
        <v>249</v>
      </c>
      <c r="AF12" s="210" t="s">
        <v>250</v>
      </c>
      <c r="AG12" s="210" t="s">
        <v>251</v>
      </c>
      <c r="AH12" s="210" t="s">
        <v>252</v>
      </c>
      <c r="AI12" s="336"/>
      <c r="AJ12" s="336"/>
      <c r="AK12" s="336"/>
      <c r="AL12" s="336"/>
      <c r="AM12" s="336"/>
      <c r="AN12" s="336"/>
      <c r="AO12" s="336"/>
      <c r="AP12" s="323"/>
      <c r="AQ12" s="323"/>
      <c r="AR12" s="323"/>
      <c r="AS12" s="323"/>
      <c r="AT12" s="323"/>
      <c r="AU12" s="323"/>
      <c r="AV12" s="323"/>
      <c r="AW12" s="211"/>
      <c r="AX12" s="211"/>
      <c r="AY12" s="211"/>
      <c r="AZ12" s="211"/>
      <c r="BA12" s="211"/>
      <c r="BB12" s="211"/>
      <c r="BC12" s="211"/>
      <c r="BD12" s="211"/>
      <c r="BE12" s="211"/>
      <c r="BF12" s="211"/>
      <c r="BG12" s="211"/>
      <c r="BH12" s="211"/>
      <c r="BI12" s="211"/>
      <c r="BJ12" s="211"/>
      <c r="BK12" s="211"/>
      <c r="BL12" s="211"/>
      <c r="BM12" s="211"/>
      <c r="BN12" s="211"/>
      <c r="BO12" s="211"/>
      <c r="BP12" s="211"/>
      <c r="BQ12" s="211"/>
      <c r="BR12" s="211"/>
      <c r="BS12" s="211"/>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c r="FU12" s="212"/>
      <c r="FV12" s="212"/>
      <c r="FW12" s="212"/>
      <c r="FX12" s="212"/>
      <c r="FY12" s="212"/>
      <c r="FZ12" s="212"/>
      <c r="GA12" s="212"/>
      <c r="GB12" s="212"/>
      <c r="GC12" s="212"/>
      <c r="GD12" s="212"/>
      <c r="GE12" s="212"/>
      <c r="GF12" s="212"/>
      <c r="GG12" s="212"/>
      <c r="GH12" s="212"/>
      <c r="GI12" s="212"/>
      <c r="GJ12" s="212"/>
      <c r="GK12" s="212"/>
      <c r="GL12" s="212"/>
      <c r="GM12" s="212"/>
      <c r="GN12" s="212"/>
      <c r="GO12" s="212"/>
      <c r="GP12" s="212"/>
      <c r="GQ12" s="212"/>
      <c r="GR12" s="212"/>
      <c r="GS12" s="212"/>
      <c r="GT12" s="212"/>
      <c r="GU12" s="212"/>
      <c r="GV12" s="212"/>
      <c r="GW12" s="212"/>
      <c r="GX12" s="212"/>
      <c r="GY12" s="212"/>
      <c r="GZ12" s="212"/>
      <c r="HA12" s="212"/>
      <c r="HB12" s="212"/>
      <c r="HC12" s="212"/>
      <c r="HD12" s="212"/>
      <c r="HE12" s="212"/>
      <c r="HF12" s="212"/>
      <c r="HG12" s="212"/>
      <c r="HH12" s="212"/>
      <c r="HI12" s="212"/>
      <c r="HJ12" s="212"/>
      <c r="HK12" s="212"/>
      <c r="HL12" s="212"/>
      <c r="HM12" s="212"/>
      <c r="HN12" s="212"/>
      <c r="HO12" s="212"/>
      <c r="HP12" s="212"/>
      <c r="HQ12" s="212"/>
      <c r="HR12" s="212"/>
      <c r="HS12" s="212"/>
      <c r="HT12" s="212"/>
      <c r="HU12" s="212"/>
      <c r="HV12" s="212"/>
      <c r="HW12" s="212"/>
      <c r="HX12" s="212"/>
      <c r="HY12" s="212"/>
      <c r="HZ12" s="212"/>
      <c r="IA12" s="212"/>
      <c r="IB12" s="212"/>
      <c r="IC12" s="212"/>
      <c r="ID12" s="212"/>
      <c r="IE12" s="212"/>
      <c r="IF12" s="212"/>
      <c r="IG12" s="212"/>
      <c r="IH12" s="212"/>
      <c r="II12" s="212"/>
      <c r="IJ12" s="212"/>
      <c r="IK12" s="212"/>
      <c r="IL12" s="212"/>
      <c r="IM12" s="212"/>
      <c r="IN12" s="212"/>
      <c r="IO12" s="212"/>
      <c r="IP12" s="212"/>
      <c r="IQ12" s="212"/>
      <c r="IR12" s="212"/>
      <c r="IS12" s="212"/>
      <c r="IT12" s="212"/>
      <c r="IU12" s="212"/>
      <c r="IV12" s="212"/>
      <c r="IW12" s="212"/>
      <c r="IX12" s="212"/>
      <c r="IY12" s="212"/>
      <c r="IZ12" s="212"/>
      <c r="JA12" s="212"/>
      <c r="JB12" s="212"/>
      <c r="JC12" s="212"/>
      <c r="JD12" s="212"/>
      <c r="JE12" s="212"/>
      <c r="JF12" s="212"/>
      <c r="JG12" s="212"/>
      <c r="JH12" s="212"/>
      <c r="JI12" s="212"/>
      <c r="JJ12" s="212"/>
      <c r="JK12" s="212"/>
      <c r="JL12" s="212"/>
      <c r="JM12" s="212"/>
      <c r="JN12" s="212"/>
      <c r="JO12" s="212"/>
      <c r="JP12" s="212"/>
    </row>
    <row r="13" spans="1:276" s="215" customFormat="1" ht="108" customHeight="1" x14ac:dyDescent="0.25">
      <c r="A13" s="363">
        <v>1</v>
      </c>
      <c r="B13" s="345" t="s">
        <v>120</v>
      </c>
      <c r="C13" s="345" t="s">
        <v>439</v>
      </c>
      <c r="D13" s="345" t="s">
        <v>440</v>
      </c>
      <c r="E13" s="346" t="s">
        <v>479</v>
      </c>
      <c r="F13" s="345" t="s">
        <v>152</v>
      </c>
      <c r="G13" s="337" t="s">
        <v>393</v>
      </c>
      <c r="H13" s="337" t="s">
        <v>441</v>
      </c>
      <c r="I13" s="337" t="s">
        <v>158</v>
      </c>
      <c r="J13" s="337" t="s">
        <v>442</v>
      </c>
      <c r="K13" s="330" t="s">
        <v>127</v>
      </c>
      <c r="L13" s="330" t="s">
        <v>482</v>
      </c>
      <c r="M13" s="330" t="s">
        <v>480</v>
      </c>
      <c r="N13" s="330" t="s">
        <v>481</v>
      </c>
      <c r="O13" s="330" t="s">
        <v>477</v>
      </c>
      <c r="P13" s="330" t="s">
        <v>133</v>
      </c>
      <c r="Q13" s="330" t="s">
        <v>141</v>
      </c>
      <c r="R13" s="341">
        <v>365</v>
      </c>
      <c r="S13" s="335" t="str">
        <f>IF(R13&lt;=0,"",IF(R13&lt;=2,"Muy Baja",IF(R13&lt;=24,"Baja",IF(R13&lt;=500,"Media",IF(R13&lt;=5000,"Alta","Muy Alta")))))</f>
        <v>Media</v>
      </c>
      <c r="T13" s="334">
        <f>IF(S13="","",IF(S13="Muy Baja",0.2,IF(S13="Baja",0.4,IF(S13="Media",0.6,IF(S13="Alta",0.8,IF(S13="Muy Alta",1,))))))</f>
        <v>0.6</v>
      </c>
      <c r="U13" s="324" t="s">
        <v>253</v>
      </c>
      <c r="V13" s="334" t="str">
        <f>IF(NOT(ISERROR(MATCH(U13,'Tabla Impacto'!$B$222:$B$224,0))),'Tabla Impacto'!$F$224&amp;"Por favor no seleccionar los criterios de impacto(Afectación Económica o presupuestal y Pérdida Reputacional)",U13)</f>
        <v xml:space="preserve">     El riesgo afecta la imagen de la entidad con algunos usuarios de relevancia frente al logro de los objetivos</v>
      </c>
      <c r="W13" s="335" t="str">
        <f>IF(OR(V13='Tabla Impacto'!$C$12,V13='Tabla Impacto'!$D$12),"Leve",IF(OR(V13='Tabla Impacto'!$C$13,V13='Tabla Impacto'!$D$13),"Menor",IF(OR(V13='Tabla Impacto'!$C$14,V13='Tabla Impacto'!$D$14),"Moderado",IF(OR(V13='Tabla Impacto'!$C$15,V13='Tabla Impacto'!$D$15),"Mayor",IF(OR(V13='Tabla Impacto'!$C$16,V13='Tabla Impacto'!$D$16),"Catastrófico","")))))</f>
        <v>Moderado</v>
      </c>
      <c r="X13" s="334">
        <f>IF(W13="","",IF(W13="Leve",0.2,IF(W13="Menor",0.4,IF(W13="Moderado",0.6,IF(W13="Mayor",0.8,IF(W13="Catastrófico",1,))))))</f>
        <v>0.6</v>
      </c>
      <c r="Y13" s="333" t="str">
        <f>IF(OR(AND(S13="Muy Baja",W13="Leve"),AND(S13="Muy Baja",W13="Menor"),AND(S13="Baja",W13="Leve")),"Bajo",IF(OR(AND(S13="Muy baja",W13="Moderado"),AND(S13="Baja",W13="Menor"),AND(S13="Baja",W13="Moderado"),AND(S13="Media",W13="Leve"),AND(S13="Media",W13="Menor"),AND(S13="Media",W13="Moderado"),AND(S13="Alta",W13="Leve"),AND(S13="Alta",W13="Menor")),"Moderado",IF(OR(AND(S13="Muy Baja",W13="Mayor"),AND(S13="Baja",W13="Mayor"),AND(S13="Media",W13="Mayor"),AND(S13="Alta",W13="Moderado"),AND(S13="Alta",W13="Mayor"),AND(S13="Muy Alta",W13="Leve"),AND(S13="Muy Alta",W13="Menor"),AND(S13="Muy Alta",W13="Moderado"),AND(S13="Muy Alta",W13="Mayor")),"Alto",IF(OR(AND(S13="Muy Baja",W13="Catastrófico"),AND(S13="Baja",W13="Catastrófico"),AND(S13="Media",W13="Catastrófico"),AND(S13="Alta",W13="Catastrófico"),AND(S13="Muy Alta",W13="Catastrófico")),"Extremo",""))))</f>
        <v>Moderado</v>
      </c>
      <c r="Z13" s="214">
        <v>1</v>
      </c>
      <c r="AA13" s="240" t="s">
        <v>475</v>
      </c>
      <c r="AB13" s="189" t="str">
        <f t="shared" ref="AB13:AB18" si="0">IF(OR(AC13="Preventivo",AC13="Detectivo"),"Probabilidad",IF(AC13="Correctivo","Impacto",""))</f>
        <v>Probabilidad</v>
      </c>
      <c r="AC13" s="190" t="s">
        <v>254</v>
      </c>
      <c r="AD13" s="190" t="s">
        <v>255</v>
      </c>
      <c r="AE13" s="191" t="str">
        <f>IF(AND(AC13="Preventivo",AD13="Automático"),"50%",IF(AND(AC13="Preventivo",AD13="Manual"),"40%",IF(AND(AC13="Detectivo",AD13="Automático"),"40%",IF(AND(AC13="Detectivo",AD13="Manual"),"30%",IF(AND(AC13="Correctivo",AD13="Automático"),"35%",IF(AND(AC13="Correctivo",AD13="Manual"),"25%",""))))))</f>
        <v>40%</v>
      </c>
      <c r="AF13" s="190" t="s">
        <v>256</v>
      </c>
      <c r="AG13" s="190" t="s">
        <v>257</v>
      </c>
      <c r="AH13" s="190" t="s">
        <v>258</v>
      </c>
      <c r="AI13" s="192">
        <f>IFERROR(IF(AB13="Probabilidad",(T13-(+T13*AE13)),IF(AB13="Impacto",T13,"")),"")</f>
        <v>0.36</v>
      </c>
      <c r="AJ13" s="193" t="str">
        <f>IFERROR(IF(AI13="","",IF(AI13&lt;=0.2,"Muy Baja",IF(AI13&lt;=0.4,"Baja",IF(AI13&lt;=0.6,"Media",IF(AI13&lt;=0.8,"Alta","Muy Alta"))))),"")</f>
        <v>Baja</v>
      </c>
      <c r="AK13" s="191">
        <f>+AI13</f>
        <v>0.36</v>
      </c>
      <c r="AL13" s="193" t="str">
        <f>IFERROR(IF(AM13="","",IF(AM13&lt;=0.2,"Leve",IF(AM13&lt;=0.4,"Menor",IF(AM13&lt;=0.6,"Moderado",IF(AM13&lt;=0.8,"Mayor","Catastrófico"))))),"")</f>
        <v>Moderado</v>
      </c>
      <c r="AM13" s="191">
        <f>IFERROR(IF(AB13="Impacto",(X13-(+X13*AE13)),IF(AB13="Probabilidad",X13,"")),"")</f>
        <v>0.6</v>
      </c>
      <c r="AN13" s="194" t="str">
        <f>IFERROR(IF(OR(AND(AJ13="Muy Baja",AL13="Leve"),AND(AJ13="Muy Baja",AL13="Menor"),AND(AJ13="Baja",AL13="Leve")),"Bajo",IF(OR(AND(AJ13="Muy baja",AL13="Moderado"),AND(AJ13="Baja",AL13="Menor"),AND(AJ13="Baja",AL13="Moderado"),AND(AJ13="Media",AL13="Leve"),AND(AJ13="Media",AL13="Menor"),AND(AJ13="Media",AL13="Moderado"),AND(AJ13="Alta",AL13="Leve"),AND(AJ13="Alta",AL13="Menor")),"Moderado",IF(OR(AND(AJ13="Muy Baja",AL13="Mayor"),AND(AJ13="Baja",AL13="Mayor"),AND(AJ13="Media",AL13="Mayor"),AND(AJ13="Alta",AL13="Moderado"),AND(AJ13="Alta",AL13="Mayor"),AND(AJ13="Muy Alta",AL13="Leve"),AND(AJ13="Muy Alta",AL13="Menor"),AND(AJ13="Muy Alta",AL13="Moderado"),AND(AJ13="Muy Alta",AL13="Mayor")),"Alto",IF(OR(AND(AJ13="Muy Baja",AL13="Catastrófico"),AND(AJ13="Baja",AL13="Catastrófico"),AND(AJ13="Media",AL13="Catastrófico"),AND(AJ13="Alta",AL13="Catastrófico"),AND(AJ13="Muy Alta",AL13="Catastrófico")),"Extremo","")))),"")</f>
        <v>Moderado</v>
      </c>
      <c r="AO13" s="195" t="s">
        <v>123</v>
      </c>
      <c r="AP13" s="186"/>
      <c r="AQ13" s="196"/>
      <c r="AR13" s="196"/>
      <c r="AS13" s="197"/>
      <c r="AT13" s="345" t="s">
        <v>484</v>
      </c>
      <c r="AU13" s="345" t="s">
        <v>485</v>
      </c>
      <c r="AV13" s="345" t="s">
        <v>486</v>
      </c>
    </row>
    <row r="14" spans="1:276" ht="96" customHeight="1" x14ac:dyDescent="0.2">
      <c r="A14" s="363"/>
      <c r="B14" s="345"/>
      <c r="C14" s="345"/>
      <c r="D14" s="345"/>
      <c r="E14" s="346"/>
      <c r="F14" s="345"/>
      <c r="G14" s="338"/>
      <c r="H14" s="338"/>
      <c r="I14" s="338"/>
      <c r="J14" s="338"/>
      <c r="K14" s="331"/>
      <c r="L14" s="331"/>
      <c r="M14" s="331"/>
      <c r="N14" s="331"/>
      <c r="O14" s="331"/>
      <c r="P14" s="331"/>
      <c r="Q14" s="331"/>
      <c r="R14" s="341"/>
      <c r="S14" s="335"/>
      <c r="T14" s="334"/>
      <c r="U14" s="324"/>
      <c r="V14" s="334">
        <f>IF(NOT(ISERROR(MATCH(U14,_xlfn.ANCHORARRAY(E25),0))),T27&amp;"Por favor no seleccionar los criterios de impacto",U14)</f>
        <v>0</v>
      </c>
      <c r="W14" s="335"/>
      <c r="X14" s="334"/>
      <c r="Y14" s="333"/>
      <c r="Z14" s="214">
        <v>2</v>
      </c>
      <c r="AA14" s="240" t="s">
        <v>443</v>
      </c>
      <c r="AB14" s="189" t="str">
        <f t="shared" si="0"/>
        <v>Probabilidad</v>
      </c>
      <c r="AC14" s="190" t="s">
        <v>254</v>
      </c>
      <c r="AD14" s="190" t="s">
        <v>255</v>
      </c>
      <c r="AE14" s="191" t="str">
        <f t="shared" ref="AE14:AE18" si="1">IF(AND(AC14="Preventivo",AD14="Automático"),"50%",IF(AND(AC14="Preventivo",AD14="Manual"),"40%",IF(AND(AC14="Detectivo",AD14="Automático"),"40%",IF(AND(AC14="Detectivo",AD14="Manual"),"30%",IF(AND(AC14="Correctivo",AD14="Automático"),"35%",IF(AND(AC14="Correctivo",AD14="Manual"),"25%",""))))))</f>
        <v>40%</v>
      </c>
      <c r="AF14" s="190" t="s">
        <v>256</v>
      </c>
      <c r="AG14" s="190" t="s">
        <v>257</v>
      </c>
      <c r="AH14" s="190" t="s">
        <v>258</v>
      </c>
      <c r="AI14" s="192">
        <f>IFERROR(IF(AND(AB13="Probabilidad",AB14="Probabilidad"),(AK13-(+AK13*AE14)),IF(AB14="Probabilidad",(T13-(+T13*AE14)),IF(AB14="Impacto",AK13,""))),"")</f>
        <v>0.216</v>
      </c>
      <c r="AJ14" s="193" t="str">
        <f t="shared" ref="AJ14:AJ72" si="2">IFERROR(IF(AI14="","",IF(AI14&lt;=0.2,"Muy Baja",IF(AI14&lt;=0.4,"Baja",IF(AI14&lt;=0.6,"Media",IF(AI14&lt;=0.8,"Alta","Muy Alta"))))),"")</f>
        <v>Baja</v>
      </c>
      <c r="AK14" s="191">
        <f t="shared" ref="AK14:AK18" si="3">+AI14</f>
        <v>0.216</v>
      </c>
      <c r="AL14" s="193" t="str">
        <f t="shared" ref="AL14:AL72" si="4">IFERROR(IF(AM14="","",IF(AM14&lt;=0.2,"Leve",IF(AM14&lt;=0.4,"Menor",IF(AM14&lt;=0.6,"Moderado",IF(AM14&lt;=0.8,"Mayor","Catastrófico"))))),"")</f>
        <v>Moderado</v>
      </c>
      <c r="AM14" s="191">
        <f>IFERROR(IF(AND(AB13="Impacto",AB14="Impacto"),(AM13-(+AM13*AE14)),IF(AB14="Impacto",($X$13-(+$X$13*AE14)),IF(AB14="Probabilidad",AM13,""))),"")</f>
        <v>0.6</v>
      </c>
      <c r="AN14" s="194" t="str">
        <f t="shared" ref="AN14:AN18" si="5">IFERROR(IF(OR(AND(AJ14="Muy Baja",AL14="Leve"),AND(AJ14="Muy Baja",AL14="Menor"),AND(AJ14="Baja",AL14="Leve")),"Bajo",IF(OR(AND(AJ14="Muy baja",AL14="Moderado"),AND(AJ14="Baja",AL14="Menor"),AND(AJ14="Baja",AL14="Moderado"),AND(AJ14="Media",AL14="Leve"),AND(AJ14="Media",AL14="Menor"),AND(AJ14="Media",AL14="Moderado"),AND(AJ14="Alta",AL14="Leve"),AND(AJ14="Alta",AL14="Menor")),"Moderado",IF(OR(AND(AJ14="Muy Baja",AL14="Mayor"),AND(AJ14="Baja",AL14="Mayor"),AND(AJ14="Media",AL14="Mayor"),AND(AJ14="Alta",AL14="Moderado"),AND(AJ14="Alta",AL14="Mayor"),AND(AJ14="Muy Alta",AL14="Leve"),AND(AJ14="Muy Alta",AL14="Menor"),AND(AJ14="Muy Alta",AL14="Moderado"),AND(AJ14="Muy Alta",AL14="Mayor")),"Alto",IF(OR(AND(AJ14="Muy Baja",AL14="Catastrófico"),AND(AJ14="Baja",AL14="Catastrófico"),AND(AJ14="Media",AL14="Catastrófico"),AND(AJ14="Alta",AL14="Catastrófico"),AND(AJ14="Muy Alta",AL14="Catastrófico")),"Extremo","")))),"")</f>
        <v>Moderado</v>
      </c>
      <c r="AO14" s="195" t="s">
        <v>123</v>
      </c>
      <c r="AP14" s="186"/>
      <c r="AQ14" s="196"/>
      <c r="AR14" s="186"/>
      <c r="AS14" s="197"/>
      <c r="AT14" s="345"/>
      <c r="AU14" s="345"/>
      <c r="AV14" s="345"/>
    </row>
    <row r="15" spans="1:276" ht="162" customHeight="1" x14ac:dyDescent="0.2">
      <c r="A15" s="363"/>
      <c r="B15" s="345"/>
      <c r="C15" s="345"/>
      <c r="D15" s="345"/>
      <c r="E15" s="346"/>
      <c r="F15" s="345"/>
      <c r="G15" s="338"/>
      <c r="H15" s="338"/>
      <c r="I15" s="338"/>
      <c r="J15" s="338"/>
      <c r="K15" s="331"/>
      <c r="L15" s="331"/>
      <c r="M15" s="331"/>
      <c r="N15" s="331"/>
      <c r="O15" s="331"/>
      <c r="P15" s="331"/>
      <c r="Q15" s="331"/>
      <c r="R15" s="341"/>
      <c r="S15" s="335"/>
      <c r="T15" s="334"/>
      <c r="U15" s="324"/>
      <c r="V15" s="334">
        <f>IF(NOT(ISERROR(MATCH(U15,_xlfn.ANCHORARRAY(E26),0))),T28&amp;"Por favor no seleccionar los criterios de impacto",U15)</f>
        <v>0</v>
      </c>
      <c r="W15" s="335"/>
      <c r="X15" s="334"/>
      <c r="Y15" s="333"/>
      <c r="Z15" s="214">
        <v>3</v>
      </c>
      <c r="AA15" s="188" t="s">
        <v>476</v>
      </c>
      <c r="AB15" s="189" t="str">
        <f t="shared" si="0"/>
        <v>Impacto</v>
      </c>
      <c r="AC15" s="190" t="s">
        <v>281</v>
      </c>
      <c r="AD15" s="190" t="s">
        <v>404</v>
      </c>
      <c r="AE15" s="191" t="str">
        <f t="shared" si="1"/>
        <v>35%</v>
      </c>
      <c r="AF15" s="190" t="s">
        <v>256</v>
      </c>
      <c r="AG15" s="190" t="s">
        <v>257</v>
      </c>
      <c r="AH15" s="190" t="s">
        <v>258</v>
      </c>
      <c r="AI15" s="192">
        <f>IFERROR(IF(AND(AB14="Probabilidad",AB15="Probabilidad"),(AK14-(+AK14*AE15)),IF(AND(AB14="Impacto",AB15="Probabilidad"),(AK13-(+AK13*AE15)),IF(AB15="Impacto",AK14,""))),"")</f>
        <v>0.216</v>
      </c>
      <c r="AJ15" s="193" t="str">
        <f t="shared" si="2"/>
        <v>Baja</v>
      </c>
      <c r="AK15" s="191">
        <f t="shared" si="3"/>
        <v>0.216</v>
      </c>
      <c r="AL15" s="193" t="str">
        <f t="shared" si="4"/>
        <v>Menor</v>
      </c>
      <c r="AM15" s="191">
        <f>IFERROR(IF(AND(AB14="Impacto",AB15="Impacto"),(AM14-(+AM14*AE15)),IF(AND(AB14="Probabilidad",AB15="Impacto"),(AM13-(+AM13*AE15)),IF(AB15="Probabilidad",AM14,""))),"")</f>
        <v>0.39</v>
      </c>
      <c r="AN15" s="194" t="str">
        <f t="shared" si="5"/>
        <v>Moderado</v>
      </c>
      <c r="AO15" s="195" t="s">
        <v>123</v>
      </c>
      <c r="AP15" s="186"/>
      <c r="AQ15" s="196"/>
      <c r="AR15" s="196"/>
      <c r="AS15" s="197"/>
      <c r="AT15" s="345"/>
      <c r="AU15" s="345"/>
      <c r="AV15" s="345"/>
    </row>
    <row r="16" spans="1:276" ht="86.25" customHeight="1" x14ac:dyDescent="0.2">
      <c r="A16" s="363"/>
      <c r="B16" s="345"/>
      <c r="C16" s="345"/>
      <c r="D16" s="345"/>
      <c r="E16" s="346"/>
      <c r="F16" s="345"/>
      <c r="G16" s="338"/>
      <c r="H16" s="338"/>
      <c r="I16" s="338"/>
      <c r="J16" s="338"/>
      <c r="K16" s="331"/>
      <c r="L16" s="331"/>
      <c r="M16" s="331"/>
      <c r="N16" s="331"/>
      <c r="O16" s="331"/>
      <c r="P16" s="331"/>
      <c r="Q16" s="331"/>
      <c r="R16" s="341"/>
      <c r="S16" s="335"/>
      <c r="T16" s="334"/>
      <c r="U16" s="324"/>
      <c r="V16" s="334">
        <f>IF(NOT(ISERROR(MATCH(U16,_xlfn.ANCHORARRAY(E27),0))),T29&amp;"Por favor no seleccionar los criterios de impacto",U16)</f>
        <v>0</v>
      </c>
      <c r="W16" s="335"/>
      <c r="X16" s="334"/>
      <c r="Y16" s="333"/>
      <c r="Z16" s="214">
        <v>4</v>
      </c>
      <c r="AA16" s="187" t="s">
        <v>444</v>
      </c>
      <c r="AB16" s="189" t="str">
        <f t="shared" si="0"/>
        <v>Probabilidad</v>
      </c>
      <c r="AC16" s="190" t="s">
        <v>254</v>
      </c>
      <c r="AD16" s="190" t="s">
        <v>404</v>
      </c>
      <c r="AE16" s="191" t="str">
        <f t="shared" ref="AE16" si="6">IF(AND(AC16="Preventivo",AD16="Automático"),"50%",IF(AND(AC16="Preventivo",AD16="Manual"),"40%",IF(AND(AC16="Detectivo",AD16="Automático"),"40%",IF(AND(AC16="Detectivo",AD16="Manual"),"30%",IF(AND(AC16="Correctivo",AD16="Automático"),"35%",IF(AND(AC16="Correctivo",AD16="Manual"),"25%",""))))))</f>
        <v>50%</v>
      </c>
      <c r="AF16" s="190" t="s">
        <v>256</v>
      </c>
      <c r="AG16" s="190" t="s">
        <v>257</v>
      </c>
      <c r="AH16" s="190" t="s">
        <v>258</v>
      </c>
      <c r="AI16" s="192">
        <f t="shared" ref="AI16:AI18" si="7">IFERROR(IF(AND(AB15="Probabilidad",AB16="Probabilidad"),(AK15-(+AK15*AE16)),IF(AND(AB15="Impacto",AB16="Probabilidad"),(AK14-(+AK14*AE16)),IF(AB16="Impacto",AK15,""))),"")</f>
        <v>0.108</v>
      </c>
      <c r="AJ16" s="193" t="str">
        <f t="shared" si="2"/>
        <v>Muy Baja</v>
      </c>
      <c r="AK16" s="191">
        <f t="shared" si="3"/>
        <v>0.108</v>
      </c>
      <c r="AL16" s="193" t="str">
        <f t="shared" si="4"/>
        <v>Menor</v>
      </c>
      <c r="AM16" s="191">
        <f t="shared" ref="AM16:AM18" si="8">IFERROR(IF(AND(AB15="Impacto",AB16="Impacto"),(AM15-(+AM15*AE16)),IF(AND(AB15="Probabilidad",AB16="Impacto"),(AM14-(+AM14*AE16)),IF(AB16="Probabilidad",AM15,""))),"")</f>
        <v>0.39</v>
      </c>
      <c r="AN16" s="194" t="str">
        <f>IFERROR(IF(OR(AND(AJ16="Muy Baja",AL16="Leve"),AND(AJ16="Muy Baja",AL16="Menor"),AND(AJ16="Baja",AL16="Leve")),"Bajo",IF(OR(AND(AJ16="Muy baja",AL16="Moderado"),AND(AJ16="Baja",AL16="Menor"),AND(AJ16="Baja",AL16="Moderado"),AND(AJ16="Media",AL16="Leve"),AND(AJ16="Media",AL16="Menor"),AND(AJ16="Media",AL16="Moderado"),AND(AJ16="Alta",AL16="Leve"),AND(AJ16="Alta",AL16="Menor")),"Moderado",IF(OR(AND(AJ16="Muy Baja",AL16="Mayor"),AND(AJ16="Baja",AL16="Mayor"),AND(AJ16="Media",AL16="Mayor"),AND(AJ16="Alta",AL16="Moderado"),AND(AJ16="Alta",AL16="Mayor"),AND(AJ16="Muy Alta",AL16="Leve"),AND(AJ16="Muy Alta",AL16="Menor"),AND(AJ16="Muy Alta",AL16="Moderado"),AND(AJ16="Muy Alta",AL16="Mayor")),"Alto",IF(OR(AND(AJ16="Muy Baja",AL16="Catastrófico"),AND(AJ16="Baja",AL16="Catastrófico"),AND(AJ16="Media",AL16="Catastrófico"),AND(AJ16="Alta",AL16="Catastrófico"),AND(AJ16="Muy Alta",AL16="Catastrófico")),"Extremo","")))),"")</f>
        <v>Bajo</v>
      </c>
      <c r="AO16" s="195" t="s">
        <v>117</v>
      </c>
      <c r="AP16" s="186"/>
      <c r="AQ16" s="196"/>
      <c r="AR16" s="196"/>
      <c r="AS16" s="197"/>
      <c r="AT16" s="345"/>
      <c r="AU16" s="345"/>
      <c r="AV16" s="345"/>
    </row>
    <row r="17" spans="1:48" ht="37.5" hidden="1" customHeight="1" x14ac:dyDescent="0.2">
      <c r="A17" s="363"/>
      <c r="B17" s="345"/>
      <c r="C17" s="345"/>
      <c r="D17" s="345"/>
      <c r="E17" s="346"/>
      <c r="F17" s="345"/>
      <c r="G17" s="338"/>
      <c r="H17" s="338"/>
      <c r="I17" s="338"/>
      <c r="J17" s="338"/>
      <c r="K17" s="331"/>
      <c r="L17" s="331"/>
      <c r="M17" s="331"/>
      <c r="N17" s="331"/>
      <c r="O17" s="331"/>
      <c r="P17" s="331"/>
      <c r="Q17" s="331"/>
      <c r="R17" s="341"/>
      <c r="S17" s="335"/>
      <c r="T17" s="334"/>
      <c r="U17" s="324"/>
      <c r="V17" s="334">
        <f>IF(NOT(ISERROR(MATCH(U17,_xlfn.ANCHORARRAY(E28),0))),T30&amp;"Por favor no seleccionar los criterios de impacto",U17)</f>
        <v>0</v>
      </c>
      <c r="W17" s="335"/>
      <c r="X17" s="334"/>
      <c r="Y17" s="333"/>
      <c r="Z17" s="214">
        <v>5</v>
      </c>
      <c r="AA17" s="187"/>
      <c r="AB17" s="189" t="str">
        <f t="shared" si="0"/>
        <v/>
      </c>
      <c r="AC17" s="190"/>
      <c r="AD17" s="190"/>
      <c r="AE17" s="191" t="str">
        <f t="shared" si="1"/>
        <v/>
      </c>
      <c r="AF17" s="190"/>
      <c r="AG17" s="190"/>
      <c r="AH17" s="190"/>
      <c r="AI17" s="192" t="str">
        <f t="shared" si="7"/>
        <v/>
      </c>
      <c r="AJ17" s="193" t="str">
        <f t="shared" si="2"/>
        <v/>
      </c>
      <c r="AK17" s="191" t="str">
        <f t="shared" si="3"/>
        <v/>
      </c>
      <c r="AL17" s="193" t="str">
        <f t="shared" si="4"/>
        <v/>
      </c>
      <c r="AM17" s="191" t="str">
        <f t="shared" si="8"/>
        <v/>
      </c>
      <c r="AN17" s="194" t="str">
        <f t="shared" si="5"/>
        <v/>
      </c>
      <c r="AO17" s="195"/>
      <c r="AP17" s="186"/>
      <c r="AQ17" s="196"/>
      <c r="AR17" s="196"/>
      <c r="AS17" s="197"/>
      <c r="AT17" s="345"/>
      <c r="AU17" s="345"/>
      <c r="AV17" s="345"/>
    </row>
    <row r="18" spans="1:48" ht="37.5" hidden="1" customHeight="1" x14ac:dyDescent="0.2">
      <c r="A18" s="363"/>
      <c r="B18" s="345"/>
      <c r="C18" s="345"/>
      <c r="D18" s="345"/>
      <c r="E18" s="346"/>
      <c r="F18" s="345"/>
      <c r="G18" s="339"/>
      <c r="H18" s="339"/>
      <c r="I18" s="339"/>
      <c r="J18" s="339"/>
      <c r="K18" s="332"/>
      <c r="L18" s="332"/>
      <c r="M18" s="332"/>
      <c r="N18" s="332"/>
      <c r="O18" s="332"/>
      <c r="P18" s="332"/>
      <c r="Q18" s="332"/>
      <c r="R18" s="341"/>
      <c r="S18" s="335"/>
      <c r="T18" s="334"/>
      <c r="U18" s="324"/>
      <c r="V18" s="334">
        <f>IF(NOT(ISERROR(MATCH(U18,_xlfn.ANCHORARRAY(E29),0))),T31&amp;"Por favor no seleccionar los criterios de impacto",U18)</f>
        <v>0</v>
      </c>
      <c r="W18" s="335"/>
      <c r="X18" s="334"/>
      <c r="Y18" s="333"/>
      <c r="Z18" s="214">
        <v>6</v>
      </c>
      <c r="AA18" s="187"/>
      <c r="AB18" s="189" t="str">
        <f t="shared" si="0"/>
        <v/>
      </c>
      <c r="AC18" s="190"/>
      <c r="AD18" s="190"/>
      <c r="AE18" s="191" t="str">
        <f t="shared" si="1"/>
        <v/>
      </c>
      <c r="AF18" s="190"/>
      <c r="AG18" s="190"/>
      <c r="AH18" s="190"/>
      <c r="AI18" s="192" t="str">
        <f t="shared" si="7"/>
        <v/>
      </c>
      <c r="AJ18" s="193" t="str">
        <f t="shared" si="2"/>
        <v/>
      </c>
      <c r="AK18" s="191" t="str">
        <f t="shared" si="3"/>
        <v/>
      </c>
      <c r="AL18" s="193" t="str">
        <f t="shared" si="4"/>
        <v/>
      </c>
      <c r="AM18" s="191" t="str">
        <f t="shared" si="8"/>
        <v/>
      </c>
      <c r="AN18" s="194" t="str">
        <f t="shared" si="5"/>
        <v/>
      </c>
      <c r="AO18" s="195"/>
      <c r="AP18" s="186"/>
      <c r="AQ18" s="196"/>
      <c r="AR18" s="196"/>
      <c r="AS18" s="197"/>
      <c r="AT18" s="345"/>
      <c r="AU18" s="345"/>
      <c r="AV18" s="345"/>
    </row>
    <row r="19" spans="1:48" ht="37.5" hidden="1" customHeight="1" x14ac:dyDescent="0.2">
      <c r="A19" s="363">
        <v>2</v>
      </c>
      <c r="B19" s="345"/>
      <c r="C19" s="345"/>
      <c r="D19" s="345"/>
      <c r="E19" s="346"/>
      <c r="F19" s="345"/>
      <c r="G19" s="337"/>
      <c r="H19" s="337"/>
      <c r="I19" s="337"/>
      <c r="J19" s="337"/>
      <c r="K19" s="337"/>
      <c r="L19" s="337"/>
      <c r="M19" s="337"/>
      <c r="N19" s="337"/>
      <c r="O19" s="337"/>
      <c r="P19" s="337"/>
      <c r="Q19" s="337"/>
      <c r="R19" s="341"/>
      <c r="S19" s="335" t="str">
        <f>IF(R19&lt;=0,"",IF(R19&lt;=2,"Muy Baja",IF(R19&lt;=24,"Baja",IF(R19&lt;=500,"Media",IF(R19&lt;=5000,"Alta","Muy Alta")))))</f>
        <v/>
      </c>
      <c r="T19" s="334" t="str">
        <f>IF(S19="","",IF(S19="Muy Baja",0.2,IF(S19="Baja",0.4,IF(S19="Media",0.6,IF(S19="Alta",0.8,IF(S19="Muy Alta",1,))))))</f>
        <v/>
      </c>
      <c r="U19" s="324"/>
      <c r="V19" s="334">
        <f>IF(NOT(ISERROR(MATCH(U19,'Tabla Impacto'!$B$222:$B$224,0))),'Tabla Impacto'!$F$224&amp;"Por favor no seleccionar los criterios de impacto(Afectación Económica o presupuestal y Pérdida Reputacional)",U19)</f>
        <v>0</v>
      </c>
      <c r="W19" s="335" t="str">
        <f>IF(OR(V19='Tabla Impacto'!$C$12,V19='Tabla Impacto'!$D$12),"Leve",IF(OR(V19='Tabla Impacto'!$C$13,V19='Tabla Impacto'!$D$13),"Menor",IF(OR(V19='Tabla Impacto'!$C$14,V19='Tabla Impacto'!$D$14),"Moderado",IF(OR(V19='Tabla Impacto'!$C$15,V19='Tabla Impacto'!$D$15),"Mayor",IF(OR(V19='Tabla Impacto'!$C$16,V19='Tabla Impacto'!$D$16),"Catastrófico","")))))</f>
        <v/>
      </c>
      <c r="X19" s="334" t="str">
        <f>IF(W19="","",IF(W19="Leve",0.2,IF(W19="Menor",0.4,IF(W19="Moderado",0.6,IF(W19="Mayor",0.8,IF(W19="Catastrófico",1,))))))</f>
        <v/>
      </c>
      <c r="Y19" s="333" t="str">
        <f>IF(OR(AND(S19="Muy Baja",W19="Leve"),AND(S19="Muy Baja",W19="Menor"),AND(S19="Baja",W19="Leve")),"Bajo",IF(OR(AND(S19="Muy baja",W19="Moderado"),AND(S19="Baja",W19="Menor"),AND(S19="Baja",W19="Moderado"),AND(S19="Media",W19="Leve"),AND(S19="Media",W19="Menor"),AND(S19="Media",W19="Moderado"),AND(S19="Alta",W19="Leve"),AND(S19="Alta",W19="Menor")),"Moderado",IF(OR(AND(S19="Muy Baja",W19="Mayor"),AND(S19="Baja",W19="Mayor"),AND(S19="Media",W19="Mayor"),AND(S19="Alta",W19="Moderado"),AND(S19="Alta",W19="Mayor"),AND(S19="Muy Alta",W19="Leve"),AND(S19="Muy Alta",W19="Menor"),AND(S19="Muy Alta",W19="Moderado"),AND(S19="Muy Alta",W19="Mayor")),"Alto",IF(OR(AND(S19="Muy Baja",W19="Catastrófico"),AND(S19="Baja",W19="Catastrófico"),AND(S19="Media",W19="Catastrófico"),AND(S19="Alta",W19="Catastrófico"),AND(S19="Muy Alta",W19="Catastrófico")),"Extremo",""))))</f>
        <v/>
      </c>
      <c r="Z19" s="214">
        <v>1</v>
      </c>
      <c r="AA19" s="187"/>
      <c r="AB19" s="189" t="str">
        <f>IF(OR(AC19="Preventivo",AC19="Detectivo"),"Probabilidad",IF(AC19="Correctivo","Impacto",""))</f>
        <v/>
      </c>
      <c r="AC19" s="190"/>
      <c r="AD19" s="190"/>
      <c r="AE19" s="191" t="str">
        <f>IF(AND(AC19="Preventivo",AD19="Automático"),"50%",IF(AND(AC19="Preventivo",AD19="Manual"),"40%",IF(AND(AC19="Detectivo",AD19="Automático"),"40%",IF(AND(AC19="Detectivo",AD19="Manual"),"30%",IF(AND(AC19="Correctivo",AD19="Automático"),"35%",IF(AND(AC19="Correctivo",AD19="Manual"),"25%",""))))))</f>
        <v/>
      </c>
      <c r="AF19" s="190"/>
      <c r="AG19" s="190"/>
      <c r="AH19" s="190"/>
      <c r="AI19" s="192" t="str">
        <f>IFERROR(IF(AB19="Probabilidad",(T19-(+T19*AE19)),IF(AB19="Impacto",T19,"")),"")</f>
        <v/>
      </c>
      <c r="AJ19" s="193" t="str">
        <f>IFERROR(IF(AI19="","",IF(AI19&lt;=0.2,"Muy Baja",IF(AI19&lt;=0.4,"Baja",IF(AI19&lt;=0.6,"Media",IF(AI19&lt;=0.8,"Alta","Muy Alta"))))),"")</f>
        <v/>
      </c>
      <c r="AK19" s="191" t="str">
        <f>+AI19</f>
        <v/>
      </c>
      <c r="AL19" s="193" t="str">
        <f>IFERROR(IF(AM19="","",IF(AM19&lt;=0.2,"Leve",IF(AM19&lt;=0.4,"Menor",IF(AM19&lt;=0.6,"Moderado",IF(AM19&lt;=0.8,"Mayor","Catastrófico"))))),"")</f>
        <v/>
      </c>
      <c r="AM19" s="191" t="str">
        <f t="shared" ref="AM19" si="9">IFERROR(IF(AB19="Impacto",(X19-(+X19*AE19)),IF(AB19="Probabilidad",X19,"")),"")</f>
        <v/>
      </c>
      <c r="AN19" s="194" t="str">
        <f>IFERROR(IF(OR(AND(AJ19="Muy Baja",AL19="Leve"),AND(AJ19="Muy Baja",AL19="Menor"),AND(AJ19="Baja",AL19="Leve")),"Bajo",IF(OR(AND(AJ19="Muy baja",AL19="Moderado"),AND(AJ19="Baja",AL19="Menor"),AND(AJ19="Baja",AL19="Moderado"),AND(AJ19="Media",AL19="Leve"),AND(AJ19="Media",AL19="Menor"),AND(AJ19="Media",AL19="Moderado"),AND(AJ19="Alta",AL19="Leve"),AND(AJ19="Alta",AL19="Menor")),"Moderado",IF(OR(AND(AJ19="Muy Baja",AL19="Mayor"),AND(AJ19="Baja",AL19="Mayor"),AND(AJ19="Media",AL19="Mayor"),AND(AJ19="Alta",AL19="Moderado"),AND(AJ19="Alta",AL19="Mayor"),AND(AJ19="Muy Alta",AL19="Leve"),AND(AJ19="Muy Alta",AL19="Menor"),AND(AJ19="Muy Alta",AL19="Moderado"),AND(AJ19="Muy Alta",AL19="Mayor")),"Alto",IF(OR(AND(AJ19="Muy Baja",AL19="Catastrófico"),AND(AJ19="Baja",AL19="Catastrófico"),AND(AJ19="Media",AL19="Catastrófico"),AND(AJ19="Alta",AL19="Catastrófico"),AND(AJ19="Muy Alta",AL19="Catastrófico")),"Extremo","")))),"")</f>
        <v/>
      </c>
      <c r="AO19" s="195"/>
      <c r="AP19" s="186"/>
      <c r="AQ19" s="196"/>
      <c r="AR19" s="196"/>
      <c r="AS19" s="197"/>
      <c r="AT19" s="341"/>
      <c r="AU19" s="341"/>
      <c r="AV19" s="341"/>
    </row>
    <row r="20" spans="1:48" ht="37.5" hidden="1" customHeight="1" x14ac:dyDescent="0.2">
      <c r="A20" s="363"/>
      <c r="B20" s="345"/>
      <c r="C20" s="345"/>
      <c r="D20" s="345"/>
      <c r="E20" s="346"/>
      <c r="F20" s="345"/>
      <c r="G20" s="338"/>
      <c r="H20" s="338"/>
      <c r="I20" s="338"/>
      <c r="J20" s="338"/>
      <c r="K20" s="338"/>
      <c r="L20" s="338"/>
      <c r="M20" s="338"/>
      <c r="N20" s="338"/>
      <c r="O20" s="338"/>
      <c r="P20" s="338"/>
      <c r="Q20" s="338"/>
      <c r="R20" s="341"/>
      <c r="S20" s="335"/>
      <c r="T20" s="334"/>
      <c r="U20" s="324"/>
      <c r="V20" s="334">
        <f>IF(NOT(ISERROR(MATCH(U20,_xlfn.ANCHORARRAY(E31),0))),T33&amp;"Por favor no seleccionar los criterios de impacto",U20)</f>
        <v>0</v>
      </c>
      <c r="W20" s="335"/>
      <c r="X20" s="334"/>
      <c r="Y20" s="333"/>
      <c r="Z20" s="214">
        <v>2</v>
      </c>
      <c r="AA20" s="187"/>
      <c r="AB20" s="189" t="str">
        <f>IF(OR(AC20="Preventivo",AC20="Detectivo"),"Probabilidad",IF(AC20="Correctivo","Impacto",""))</f>
        <v/>
      </c>
      <c r="AC20" s="190"/>
      <c r="AD20" s="190"/>
      <c r="AE20" s="191" t="str">
        <f t="shared" ref="AE20:AE24" si="10">IF(AND(AC20="Preventivo",AD20="Automático"),"50%",IF(AND(AC20="Preventivo",AD20="Manual"),"40%",IF(AND(AC20="Detectivo",AD20="Automático"),"40%",IF(AND(AC20="Detectivo",AD20="Manual"),"30%",IF(AND(AC20="Correctivo",AD20="Automático"),"35%",IF(AND(AC20="Correctivo",AD20="Manual"),"25%",""))))))</f>
        <v/>
      </c>
      <c r="AF20" s="190"/>
      <c r="AG20" s="190"/>
      <c r="AH20" s="190"/>
      <c r="AI20" s="192" t="str">
        <f>IFERROR(IF(AND(AB19="Probabilidad",AB20="Probabilidad"),(AK19-(+AK19*AE20)),IF(AB20="Probabilidad",(T19-(+T19*AE20)),IF(AB20="Impacto",AK19,""))),"")</f>
        <v/>
      </c>
      <c r="AJ20" s="193" t="str">
        <f t="shared" si="2"/>
        <v/>
      </c>
      <c r="AK20" s="191" t="str">
        <f t="shared" ref="AK20:AK24" si="11">+AI20</f>
        <v/>
      </c>
      <c r="AL20" s="193" t="str">
        <f t="shared" si="4"/>
        <v/>
      </c>
      <c r="AM20" s="191" t="str">
        <f t="shared" ref="AM20" si="12">IFERROR(IF(AND(AB19="Impacto",AB20="Impacto"),(AM19-(+AM19*AE20)),IF(AB20="Impacto",($X$13-(+$X$13*AE20)),IF(AB20="Probabilidad",AM19,""))),"")</f>
        <v/>
      </c>
      <c r="AN20" s="194" t="str">
        <f t="shared" ref="AN20:AN21" si="13">IFERROR(IF(OR(AND(AJ20="Muy Baja",AL20="Leve"),AND(AJ20="Muy Baja",AL20="Menor"),AND(AJ20="Baja",AL20="Leve")),"Bajo",IF(OR(AND(AJ20="Muy baja",AL20="Moderado"),AND(AJ20="Baja",AL20="Menor"),AND(AJ20="Baja",AL20="Moderado"),AND(AJ20="Media",AL20="Leve"),AND(AJ20="Media",AL20="Menor"),AND(AJ20="Media",AL20="Moderado"),AND(AJ20="Alta",AL20="Leve"),AND(AJ20="Alta",AL20="Menor")),"Moderado",IF(OR(AND(AJ20="Muy Baja",AL20="Mayor"),AND(AJ20="Baja",AL20="Mayor"),AND(AJ20="Media",AL20="Mayor"),AND(AJ20="Alta",AL20="Moderado"),AND(AJ20="Alta",AL20="Mayor"),AND(AJ20="Muy Alta",AL20="Leve"),AND(AJ20="Muy Alta",AL20="Menor"),AND(AJ20="Muy Alta",AL20="Moderado"),AND(AJ20="Muy Alta",AL20="Mayor")),"Alto",IF(OR(AND(AJ20="Muy Baja",AL20="Catastrófico"),AND(AJ20="Baja",AL20="Catastrófico"),AND(AJ20="Media",AL20="Catastrófico"),AND(AJ20="Alta",AL20="Catastrófico"),AND(AJ20="Muy Alta",AL20="Catastrófico")),"Extremo","")))),"")</f>
        <v/>
      </c>
      <c r="AO20" s="195"/>
      <c r="AP20" s="186"/>
      <c r="AQ20" s="196"/>
      <c r="AR20" s="186"/>
      <c r="AS20" s="197"/>
      <c r="AT20" s="341"/>
      <c r="AU20" s="341"/>
      <c r="AV20" s="341"/>
    </row>
    <row r="21" spans="1:48" ht="37.5" hidden="1" customHeight="1" x14ac:dyDescent="0.2">
      <c r="A21" s="363"/>
      <c r="B21" s="345"/>
      <c r="C21" s="345"/>
      <c r="D21" s="345"/>
      <c r="E21" s="346"/>
      <c r="F21" s="345"/>
      <c r="G21" s="338"/>
      <c r="H21" s="338"/>
      <c r="I21" s="338"/>
      <c r="J21" s="338"/>
      <c r="K21" s="338"/>
      <c r="L21" s="338"/>
      <c r="M21" s="338"/>
      <c r="N21" s="338"/>
      <c r="O21" s="338"/>
      <c r="P21" s="338"/>
      <c r="Q21" s="338"/>
      <c r="R21" s="341"/>
      <c r="S21" s="335"/>
      <c r="T21" s="334"/>
      <c r="U21" s="324"/>
      <c r="V21" s="334">
        <f>IF(NOT(ISERROR(MATCH(U21,_xlfn.ANCHORARRAY(E32),0))),T34&amp;"Por favor no seleccionar los criterios de impacto",U21)</f>
        <v>0</v>
      </c>
      <c r="W21" s="335"/>
      <c r="X21" s="334"/>
      <c r="Y21" s="333"/>
      <c r="Z21" s="214">
        <v>3</v>
      </c>
      <c r="AA21" s="188"/>
      <c r="AB21" s="189" t="str">
        <f>IF(OR(AC21="Preventivo",AC21="Detectivo"),"Probabilidad",IF(AC21="Correctivo","Impacto",""))</f>
        <v/>
      </c>
      <c r="AC21" s="190"/>
      <c r="AD21" s="190"/>
      <c r="AE21" s="191" t="str">
        <f t="shared" si="10"/>
        <v/>
      </c>
      <c r="AF21" s="190"/>
      <c r="AG21" s="190"/>
      <c r="AH21" s="190"/>
      <c r="AI21" s="192" t="str">
        <f>IFERROR(IF(AND(AB20="Probabilidad",AB21="Probabilidad"),(AK20-(+AK20*AE21)),IF(AND(AB20="Impacto",AB21="Probabilidad"),(AK19-(+AK19*AE21)),IF(AB21="Impacto",AK20,""))),"")</f>
        <v/>
      </c>
      <c r="AJ21" s="193" t="str">
        <f t="shared" si="2"/>
        <v/>
      </c>
      <c r="AK21" s="191" t="str">
        <f t="shared" si="11"/>
        <v/>
      </c>
      <c r="AL21" s="193" t="str">
        <f t="shared" si="4"/>
        <v/>
      </c>
      <c r="AM21" s="191" t="str">
        <f t="shared" ref="AM21:AM72" si="14">IFERROR(IF(AND(AB20="Impacto",AB21="Impacto"),(AM20-(+AM20*AE21)),IF(AND(AB20="Probabilidad",AB21="Impacto"),(AM19-(+AM19*AE21)),IF(AB21="Probabilidad",AM20,""))),"")</f>
        <v/>
      </c>
      <c r="AN21" s="194" t="str">
        <f t="shared" si="13"/>
        <v/>
      </c>
      <c r="AO21" s="195"/>
      <c r="AP21" s="186"/>
      <c r="AQ21" s="196"/>
      <c r="AR21" s="196"/>
      <c r="AS21" s="197"/>
      <c r="AT21" s="341"/>
      <c r="AU21" s="341"/>
      <c r="AV21" s="341"/>
    </row>
    <row r="22" spans="1:48" ht="37.5" hidden="1" customHeight="1" x14ac:dyDescent="0.2">
      <c r="A22" s="363"/>
      <c r="B22" s="345"/>
      <c r="C22" s="345"/>
      <c r="D22" s="345"/>
      <c r="E22" s="346"/>
      <c r="F22" s="345"/>
      <c r="G22" s="338"/>
      <c r="H22" s="338"/>
      <c r="I22" s="338"/>
      <c r="J22" s="338"/>
      <c r="K22" s="338"/>
      <c r="L22" s="338"/>
      <c r="M22" s="338"/>
      <c r="N22" s="338"/>
      <c r="O22" s="338"/>
      <c r="P22" s="338"/>
      <c r="Q22" s="338"/>
      <c r="R22" s="341"/>
      <c r="S22" s="335"/>
      <c r="T22" s="334"/>
      <c r="U22" s="324"/>
      <c r="V22" s="334">
        <f>IF(NOT(ISERROR(MATCH(U22,_xlfn.ANCHORARRAY(E33),0))),T35&amp;"Por favor no seleccionar los criterios de impacto",U22)</f>
        <v>0</v>
      </c>
      <c r="W22" s="335"/>
      <c r="X22" s="334"/>
      <c r="Y22" s="333"/>
      <c r="Z22" s="214">
        <v>4</v>
      </c>
      <c r="AA22" s="187"/>
      <c r="AB22" s="189" t="str">
        <f t="shared" ref="AB22:AB24" si="15">IF(OR(AC22="Preventivo",AC22="Detectivo"),"Probabilidad",IF(AC22="Correctivo","Impacto",""))</f>
        <v/>
      </c>
      <c r="AC22" s="190"/>
      <c r="AD22" s="190"/>
      <c r="AE22" s="191" t="str">
        <f t="shared" si="10"/>
        <v/>
      </c>
      <c r="AF22" s="190"/>
      <c r="AG22" s="190"/>
      <c r="AH22" s="190"/>
      <c r="AI22" s="192" t="str">
        <f t="shared" ref="AI22:AI24" si="16">IFERROR(IF(AND(AB21="Probabilidad",AB22="Probabilidad"),(AK21-(+AK21*AE22)),IF(AND(AB21="Impacto",AB22="Probabilidad"),(AK20-(+AK20*AE22)),IF(AB22="Impacto",AK21,""))),"")</f>
        <v/>
      </c>
      <c r="AJ22" s="193" t="str">
        <f t="shared" si="2"/>
        <v/>
      </c>
      <c r="AK22" s="191" t="str">
        <f t="shared" si="11"/>
        <v/>
      </c>
      <c r="AL22" s="193" t="str">
        <f t="shared" si="4"/>
        <v/>
      </c>
      <c r="AM22" s="191" t="str">
        <f t="shared" si="14"/>
        <v/>
      </c>
      <c r="AN22" s="194" t="str">
        <f>IFERROR(IF(OR(AND(AJ22="Muy Baja",AL22="Leve"),AND(AJ22="Muy Baja",AL22="Menor"),AND(AJ22="Baja",AL22="Leve")),"Bajo",IF(OR(AND(AJ22="Muy baja",AL22="Moderado"),AND(AJ22="Baja",AL22="Menor"),AND(AJ22="Baja",AL22="Moderado"),AND(AJ22="Media",AL22="Leve"),AND(AJ22="Media",AL22="Menor"),AND(AJ22="Media",AL22="Moderado"),AND(AJ22="Alta",AL22="Leve"),AND(AJ22="Alta",AL22="Menor")),"Moderado",IF(OR(AND(AJ22="Muy Baja",AL22="Mayor"),AND(AJ22="Baja",AL22="Mayor"),AND(AJ22="Media",AL22="Mayor"),AND(AJ22="Alta",AL22="Moderado"),AND(AJ22="Alta",AL22="Mayor"),AND(AJ22="Muy Alta",AL22="Leve"),AND(AJ22="Muy Alta",AL22="Menor"),AND(AJ22="Muy Alta",AL22="Moderado"),AND(AJ22="Muy Alta",AL22="Mayor")),"Alto",IF(OR(AND(AJ22="Muy Baja",AL22="Catastrófico"),AND(AJ22="Baja",AL22="Catastrófico"),AND(AJ22="Media",AL22="Catastrófico"),AND(AJ22="Alta",AL22="Catastrófico"),AND(AJ22="Muy Alta",AL22="Catastrófico")),"Extremo","")))),"")</f>
        <v/>
      </c>
      <c r="AO22" s="195"/>
      <c r="AP22" s="186"/>
      <c r="AQ22" s="196"/>
      <c r="AR22" s="196"/>
      <c r="AS22" s="197"/>
      <c r="AT22" s="341"/>
      <c r="AU22" s="341"/>
      <c r="AV22" s="341"/>
    </row>
    <row r="23" spans="1:48" ht="37.5" hidden="1" customHeight="1" x14ac:dyDescent="0.2">
      <c r="A23" s="363"/>
      <c r="B23" s="345"/>
      <c r="C23" s="345"/>
      <c r="D23" s="345"/>
      <c r="E23" s="346"/>
      <c r="F23" s="345"/>
      <c r="G23" s="338"/>
      <c r="H23" s="338"/>
      <c r="I23" s="338"/>
      <c r="J23" s="338"/>
      <c r="K23" s="338"/>
      <c r="L23" s="338"/>
      <c r="M23" s="338"/>
      <c r="N23" s="338"/>
      <c r="O23" s="338"/>
      <c r="P23" s="338"/>
      <c r="Q23" s="338"/>
      <c r="R23" s="341"/>
      <c r="S23" s="335"/>
      <c r="T23" s="334"/>
      <c r="U23" s="324"/>
      <c r="V23" s="334">
        <f>IF(NOT(ISERROR(MATCH(U23,_xlfn.ANCHORARRAY(E34),0))),T36&amp;"Por favor no seleccionar los criterios de impacto",U23)</f>
        <v>0</v>
      </c>
      <c r="W23" s="335"/>
      <c r="X23" s="334"/>
      <c r="Y23" s="333"/>
      <c r="Z23" s="214">
        <v>5</v>
      </c>
      <c r="AA23" s="187"/>
      <c r="AB23" s="189" t="str">
        <f t="shared" si="15"/>
        <v/>
      </c>
      <c r="AC23" s="190"/>
      <c r="AD23" s="190"/>
      <c r="AE23" s="191" t="str">
        <f t="shared" si="10"/>
        <v/>
      </c>
      <c r="AF23" s="190"/>
      <c r="AG23" s="190"/>
      <c r="AH23" s="190"/>
      <c r="AI23" s="192" t="str">
        <f t="shared" si="16"/>
        <v/>
      </c>
      <c r="AJ23" s="193" t="str">
        <f t="shared" si="2"/>
        <v/>
      </c>
      <c r="AK23" s="191" t="str">
        <f t="shared" si="11"/>
        <v/>
      </c>
      <c r="AL23" s="193" t="str">
        <f t="shared" si="4"/>
        <v/>
      </c>
      <c r="AM23" s="191" t="str">
        <f t="shared" si="14"/>
        <v/>
      </c>
      <c r="AN23" s="194" t="str">
        <f t="shared" ref="AN23:AN24" si="17">IFERROR(IF(OR(AND(AJ23="Muy Baja",AL23="Leve"),AND(AJ23="Muy Baja",AL23="Menor"),AND(AJ23="Baja",AL23="Leve")),"Bajo",IF(OR(AND(AJ23="Muy baja",AL23="Moderado"),AND(AJ23="Baja",AL23="Menor"),AND(AJ23="Baja",AL23="Moderado"),AND(AJ23="Media",AL23="Leve"),AND(AJ23="Media",AL23="Menor"),AND(AJ23="Media",AL23="Moderado"),AND(AJ23="Alta",AL23="Leve"),AND(AJ23="Alta",AL23="Menor")),"Moderado",IF(OR(AND(AJ23="Muy Baja",AL23="Mayor"),AND(AJ23="Baja",AL23="Mayor"),AND(AJ23="Media",AL23="Mayor"),AND(AJ23="Alta",AL23="Moderado"),AND(AJ23="Alta",AL23="Mayor"),AND(AJ23="Muy Alta",AL23="Leve"),AND(AJ23="Muy Alta",AL23="Menor"),AND(AJ23="Muy Alta",AL23="Moderado"),AND(AJ23="Muy Alta",AL23="Mayor")),"Alto",IF(OR(AND(AJ23="Muy Baja",AL23="Catastrófico"),AND(AJ23="Baja",AL23="Catastrófico"),AND(AJ23="Media",AL23="Catastrófico"),AND(AJ23="Alta",AL23="Catastrófico"),AND(AJ23="Muy Alta",AL23="Catastrófico")),"Extremo","")))),"")</f>
        <v/>
      </c>
      <c r="AO23" s="195"/>
      <c r="AP23" s="186"/>
      <c r="AQ23" s="196"/>
      <c r="AR23" s="196"/>
      <c r="AS23" s="197"/>
      <c r="AT23" s="341"/>
      <c r="AU23" s="341"/>
      <c r="AV23" s="341"/>
    </row>
    <row r="24" spans="1:48" ht="37.5" hidden="1" customHeight="1" x14ac:dyDescent="0.2">
      <c r="A24" s="363"/>
      <c r="B24" s="345"/>
      <c r="C24" s="345"/>
      <c r="D24" s="345"/>
      <c r="E24" s="346"/>
      <c r="F24" s="345"/>
      <c r="G24" s="339"/>
      <c r="H24" s="339"/>
      <c r="I24" s="339"/>
      <c r="J24" s="339"/>
      <c r="K24" s="339"/>
      <c r="L24" s="339"/>
      <c r="M24" s="339"/>
      <c r="N24" s="339"/>
      <c r="O24" s="339"/>
      <c r="P24" s="339"/>
      <c r="Q24" s="339"/>
      <c r="R24" s="341"/>
      <c r="S24" s="335"/>
      <c r="T24" s="334"/>
      <c r="U24" s="324"/>
      <c r="V24" s="334">
        <f>IF(NOT(ISERROR(MATCH(U24,_xlfn.ANCHORARRAY(E35),0))),T37&amp;"Por favor no seleccionar los criterios de impacto",U24)</f>
        <v>0</v>
      </c>
      <c r="W24" s="335"/>
      <c r="X24" s="334"/>
      <c r="Y24" s="333"/>
      <c r="Z24" s="214">
        <v>6</v>
      </c>
      <c r="AA24" s="187"/>
      <c r="AB24" s="189" t="str">
        <f t="shared" si="15"/>
        <v/>
      </c>
      <c r="AC24" s="190"/>
      <c r="AD24" s="190"/>
      <c r="AE24" s="191" t="str">
        <f t="shared" si="10"/>
        <v/>
      </c>
      <c r="AF24" s="190"/>
      <c r="AG24" s="190"/>
      <c r="AH24" s="190"/>
      <c r="AI24" s="192" t="str">
        <f t="shared" si="16"/>
        <v/>
      </c>
      <c r="AJ24" s="193" t="str">
        <f t="shared" si="2"/>
        <v/>
      </c>
      <c r="AK24" s="191" t="str">
        <f t="shared" si="11"/>
        <v/>
      </c>
      <c r="AL24" s="193" t="str">
        <f t="shared" si="4"/>
        <v/>
      </c>
      <c r="AM24" s="191" t="str">
        <f t="shared" si="14"/>
        <v/>
      </c>
      <c r="AN24" s="194" t="str">
        <f t="shared" si="17"/>
        <v/>
      </c>
      <c r="AO24" s="195"/>
      <c r="AP24" s="186"/>
      <c r="AQ24" s="196"/>
      <c r="AR24" s="196"/>
      <c r="AS24" s="197"/>
      <c r="AT24" s="341"/>
      <c r="AU24" s="341"/>
      <c r="AV24" s="341"/>
    </row>
    <row r="25" spans="1:48" ht="37.5" hidden="1" customHeight="1" x14ac:dyDescent="0.2">
      <c r="A25" s="363">
        <v>3</v>
      </c>
      <c r="B25" s="345"/>
      <c r="C25" s="345"/>
      <c r="D25" s="345"/>
      <c r="E25" s="346"/>
      <c r="F25" s="345"/>
      <c r="G25" s="337"/>
      <c r="H25" s="337"/>
      <c r="I25" s="337"/>
      <c r="J25" s="337"/>
      <c r="K25" s="337"/>
      <c r="L25" s="337"/>
      <c r="M25" s="337"/>
      <c r="N25" s="337"/>
      <c r="O25" s="337"/>
      <c r="P25" s="337"/>
      <c r="Q25" s="337"/>
      <c r="R25" s="341"/>
      <c r="S25" s="335" t="str">
        <f>IF(R25&lt;=0,"",IF(R25&lt;=2,"Muy Baja",IF(R25&lt;=24,"Baja",IF(R25&lt;=500,"Media",IF(R25&lt;=5000,"Alta","Muy Alta")))))</f>
        <v/>
      </c>
      <c r="T25" s="334" t="str">
        <f>IF(S25="","",IF(S25="Muy Baja",0.2,IF(S25="Baja",0.4,IF(S25="Media",0.6,IF(S25="Alta",0.8,IF(S25="Muy Alta",1,))))))</f>
        <v/>
      </c>
      <c r="U25" s="324"/>
      <c r="V25" s="334">
        <f>IF(NOT(ISERROR(MATCH(U25,'Tabla Impacto'!$B$222:$B$224,0))),'Tabla Impacto'!$F$224&amp;"Por favor no seleccionar los criterios de impacto(Afectación Económica o presupuestal y Pérdida Reputacional)",U25)</f>
        <v>0</v>
      </c>
      <c r="W25" s="335" t="str">
        <f>IF(OR(V25='Tabla Impacto'!$C$12,V25='Tabla Impacto'!$D$12),"Leve",IF(OR(V25='Tabla Impacto'!$C$13,V25='Tabla Impacto'!$D$13),"Menor",IF(OR(V25='Tabla Impacto'!$C$14,V25='Tabla Impacto'!$D$14),"Moderado",IF(OR(V25='Tabla Impacto'!$C$15,V25='Tabla Impacto'!$D$15),"Mayor",IF(OR(V25='Tabla Impacto'!$C$16,V25='Tabla Impacto'!$D$16),"Catastrófico","")))))</f>
        <v/>
      </c>
      <c r="X25" s="334" t="str">
        <f>IF(W25="","",IF(W25="Leve",0.2,IF(W25="Menor",0.4,IF(W25="Moderado",0.6,IF(W25="Mayor",0.8,IF(W25="Catastrófico",1,))))))</f>
        <v/>
      </c>
      <c r="Y25" s="333" t="str">
        <f>IF(OR(AND(S25="Muy Baja",W25="Leve"),AND(S25="Muy Baja",W25="Menor"),AND(S25="Baja",W25="Leve")),"Bajo",IF(OR(AND(S25="Muy baja",W25="Moderado"),AND(S25="Baja",W25="Menor"),AND(S25="Baja",W25="Moderado"),AND(S25="Media",W25="Leve"),AND(S25="Media",W25="Menor"),AND(S25="Media",W25="Moderado"),AND(S25="Alta",W25="Leve"),AND(S25="Alta",W25="Menor")),"Moderado",IF(OR(AND(S25="Muy Baja",W25="Mayor"),AND(S25="Baja",W25="Mayor"),AND(S25="Media",W25="Mayor"),AND(S25="Alta",W25="Moderado"),AND(S25="Alta",W25="Mayor"),AND(S25="Muy Alta",W25="Leve"),AND(S25="Muy Alta",W25="Menor"),AND(S25="Muy Alta",W25="Moderado"),AND(S25="Muy Alta",W25="Mayor")),"Alto",IF(OR(AND(S25="Muy Baja",W25="Catastrófico"),AND(S25="Baja",W25="Catastrófico"),AND(S25="Media",W25="Catastrófico"),AND(S25="Alta",W25="Catastrófico"),AND(S25="Muy Alta",W25="Catastrófico")),"Extremo",""))))</f>
        <v/>
      </c>
      <c r="Z25" s="214">
        <v>1</v>
      </c>
      <c r="AA25" s="187"/>
      <c r="AB25" s="189" t="str">
        <f>IF(OR(AC25="Preventivo",AC25="Detectivo"),"Probabilidad",IF(AC25="Correctivo","Impacto",""))</f>
        <v/>
      </c>
      <c r="AC25" s="190"/>
      <c r="AD25" s="190"/>
      <c r="AE25" s="191" t="str">
        <f>IF(AND(AC25="Preventivo",AD25="Automático"),"50%",IF(AND(AC25="Preventivo",AD25="Manual"),"40%",IF(AND(AC25="Detectivo",AD25="Automático"),"40%",IF(AND(AC25="Detectivo",AD25="Manual"),"30%",IF(AND(AC25="Correctivo",AD25="Automático"),"35%",IF(AND(AC25="Correctivo",AD25="Manual"),"25%",""))))))</f>
        <v/>
      </c>
      <c r="AF25" s="190"/>
      <c r="AG25" s="190"/>
      <c r="AH25" s="190"/>
      <c r="AI25" s="192" t="str">
        <f>IFERROR(IF(AB25="Probabilidad",(T25-(+T25*AE25)),IF(AB25="Impacto",T25,"")),"")</f>
        <v/>
      </c>
      <c r="AJ25" s="193" t="str">
        <f>IFERROR(IF(AI25="","",IF(AI25&lt;=0.2,"Muy Baja",IF(AI25&lt;=0.4,"Baja",IF(AI25&lt;=0.6,"Media",IF(AI25&lt;=0.8,"Alta","Muy Alta"))))),"")</f>
        <v/>
      </c>
      <c r="AK25" s="191" t="str">
        <f>+AI25</f>
        <v/>
      </c>
      <c r="AL25" s="193" t="str">
        <f>IFERROR(IF(AM25="","",IF(AM25&lt;=0.2,"Leve",IF(AM25&lt;=0.4,"Menor",IF(AM25&lt;=0.6,"Moderado",IF(AM25&lt;=0.8,"Mayor","Catastrófico"))))),"")</f>
        <v/>
      </c>
      <c r="AM25" s="191" t="str">
        <f t="shared" ref="AM25" si="18">IFERROR(IF(AB25="Impacto",(X25-(+X25*AE25)),IF(AB25="Probabilidad",X25,"")),"")</f>
        <v/>
      </c>
      <c r="AN25" s="194" t="str">
        <f>IFERROR(IF(OR(AND(AJ25="Muy Baja",AL25="Leve"),AND(AJ25="Muy Baja",AL25="Menor"),AND(AJ25="Baja",AL25="Leve")),"Bajo",IF(OR(AND(AJ25="Muy baja",AL25="Moderado"),AND(AJ25="Baja",AL25="Menor"),AND(AJ25="Baja",AL25="Moderado"),AND(AJ25="Media",AL25="Leve"),AND(AJ25="Media",AL25="Menor"),AND(AJ25="Media",AL25="Moderado"),AND(AJ25="Alta",AL25="Leve"),AND(AJ25="Alta",AL25="Menor")),"Moderado",IF(OR(AND(AJ25="Muy Baja",AL25="Mayor"),AND(AJ25="Baja",AL25="Mayor"),AND(AJ25="Media",AL25="Mayor"),AND(AJ25="Alta",AL25="Moderado"),AND(AJ25="Alta",AL25="Mayor"),AND(AJ25="Muy Alta",AL25="Leve"),AND(AJ25="Muy Alta",AL25="Menor"),AND(AJ25="Muy Alta",AL25="Moderado"),AND(AJ25="Muy Alta",AL25="Mayor")),"Alto",IF(OR(AND(AJ25="Muy Baja",AL25="Catastrófico"),AND(AJ25="Baja",AL25="Catastrófico"),AND(AJ25="Media",AL25="Catastrófico"),AND(AJ25="Alta",AL25="Catastrófico"),AND(AJ25="Muy Alta",AL25="Catastrófico")),"Extremo","")))),"")</f>
        <v/>
      </c>
      <c r="AO25" s="195"/>
      <c r="AP25" s="186"/>
      <c r="AQ25" s="196"/>
      <c r="AR25" s="196"/>
      <c r="AS25" s="197"/>
      <c r="AT25" s="341"/>
      <c r="AU25" s="341"/>
      <c r="AV25" s="341"/>
    </row>
    <row r="26" spans="1:48" ht="37.5" hidden="1" customHeight="1" x14ac:dyDescent="0.2">
      <c r="A26" s="363"/>
      <c r="B26" s="345"/>
      <c r="C26" s="345"/>
      <c r="D26" s="345"/>
      <c r="E26" s="346"/>
      <c r="F26" s="345"/>
      <c r="G26" s="338"/>
      <c r="H26" s="338"/>
      <c r="I26" s="338"/>
      <c r="J26" s="338"/>
      <c r="K26" s="338"/>
      <c r="L26" s="338"/>
      <c r="M26" s="338"/>
      <c r="N26" s="338"/>
      <c r="O26" s="338"/>
      <c r="P26" s="338"/>
      <c r="Q26" s="338"/>
      <c r="R26" s="341"/>
      <c r="S26" s="335"/>
      <c r="T26" s="334"/>
      <c r="U26" s="324"/>
      <c r="V26" s="334">
        <f>IF(NOT(ISERROR(MATCH(U26,_xlfn.ANCHORARRAY(E37),0))),T39&amp;"Por favor no seleccionar los criterios de impacto",U26)</f>
        <v>0</v>
      </c>
      <c r="W26" s="335"/>
      <c r="X26" s="334"/>
      <c r="Y26" s="333"/>
      <c r="Z26" s="214">
        <v>2</v>
      </c>
      <c r="AA26" s="187"/>
      <c r="AB26" s="189" t="str">
        <f>IF(OR(AC26="Preventivo",AC26="Detectivo"),"Probabilidad",IF(AC26="Correctivo","Impacto",""))</f>
        <v/>
      </c>
      <c r="AC26" s="190"/>
      <c r="AD26" s="190"/>
      <c r="AE26" s="191" t="str">
        <f t="shared" ref="AE26:AE30" si="19">IF(AND(AC26="Preventivo",AD26="Automático"),"50%",IF(AND(AC26="Preventivo",AD26="Manual"),"40%",IF(AND(AC26="Detectivo",AD26="Automático"),"40%",IF(AND(AC26="Detectivo",AD26="Manual"),"30%",IF(AND(AC26="Correctivo",AD26="Automático"),"35%",IF(AND(AC26="Correctivo",AD26="Manual"),"25%",""))))))</f>
        <v/>
      </c>
      <c r="AF26" s="190"/>
      <c r="AG26" s="190"/>
      <c r="AH26" s="190"/>
      <c r="AI26" s="192" t="str">
        <f>IFERROR(IF(AND(AB25="Probabilidad",AB26="Probabilidad"),(AK25-(+AK25*AE26)),IF(AB26="Probabilidad",(T25-(+T25*AE26)),IF(AB26="Impacto",AK25,""))),"")</f>
        <v/>
      </c>
      <c r="AJ26" s="193" t="str">
        <f t="shared" si="2"/>
        <v/>
      </c>
      <c r="AK26" s="191" t="str">
        <f t="shared" ref="AK26:AK30" si="20">+AI26</f>
        <v/>
      </c>
      <c r="AL26" s="193" t="str">
        <f t="shared" si="4"/>
        <v/>
      </c>
      <c r="AM26" s="191" t="str">
        <f t="shared" ref="AM26" si="21">IFERROR(IF(AND(AB25="Impacto",AB26="Impacto"),(AM25-(+AM25*AE26)),IF(AB26="Impacto",($X$13-(+$X$13*AE26)),IF(AB26="Probabilidad",AM25,""))),"")</f>
        <v/>
      </c>
      <c r="AN26" s="194" t="str">
        <f t="shared" ref="AN26:AN27" si="22">IFERROR(IF(OR(AND(AJ26="Muy Baja",AL26="Leve"),AND(AJ26="Muy Baja",AL26="Menor"),AND(AJ26="Baja",AL26="Leve")),"Bajo",IF(OR(AND(AJ26="Muy baja",AL26="Moderado"),AND(AJ26="Baja",AL26="Menor"),AND(AJ26="Baja",AL26="Moderado"),AND(AJ26="Media",AL26="Leve"),AND(AJ26="Media",AL26="Menor"),AND(AJ26="Media",AL26="Moderado"),AND(AJ26="Alta",AL26="Leve"),AND(AJ26="Alta",AL26="Menor")),"Moderado",IF(OR(AND(AJ26="Muy Baja",AL26="Mayor"),AND(AJ26="Baja",AL26="Mayor"),AND(AJ26="Media",AL26="Mayor"),AND(AJ26="Alta",AL26="Moderado"),AND(AJ26="Alta",AL26="Mayor"),AND(AJ26="Muy Alta",AL26="Leve"),AND(AJ26="Muy Alta",AL26="Menor"),AND(AJ26="Muy Alta",AL26="Moderado"),AND(AJ26="Muy Alta",AL26="Mayor")),"Alto",IF(OR(AND(AJ26="Muy Baja",AL26="Catastrófico"),AND(AJ26="Baja",AL26="Catastrófico"),AND(AJ26="Media",AL26="Catastrófico"),AND(AJ26="Alta",AL26="Catastrófico"),AND(AJ26="Muy Alta",AL26="Catastrófico")),"Extremo","")))),"")</f>
        <v/>
      </c>
      <c r="AO26" s="195"/>
      <c r="AP26" s="186"/>
      <c r="AQ26" s="196"/>
      <c r="AR26" s="196"/>
      <c r="AS26" s="197"/>
      <c r="AT26" s="341"/>
      <c r="AU26" s="341"/>
      <c r="AV26" s="341"/>
    </row>
    <row r="27" spans="1:48" ht="37.5" hidden="1" customHeight="1" x14ac:dyDescent="0.2">
      <c r="A27" s="363"/>
      <c r="B27" s="345"/>
      <c r="C27" s="345"/>
      <c r="D27" s="345"/>
      <c r="E27" s="346"/>
      <c r="F27" s="345"/>
      <c r="G27" s="338"/>
      <c r="H27" s="338"/>
      <c r="I27" s="338"/>
      <c r="J27" s="338"/>
      <c r="K27" s="338"/>
      <c r="L27" s="338"/>
      <c r="M27" s="338"/>
      <c r="N27" s="338"/>
      <c r="O27" s="338"/>
      <c r="P27" s="338"/>
      <c r="Q27" s="338"/>
      <c r="R27" s="341"/>
      <c r="S27" s="335"/>
      <c r="T27" s="334"/>
      <c r="U27" s="324"/>
      <c r="V27" s="334">
        <f>IF(NOT(ISERROR(MATCH(U27,_xlfn.ANCHORARRAY(E38),0))),T40&amp;"Por favor no seleccionar los criterios de impacto",U27)</f>
        <v>0</v>
      </c>
      <c r="W27" s="335"/>
      <c r="X27" s="334"/>
      <c r="Y27" s="333"/>
      <c r="Z27" s="214">
        <v>3</v>
      </c>
      <c r="AA27" s="187"/>
      <c r="AB27" s="189" t="str">
        <f>IF(OR(AC27="Preventivo",AC27="Detectivo"),"Probabilidad",IF(AC27="Correctivo","Impacto",""))</f>
        <v/>
      </c>
      <c r="AC27" s="190"/>
      <c r="AD27" s="190"/>
      <c r="AE27" s="191" t="str">
        <f t="shared" si="19"/>
        <v/>
      </c>
      <c r="AF27" s="190"/>
      <c r="AG27" s="190"/>
      <c r="AH27" s="190"/>
      <c r="AI27" s="192" t="str">
        <f>IFERROR(IF(AND(AB26="Probabilidad",AB27="Probabilidad"),(AK26-(+AK26*AE27)),IF(AND(AB26="Impacto",AB27="Probabilidad"),(AK25-(+AK25*AE27)),IF(AB27="Impacto",AK26,""))),"")</f>
        <v/>
      </c>
      <c r="AJ27" s="193" t="str">
        <f t="shared" si="2"/>
        <v/>
      </c>
      <c r="AK27" s="191" t="str">
        <f t="shared" si="20"/>
        <v/>
      </c>
      <c r="AL27" s="193" t="str">
        <f t="shared" si="4"/>
        <v/>
      </c>
      <c r="AM27" s="191" t="str">
        <f t="shared" ref="AM27" si="23">IFERROR(IF(AND(AB26="Impacto",AB27="Impacto"),(AM26-(+AM26*AE27)),IF(AND(AB26="Probabilidad",AB27="Impacto"),(AM25-(+AM25*AE27)),IF(AB27="Probabilidad",AM26,""))),"")</f>
        <v/>
      </c>
      <c r="AN27" s="194" t="str">
        <f t="shared" si="22"/>
        <v/>
      </c>
      <c r="AO27" s="195"/>
      <c r="AP27" s="186"/>
      <c r="AQ27" s="196"/>
      <c r="AR27" s="196"/>
      <c r="AS27" s="197"/>
      <c r="AT27" s="341"/>
      <c r="AU27" s="341"/>
      <c r="AV27" s="341"/>
    </row>
    <row r="28" spans="1:48" ht="37.5" hidden="1" customHeight="1" x14ac:dyDescent="0.2">
      <c r="A28" s="363"/>
      <c r="B28" s="345"/>
      <c r="C28" s="345"/>
      <c r="D28" s="345"/>
      <c r="E28" s="346"/>
      <c r="F28" s="345"/>
      <c r="G28" s="338"/>
      <c r="H28" s="338"/>
      <c r="I28" s="338"/>
      <c r="J28" s="338"/>
      <c r="K28" s="338"/>
      <c r="L28" s="338"/>
      <c r="M28" s="338"/>
      <c r="N28" s="338"/>
      <c r="O28" s="338"/>
      <c r="P28" s="338"/>
      <c r="Q28" s="338"/>
      <c r="R28" s="341"/>
      <c r="S28" s="335"/>
      <c r="T28" s="334"/>
      <c r="U28" s="324"/>
      <c r="V28" s="334">
        <f>IF(NOT(ISERROR(MATCH(U28,_xlfn.ANCHORARRAY(E39),0))),T41&amp;"Por favor no seleccionar los criterios de impacto",U28)</f>
        <v>0</v>
      </c>
      <c r="W28" s="335"/>
      <c r="X28" s="334"/>
      <c r="Y28" s="333"/>
      <c r="Z28" s="214">
        <v>4</v>
      </c>
      <c r="AA28" s="187"/>
      <c r="AB28" s="189" t="str">
        <f t="shared" ref="AB28:AB30" si="24">IF(OR(AC28="Preventivo",AC28="Detectivo"),"Probabilidad",IF(AC28="Correctivo","Impacto",""))</f>
        <v/>
      </c>
      <c r="AC28" s="190"/>
      <c r="AD28" s="190"/>
      <c r="AE28" s="191" t="str">
        <f t="shared" si="19"/>
        <v/>
      </c>
      <c r="AF28" s="190"/>
      <c r="AG28" s="190"/>
      <c r="AH28" s="190"/>
      <c r="AI28" s="192" t="str">
        <f t="shared" ref="AI28:AI30" si="25">IFERROR(IF(AND(AB27="Probabilidad",AB28="Probabilidad"),(AK27-(+AK27*AE28)),IF(AND(AB27="Impacto",AB28="Probabilidad"),(AK26-(+AK26*AE28)),IF(AB28="Impacto",AK27,""))),"")</f>
        <v/>
      </c>
      <c r="AJ28" s="193" t="str">
        <f t="shared" si="2"/>
        <v/>
      </c>
      <c r="AK28" s="191" t="str">
        <f t="shared" si="20"/>
        <v/>
      </c>
      <c r="AL28" s="193" t="str">
        <f t="shared" si="4"/>
        <v/>
      </c>
      <c r="AM28" s="191" t="str">
        <f t="shared" si="14"/>
        <v/>
      </c>
      <c r="AN28" s="194" t="str">
        <f>IFERROR(IF(OR(AND(AJ28="Muy Baja",AL28="Leve"),AND(AJ28="Muy Baja",AL28="Menor"),AND(AJ28="Baja",AL28="Leve")),"Bajo",IF(OR(AND(AJ28="Muy baja",AL28="Moderado"),AND(AJ28="Baja",AL28="Menor"),AND(AJ28="Baja",AL28="Moderado"),AND(AJ28="Media",AL28="Leve"),AND(AJ28="Media",AL28="Menor"),AND(AJ28="Media",AL28="Moderado"),AND(AJ28="Alta",AL28="Leve"),AND(AJ28="Alta",AL28="Menor")),"Moderado",IF(OR(AND(AJ28="Muy Baja",AL28="Mayor"),AND(AJ28="Baja",AL28="Mayor"),AND(AJ28="Media",AL28="Mayor"),AND(AJ28="Alta",AL28="Moderado"),AND(AJ28="Alta",AL28="Mayor"),AND(AJ28="Muy Alta",AL28="Leve"),AND(AJ28="Muy Alta",AL28="Menor"),AND(AJ28="Muy Alta",AL28="Moderado"),AND(AJ28="Muy Alta",AL28="Mayor")),"Alto",IF(OR(AND(AJ28="Muy Baja",AL28="Catastrófico"),AND(AJ28="Baja",AL28="Catastrófico"),AND(AJ28="Media",AL28="Catastrófico"),AND(AJ28="Alta",AL28="Catastrófico"),AND(AJ28="Muy Alta",AL28="Catastrófico")),"Extremo","")))),"")</f>
        <v/>
      </c>
      <c r="AO28" s="195"/>
      <c r="AP28" s="186"/>
      <c r="AQ28" s="196"/>
      <c r="AR28" s="196"/>
      <c r="AS28" s="197"/>
      <c r="AT28" s="341"/>
      <c r="AU28" s="341"/>
      <c r="AV28" s="341"/>
    </row>
    <row r="29" spans="1:48" ht="37.5" hidden="1" customHeight="1" x14ac:dyDescent="0.2">
      <c r="A29" s="363"/>
      <c r="B29" s="345"/>
      <c r="C29" s="345"/>
      <c r="D29" s="345"/>
      <c r="E29" s="346"/>
      <c r="F29" s="345"/>
      <c r="G29" s="338"/>
      <c r="H29" s="338"/>
      <c r="I29" s="338"/>
      <c r="J29" s="338"/>
      <c r="K29" s="338"/>
      <c r="L29" s="338"/>
      <c r="M29" s="338"/>
      <c r="N29" s="338"/>
      <c r="O29" s="338"/>
      <c r="P29" s="338"/>
      <c r="Q29" s="338"/>
      <c r="R29" s="341"/>
      <c r="S29" s="335"/>
      <c r="T29" s="334"/>
      <c r="U29" s="324"/>
      <c r="V29" s="334">
        <f>IF(NOT(ISERROR(MATCH(U29,_xlfn.ANCHORARRAY(E40),0))),T42&amp;"Por favor no seleccionar los criterios de impacto",U29)</f>
        <v>0</v>
      </c>
      <c r="W29" s="335"/>
      <c r="X29" s="334"/>
      <c r="Y29" s="333"/>
      <c r="Z29" s="214">
        <v>5</v>
      </c>
      <c r="AA29" s="187"/>
      <c r="AB29" s="189" t="str">
        <f t="shared" si="24"/>
        <v/>
      </c>
      <c r="AC29" s="190"/>
      <c r="AD29" s="190"/>
      <c r="AE29" s="191" t="str">
        <f t="shared" si="19"/>
        <v/>
      </c>
      <c r="AF29" s="190"/>
      <c r="AG29" s="190"/>
      <c r="AH29" s="190"/>
      <c r="AI29" s="192" t="str">
        <f t="shared" si="25"/>
        <v/>
      </c>
      <c r="AJ29" s="193" t="str">
        <f t="shared" si="2"/>
        <v/>
      </c>
      <c r="AK29" s="191" t="str">
        <f t="shared" si="20"/>
        <v/>
      </c>
      <c r="AL29" s="193" t="str">
        <f t="shared" si="4"/>
        <v/>
      </c>
      <c r="AM29" s="191" t="str">
        <f t="shared" si="14"/>
        <v/>
      </c>
      <c r="AN29" s="194" t="str">
        <f t="shared" ref="AN29:AN30" si="26">IFERROR(IF(OR(AND(AJ29="Muy Baja",AL29="Leve"),AND(AJ29="Muy Baja",AL29="Menor"),AND(AJ29="Baja",AL29="Leve")),"Bajo",IF(OR(AND(AJ29="Muy baja",AL29="Moderado"),AND(AJ29="Baja",AL29="Menor"),AND(AJ29="Baja",AL29="Moderado"),AND(AJ29="Media",AL29="Leve"),AND(AJ29="Media",AL29="Menor"),AND(AJ29="Media",AL29="Moderado"),AND(AJ29="Alta",AL29="Leve"),AND(AJ29="Alta",AL29="Menor")),"Moderado",IF(OR(AND(AJ29="Muy Baja",AL29="Mayor"),AND(AJ29="Baja",AL29="Mayor"),AND(AJ29="Media",AL29="Mayor"),AND(AJ29="Alta",AL29="Moderado"),AND(AJ29="Alta",AL29="Mayor"),AND(AJ29="Muy Alta",AL29="Leve"),AND(AJ29="Muy Alta",AL29="Menor"),AND(AJ29="Muy Alta",AL29="Moderado"),AND(AJ29="Muy Alta",AL29="Mayor")),"Alto",IF(OR(AND(AJ29="Muy Baja",AL29="Catastrófico"),AND(AJ29="Baja",AL29="Catastrófico"),AND(AJ29="Media",AL29="Catastrófico"),AND(AJ29="Alta",AL29="Catastrófico"),AND(AJ29="Muy Alta",AL29="Catastrófico")),"Extremo","")))),"")</f>
        <v/>
      </c>
      <c r="AO29" s="195"/>
      <c r="AP29" s="186"/>
      <c r="AQ29" s="196"/>
      <c r="AR29" s="196"/>
      <c r="AS29" s="197"/>
      <c r="AT29" s="341"/>
      <c r="AU29" s="341"/>
      <c r="AV29" s="341"/>
    </row>
    <row r="30" spans="1:48" ht="37.5" hidden="1" customHeight="1" x14ac:dyDescent="0.2">
      <c r="A30" s="363"/>
      <c r="B30" s="345"/>
      <c r="C30" s="345"/>
      <c r="D30" s="345"/>
      <c r="E30" s="346"/>
      <c r="F30" s="345"/>
      <c r="G30" s="339"/>
      <c r="H30" s="339"/>
      <c r="I30" s="339"/>
      <c r="J30" s="339"/>
      <c r="K30" s="339"/>
      <c r="L30" s="339"/>
      <c r="M30" s="339"/>
      <c r="N30" s="339"/>
      <c r="O30" s="339"/>
      <c r="P30" s="339"/>
      <c r="Q30" s="339"/>
      <c r="R30" s="341"/>
      <c r="S30" s="335"/>
      <c r="T30" s="334"/>
      <c r="U30" s="324"/>
      <c r="V30" s="334">
        <f>IF(NOT(ISERROR(MATCH(U30,_xlfn.ANCHORARRAY(E41),0))),T43&amp;"Por favor no seleccionar los criterios de impacto",U30)</f>
        <v>0</v>
      </c>
      <c r="W30" s="335"/>
      <c r="X30" s="334"/>
      <c r="Y30" s="333"/>
      <c r="Z30" s="214">
        <v>6</v>
      </c>
      <c r="AA30" s="187"/>
      <c r="AB30" s="189" t="str">
        <f t="shared" si="24"/>
        <v/>
      </c>
      <c r="AC30" s="190"/>
      <c r="AD30" s="190"/>
      <c r="AE30" s="191" t="str">
        <f t="shared" si="19"/>
        <v/>
      </c>
      <c r="AF30" s="190"/>
      <c r="AG30" s="190"/>
      <c r="AH30" s="190"/>
      <c r="AI30" s="192" t="str">
        <f t="shared" si="25"/>
        <v/>
      </c>
      <c r="AJ30" s="193" t="str">
        <f t="shared" si="2"/>
        <v/>
      </c>
      <c r="AK30" s="191" t="str">
        <f t="shared" si="20"/>
        <v/>
      </c>
      <c r="AL30" s="193" t="str">
        <f t="shared" si="4"/>
        <v/>
      </c>
      <c r="AM30" s="191" t="str">
        <f t="shared" si="14"/>
        <v/>
      </c>
      <c r="AN30" s="194" t="str">
        <f t="shared" si="26"/>
        <v/>
      </c>
      <c r="AO30" s="195"/>
      <c r="AP30" s="186"/>
      <c r="AQ30" s="196"/>
      <c r="AR30" s="196"/>
      <c r="AS30" s="197"/>
      <c r="AT30" s="341"/>
      <c r="AU30" s="341"/>
      <c r="AV30" s="341"/>
    </row>
    <row r="31" spans="1:48" ht="37.5" hidden="1" customHeight="1" x14ac:dyDescent="0.2">
      <c r="A31" s="363">
        <v>4</v>
      </c>
      <c r="B31" s="345"/>
      <c r="C31" s="345"/>
      <c r="D31" s="345"/>
      <c r="E31" s="345"/>
      <c r="F31" s="345"/>
      <c r="G31" s="337"/>
      <c r="H31" s="337"/>
      <c r="I31" s="337"/>
      <c r="J31" s="337"/>
      <c r="K31" s="337"/>
      <c r="L31" s="337"/>
      <c r="M31" s="337"/>
      <c r="N31" s="337"/>
      <c r="O31" s="337"/>
      <c r="P31" s="337"/>
      <c r="Q31" s="337"/>
      <c r="R31" s="341"/>
      <c r="S31" s="335" t="str">
        <f>IF(R31&lt;=0,"",IF(R31&lt;=2,"Muy Baja",IF(R31&lt;=24,"Baja",IF(R31&lt;=500,"Media",IF(R31&lt;=5000,"Alta","Muy Alta")))))</f>
        <v/>
      </c>
      <c r="T31" s="334" t="str">
        <f>IF(S31="","",IF(S31="Muy Baja",0.2,IF(S31="Baja",0.4,IF(S31="Media",0.6,IF(S31="Alta",0.8,IF(S31="Muy Alta",1,))))))</f>
        <v/>
      </c>
      <c r="U31" s="324"/>
      <c r="V31" s="334">
        <f>IF(NOT(ISERROR(MATCH(U31,'Tabla Impacto'!$B$222:$B$224,0))),'Tabla Impacto'!$F$224&amp;"Por favor no seleccionar los criterios de impacto(Afectación Económica o presupuestal y Pérdida Reputacional)",U31)</f>
        <v>0</v>
      </c>
      <c r="W31" s="335" t="str">
        <f>IF(OR(V31='Tabla Impacto'!$C$12,V31='Tabla Impacto'!$D$12),"Leve",IF(OR(V31='Tabla Impacto'!$C$13,V31='Tabla Impacto'!$D$13),"Menor",IF(OR(V31='Tabla Impacto'!$C$14,V31='Tabla Impacto'!$D$14),"Moderado",IF(OR(V31='Tabla Impacto'!$C$15,V31='Tabla Impacto'!$D$15),"Mayor",IF(OR(V31='Tabla Impacto'!$C$16,V31='Tabla Impacto'!$D$16),"Catastrófico","")))))</f>
        <v/>
      </c>
      <c r="X31" s="334" t="str">
        <f>IF(W31="","",IF(W31="Leve",0.2,IF(W31="Menor",0.4,IF(W31="Moderado",0.6,IF(W31="Mayor",0.8,IF(W31="Catastrófico",1,))))))</f>
        <v/>
      </c>
      <c r="Y31" s="333" t="str">
        <f>IF(OR(AND(S31="Muy Baja",W31="Leve"),AND(S31="Muy Baja",W31="Menor"),AND(S31="Baja",W31="Leve")),"Bajo",IF(OR(AND(S31="Muy baja",W31="Moderado"),AND(S31="Baja",W31="Menor"),AND(S31="Baja",W31="Moderado"),AND(S31="Media",W31="Leve"),AND(S31="Media",W31="Menor"),AND(S31="Media",W31="Moderado"),AND(S31="Alta",W31="Leve"),AND(S31="Alta",W31="Menor")),"Moderado",IF(OR(AND(S31="Muy Baja",W31="Mayor"),AND(S31="Baja",W31="Mayor"),AND(S31="Media",W31="Mayor"),AND(S31="Alta",W31="Moderado"),AND(S31="Alta",W31="Mayor"),AND(S31="Muy Alta",W31="Leve"),AND(S31="Muy Alta",W31="Menor"),AND(S31="Muy Alta",W31="Moderado"),AND(S31="Muy Alta",W31="Mayor")),"Alto",IF(OR(AND(S31="Muy Baja",W31="Catastrófico"),AND(S31="Baja",W31="Catastrófico"),AND(S31="Media",W31="Catastrófico"),AND(S31="Alta",W31="Catastrófico"),AND(S31="Muy Alta",W31="Catastrófico")),"Extremo",""))))</f>
        <v/>
      </c>
      <c r="Z31" s="214">
        <v>1</v>
      </c>
      <c r="AA31" s="187"/>
      <c r="AB31" s="189" t="str">
        <f>IF(OR(AC31="Preventivo",AC31="Detectivo"),"Probabilidad",IF(AC31="Correctivo","Impacto",""))</f>
        <v/>
      </c>
      <c r="AC31" s="190"/>
      <c r="AD31" s="190"/>
      <c r="AE31" s="191" t="str">
        <f>IF(AND(AC31="Preventivo",AD31="Automático"),"50%",IF(AND(AC31="Preventivo",AD31="Manual"),"40%",IF(AND(AC31="Detectivo",AD31="Automático"),"40%",IF(AND(AC31="Detectivo",AD31="Manual"),"30%",IF(AND(AC31="Correctivo",AD31="Automático"),"35%",IF(AND(AC31="Correctivo",AD31="Manual"),"25%",""))))))</f>
        <v/>
      </c>
      <c r="AF31" s="190"/>
      <c r="AG31" s="190"/>
      <c r="AH31" s="190"/>
      <c r="AI31" s="192" t="str">
        <f>IFERROR(IF(AB31="Probabilidad",(T31-(+T31*AE31)),IF(AB31="Impacto",T31,"")),"")</f>
        <v/>
      </c>
      <c r="AJ31" s="193" t="str">
        <f>IFERROR(IF(AI31="","",IF(AI31&lt;=0.2,"Muy Baja",IF(AI31&lt;=0.4,"Baja",IF(AI31&lt;=0.6,"Media",IF(AI31&lt;=0.8,"Alta","Muy Alta"))))),"")</f>
        <v/>
      </c>
      <c r="AK31" s="191" t="str">
        <f>+AI31</f>
        <v/>
      </c>
      <c r="AL31" s="193" t="str">
        <f>IFERROR(IF(AM31="","",IF(AM31&lt;=0.2,"Leve",IF(AM31&lt;=0.4,"Menor",IF(AM31&lt;=0.6,"Moderado",IF(AM31&lt;=0.8,"Mayor","Catastrófico"))))),"")</f>
        <v/>
      </c>
      <c r="AM31" s="191" t="str">
        <f t="shared" ref="AM31" si="27">IFERROR(IF(AB31="Impacto",(X31-(+X31*AE31)),IF(AB31="Probabilidad",X31,"")),"")</f>
        <v/>
      </c>
      <c r="AN31" s="194" t="str">
        <f>IFERROR(IF(OR(AND(AJ31="Muy Baja",AL31="Leve"),AND(AJ31="Muy Baja",AL31="Menor"),AND(AJ31="Baja",AL31="Leve")),"Bajo",IF(OR(AND(AJ31="Muy baja",AL31="Moderado"),AND(AJ31="Baja",AL31="Menor"),AND(AJ31="Baja",AL31="Moderado"),AND(AJ31="Media",AL31="Leve"),AND(AJ31="Media",AL31="Menor"),AND(AJ31="Media",AL31="Moderado"),AND(AJ31="Alta",AL31="Leve"),AND(AJ31="Alta",AL31="Menor")),"Moderado",IF(OR(AND(AJ31="Muy Baja",AL31="Mayor"),AND(AJ31="Baja",AL31="Mayor"),AND(AJ31="Media",AL31="Mayor"),AND(AJ31="Alta",AL31="Moderado"),AND(AJ31="Alta",AL31="Mayor"),AND(AJ31="Muy Alta",AL31="Leve"),AND(AJ31="Muy Alta",AL31="Menor"),AND(AJ31="Muy Alta",AL31="Moderado"),AND(AJ31="Muy Alta",AL31="Mayor")),"Alto",IF(OR(AND(AJ31="Muy Baja",AL31="Catastrófico"),AND(AJ31="Baja",AL31="Catastrófico"),AND(AJ31="Media",AL31="Catastrófico"),AND(AJ31="Alta",AL31="Catastrófico"),AND(AJ31="Muy Alta",AL31="Catastrófico")),"Extremo","")))),"")</f>
        <v/>
      </c>
      <c r="AO31" s="195"/>
      <c r="AP31" s="186"/>
      <c r="AQ31" s="196"/>
      <c r="AR31" s="196"/>
      <c r="AS31" s="197"/>
      <c r="AT31" s="341"/>
      <c r="AU31" s="341"/>
      <c r="AV31" s="341"/>
    </row>
    <row r="32" spans="1:48" ht="37.5" hidden="1" customHeight="1" x14ac:dyDescent="0.2">
      <c r="A32" s="363"/>
      <c r="B32" s="345"/>
      <c r="C32" s="345"/>
      <c r="D32" s="345"/>
      <c r="E32" s="345"/>
      <c r="F32" s="345"/>
      <c r="G32" s="338"/>
      <c r="H32" s="338"/>
      <c r="I32" s="338"/>
      <c r="J32" s="338"/>
      <c r="K32" s="338"/>
      <c r="L32" s="338"/>
      <c r="M32" s="338"/>
      <c r="N32" s="338"/>
      <c r="O32" s="338"/>
      <c r="P32" s="338"/>
      <c r="Q32" s="338"/>
      <c r="R32" s="341"/>
      <c r="S32" s="335"/>
      <c r="T32" s="334"/>
      <c r="U32" s="324"/>
      <c r="V32" s="334">
        <f>IF(NOT(ISERROR(MATCH(U32,_xlfn.ANCHORARRAY(E43),0))),T45&amp;"Por favor no seleccionar los criterios de impacto",U32)</f>
        <v>0</v>
      </c>
      <c r="W32" s="335"/>
      <c r="X32" s="334"/>
      <c r="Y32" s="333"/>
      <c r="Z32" s="214">
        <v>2</v>
      </c>
      <c r="AA32" s="187"/>
      <c r="AB32" s="189" t="str">
        <f>IF(OR(AC32="Preventivo",AC32="Detectivo"),"Probabilidad",IF(AC32="Correctivo","Impacto",""))</f>
        <v/>
      </c>
      <c r="AC32" s="190"/>
      <c r="AD32" s="190"/>
      <c r="AE32" s="191" t="str">
        <f t="shared" ref="AE32:AE36" si="28">IF(AND(AC32="Preventivo",AD32="Automático"),"50%",IF(AND(AC32="Preventivo",AD32="Manual"),"40%",IF(AND(AC32="Detectivo",AD32="Automático"),"40%",IF(AND(AC32="Detectivo",AD32="Manual"),"30%",IF(AND(AC32="Correctivo",AD32="Automático"),"35%",IF(AND(AC32="Correctivo",AD32="Manual"),"25%",""))))))</f>
        <v/>
      </c>
      <c r="AF32" s="190"/>
      <c r="AG32" s="190"/>
      <c r="AH32" s="190"/>
      <c r="AI32" s="192" t="str">
        <f>IFERROR(IF(AND(AB31="Probabilidad",AB32="Probabilidad"),(AK31-(+AK31*AE32)),IF(AB32="Probabilidad",(T31-(+T31*AE32)),IF(AB32="Impacto",AK31,""))),"")</f>
        <v/>
      </c>
      <c r="AJ32" s="193" t="str">
        <f t="shared" si="2"/>
        <v/>
      </c>
      <c r="AK32" s="191" t="str">
        <f t="shared" ref="AK32:AK36" si="29">+AI32</f>
        <v/>
      </c>
      <c r="AL32" s="193" t="str">
        <f t="shared" si="4"/>
        <v/>
      </c>
      <c r="AM32" s="191" t="str">
        <f t="shared" ref="AM32" si="30">IFERROR(IF(AND(AB31="Impacto",AB32="Impacto"),(AM31-(+AM31*AE32)),IF(AB32="Impacto",($X$13-(+$X$13*AE32)),IF(AB32="Probabilidad",AM31,""))),"")</f>
        <v/>
      </c>
      <c r="AN32" s="194" t="str">
        <f t="shared" ref="AN32:AN33" si="31">IFERROR(IF(OR(AND(AJ32="Muy Baja",AL32="Leve"),AND(AJ32="Muy Baja",AL32="Menor"),AND(AJ32="Baja",AL32="Leve")),"Bajo",IF(OR(AND(AJ32="Muy baja",AL32="Moderado"),AND(AJ32="Baja",AL32="Menor"),AND(AJ32="Baja",AL32="Moderado"),AND(AJ32="Media",AL32="Leve"),AND(AJ32="Media",AL32="Menor"),AND(AJ32="Media",AL32="Moderado"),AND(AJ32="Alta",AL32="Leve"),AND(AJ32="Alta",AL32="Menor")),"Moderado",IF(OR(AND(AJ32="Muy Baja",AL32="Mayor"),AND(AJ32="Baja",AL32="Mayor"),AND(AJ32="Media",AL32="Mayor"),AND(AJ32="Alta",AL32="Moderado"),AND(AJ32="Alta",AL32="Mayor"),AND(AJ32="Muy Alta",AL32="Leve"),AND(AJ32="Muy Alta",AL32="Menor"),AND(AJ32="Muy Alta",AL32="Moderado"),AND(AJ32="Muy Alta",AL32="Mayor")),"Alto",IF(OR(AND(AJ32="Muy Baja",AL32="Catastrófico"),AND(AJ32="Baja",AL32="Catastrófico"),AND(AJ32="Media",AL32="Catastrófico"),AND(AJ32="Alta",AL32="Catastrófico"),AND(AJ32="Muy Alta",AL32="Catastrófico")),"Extremo","")))),"")</f>
        <v/>
      </c>
      <c r="AO32" s="195"/>
      <c r="AP32" s="186"/>
      <c r="AQ32" s="196"/>
      <c r="AR32" s="196"/>
      <c r="AS32" s="197"/>
      <c r="AT32" s="341"/>
      <c r="AU32" s="341"/>
      <c r="AV32" s="341"/>
    </row>
    <row r="33" spans="1:48" ht="37.5" hidden="1" customHeight="1" x14ac:dyDescent="0.2">
      <c r="A33" s="363"/>
      <c r="B33" s="345"/>
      <c r="C33" s="345"/>
      <c r="D33" s="345"/>
      <c r="E33" s="345"/>
      <c r="F33" s="345"/>
      <c r="G33" s="338"/>
      <c r="H33" s="338"/>
      <c r="I33" s="338"/>
      <c r="J33" s="338"/>
      <c r="K33" s="338"/>
      <c r="L33" s="338"/>
      <c r="M33" s="338"/>
      <c r="N33" s="338"/>
      <c r="O33" s="338"/>
      <c r="P33" s="338"/>
      <c r="Q33" s="338"/>
      <c r="R33" s="341"/>
      <c r="S33" s="335"/>
      <c r="T33" s="334"/>
      <c r="U33" s="324"/>
      <c r="V33" s="334">
        <f>IF(NOT(ISERROR(MATCH(U33,_xlfn.ANCHORARRAY(E44),0))),T46&amp;"Por favor no seleccionar los criterios de impacto",U33)</f>
        <v>0</v>
      </c>
      <c r="W33" s="335"/>
      <c r="X33" s="334"/>
      <c r="Y33" s="333"/>
      <c r="Z33" s="214">
        <v>3</v>
      </c>
      <c r="AA33" s="188"/>
      <c r="AB33" s="189" t="str">
        <f>IF(OR(AC33="Preventivo",AC33="Detectivo"),"Probabilidad",IF(AC33="Correctivo","Impacto",""))</f>
        <v/>
      </c>
      <c r="AC33" s="190"/>
      <c r="AD33" s="190"/>
      <c r="AE33" s="191" t="str">
        <f t="shared" si="28"/>
        <v/>
      </c>
      <c r="AF33" s="190"/>
      <c r="AG33" s="190"/>
      <c r="AH33" s="190"/>
      <c r="AI33" s="192" t="str">
        <f>IFERROR(IF(AND(AB32="Probabilidad",AB33="Probabilidad"),(AK32-(+AK32*AE33)),IF(AND(AB32="Impacto",AB33="Probabilidad"),(AK31-(+AK31*AE33)),IF(AB33="Impacto",AK32,""))),"")</f>
        <v/>
      </c>
      <c r="AJ33" s="193" t="str">
        <f t="shared" si="2"/>
        <v/>
      </c>
      <c r="AK33" s="191" t="str">
        <f t="shared" si="29"/>
        <v/>
      </c>
      <c r="AL33" s="193" t="str">
        <f t="shared" si="4"/>
        <v/>
      </c>
      <c r="AM33" s="191" t="str">
        <f t="shared" ref="AM33" si="32">IFERROR(IF(AND(AB32="Impacto",AB33="Impacto"),(AM32-(+AM32*AE33)),IF(AND(AB32="Probabilidad",AB33="Impacto"),(AM31-(+AM31*AE33)),IF(AB33="Probabilidad",AM32,""))),"")</f>
        <v/>
      </c>
      <c r="AN33" s="194" t="str">
        <f t="shared" si="31"/>
        <v/>
      </c>
      <c r="AO33" s="195"/>
      <c r="AP33" s="186"/>
      <c r="AQ33" s="196"/>
      <c r="AR33" s="196"/>
      <c r="AS33" s="197"/>
      <c r="AT33" s="341"/>
      <c r="AU33" s="341"/>
      <c r="AV33" s="341"/>
    </row>
    <row r="34" spans="1:48" ht="37.5" hidden="1" customHeight="1" x14ac:dyDescent="0.2">
      <c r="A34" s="363"/>
      <c r="B34" s="345"/>
      <c r="C34" s="345"/>
      <c r="D34" s="345"/>
      <c r="E34" s="345"/>
      <c r="F34" s="345"/>
      <c r="G34" s="338"/>
      <c r="H34" s="338"/>
      <c r="I34" s="338"/>
      <c r="J34" s="338"/>
      <c r="K34" s="338"/>
      <c r="L34" s="338"/>
      <c r="M34" s="338"/>
      <c r="N34" s="338"/>
      <c r="O34" s="338"/>
      <c r="P34" s="338"/>
      <c r="Q34" s="338"/>
      <c r="R34" s="341"/>
      <c r="S34" s="335"/>
      <c r="T34" s="334"/>
      <c r="U34" s="324"/>
      <c r="V34" s="334">
        <f>IF(NOT(ISERROR(MATCH(U34,_xlfn.ANCHORARRAY(E45),0))),T47&amp;"Por favor no seleccionar los criterios de impacto",U34)</f>
        <v>0</v>
      </c>
      <c r="W34" s="335"/>
      <c r="X34" s="334"/>
      <c r="Y34" s="333"/>
      <c r="Z34" s="214">
        <v>4</v>
      </c>
      <c r="AA34" s="187"/>
      <c r="AB34" s="189" t="str">
        <f t="shared" ref="AB34:AB36" si="33">IF(OR(AC34="Preventivo",AC34="Detectivo"),"Probabilidad",IF(AC34="Correctivo","Impacto",""))</f>
        <v/>
      </c>
      <c r="AC34" s="190"/>
      <c r="AD34" s="190"/>
      <c r="AE34" s="191" t="str">
        <f t="shared" si="28"/>
        <v/>
      </c>
      <c r="AF34" s="190"/>
      <c r="AG34" s="190"/>
      <c r="AH34" s="190"/>
      <c r="AI34" s="192" t="str">
        <f t="shared" ref="AI34:AI36" si="34">IFERROR(IF(AND(AB33="Probabilidad",AB34="Probabilidad"),(AK33-(+AK33*AE34)),IF(AND(AB33="Impacto",AB34="Probabilidad"),(AK32-(+AK32*AE34)),IF(AB34="Impacto",AK33,""))),"")</f>
        <v/>
      </c>
      <c r="AJ34" s="193" t="str">
        <f t="shared" si="2"/>
        <v/>
      </c>
      <c r="AK34" s="191" t="str">
        <f t="shared" si="29"/>
        <v/>
      </c>
      <c r="AL34" s="193" t="str">
        <f t="shared" si="4"/>
        <v/>
      </c>
      <c r="AM34" s="191" t="str">
        <f t="shared" si="14"/>
        <v/>
      </c>
      <c r="AN34" s="194" t="str">
        <f>IFERROR(IF(OR(AND(AJ34="Muy Baja",AL34="Leve"),AND(AJ34="Muy Baja",AL34="Menor"),AND(AJ34="Baja",AL34="Leve")),"Bajo",IF(OR(AND(AJ34="Muy baja",AL34="Moderado"),AND(AJ34="Baja",AL34="Menor"),AND(AJ34="Baja",AL34="Moderado"),AND(AJ34="Media",AL34="Leve"),AND(AJ34="Media",AL34="Menor"),AND(AJ34="Media",AL34="Moderado"),AND(AJ34="Alta",AL34="Leve"),AND(AJ34="Alta",AL34="Menor")),"Moderado",IF(OR(AND(AJ34="Muy Baja",AL34="Mayor"),AND(AJ34="Baja",AL34="Mayor"),AND(AJ34="Media",AL34="Mayor"),AND(AJ34="Alta",AL34="Moderado"),AND(AJ34="Alta",AL34="Mayor"),AND(AJ34="Muy Alta",AL34="Leve"),AND(AJ34="Muy Alta",AL34="Menor"),AND(AJ34="Muy Alta",AL34="Moderado"),AND(AJ34="Muy Alta",AL34="Mayor")),"Alto",IF(OR(AND(AJ34="Muy Baja",AL34="Catastrófico"),AND(AJ34="Baja",AL34="Catastrófico"),AND(AJ34="Media",AL34="Catastrófico"),AND(AJ34="Alta",AL34="Catastrófico"),AND(AJ34="Muy Alta",AL34="Catastrófico")),"Extremo","")))),"")</f>
        <v/>
      </c>
      <c r="AO34" s="195"/>
      <c r="AP34" s="186"/>
      <c r="AQ34" s="196"/>
      <c r="AR34" s="196"/>
      <c r="AS34" s="197"/>
      <c r="AT34" s="341"/>
      <c r="AU34" s="341"/>
      <c r="AV34" s="341"/>
    </row>
    <row r="35" spans="1:48" ht="37.5" hidden="1" customHeight="1" x14ac:dyDescent="0.2">
      <c r="A35" s="363"/>
      <c r="B35" s="345"/>
      <c r="C35" s="345"/>
      <c r="D35" s="345"/>
      <c r="E35" s="345"/>
      <c r="F35" s="345"/>
      <c r="G35" s="338"/>
      <c r="H35" s="338"/>
      <c r="I35" s="338"/>
      <c r="J35" s="338"/>
      <c r="K35" s="338"/>
      <c r="L35" s="338"/>
      <c r="M35" s="338"/>
      <c r="N35" s="338"/>
      <c r="O35" s="338"/>
      <c r="P35" s="338"/>
      <c r="Q35" s="338"/>
      <c r="R35" s="341"/>
      <c r="S35" s="335"/>
      <c r="T35" s="334"/>
      <c r="U35" s="324"/>
      <c r="V35" s="334">
        <f>IF(NOT(ISERROR(MATCH(U35,_xlfn.ANCHORARRAY(E46),0))),T48&amp;"Por favor no seleccionar los criterios de impacto",U35)</f>
        <v>0</v>
      </c>
      <c r="W35" s="335"/>
      <c r="X35" s="334"/>
      <c r="Y35" s="333"/>
      <c r="Z35" s="214">
        <v>5</v>
      </c>
      <c r="AA35" s="187"/>
      <c r="AB35" s="189" t="str">
        <f t="shared" si="33"/>
        <v/>
      </c>
      <c r="AC35" s="190"/>
      <c r="AD35" s="190"/>
      <c r="AE35" s="191" t="str">
        <f t="shared" si="28"/>
        <v/>
      </c>
      <c r="AF35" s="190"/>
      <c r="AG35" s="190"/>
      <c r="AH35" s="190"/>
      <c r="AI35" s="192" t="str">
        <f t="shared" si="34"/>
        <v/>
      </c>
      <c r="AJ35" s="193" t="str">
        <f>IFERROR(IF(AI35="","",IF(AI35&lt;=0.2,"Muy Baja",IF(AI35&lt;=0.4,"Baja",IF(AI35&lt;=0.6,"Media",IF(AI35&lt;=0.8,"Alta","Muy Alta"))))),"")</f>
        <v/>
      </c>
      <c r="AK35" s="191" t="str">
        <f t="shared" si="29"/>
        <v/>
      </c>
      <c r="AL35" s="193" t="str">
        <f t="shared" si="4"/>
        <v/>
      </c>
      <c r="AM35" s="191" t="str">
        <f t="shared" si="14"/>
        <v/>
      </c>
      <c r="AN35" s="194" t="str">
        <f t="shared" ref="AN35:AN36" si="35">IFERROR(IF(OR(AND(AJ35="Muy Baja",AL35="Leve"),AND(AJ35="Muy Baja",AL35="Menor"),AND(AJ35="Baja",AL35="Leve")),"Bajo",IF(OR(AND(AJ35="Muy baja",AL35="Moderado"),AND(AJ35="Baja",AL35="Menor"),AND(AJ35="Baja",AL35="Moderado"),AND(AJ35="Media",AL35="Leve"),AND(AJ35="Media",AL35="Menor"),AND(AJ35="Media",AL35="Moderado"),AND(AJ35="Alta",AL35="Leve"),AND(AJ35="Alta",AL35="Menor")),"Moderado",IF(OR(AND(AJ35="Muy Baja",AL35="Mayor"),AND(AJ35="Baja",AL35="Mayor"),AND(AJ35="Media",AL35="Mayor"),AND(AJ35="Alta",AL35="Moderado"),AND(AJ35="Alta",AL35="Mayor"),AND(AJ35="Muy Alta",AL35="Leve"),AND(AJ35="Muy Alta",AL35="Menor"),AND(AJ35="Muy Alta",AL35="Moderado"),AND(AJ35="Muy Alta",AL35="Mayor")),"Alto",IF(OR(AND(AJ35="Muy Baja",AL35="Catastrófico"),AND(AJ35="Baja",AL35="Catastrófico"),AND(AJ35="Media",AL35="Catastrófico"),AND(AJ35="Alta",AL35="Catastrófico"),AND(AJ35="Muy Alta",AL35="Catastrófico")),"Extremo","")))),"")</f>
        <v/>
      </c>
      <c r="AO35" s="195"/>
      <c r="AP35" s="186"/>
      <c r="AQ35" s="196"/>
      <c r="AR35" s="196"/>
      <c r="AS35" s="197"/>
      <c r="AT35" s="341"/>
      <c r="AU35" s="341"/>
      <c r="AV35" s="341"/>
    </row>
    <row r="36" spans="1:48" ht="37.5" hidden="1" customHeight="1" x14ac:dyDescent="0.2">
      <c r="A36" s="363"/>
      <c r="B36" s="345"/>
      <c r="C36" s="345"/>
      <c r="D36" s="345"/>
      <c r="E36" s="345"/>
      <c r="F36" s="345"/>
      <c r="G36" s="339"/>
      <c r="H36" s="339"/>
      <c r="I36" s="339"/>
      <c r="J36" s="339"/>
      <c r="K36" s="339"/>
      <c r="L36" s="339"/>
      <c r="M36" s="339"/>
      <c r="N36" s="339"/>
      <c r="O36" s="339"/>
      <c r="P36" s="339"/>
      <c r="Q36" s="339"/>
      <c r="R36" s="341"/>
      <c r="S36" s="335"/>
      <c r="T36" s="334"/>
      <c r="U36" s="324"/>
      <c r="V36" s="334">
        <f>IF(NOT(ISERROR(MATCH(U36,_xlfn.ANCHORARRAY(E47),0))),T49&amp;"Por favor no seleccionar los criterios de impacto",U36)</f>
        <v>0</v>
      </c>
      <c r="W36" s="335"/>
      <c r="X36" s="334"/>
      <c r="Y36" s="333"/>
      <c r="Z36" s="214">
        <v>6</v>
      </c>
      <c r="AA36" s="187"/>
      <c r="AB36" s="189" t="str">
        <f t="shared" si="33"/>
        <v/>
      </c>
      <c r="AC36" s="190"/>
      <c r="AD36" s="190"/>
      <c r="AE36" s="191" t="str">
        <f t="shared" si="28"/>
        <v/>
      </c>
      <c r="AF36" s="190"/>
      <c r="AG36" s="190"/>
      <c r="AH36" s="190"/>
      <c r="AI36" s="192" t="str">
        <f t="shared" si="34"/>
        <v/>
      </c>
      <c r="AJ36" s="193" t="str">
        <f t="shared" si="2"/>
        <v/>
      </c>
      <c r="AK36" s="191" t="str">
        <f t="shared" si="29"/>
        <v/>
      </c>
      <c r="AL36" s="193" t="str">
        <f t="shared" si="4"/>
        <v/>
      </c>
      <c r="AM36" s="191" t="str">
        <f t="shared" si="14"/>
        <v/>
      </c>
      <c r="AN36" s="194" t="str">
        <f t="shared" si="35"/>
        <v/>
      </c>
      <c r="AO36" s="195"/>
      <c r="AP36" s="186"/>
      <c r="AQ36" s="196"/>
      <c r="AR36" s="196"/>
      <c r="AS36" s="197"/>
      <c r="AT36" s="341"/>
      <c r="AU36" s="341"/>
      <c r="AV36" s="341"/>
    </row>
    <row r="37" spans="1:48" ht="37.5" hidden="1" customHeight="1" x14ac:dyDescent="0.2">
      <c r="A37" s="363">
        <v>5</v>
      </c>
      <c r="B37" s="345"/>
      <c r="C37" s="345"/>
      <c r="D37" s="345"/>
      <c r="E37" s="345"/>
      <c r="F37" s="345"/>
      <c r="G37" s="337"/>
      <c r="H37" s="337"/>
      <c r="I37" s="337"/>
      <c r="J37" s="337"/>
      <c r="K37" s="337"/>
      <c r="L37" s="337"/>
      <c r="M37" s="337"/>
      <c r="N37" s="337"/>
      <c r="O37" s="337"/>
      <c r="P37" s="337"/>
      <c r="Q37" s="337"/>
      <c r="R37" s="341"/>
      <c r="S37" s="335" t="str">
        <f>IF(R37&lt;=0,"",IF(R37&lt;=2,"Muy Baja",IF(R37&lt;=24,"Baja",IF(R37&lt;=500,"Media",IF(R37&lt;=5000,"Alta","Muy Alta")))))</f>
        <v/>
      </c>
      <c r="T37" s="334" t="str">
        <f>IF(S37="","",IF(S37="Muy Baja",0.2,IF(S37="Baja",0.4,IF(S37="Media",0.6,IF(S37="Alta",0.8,IF(S37="Muy Alta",1,))))))</f>
        <v/>
      </c>
      <c r="U37" s="324"/>
      <c r="V37" s="334">
        <f>IF(NOT(ISERROR(MATCH(U37,'Tabla Impacto'!$B$222:$B$224,0))),'Tabla Impacto'!$F$224&amp;"Por favor no seleccionar los criterios de impacto(Afectación Económica o presupuestal y Pérdida Reputacional)",U37)</f>
        <v>0</v>
      </c>
      <c r="W37" s="335" t="str">
        <f>IF(OR(V37='Tabla Impacto'!$C$12,V37='Tabla Impacto'!$D$12),"Leve",IF(OR(V37='Tabla Impacto'!$C$13,V37='Tabla Impacto'!$D$13),"Menor",IF(OR(V37='Tabla Impacto'!$C$14,V37='Tabla Impacto'!$D$14),"Moderado",IF(OR(V37='Tabla Impacto'!$C$15,V37='Tabla Impacto'!$D$15),"Mayor",IF(OR(V37='Tabla Impacto'!$C$16,V37='Tabla Impacto'!$D$16),"Catastrófico","")))))</f>
        <v/>
      </c>
      <c r="X37" s="334" t="str">
        <f>IF(W37="","",IF(W37="Leve",0.2,IF(W37="Menor",0.4,IF(W37="Moderado",0.6,IF(W37="Mayor",0.8,IF(W37="Catastrófico",1,))))))</f>
        <v/>
      </c>
      <c r="Y37" s="333" t="str">
        <f>IF(OR(AND(S37="Muy Baja",W37="Leve"),AND(S37="Muy Baja",W37="Menor"),AND(S37="Baja",W37="Leve")),"Bajo",IF(OR(AND(S37="Muy baja",W37="Moderado"),AND(S37="Baja",W37="Menor"),AND(S37="Baja",W37="Moderado"),AND(S37="Media",W37="Leve"),AND(S37="Media",W37="Menor"),AND(S37="Media",W37="Moderado"),AND(S37="Alta",W37="Leve"),AND(S37="Alta",W37="Menor")),"Moderado",IF(OR(AND(S37="Muy Baja",W37="Mayor"),AND(S37="Baja",W37="Mayor"),AND(S37="Media",W37="Mayor"),AND(S37="Alta",W37="Moderado"),AND(S37="Alta",W37="Mayor"),AND(S37="Muy Alta",W37="Leve"),AND(S37="Muy Alta",W37="Menor"),AND(S37="Muy Alta",W37="Moderado"),AND(S37="Muy Alta",W37="Mayor")),"Alto",IF(OR(AND(S37="Muy Baja",W37="Catastrófico"),AND(S37="Baja",W37="Catastrófico"),AND(S37="Media",W37="Catastrófico"),AND(S37="Alta",W37="Catastrófico"),AND(S37="Muy Alta",W37="Catastrófico")),"Extremo",""))))</f>
        <v/>
      </c>
      <c r="Z37" s="214">
        <v>1</v>
      </c>
      <c r="AA37" s="187"/>
      <c r="AB37" s="189" t="str">
        <f>IF(OR(AC37="Preventivo",AC37="Detectivo"),"Probabilidad",IF(AC37="Correctivo","Impacto",""))</f>
        <v/>
      </c>
      <c r="AC37" s="190"/>
      <c r="AD37" s="190"/>
      <c r="AE37" s="191" t="str">
        <f>IF(AND(AC37="Preventivo",AD37="Automático"),"50%",IF(AND(AC37="Preventivo",AD37="Manual"),"40%",IF(AND(AC37="Detectivo",AD37="Automático"),"40%",IF(AND(AC37="Detectivo",AD37="Manual"),"30%",IF(AND(AC37="Correctivo",AD37="Automático"),"35%",IF(AND(AC37="Correctivo",AD37="Manual"),"25%",""))))))</f>
        <v/>
      </c>
      <c r="AF37" s="190"/>
      <c r="AG37" s="190"/>
      <c r="AH37" s="190"/>
      <c r="AI37" s="192" t="str">
        <f>IFERROR(IF(AB37="Probabilidad",(T37-(+T37*AE37)),IF(AB37="Impacto",T37,"")),"")</f>
        <v/>
      </c>
      <c r="AJ37" s="193" t="str">
        <f>IFERROR(IF(AI37="","",IF(AI37&lt;=0.2,"Muy Baja",IF(AI37&lt;=0.4,"Baja",IF(AI37&lt;=0.6,"Media",IF(AI37&lt;=0.8,"Alta","Muy Alta"))))),"")</f>
        <v/>
      </c>
      <c r="AK37" s="191" t="str">
        <f>+AI37</f>
        <v/>
      </c>
      <c r="AL37" s="193" t="str">
        <f>IFERROR(IF(AM37="","",IF(AM37&lt;=0.2,"Leve",IF(AM37&lt;=0.4,"Menor",IF(AM37&lt;=0.6,"Moderado",IF(AM37&lt;=0.8,"Mayor","Catastrófico"))))),"")</f>
        <v/>
      </c>
      <c r="AM37" s="191" t="str">
        <f t="shared" ref="AM37" si="36">IFERROR(IF(AB37="Impacto",(X37-(+X37*AE37)),IF(AB37="Probabilidad",X37,"")),"")</f>
        <v/>
      </c>
      <c r="AN37" s="194" t="str">
        <f>IFERROR(IF(OR(AND(AJ37="Muy Baja",AL37="Leve"),AND(AJ37="Muy Baja",AL37="Menor"),AND(AJ37="Baja",AL37="Leve")),"Bajo",IF(OR(AND(AJ37="Muy baja",AL37="Moderado"),AND(AJ37="Baja",AL37="Menor"),AND(AJ37="Baja",AL37="Moderado"),AND(AJ37="Media",AL37="Leve"),AND(AJ37="Media",AL37="Menor"),AND(AJ37="Media",AL37="Moderado"),AND(AJ37="Alta",AL37="Leve"),AND(AJ37="Alta",AL37="Menor")),"Moderado",IF(OR(AND(AJ37="Muy Baja",AL37="Mayor"),AND(AJ37="Baja",AL37="Mayor"),AND(AJ37="Media",AL37="Mayor"),AND(AJ37="Alta",AL37="Moderado"),AND(AJ37="Alta",AL37="Mayor"),AND(AJ37="Muy Alta",AL37="Leve"),AND(AJ37="Muy Alta",AL37="Menor"),AND(AJ37="Muy Alta",AL37="Moderado"),AND(AJ37="Muy Alta",AL37="Mayor")),"Alto",IF(OR(AND(AJ37="Muy Baja",AL37="Catastrófico"),AND(AJ37="Baja",AL37="Catastrófico"),AND(AJ37="Media",AL37="Catastrófico"),AND(AJ37="Alta",AL37="Catastrófico"),AND(AJ37="Muy Alta",AL37="Catastrófico")),"Extremo","")))),"")</f>
        <v/>
      </c>
      <c r="AO37" s="195"/>
      <c r="AP37" s="186"/>
      <c r="AQ37" s="196"/>
      <c r="AR37" s="196"/>
      <c r="AS37" s="197"/>
      <c r="AT37" s="341"/>
      <c r="AU37" s="341"/>
      <c r="AV37" s="341"/>
    </row>
    <row r="38" spans="1:48" ht="37.5" hidden="1" customHeight="1" x14ac:dyDescent="0.2">
      <c r="A38" s="363"/>
      <c r="B38" s="345"/>
      <c r="C38" s="345"/>
      <c r="D38" s="345"/>
      <c r="E38" s="345"/>
      <c r="F38" s="345"/>
      <c r="G38" s="338"/>
      <c r="H38" s="338"/>
      <c r="I38" s="338"/>
      <c r="J38" s="338"/>
      <c r="K38" s="338"/>
      <c r="L38" s="338"/>
      <c r="M38" s="338"/>
      <c r="N38" s="338"/>
      <c r="O38" s="338"/>
      <c r="P38" s="338"/>
      <c r="Q38" s="338"/>
      <c r="R38" s="341"/>
      <c r="S38" s="335"/>
      <c r="T38" s="334"/>
      <c r="U38" s="324"/>
      <c r="V38" s="334">
        <f>IF(NOT(ISERROR(MATCH(U38,_xlfn.ANCHORARRAY(E49),0))),T51&amp;"Por favor no seleccionar los criterios de impacto",U38)</f>
        <v>0</v>
      </c>
      <c r="W38" s="335"/>
      <c r="X38" s="334"/>
      <c r="Y38" s="333"/>
      <c r="Z38" s="214">
        <v>2</v>
      </c>
      <c r="AA38" s="187"/>
      <c r="AB38" s="189" t="str">
        <f>IF(OR(AC38="Preventivo",AC38="Detectivo"),"Probabilidad",IF(AC38="Correctivo","Impacto",""))</f>
        <v/>
      </c>
      <c r="AC38" s="190"/>
      <c r="AD38" s="190"/>
      <c r="AE38" s="191" t="str">
        <f t="shared" ref="AE38:AE42" si="37">IF(AND(AC38="Preventivo",AD38="Automático"),"50%",IF(AND(AC38="Preventivo",AD38="Manual"),"40%",IF(AND(AC38="Detectivo",AD38="Automático"),"40%",IF(AND(AC38="Detectivo",AD38="Manual"),"30%",IF(AND(AC38="Correctivo",AD38="Automático"),"35%",IF(AND(AC38="Correctivo",AD38="Manual"),"25%",""))))))</f>
        <v/>
      </c>
      <c r="AF38" s="190"/>
      <c r="AG38" s="190"/>
      <c r="AH38" s="190"/>
      <c r="AI38" s="192" t="str">
        <f>IFERROR(IF(AND(AB37="Probabilidad",AB38="Probabilidad"),(AK37-(+AK37*AE38)),IF(AB38="Probabilidad",(T37-(+T37*AE38)),IF(AB38="Impacto",AK37,""))),"")</f>
        <v/>
      </c>
      <c r="AJ38" s="193" t="str">
        <f t="shared" si="2"/>
        <v/>
      </c>
      <c r="AK38" s="191" t="str">
        <f t="shared" ref="AK38:AK42" si="38">+AI38</f>
        <v/>
      </c>
      <c r="AL38" s="193" t="str">
        <f t="shared" si="4"/>
        <v/>
      </c>
      <c r="AM38" s="191" t="str">
        <f t="shared" ref="AM38" si="39">IFERROR(IF(AND(AB37="Impacto",AB38="Impacto"),(AM37-(+AM37*AE38)),IF(AB38="Impacto",($X$13-(+$X$13*AE38)),IF(AB38="Probabilidad",AM37,""))),"")</f>
        <v/>
      </c>
      <c r="AN38" s="194" t="str">
        <f t="shared" ref="AN38:AN39" si="40">IFERROR(IF(OR(AND(AJ38="Muy Baja",AL38="Leve"),AND(AJ38="Muy Baja",AL38="Menor"),AND(AJ38="Baja",AL38="Leve")),"Bajo",IF(OR(AND(AJ38="Muy baja",AL38="Moderado"),AND(AJ38="Baja",AL38="Menor"),AND(AJ38="Baja",AL38="Moderado"),AND(AJ38="Media",AL38="Leve"),AND(AJ38="Media",AL38="Menor"),AND(AJ38="Media",AL38="Moderado"),AND(AJ38="Alta",AL38="Leve"),AND(AJ38="Alta",AL38="Menor")),"Moderado",IF(OR(AND(AJ38="Muy Baja",AL38="Mayor"),AND(AJ38="Baja",AL38="Mayor"),AND(AJ38="Media",AL38="Mayor"),AND(AJ38="Alta",AL38="Moderado"),AND(AJ38="Alta",AL38="Mayor"),AND(AJ38="Muy Alta",AL38="Leve"),AND(AJ38="Muy Alta",AL38="Menor"),AND(AJ38="Muy Alta",AL38="Moderado"),AND(AJ38="Muy Alta",AL38="Mayor")),"Alto",IF(OR(AND(AJ38="Muy Baja",AL38="Catastrófico"),AND(AJ38="Baja",AL38="Catastrófico"),AND(AJ38="Media",AL38="Catastrófico"),AND(AJ38="Alta",AL38="Catastrófico"),AND(AJ38="Muy Alta",AL38="Catastrófico")),"Extremo","")))),"")</f>
        <v/>
      </c>
      <c r="AO38" s="195"/>
      <c r="AP38" s="186"/>
      <c r="AQ38" s="196"/>
      <c r="AR38" s="196"/>
      <c r="AS38" s="197"/>
      <c r="AT38" s="341"/>
      <c r="AU38" s="341"/>
      <c r="AV38" s="341"/>
    </row>
    <row r="39" spans="1:48" ht="37.5" hidden="1" customHeight="1" x14ac:dyDescent="0.2">
      <c r="A39" s="363"/>
      <c r="B39" s="345"/>
      <c r="C39" s="345"/>
      <c r="D39" s="345"/>
      <c r="E39" s="345"/>
      <c r="F39" s="345"/>
      <c r="G39" s="338"/>
      <c r="H39" s="338"/>
      <c r="I39" s="338"/>
      <c r="J39" s="338"/>
      <c r="K39" s="338"/>
      <c r="L39" s="338"/>
      <c r="M39" s="338"/>
      <c r="N39" s="338"/>
      <c r="O39" s="338"/>
      <c r="P39" s="338"/>
      <c r="Q39" s="338"/>
      <c r="R39" s="341"/>
      <c r="S39" s="335"/>
      <c r="T39" s="334"/>
      <c r="U39" s="324"/>
      <c r="V39" s="334">
        <f>IF(NOT(ISERROR(MATCH(U39,_xlfn.ANCHORARRAY(E50),0))),T52&amp;"Por favor no seleccionar los criterios de impacto",U39)</f>
        <v>0</v>
      </c>
      <c r="W39" s="335"/>
      <c r="X39" s="334"/>
      <c r="Y39" s="333"/>
      <c r="Z39" s="214">
        <v>3</v>
      </c>
      <c r="AA39" s="188"/>
      <c r="AB39" s="189" t="str">
        <f>IF(OR(AC39="Preventivo",AC39="Detectivo"),"Probabilidad",IF(AC39="Correctivo","Impacto",""))</f>
        <v/>
      </c>
      <c r="AC39" s="190"/>
      <c r="AD39" s="190"/>
      <c r="AE39" s="191" t="str">
        <f t="shared" si="37"/>
        <v/>
      </c>
      <c r="AF39" s="190"/>
      <c r="AG39" s="190"/>
      <c r="AH39" s="190"/>
      <c r="AI39" s="192" t="str">
        <f>IFERROR(IF(AND(AB38="Probabilidad",AB39="Probabilidad"),(AK38-(+AK38*AE39)),IF(AND(AB38="Impacto",AB39="Probabilidad"),(AK37-(+AK37*AE39)),IF(AB39="Impacto",AK38,""))),"")</f>
        <v/>
      </c>
      <c r="AJ39" s="193" t="str">
        <f t="shared" si="2"/>
        <v/>
      </c>
      <c r="AK39" s="191" t="str">
        <f t="shared" si="38"/>
        <v/>
      </c>
      <c r="AL39" s="193" t="str">
        <f t="shared" si="4"/>
        <v/>
      </c>
      <c r="AM39" s="191" t="str">
        <f t="shared" ref="AM39" si="41">IFERROR(IF(AND(AB38="Impacto",AB39="Impacto"),(AM38-(+AM38*AE39)),IF(AND(AB38="Probabilidad",AB39="Impacto"),(AM37-(+AM37*AE39)),IF(AB39="Probabilidad",AM38,""))),"")</f>
        <v/>
      </c>
      <c r="AN39" s="194" t="str">
        <f t="shared" si="40"/>
        <v/>
      </c>
      <c r="AO39" s="195"/>
      <c r="AP39" s="186"/>
      <c r="AQ39" s="196"/>
      <c r="AR39" s="196"/>
      <c r="AS39" s="197"/>
      <c r="AT39" s="341"/>
      <c r="AU39" s="341"/>
      <c r="AV39" s="341"/>
    </row>
    <row r="40" spans="1:48" ht="37.5" hidden="1" customHeight="1" x14ac:dyDescent="0.2">
      <c r="A40" s="363"/>
      <c r="B40" s="345"/>
      <c r="C40" s="345"/>
      <c r="D40" s="345"/>
      <c r="E40" s="345"/>
      <c r="F40" s="345"/>
      <c r="G40" s="338"/>
      <c r="H40" s="338"/>
      <c r="I40" s="338"/>
      <c r="J40" s="338"/>
      <c r="K40" s="338"/>
      <c r="L40" s="338"/>
      <c r="M40" s="338"/>
      <c r="N40" s="338"/>
      <c r="O40" s="338"/>
      <c r="P40" s="338"/>
      <c r="Q40" s="338"/>
      <c r="R40" s="341"/>
      <c r="S40" s="335"/>
      <c r="T40" s="334"/>
      <c r="U40" s="324"/>
      <c r="V40" s="334">
        <f>IF(NOT(ISERROR(MATCH(U40,_xlfn.ANCHORARRAY(E51),0))),T53&amp;"Por favor no seleccionar los criterios de impacto",U40)</f>
        <v>0</v>
      </c>
      <c r="W40" s="335"/>
      <c r="X40" s="334"/>
      <c r="Y40" s="333"/>
      <c r="Z40" s="214">
        <v>4</v>
      </c>
      <c r="AA40" s="187"/>
      <c r="AB40" s="189" t="str">
        <f t="shared" ref="AB40:AB42" si="42">IF(OR(AC40="Preventivo",AC40="Detectivo"),"Probabilidad",IF(AC40="Correctivo","Impacto",""))</f>
        <v/>
      </c>
      <c r="AC40" s="190"/>
      <c r="AD40" s="190"/>
      <c r="AE40" s="191" t="str">
        <f t="shared" si="37"/>
        <v/>
      </c>
      <c r="AF40" s="190"/>
      <c r="AG40" s="190"/>
      <c r="AH40" s="190"/>
      <c r="AI40" s="192" t="str">
        <f t="shared" ref="AI40:AI42" si="43">IFERROR(IF(AND(AB39="Probabilidad",AB40="Probabilidad"),(AK39-(+AK39*AE40)),IF(AND(AB39="Impacto",AB40="Probabilidad"),(AK38-(+AK38*AE40)),IF(AB40="Impacto",AK39,""))),"")</f>
        <v/>
      </c>
      <c r="AJ40" s="193" t="str">
        <f t="shared" si="2"/>
        <v/>
      </c>
      <c r="AK40" s="191" t="str">
        <f t="shared" si="38"/>
        <v/>
      </c>
      <c r="AL40" s="193" t="str">
        <f t="shared" si="4"/>
        <v/>
      </c>
      <c r="AM40" s="191" t="str">
        <f t="shared" si="14"/>
        <v/>
      </c>
      <c r="AN40" s="194" t="str">
        <f>IFERROR(IF(OR(AND(AJ40="Muy Baja",AL40="Leve"),AND(AJ40="Muy Baja",AL40="Menor"),AND(AJ40="Baja",AL40="Leve")),"Bajo",IF(OR(AND(AJ40="Muy baja",AL40="Moderado"),AND(AJ40="Baja",AL40="Menor"),AND(AJ40="Baja",AL40="Moderado"),AND(AJ40="Media",AL40="Leve"),AND(AJ40="Media",AL40="Menor"),AND(AJ40="Media",AL40="Moderado"),AND(AJ40="Alta",AL40="Leve"),AND(AJ40="Alta",AL40="Menor")),"Moderado",IF(OR(AND(AJ40="Muy Baja",AL40="Mayor"),AND(AJ40="Baja",AL40="Mayor"),AND(AJ40="Media",AL40="Mayor"),AND(AJ40="Alta",AL40="Moderado"),AND(AJ40="Alta",AL40="Mayor"),AND(AJ40="Muy Alta",AL40="Leve"),AND(AJ40="Muy Alta",AL40="Menor"),AND(AJ40="Muy Alta",AL40="Moderado"),AND(AJ40="Muy Alta",AL40="Mayor")),"Alto",IF(OR(AND(AJ40="Muy Baja",AL40="Catastrófico"),AND(AJ40="Baja",AL40="Catastrófico"),AND(AJ40="Media",AL40="Catastrófico"),AND(AJ40="Alta",AL40="Catastrófico"),AND(AJ40="Muy Alta",AL40="Catastrófico")),"Extremo","")))),"")</f>
        <v/>
      </c>
      <c r="AO40" s="195"/>
      <c r="AP40" s="186"/>
      <c r="AQ40" s="196"/>
      <c r="AR40" s="196"/>
      <c r="AS40" s="197"/>
      <c r="AT40" s="341"/>
      <c r="AU40" s="341"/>
      <c r="AV40" s="341"/>
    </row>
    <row r="41" spans="1:48" ht="37.5" hidden="1" customHeight="1" x14ac:dyDescent="0.2">
      <c r="A41" s="363"/>
      <c r="B41" s="345"/>
      <c r="C41" s="345"/>
      <c r="D41" s="345"/>
      <c r="E41" s="345"/>
      <c r="F41" s="345"/>
      <c r="G41" s="338"/>
      <c r="H41" s="338"/>
      <c r="I41" s="338"/>
      <c r="J41" s="338"/>
      <c r="K41" s="338"/>
      <c r="L41" s="338"/>
      <c r="M41" s="338"/>
      <c r="N41" s="338"/>
      <c r="O41" s="338"/>
      <c r="P41" s="338"/>
      <c r="Q41" s="338"/>
      <c r="R41" s="341"/>
      <c r="S41" s="335"/>
      <c r="T41" s="334"/>
      <c r="U41" s="324"/>
      <c r="V41" s="334">
        <f>IF(NOT(ISERROR(MATCH(U41,_xlfn.ANCHORARRAY(E52),0))),T54&amp;"Por favor no seleccionar los criterios de impacto",U41)</f>
        <v>0</v>
      </c>
      <c r="W41" s="335"/>
      <c r="X41" s="334"/>
      <c r="Y41" s="333"/>
      <c r="Z41" s="214">
        <v>5</v>
      </c>
      <c r="AA41" s="187"/>
      <c r="AB41" s="189" t="str">
        <f t="shared" si="42"/>
        <v/>
      </c>
      <c r="AC41" s="190"/>
      <c r="AD41" s="190"/>
      <c r="AE41" s="191" t="str">
        <f t="shared" si="37"/>
        <v/>
      </c>
      <c r="AF41" s="190"/>
      <c r="AG41" s="190"/>
      <c r="AH41" s="190"/>
      <c r="AI41" s="192" t="str">
        <f t="shared" si="43"/>
        <v/>
      </c>
      <c r="AJ41" s="193" t="str">
        <f t="shared" si="2"/>
        <v/>
      </c>
      <c r="AK41" s="191" t="str">
        <f t="shared" si="38"/>
        <v/>
      </c>
      <c r="AL41" s="193" t="str">
        <f t="shared" si="4"/>
        <v/>
      </c>
      <c r="AM41" s="191" t="str">
        <f t="shared" si="14"/>
        <v/>
      </c>
      <c r="AN41" s="194" t="str">
        <f t="shared" ref="AN41:AN42" si="44">IFERROR(IF(OR(AND(AJ41="Muy Baja",AL41="Leve"),AND(AJ41="Muy Baja",AL41="Menor"),AND(AJ41="Baja",AL41="Leve")),"Bajo",IF(OR(AND(AJ41="Muy baja",AL41="Moderado"),AND(AJ41="Baja",AL41="Menor"),AND(AJ41="Baja",AL41="Moderado"),AND(AJ41="Media",AL41="Leve"),AND(AJ41="Media",AL41="Menor"),AND(AJ41="Media",AL41="Moderado"),AND(AJ41="Alta",AL41="Leve"),AND(AJ41="Alta",AL41="Menor")),"Moderado",IF(OR(AND(AJ41="Muy Baja",AL41="Mayor"),AND(AJ41="Baja",AL41="Mayor"),AND(AJ41="Media",AL41="Mayor"),AND(AJ41="Alta",AL41="Moderado"),AND(AJ41="Alta",AL41="Mayor"),AND(AJ41="Muy Alta",AL41="Leve"),AND(AJ41="Muy Alta",AL41="Menor"),AND(AJ41="Muy Alta",AL41="Moderado"),AND(AJ41="Muy Alta",AL41="Mayor")),"Alto",IF(OR(AND(AJ41="Muy Baja",AL41="Catastrófico"),AND(AJ41="Baja",AL41="Catastrófico"),AND(AJ41="Media",AL41="Catastrófico"),AND(AJ41="Alta",AL41="Catastrófico"),AND(AJ41="Muy Alta",AL41="Catastrófico")),"Extremo","")))),"")</f>
        <v/>
      </c>
      <c r="AO41" s="195"/>
      <c r="AP41" s="186"/>
      <c r="AQ41" s="196"/>
      <c r="AR41" s="196"/>
      <c r="AS41" s="197"/>
      <c r="AT41" s="341"/>
      <c r="AU41" s="341"/>
      <c r="AV41" s="341"/>
    </row>
    <row r="42" spans="1:48" ht="37.5" hidden="1" customHeight="1" x14ac:dyDescent="0.2">
      <c r="A42" s="363"/>
      <c r="B42" s="345"/>
      <c r="C42" s="345"/>
      <c r="D42" s="345"/>
      <c r="E42" s="345"/>
      <c r="F42" s="345"/>
      <c r="G42" s="339"/>
      <c r="H42" s="339"/>
      <c r="I42" s="339"/>
      <c r="J42" s="339"/>
      <c r="K42" s="339"/>
      <c r="L42" s="339"/>
      <c r="M42" s="339"/>
      <c r="N42" s="339"/>
      <c r="O42" s="339"/>
      <c r="P42" s="339"/>
      <c r="Q42" s="339"/>
      <c r="R42" s="341"/>
      <c r="S42" s="335"/>
      <c r="T42" s="334"/>
      <c r="U42" s="324"/>
      <c r="V42" s="334">
        <f>IF(NOT(ISERROR(MATCH(U42,_xlfn.ANCHORARRAY(E53),0))),T55&amp;"Por favor no seleccionar los criterios de impacto",U42)</f>
        <v>0</v>
      </c>
      <c r="W42" s="335"/>
      <c r="X42" s="334"/>
      <c r="Y42" s="333"/>
      <c r="Z42" s="214">
        <v>6</v>
      </c>
      <c r="AA42" s="187"/>
      <c r="AB42" s="189" t="str">
        <f t="shared" si="42"/>
        <v/>
      </c>
      <c r="AC42" s="190"/>
      <c r="AD42" s="190"/>
      <c r="AE42" s="191" t="str">
        <f t="shared" si="37"/>
        <v/>
      </c>
      <c r="AF42" s="190"/>
      <c r="AG42" s="190"/>
      <c r="AH42" s="190"/>
      <c r="AI42" s="192" t="str">
        <f t="shared" si="43"/>
        <v/>
      </c>
      <c r="AJ42" s="193" t="str">
        <f t="shared" si="2"/>
        <v/>
      </c>
      <c r="AK42" s="191" t="str">
        <f t="shared" si="38"/>
        <v/>
      </c>
      <c r="AL42" s="193" t="str">
        <f t="shared" si="4"/>
        <v/>
      </c>
      <c r="AM42" s="191" t="str">
        <f t="shared" si="14"/>
        <v/>
      </c>
      <c r="AN42" s="194" t="str">
        <f t="shared" si="44"/>
        <v/>
      </c>
      <c r="AO42" s="195"/>
      <c r="AP42" s="186"/>
      <c r="AQ42" s="196"/>
      <c r="AR42" s="196"/>
      <c r="AS42" s="197"/>
      <c r="AT42" s="341"/>
      <c r="AU42" s="341"/>
      <c r="AV42" s="341"/>
    </row>
    <row r="43" spans="1:48" ht="37.5" hidden="1" customHeight="1" x14ac:dyDescent="0.2">
      <c r="A43" s="363">
        <v>6</v>
      </c>
      <c r="B43" s="345"/>
      <c r="C43" s="345"/>
      <c r="D43" s="345"/>
      <c r="E43" s="337"/>
      <c r="F43" s="345"/>
      <c r="G43" s="337"/>
      <c r="H43" s="337"/>
      <c r="I43" s="337"/>
      <c r="J43" s="337"/>
      <c r="K43" s="337"/>
      <c r="L43" s="337"/>
      <c r="M43" s="337"/>
      <c r="N43" s="337"/>
      <c r="O43" s="337"/>
      <c r="P43" s="337"/>
      <c r="Q43" s="337"/>
      <c r="R43" s="341"/>
      <c r="S43" s="335" t="str">
        <f>IF(R43&lt;=0,"",IF(R43&lt;=2,"Muy Baja",IF(R43&lt;=24,"Baja",IF(R43&lt;=500,"Media",IF(R43&lt;=5000,"Alta","Muy Alta")))))</f>
        <v/>
      </c>
      <c r="T43" s="334" t="str">
        <f>IF(S43="","",IF(S43="Muy Baja",0.2,IF(S43="Baja",0.4,IF(S43="Media",0.6,IF(S43="Alta",0.8,IF(S43="Muy Alta",1,))))))</f>
        <v/>
      </c>
      <c r="U43" s="324"/>
      <c r="V43" s="334">
        <f>IF(NOT(ISERROR(MATCH(U43,'Tabla Impacto'!$B$222:$B$224,0))),'Tabla Impacto'!$F$224&amp;"Por favor no seleccionar los criterios de impacto(Afectación Económica o presupuestal y Pérdida Reputacional)",U43)</f>
        <v>0</v>
      </c>
      <c r="W43" s="335" t="str">
        <f>IF(OR(V43='Tabla Impacto'!$C$12,V43='Tabla Impacto'!$D$12),"Leve",IF(OR(V43='Tabla Impacto'!$C$13,V43='Tabla Impacto'!$D$13),"Menor",IF(OR(V43='Tabla Impacto'!$C$14,V43='Tabla Impacto'!$D$14),"Moderado",IF(OR(V43='Tabla Impacto'!$C$15,V43='Tabla Impacto'!$D$15),"Mayor",IF(OR(V43='Tabla Impacto'!$C$16,V43='Tabla Impacto'!$D$16),"Catastrófico","")))))</f>
        <v/>
      </c>
      <c r="X43" s="334" t="str">
        <f>IF(W43="","",IF(W43="Leve",0.2,IF(W43="Menor",0.4,IF(W43="Moderado",0.6,IF(W43="Mayor",0.8,IF(W43="Catastrófico",1,))))))</f>
        <v/>
      </c>
      <c r="Y43" s="333" t="str">
        <f>IF(OR(AND(S43="Muy Baja",W43="Leve"),AND(S43="Muy Baja",W43="Menor"),AND(S43="Baja",W43="Leve")),"Bajo",IF(OR(AND(S43="Muy baja",W43="Moderado"),AND(S43="Baja",W43="Menor"),AND(S43="Baja",W43="Moderado"),AND(S43="Media",W43="Leve"),AND(S43="Media",W43="Menor"),AND(S43="Media",W43="Moderado"),AND(S43="Alta",W43="Leve"),AND(S43="Alta",W43="Menor")),"Moderado",IF(OR(AND(S43="Muy Baja",W43="Mayor"),AND(S43="Baja",W43="Mayor"),AND(S43="Media",W43="Mayor"),AND(S43="Alta",W43="Moderado"),AND(S43="Alta",W43="Mayor"),AND(S43="Muy Alta",W43="Leve"),AND(S43="Muy Alta",W43="Menor"),AND(S43="Muy Alta",W43="Moderado"),AND(S43="Muy Alta",W43="Mayor")),"Alto",IF(OR(AND(S43="Muy Baja",W43="Catastrófico"),AND(S43="Baja",W43="Catastrófico"),AND(S43="Media",W43="Catastrófico"),AND(S43="Alta",W43="Catastrófico"),AND(S43="Muy Alta",W43="Catastrófico")),"Extremo",""))))</f>
        <v/>
      </c>
      <c r="Z43" s="214">
        <v>1</v>
      </c>
      <c r="AA43" s="187"/>
      <c r="AB43" s="189" t="str">
        <f>IF(OR(AC43="Preventivo",AC43="Detectivo"),"Probabilidad",IF(AC43="Correctivo","Impacto",""))</f>
        <v/>
      </c>
      <c r="AC43" s="190"/>
      <c r="AD43" s="190"/>
      <c r="AE43" s="191" t="str">
        <f>IF(AND(AC43="Preventivo",AD43="Automático"),"50%",IF(AND(AC43="Preventivo",AD43="Manual"),"40%",IF(AND(AC43="Detectivo",AD43="Automático"),"40%",IF(AND(AC43="Detectivo",AD43="Manual"),"30%",IF(AND(AC43="Correctivo",AD43="Automático"),"35%",IF(AND(AC43="Correctivo",AD43="Manual"),"25%",""))))))</f>
        <v/>
      </c>
      <c r="AF43" s="190"/>
      <c r="AG43" s="190"/>
      <c r="AH43" s="190"/>
      <c r="AI43" s="192" t="str">
        <f>IFERROR(IF(AB43="Probabilidad",(T43-(+T43*AE43)),IF(AB43="Impacto",T43,"")),"")</f>
        <v/>
      </c>
      <c r="AJ43" s="193" t="str">
        <f>IFERROR(IF(AI43="","",IF(AI43&lt;=0.2,"Muy Baja",IF(AI43&lt;=0.4,"Baja",IF(AI43&lt;=0.6,"Media",IF(AI43&lt;=0.8,"Alta","Muy Alta"))))),"")</f>
        <v/>
      </c>
      <c r="AK43" s="191" t="str">
        <f>+AI43</f>
        <v/>
      </c>
      <c r="AL43" s="193" t="str">
        <f>IFERROR(IF(AM43="","",IF(AM43&lt;=0.2,"Leve",IF(AM43&lt;=0.4,"Menor",IF(AM43&lt;=0.6,"Moderado",IF(AM43&lt;=0.8,"Mayor","Catastrófico"))))),"")</f>
        <v/>
      </c>
      <c r="AM43" s="191" t="str">
        <f t="shared" ref="AM43" si="45">IFERROR(IF(AB43="Impacto",(X43-(+X43*AE43)),IF(AB43="Probabilidad",X43,"")),"")</f>
        <v/>
      </c>
      <c r="AN43" s="194" t="str">
        <f>IFERROR(IF(OR(AND(AJ43="Muy Baja",AL43="Leve"),AND(AJ43="Muy Baja",AL43="Menor"),AND(AJ43="Baja",AL43="Leve")),"Bajo",IF(OR(AND(AJ43="Muy baja",AL43="Moderado"),AND(AJ43="Baja",AL43="Menor"),AND(AJ43="Baja",AL43="Moderado"),AND(AJ43="Media",AL43="Leve"),AND(AJ43="Media",AL43="Menor"),AND(AJ43="Media",AL43="Moderado"),AND(AJ43="Alta",AL43="Leve"),AND(AJ43="Alta",AL43="Menor")),"Moderado",IF(OR(AND(AJ43="Muy Baja",AL43="Mayor"),AND(AJ43="Baja",AL43="Mayor"),AND(AJ43="Media",AL43="Mayor"),AND(AJ43="Alta",AL43="Moderado"),AND(AJ43="Alta",AL43="Mayor"),AND(AJ43="Muy Alta",AL43="Leve"),AND(AJ43="Muy Alta",AL43="Menor"),AND(AJ43="Muy Alta",AL43="Moderado"),AND(AJ43="Muy Alta",AL43="Mayor")),"Alto",IF(OR(AND(AJ43="Muy Baja",AL43="Catastrófico"),AND(AJ43="Baja",AL43="Catastrófico"),AND(AJ43="Media",AL43="Catastrófico"),AND(AJ43="Alta",AL43="Catastrófico"),AND(AJ43="Muy Alta",AL43="Catastrófico")),"Extremo","")))),"")</f>
        <v/>
      </c>
      <c r="AO43" s="190"/>
      <c r="AP43" s="186"/>
      <c r="AQ43" s="196"/>
      <c r="AR43" s="196"/>
      <c r="AS43" s="197"/>
      <c r="AT43" s="341"/>
      <c r="AU43" s="341"/>
      <c r="AV43" s="341"/>
    </row>
    <row r="44" spans="1:48" ht="37.5" hidden="1" customHeight="1" x14ac:dyDescent="0.2">
      <c r="A44" s="363"/>
      <c r="B44" s="345"/>
      <c r="C44" s="345"/>
      <c r="D44" s="345"/>
      <c r="E44" s="338"/>
      <c r="F44" s="345"/>
      <c r="G44" s="338"/>
      <c r="H44" s="338"/>
      <c r="I44" s="338"/>
      <c r="J44" s="338"/>
      <c r="K44" s="338"/>
      <c r="L44" s="338"/>
      <c r="M44" s="338"/>
      <c r="N44" s="338"/>
      <c r="O44" s="338"/>
      <c r="P44" s="338"/>
      <c r="Q44" s="338"/>
      <c r="R44" s="341"/>
      <c r="S44" s="335"/>
      <c r="T44" s="334"/>
      <c r="U44" s="324"/>
      <c r="V44" s="334">
        <f>IF(NOT(ISERROR(MATCH(U44,_xlfn.ANCHORARRAY(E55),0))),T57&amp;"Por favor no seleccionar los criterios de impacto",U44)</f>
        <v>0</v>
      </c>
      <c r="W44" s="335"/>
      <c r="X44" s="334"/>
      <c r="Y44" s="333"/>
      <c r="Z44" s="214">
        <v>2</v>
      </c>
      <c r="AA44" s="187"/>
      <c r="AB44" s="189" t="str">
        <f>IF(OR(AC44="Preventivo",AC44="Detectivo"),"Probabilidad",IF(AC44="Correctivo","Impacto",""))</f>
        <v/>
      </c>
      <c r="AC44" s="190"/>
      <c r="AD44" s="190"/>
      <c r="AE44" s="191" t="str">
        <f t="shared" ref="AE44:AE48" si="46">IF(AND(AC44="Preventivo",AD44="Automático"),"50%",IF(AND(AC44="Preventivo",AD44="Manual"),"40%",IF(AND(AC44="Detectivo",AD44="Automático"),"40%",IF(AND(AC44="Detectivo",AD44="Manual"),"30%",IF(AND(AC44="Correctivo",AD44="Automático"),"35%",IF(AND(AC44="Correctivo",AD44="Manual"),"25%",""))))))</f>
        <v/>
      </c>
      <c r="AF44" s="190"/>
      <c r="AG44" s="190"/>
      <c r="AH44" s="190"/>
      <c r="AI44" s="192" t="str">
        <f>IFERROR(IF(AND(AB43="Probabilidad",AB44="Probabilidad"),(AK43-(+AK43*AE44)),IF(AB44="Probabilidad",(T43-(+T43*AE44)),IF(AB44="Impacto",AK43,""))),"")</f>
        <v/>
      </c>
      <c r="AJ44" s="193" t="str">
        <f t="shared" si="2"/>
        <v/>
      </c>
      <c r="AK44" s="191" t="str">
        <f t="shared" ref="AK44:AK48" si="47">+AI44</f>
        <v/>
      </c>
      <c r="AL44" s="193" t="str">
        <f t="shared" si="4"/>
        <v/>
      </c>
      <c r="AM44" s="191" t="str">
        <f t="shared" ref="AM44" si="48">IFERROR(IF(AND(AB43="Impacto",AB44="Impacto"),(AM43-(+AM43*AE44)),IF(AB44="Impacto",($X$13-(+$X$13*AE44)),IF(AB44="Probabilidad",AM43,""))),"")</f>
        <v/>
      </c>
      <c r="AN44" s="194" t="str">
        <f t="shared" ref="AN44:AN45" si="49">IFERROR(IF(OR(AND(AJ44="Muy Baja",AL44="Leve"),AND(AJ44="Muy Baja",AL44="Menor"),AND(AJ44="Baja",AL44="Leve")),"Bajo",IF(OR(AND(AJ44="Muy baja",AL44="Moderado"),AND(AJ44="Baja",AL44="Menor"),AND(AJ44="Baja",AL44="Moderado"),AND(AJ44="Media",AL44="Leve"),AND(AJ44="Media",AL44="Menor"),AND(AJ44="Media",AL44="Moderado"),AND(AJ44="Alta",AL44="Leve"),AND(AJ44="Alta",AL44="Menor")),"Moderado",IF(OR(AND(AJ44="Muy Baja",AL44="Mayor"),AND(AJ44="Baja",AL44="Mayor"),AND(AJ44="Media",AL44="Mayor"),AND(AJ44="Alta",AL44="Moderado"),AND(AJ44="Alta",AL44="Mayor"),AND(AJ44="Muy Alta",AL44="Leve"),AND(AJ44="Muy Alta",AL44="Menor"),AND(AJ44="Muy Alta",AL44="Moderado"),AND(AJ44="Muy Alta",AL44="Mayor")),"Alto",IF(OR(AND(AJ44="Muy Baja",AL44="Catastrófico"),AND(AJ44="Baja",AL44="Catastrófico"),AND(AJ44="Media",AL44="Catastrófico"),AND(AJ44="Alta",AL44="Catastrófico"),AND(AJ44="Muy Alta",AL44="Catastrófico")),"Extremo","")))),"")</f>
        <v/>
      </c>
      <c r="AO44" s="195"/>
      <c r="AP44" s="186"/>
      <c r="AQ44" s="196"/>
      <c r="AR44" s="196"/>
      <c r="AS44" s="197"/>
      <c r="AT44" s="341"/>
      <c r="AU44" s="341"/>
      <c r="AV44" s="341"/>
    </row>
    <row r="45" spans="1:48" ht="37.5" hidden="1" customHeight="1" x14ac:dyDescent="0.2">
      <c r="A45" s="363"/>
      <c r="B45" s="345"/>
      <c r="C45" s="345"/>
      <c r="D45" s="345"/>
      <c r="E45" s="338"/>
      <c r="F45" s="345"/>
      <c r="G45" s="338"/>
      <c r="H45" s="338"/>
      <c r="I45" s="338"/>
      <c r="J45" s="338"/>
      <c r="K45" s="338"/>
      <c r="L45" s="338"/>
      <c r="M45" s="338"/>
      <c r="N45" s="338"/>
      <c r="O45" s="338"/>
      <c r="P45" s="338"/>
      <c r="Q45" s="338"/>
      <c r="R45" s="341"/>
      <c r="S45" s="335"/>
      <c r="T45" s="334"/>
      <c r="U45" s="324"/>
      <c r="V45" s="334">
        <f>IF(NOT(ISERROR(MATCH(U45,_xlfn.ANCHORARRAY(E56),0))),T58&amp;"Por favor no seleccionar los criterios de impacto",U45)</f>
        <v>0</v>
      </c>
      <c r="W45" s="335"/>
      <c r="X45" s="334"/>
      <c r="Y45" s="333"/>
      <c r="Z45" s="214">
        <v>3</v>
      </c>
      <c r="AA45" s="188"/>
      <c r="AB45" s="189" t="str">
        <f>IF(OR(AC45="Preventivo",AC45="Detectivo"),"Probabilidad",IF(AC45="Correctivo","Impacto",""))</f>
        <v/>
      </c>
      <c r="AC45" s="190"/>
      <c r="AD45" s="190"/>
      <c r="AE45" s="191" t="str">
        <f t="shared" si="46"/>
        <v/>
      </c>
      <c r="AF45" s="190"/>
      <c r="AG45" s="190"/>
      <c r="AH45" s="190"/>
      <c r="AI45" s="192" t="str">
        <f>IFERROR(IF(AND(AB44="Probabilidad",AB45="Probabilidad"),(AK44-(+AK44*AE45)),IF(AND(AB44="Impacto",AB45="Probabilidad"),(AK43-(+AK43*AE45)),IF(AB45="Impacto",AK44,""))),"")</f>
        <v/>
      </c>
      <c r="AJ45" s="193" t="str">
        <f t="shared" si="2"/>
        <v/>
      </c>
      <c r="AK45" s="191" t="str">
        <f t="shared" si="47"/>
        <v/>
      </c>
      <c r="AL45" s="193" t="str">
        <f t="shared" si="4"/>
        <v/>
      </c>
      <c r="AM45" s="191" t="str">
        <f t="shared" ref="AM45" si="50">IFERROR(IF(AND(AB44="Impacto",AB45="Impacto"),(AM44-(+AM44*AE45)),IF(AND(AB44="Probabilidad",AB45="Impacto"),(AM43-(+AM43*AE45)),IF(AB45="Probabilidad",AM44,""))),"")</f>
        <v/>
      </c>
      <c r="AN45" s="194" t="str">
        <f t="shared" si="49"/>
        <v/>
      </c>
      <c r="AO45" s="195"/>
      <c r="AP45" s="186"/>
      <c r="AQ45" s="196"/>
      <c r="AR45" s="196"/>
      <c r="AS45" s="197"/>
      <c r="AT45" s="341"/>
      <c r="AU45" s="341"/>
      <c r="AV45" s="341"/>
    </row>
    <row r="46" spans="1:48" ht="37.5" hidden="1" customHeight="1" x14ac:dyDescent="0.2">
      <c r="A46" s="363"/>
      <c r="B46" s="345"/>
      <c r="C46" s="345"/>
      <c r="D46" s="345"/>
      <c r="E46" s="338"/>
      <c r="F46" s="345"/>
      <c r="G46" s="338"/>
      <c r="H46" s="338"/>
      <c r="I46" s="338"/>
      <c r="J46" s="338"/>
      <c r="K46" s="338"/>
      <c r="L46" s="338"/>
      <c r="M46" s="338"/>
      <c r="N46" s="338"/>
      <c r="O46" s="338"/>
      <c r="P46" s="338"/>
      <c r="Q46" s="338"/>
      <c r="R46" s="341"/>
      <c r="S46" s="335"/>
      <c r="T46" s="334"/>
      <c r="U46" s="324"/>
      <c r="V46" s="334">
        <f>IF(NOT(ISERROR(MATCH(U46,_xlfn.ANCHORARRAY(E57),0))),T59&amp;"Por favor no seleccionar los criterios de impacto",U46)</f>
        <v>0</v>
      </c>
      <c r="W46" s="335"/>
      <c r="X46" s="334"/>
      <c r="Y46" s="333"/>
      <c r="Z46" s="214">
        <v>4</v>
      </c>
      <c r="AA46" s="187"/>
      <c r="AB46" s="189" t="str">
        <f t="shared" ref="AB46:AB48" si="51">IF(OR(AC46="Preventivo",AC46="Detectivo"),"Probabilidad",IF(AC46="Correctivo","Impacto",""))</f>
        <v/>
      </c>
      <c r="AC46" s="190"/>
      <c r="AD46" s="190"/>
      <c r="AE46" s="191" t="str">
        <f t="shared" si="46"/>
        <v/>
      </c>
      <c r="AF46" s="190"/>
      <c r="AG46" s="190"/>
      <c r="AH46" s="190"/>
      <c r="AI46" s="192" t="str">
        <f t="shared" ref="AI46:AI48" si="52">IFERROR(IF(AND(AB45="Probabilidad",AB46="Probabilidad"),(AK45-(+AK45*AE46)),IF(AND(AB45="Impacto",AB46="Probabilidad"),(AK44-(+AK44*AE46)),IF(AB46="Impacto",AK45,""))),"")</f>
        <v/>
      </c>
      <c r="AJ46" s="193" t="str">
        <f t="shared" si="2"/>
        <v/>
      </c>
      <c r="AK46" s="191" t="str">
        <f t="shared" si="47"/>
        <v/>
      </c>
      <c r="AL46" s="193" t="str">
        <f t="shared" si="4"/>
        <v/>
      </c>
      <c r="AM46" s="191" t="str">
        <f t="shared" si="14"/>
        <v/>
      </c>
      <c r="AN46" s="194" t="str">
        <f>IFERROR(IF(OR(AND(AJ46="Muy Baja",AL46="Leve"),AND(AJ46="Muy Baja",AL46="Menor"),AND(AJ46="Baja",AL46="Leve")),"Bajo",IF(OR(AND(AJ46="Muy baja",AL46="Moderado"),AND(AJ46="Baja",AL46="Menor"),AND(AJ46="Baja",AL46="Moderado"),AND(AJ46="Media",AL46="Leve"),AND(AJ46="Media",AL46="Menor"),AND(AJ46="Media",AL46="Moderado"),AND(AJ46="Alta",AL46="Leve"),AND(AJ46="Alta",AL46="Menor")),"Moderado",IF(OR(AND(AJ46="Muy Baja",AL46="Mayor"),AND(AJ46="Baja",AL46="Mayor"),AND(AJ46="Media",AL46="Mayor"),AND(AJ46="Alta",AL46="Moderado"),AND(AJ46="Alta",AL46="Mayor"),AND(AJ46="Muy Alta",AL46="Leve"),AND(AJ46="Muy Alta",AL46="Menor"),AND(AJ46="Muy Alta",AL46="Moderado"),AND(AJ46="Muy Alta",AL46="Mayor")),"Alto",IF(OR(AND(AJ46="Muy Baja",AL46="Catastrófico"),AND(AJ46="Baja",AL46="Catastrófico"),AND(AJ46="Media",AL46="Catastrófico"),AND(AJ46="Alta",AL46="Catastrófico"),AND(AJ46="Muy Alta",AL46="Catastrófico")),"Extremo","")))),"")</f>
        <v/>
      </c>
      <c r="AO46" s="195"/>
      <c r="AP46" s="186"/>
      <c r="AQ46" s="196"/>
      <c r="AR46" s="196"/>
      <c r="AS46" s="197"/>
      <c r="AT46" s="341"/>
      <c r="AU46" s="341"/>
      <c r="AV46" s="341"/>
    </row>
    <row r="47" spans="1:48" ht="37.5" hidden="1" customHeight="1" x14ac:dyDescent="0.2">
      <c r="A47" s="363"/>
      <c r="B47" s="345"/>
      <c r="C47" s="345"/>
      <c r="D47" s="345"/>
      <c r="E47" s="338"/>
      <c r="F47" s="345"/>
      <c r="G47" s="338"/>
      <c r="H47" s="338"/>
      <c r="I47" s="338"/>
      <c r="J47" s="338"/>
      <c r="K47" s="338"/>
      <c r="L47" s="338"/>
      <c r="M47" s="338"/>
      <c r="N47" s="338"/>
      <c r="O47" s="338"/>
      <c r="P47" s="338"/>
      <c r="Q47" s="338"/>
      <c r="R47" s="341"/>
      <c r="S47" s="335"/>
      <c r="T47" s="334"/>
      <c r="U47" s="324"/>
      <c r="V47" s="334">
        <f>IF(NOT(ISERROR(MATCH(U47,_xlfn.ANCHORARRAY(E58),0))),T60&amp;"Por favor no seleccionar los criterios de impacto",U47)</f>
        <v>0</v>
      </c>
      <c r="W47" s="335"/>
      <c r="X47" s="334"/>
      <c r="Y47" s="333"/>
      <c r="Z47" s="214">
        <v>5</v>
      </c>
      <c r="AA47" s="187"/>
      <c r="AB47" s="189" t="str">
        <f t="shared" si="51"/>
        <v/>
      </c>
      <c r="AC47" s="190"/>
      <c r="AD47" s="190"/>
      <c r="AE47" s="191" t="str">
        <f t="shared" si="46"/>
        <v/>
      </c>
      <c r="AF47" s="190"/>
      <c r="AG47" s="190"/>
      <c r="AH47" s="190"/>
      <c r="AI47" s="192" t="str">
        <f t="shared" si="52"/>
        <v/>
      </c>
      <c r="AJ47" s="193" t="str">
        <f t="shared" si="2"/>
        <v/>
      </c>
      <c r="AK47" s="191" t="str">
        <f t="shared" si="47"/>
        <v/>
      </c>
      <c r="AL47" s="193" t="str">
        <f t="shared" si="4"/>
        <v/>
      </c>
      <c r="AM47" s="191" t="str">
        <f t="shared" si="14"/>
        <v/>
      </c>
      <c r="AN47" s="194" t="str">
        <f t="shared" ref="AN47" si="53">IFERROR(IF(OR(AND(AJ47="Muy Baja",AL47="Leve"),AND(AJ47="Muy Baja",AL47="Menor"),AND(AJ47="Baja",AL47="Leve")),"Bajo",IF(OR(AND(AJ47="Muy baja",AL47="Moderado"),AND(AJ47="Baja",AL47="Menor"),AND(AJ47="Baja",AL47="Moderado"),AND(AJ47="Media",AL47="Leve"),AND(AJ47="Media",AL47="Menor"),AND(AJ47="Media",AL47="Moderado"),AND(AJ47="Alta",AL47="Leve"),AND(AJ47="Alta",AL47="Menor")),"Moderado",IF(OR(AND(AJ47="Muy Baja",AL47="Mayor"),AND(AJ47="Baja",AL47="Mayor"),AND(AJ47="Media",AL47="Mayor"),AND(AJ47="Alta",AL47="Moderado"),AND(AJ47="Alta",AL47="Mayor"),AND(AJ47="Muy Alta",AL47="Leve"),AND(AJ47="Muy Alta",AL47="Menor"),AND(AJ47="Muy Alta",AL47="Moderado"),AND(AJ47="Muy Alta",AL47="Mayor")),"Alto",IF(OR(AND(AJ47="Muy Baja",AL47="Catastrófico"),AND(AJ47="Baja",AL47="Catastrófico"),AND(AJ47="Media",AL47="Catastrófico"),AND(AJ47="Alta",AL47="Catastrófico"),AND(AJ47="Muy Alta",AL47="Catastrófico")),"Extremo","")))),"")</f>
        <v/>
      </c>
      <c r="AO47" s="195"/>
      <c r="AP47" s="186"/>
      <c r="AQ47" s="196"/>
      <c r="AR47" s="196"/>
      <c r="AS47" s="197"/>
      <c r="AT47" s="341"/>
      <c r="AU47" s="341"/>
      <c r="AV47" s="341"/>
    </row>
    <row r="48" spans="1:48" ht="37.5" hidden="1" customHeight="1" x14ac:dyDescent="0.2">
      <c r="A48" s="363"/>
      <c r="B48" s="345"/>
      <c r="C48" s="345"/>
      <c r="D48" s="345"/>
      <c r="E48" s="339"/>
      <c r="F48" s="345"/>
      <c r="G48" s="339"/>
      <c r="H48" s="339"/>
      <c r="I48" s="339"/>
      <c r="J48" s="339"/>
      <c r="K48" s="339"/>
      <c r="L48" s="339"/>
      <c r="M48" s="339"/>
      <c r="N48" s="339"/>
      <c r="O48" s="339"/>
      <c r="P48" s="339"/>
      <c r="Q48" s="339"/>
      <c r="R48" s="341"/>
      <c r="S48" s="335"/>
      <c r="T48" s="334"/>
      <c r="U48" s="324"/>
      <c r="V48" s="334">
        <f>IF(NOT(ISERROR(MATCH(U48,_xlfn.ANCHORARRAY(E59),0))),T61&amp;"Por favor no seleccionar los criterios de impacto",U48)</f>
        <v>0</v>
      </c>
      <c r="W48" s="335"/>
      <c r="X48" s="334"/>
      <c r="Y48" s="333"/>
      <c r="Z48" s="214">
        <v>6</v>
      </c>
      <c r="AA48" s="187"/>
      <c r="AB48" s="189" t="str">
        <f t="shared" si="51"/>
        <v/>
      </c>
      <c r="AC48" s="190"/>
      <c r="AD48" s="190"/>
      <c r="AE48" s="191" t="str">
        <f t="shared" si="46"/>
        <v/>
      </c>
      <c r="AF48" s="190"/>
      <c r="AG48" s="190"/>
      <c r="AH48" s="190"/>
      <c r="AI48" s="192" t="str">
        <f t="shared" si="52"/>
        <v/>
      </c>
      <c r="AJ48" s="193" t="str">
        <f t="shared" si="2"/>
        <v/>
      </c>
      <c r="AK48" s="191" t="str">
        <f t="shared" si="47"/>
        <v/>
      </c>
      <c r="AL48" s="193" t="str">
        <f>IFERROR(IF(AM48="","",IF(AM48&lt;=0.2,"Leve",IF(AM48&lt;=0.4,"Menor",IF(AM48&lt;=0.6,"Moderado",IF(AM48&lt;=0.8,"Mayor","Catastrófico"))))),"")</f>
        <v/>
      </c>
      <c r="AM48" s="191" t="str">
        <f t="shared" si="14"/>
        <v/>
      </c>
      <c r="AN48" s="194" t="str">
        <f>IFERROR(IF(OR(AND(AJ48="Muy Baja",AL48="Leve"),AND(AJ48="Muy Baja",AL48="Menor"),AND(AJ48="Baja",AL48="Leve")),"Bajo",IF(OR(AND(AJ48="Muy baja",AL48="Moderado"),AND(AJ48="Baja",AL48="Menor"),AND(AJ48="Baja",AL48="Moderado"),AND(AJ48="Media",AL48="Leve"),AND(AJ48="Media",AL48="Menor"),AND(AJ48="Media",AL48="Moderado"),AND(AJ48="Alta",AL48="Leve"),AND(AJ48="Alta",AL48="Menor")),"Moderado",IF(OR(AND(AJ48="Muy Baja",AL48="Mayor"),AND(AJ48="Baja",AL48="Mayor"),AND(AJ48="Media",AL48="Mayor"),AND(AJ48="Alta",AL48="Moderado"),AND(AJ48="Alta",AL48="Mayor"),AND(AJ48="Muy Alta",AL48="Leve"),AND(AJ48="Muy Alta",AL48="Menor"),AND(AJ48="Muy Alta",AL48="Moderado"),AND(AJ48="Muy Alta",AL48="Mayor")),"Alto",IF(OR(AND(AJ48="Muy Baja",AL48="Catastrófico"),AND(AJ48="Baja",AL48="Catastrófico"),AND(AJ48="Media",AL48="Catastrófico"),AND(AJ48="Alta",AL48="Catastrófico"),AND(AJ48="Muy Alta",AL48="Catastrófico")),"Extremo","")))),"")</f>
        <v/>
      </c>
      <c r="AO48" s="195"/>
      <c r="AP48" s="186"/>
      <c r="AQ48" s="196"/>
      <c r="AR48" s="196"/>
      <c r="AS48" s="197"/>
      <c r="AT48" s="341"/>
      <c r="AU48" s="341"/>
      <c r="AV48" s="341"/>
    </row>
    <row r="49" spans="1:48" ht="37.5" hidden="1" customHeight="1" x14ac:dyDescent="0.2">
      <c r="A49" s="363">
        <v>7</v>
      </c>
      <c r="B49" s="345"/>
      <c r="C49" s="345"/>
      <c r="D49" s="366"/>
      <c r="E49" s="345"/>
      <c r="F49" s="345"/>
      <c r="G49" s="337"/>
      <c r="H49" s="337"/>
      <c r="I49" s="337"/>
      <c r="J49" s="337"/>
      <c r="K49" s="337"/>
      <c r="L49" s="337"/>
      <c r="M49" s="337"/>
      <c r="N49" s="337"/>
      <c r="O49" s="337"/>
      <c r="P49" s="337"/>
      <c r="Q49" s="337"/>
      <c r="R49" s="341"/>
      <c r="S49" s="335" t="str">
        <f>IF(R49&lt;=0,"",IF(R49&lt;=2,"Muy Baja",IF(R49&lt;=24,"Baja",IF(R49&lt;=500,"Media",IF(R49&lt;=5000,"Alta","Muy Alta")))))</f>
        <v/>
      </c>
      <c r="T49" s="334" t="str">
        <f>IF(S49="","",IF(S49="Muy Baja",0.2,IF(S49="Baja",0.4,IF(S49="Media",0.6,IF(S49="Alta",0.8,IF(S49="Muy Alta",1,))))))</f>
        <v/>
      </c>
      <c r="U49" s="324"/>
      <c r="V49" s="334">
        <f>IF(NOT(ISERROR(MATCH(U49,'Tabla Impacto'!$B$222:$B$224,0))),'Tabla Impacto'!$F$224&amp;"Por favor no seleccionar los criterios de impacto(Afectación Económica o presupuestal y Pérdida Reputacional)",U49)</f>
        <v>0</v>
      </c>
      <c r="W49" s="335" t="str">
        <f>IF(OR(V49='Tabla Impacto'!$C$12,V49='Tabla Impacto'!$D$12),"Leve",IF(OR(V49='Tabla Impacto'!$C$13,V49='Tabla Impacto'!$D$13),"Menor",IF(OR(V49='Tabla Impacto'!$C$14,V49='Tabla Impacto'!$D$14),"Moderado",IF(OR(V49='Tabla Impacto'!$C$15,V49='Tabla Impacto'!$D$15),"Mayor",IF(OR(V49='Tabla Impacto'!$C$16,V49='Tabla Impacto'!$D$16),"Catastrófico","")))))</f>
        <v/>
      </c>
      <c r="X49" s="334" t="str">
        <f>IF(W49="","",IF(W49="Leve",0.2,IF(W49="Menor",0.4,IF(W49="Moderado",0.6,IF(W49="Mayor",0.8,IF(W49="Catastrófico",1,))))))</f>
        <v/>
      </c>
      <c r="Y49" s="333" t="str">
        <f>IF(OR(AND(S49="Muy Baja",W49="Leve"),AND(S49="Muy Baja",W49="Menor"),AND(S49="Baja",W49="Leve")),"Bajo",IF(OR(AND(S49="Muy baja",W49="Moderado"),AND(S49="Baja",W49="Menor"),AND(S49="Baja",W49="Moderado"),AND(S49="Media",W49="Leve"),AND(S49="Media",W49="Menor"),AND(S49="Media",W49="Moderado"),AND(S49="Alta",W49="Leve"),AND(S49="Alta",W49="Menor")),"Moderado",IF(OR(AND(S49="Muy Baja",W49="Mayor"),AND(S49="Baja",W49="Mayor"),AND(S49="Media",W49="Mayor"),AND(S49="Alta",W49="Moderado"),AND(S49="Alta",W49="Mayor"),AND(S49="Muy Alta",W49="Leve"),AND(S49="Muy Alta",W49="Menor"),AND(S49="Muy Alta",W49="Moderado"),AND(S49="Muy Alta",W49="Mayor")),"Alto",IF(OR(AND(S49="Muy Baja",W49="Catastrófico"),AND(S49="Baja",W49="Catastrófico"),AND(S49="Media",W49="Catastrófico"),AND(S49="Alta",W49="Catastrófico"),AND(S49="Muy Alta",W49="Catastrófico")),"Extremo",""))))</f>
        <v/>
      </c>
      <c r="Z49" s="214">
        <v>1</v>
      </c>
      <c r="AA49" s="199"/>
      <c r="AB49" s="189" t="str">
        <f>IF(OR(AC49="Preventivo",AC49="Detectivo"),"Probabilidad",IF(AC49="Correctivo","Impacto",""))</f>
        <v/>
      </c>
      <c r="AC49" s="190"/>
      <c r="AD49" s="190"/>
      <c r="AE49" s="191" t="str">
        <f>IF(AND(AC49="Preventivo",AD49="Automático"),"50%",IF(AND(AC49="Preventivo",AD49="Manual"),"40%",IF(AND(AC49="Detectivo",AD49="Automático"),"40%",IF(AND(AC49="Detectivo",AD49="Manual"),"30%",IF(AND(AC49="Correctivo",AD49="Automático"),"35%",IF(AND(AC49="Correctivo",AD49="Manual"),"25%",""))))))</f>
        <v/>
      </c>
      <c r="AF49" s="190"/>
      <c r="AG49" s="190"/>
      <c r="AH49" s="190"/>
      <c r="AI49" s="192" t="str">
        <f>IFERROR(IF(AB49="Probabilidad",(T49-(+T49*AE49)),IF(AB49="Impacto",T49,"")),"")</f>
        <v/>
      </c>
      <c r="AJ49" s="193" t="str">
        <f>IFERROR(IF(AI49="","",IF(AI49&lt;=0.2,"Muy Baja",IF(AI49&lt;=0.4,"Baja",IF(AI49&lt;=0.6,"Media",IF(AI49&lt;=0.8,"Alta","Muy Alta"))))),"")</f>
        <v/>
      </c>
      <c r="AK49" s="191" t="str">
        <f>+AI49</f>
        <v/>
      </c>
      <c r="AL49" s="193" t="str">
        <f>IFERROR(IF(AM49="","",IF(AM49&lt;=0.2,"Leve",IF(AM49&lt;=0.4,"Menor",IF(AM49&lt;=0.6,"Moderado",IF(AM49&lt;=0.8,"Mayor","Catastrófico"))))),"")</f>
        <v/>
      </c>
      <c r="AM49" s="191" t="str">
        <f t="shared" ref="AM49" si="54">IFERROR(IF(AB49="Impacto",(X49-(+X49*AE49)),IF(AB49="Probabilidad",X49,"")),"")</f>
        <v/>
      </c>
      <c r="AN49" s="194" t="str">
        <f>IFERROR(IF(OR(AND(AJ49="Muy Baja",AL49="Leve"),AND(AJ49="Muy Baja",AL49="Menor"),AND(AJ49="Baja",AL49="Leve")),"Bajo",IF(OR(AND(AJ49="Muy baja",AL49="Moderado"),AND(AJ49="Baja",AL49="Menor"),AND(AJ49="Baja",AL49="Moderado"),AND(AJ49="Media",AL49="Leve"),AND(AJ49="Media",AL49="Menor"),AND(AJ49="Media",AL49="Moderado"),AND(AJ49="Alta",AL49="Leve"),AND(AJ49="Alta",AL49="Menor")),"Moderado",IF(OR(AND(AJ49="Muy Baja",AL49="Mayor"),AND(AJ49="Baja",AL49="Mayor"),AND(AJ49="Media",AL49="Mayor"),AND(AJ49="Alta",AL49="Moderado"),AND(AJ49="Alta",AL49="Mayor"),AND(AJ49="Muy Alta",AL49="Leve"),AND(AJ49="Muy Alta",AL49="Menor"),AND(AJ49="Muy Alta",AL49="Moderado"),AND(AJ49="Muy Alta",AL49="Mayor")),"Alto",IF(OR(AND(AJ49="Muy Baja",AL49="Catastrófico"),AND(AJ49="Baja",AL49="Catastrófico"),AND(AJ49="Media",AL49="Catastrófico"),AND(AJ49="Alta",AL49="Catastrófico"),AND(AJ49="Muy Alta",AL49="Catastrófico")),"Extremo","")))),"")</f>
        <v/>
      </c>
      <c r="AO49" s="195"/>
      <c r="AP49" s="186"/>
      <c r="AQ49" s="196"/>
      <c r="AR49" s="196"/>
      <c r="AS49" s="197"/>
      <c r="AT49" s="341"/>
      <c r="AU49" s="341"/>
      <c r="AV49" s="341"/>
    </row>
    <row r="50" spans="1:48" ht="37.5" hidden="1" customHeight="1" x14ac:dyDescent="0.2">
      <c r="A50" s="363"/>
      <c r="B50" s="345"/>
      <c r="C50" s="345"/>
      <c r="D50" s="366"/>
      <c r="E50" s="345"/>
      <c r="F50" s="345"/>
      <c r="G50" s="338"/>
      <c r="H50" s="338"/>
      <c r="I50" s="338"/>
      <c r="J50" s="338"/>
      <c r="K50" s="338"/>
      <c r="L50" s="338"/>
      <c r="M50" s="338"/>
      <c r="N50" s="338"/>
      <c r="O50" s="338"/>
      <c r="P50" s="338"/>
      <c r="Q50" s="338"/>
      <c r="R50" s="341"/>
      <c r="S50" s="335"/>
      <c r="T50" s="334"/>
      <c r="U50" s="324"/>
      <c r="V50" s="334">
        <f>IF(NOT(ISERROR(MATCH(U50,_xlfn.ANCHORARRAY(E61),0))),T63&amp;"Por favor no seleccionar los criterios de impacto",U50)</f>
        <v>0</v>
      </c>
      <c r="W50" s="335"/>
      <c r="X50" s="334"/>
      <c r="Y50" s="333"/>
      <c r="Z50" s="214">
        <v>2</v>
      </c>
      <c r="AA50" s="187"/>
      <c r="AB50" s="189" t="str">
        <f>IF(OR(AC50="Preventivo",AC50="Detectivo"),"Probabilidad",IF(AC50="Correctivo","Impacto",""))</f>
        <v/>
      </c>
      <c r="AC50" s="190"/>
      <c r="AD50" s="190"/>
      <c r="AE50" s="191" t="str">
        <f t="shared" ref="AE50:AE54" si="55">IF(AND(AC50="Preventivo",AD50="Automático"),"50%",IF(AND(AC50="Preventivo",AD50="Manual"),"40%",IF(AND(AC50="Detectivo",AD50="Automático"),"40%",IF(AND(AC50="Detectivo",AD50="Manual"),"30%",IF(AND(AC50="Correctivo",AD50="Automático"),"35%",IF(AND(AC50="Correctivo",AD50="Manual"),"25%",""))))))</f>
        <v/>
      </c>
      <c r="AF50" s="190"/>
      <c r="AG50" s="190"/>
      <c r="AH50" s="190"/>
      <c r="AI50" s="192" t="str">
        <f>IFERROR(IF(AND(AB49="Probabilidad",AB50="Probabilidad"),(AK49-(+AK49*AE50)),IF(AB50="Probabilidad",(T49-(+T49*AE50)),IF(AB50="Impacto",AK49,""))),"")</f>
        <v/>
      </c>
      <c r="AJ50" s="193" t="str">
        <f t="shared" si="2"/>
        <v/>
      </c>
      <c r="AK50" s="191" t="str">
        <f t="shared" ref="AK50:AK54" si="56">+AI50</f>
        <v/>
      </c>
      <c r="AL50" s="193" t="str">
        <f t="shared" si="4"/>
        <v/>
      </c>
      <c r="AM50" s="191" t="str">
        <f t="shared" ref="AM50" si="57">IFERROR(IF(AND(AB49="Impacto",AB50="Impacto"),(AM49-(+AM49*AE50)),IF(AB50="Impacto",($X$13-(+$X$13*AE50)),IF(AB50="Probabilidad",AM49,""))),"")</f>
        <v/>
      </c>
      <c r="AN50" s="194" t="str">
        <f t="shared" ref="AN50:AN51" si="58">IFERROR(IF(OR(AND(AJ50="Muy Baja",AL50="Leve"),AND(AJ50="Muy Baja",AL50="Menor"),AND(AJ50="Baja",AL50="Leve")),"Bajo",IF(OR(AND(AJ50="Muy baja",AL50="Moderado"),AND(AJ50="Baja",AL50="Menor"),AND(AJ50="Baja",AL50="Moderado"),AND(AJ50="Media",AL50="Leve"),AND(AJ50="Media",AL50="Menor"),AND(AJ50="Media",AL50="Moderado"),AND(AJ50="Alta",AL50="Leve"),AND(AJ50="Alta",AL50="Menor")),"Moderado",IF(OR(AND(AJ50="Muy Baja",AL50="Mayor"),AND(AJ50="Baja",AL50="Mayor"),AND(AJ50="Media",AL50="Mayor"),AND(AJ50="Alta",AL50="Moderado"),AND(AJ50="Alta",AL50="Mayor"),AND(AJ50="Muy Alta",AL50="Leve"),AND(AJ50="Muy Alta",AL50="Menor"),AND(AJ50="Muy Alta",AL50="Moderado"),AND(AJ50="Muy Alta",AL50="Mayor")),"Alto",IF(OR(AND(AJ50="Muy Baja",AL50="Catastrófico"),AND(AJ50="Baja",AL50="Catastrófico"),AND(AJ50="Media",AL50="Catastrófico"),AND(AJ50="Alta",AL50="Catastrófico"),AND(AJ50="Muy Alta",AL50="Catastrófico")),"Extremo","")))),"")</f>
        <v/>
      </c>
      <c r="AO50" s="195"/>
      <c r="AP50" s="186"/>
      <c r="AQ50" s="196"/>
      <c r="AR50" s="196"/>
      <c r="AS50" s="197"/>
      <c r="AT50" s="341"/>
      <c r="AU50" s="341"/>
      <c r="AV50" s="341"/>
    </row>
    <row r="51" spans="1:48" ht="37.5" hidden="1" customHeight="1" x14ac:dyDescent="0.2">
      <c r="A51" s="363"/>
      <c r="B51" s="345"/>
      <c r="C51" s="345"/>
      <c r="D51" s="366"/>
      <c r="E51" s="345"/>
      <c r="F51" s="345"/>
      <c r="G51" s="338"/>
      <c r="H51" s="338"/>
      <c r="I51" s="338"/>
      <c r="J51" s="338"/>
      <c r="K51" s="338"/>
      <c r="L51" s="338"/>
      <c r="M51" s="338"/>
      <c r="N51" s="338"/>
      <c r="O51" s="338"/>
      <c r="P51" s="338"/>
      <c r="Q51" s="338"/>
      <c r="R51" s="341"/>
      <c r="S51" s="335"/>
      <c r="T51" s="334"/>
      <c r="U51" s="324"/>
      <c r="V51" s="334">
        <f>IF(NOT(ISERROR(MATCH(U51,_xlfn.ANCHORARRAY(E62),0))),T64&amp;"Por favor no seleccionar los criterios de impacto",U51)</f>
        <v>0</v>
      </c>
      <c r="W51" s="335"/>
      <c r="X51" s="334"/>
      <c r="Y51" s="333"/>
      <c r="Z51" s="214">
        <v>3</v>
      </c>
      <c r="AA51" s="188"/>
      <c r="AB51" s="189" t="str">
        <f>IF(OR(AC51="Preventivo",AC51="Detectivo"),"Probabilidad",IF(AC51="Correctivo","Impacto",""))</f>
        <v/>
      </c>
      <c r="AC51" s="190"/>
      <c r="AD51" s="190"/>
      <c r="AE51" s="191" t="str">
        <f t="shared" si="55"/>
        <v/>
      </c>
      <c r="AF51" s="190"/>
      <c r="AG51" s="190"/>
      <c r="AH51" s="190"/>
      <c r="AI51" s="192" t="str">
        <f>IFERROR(IF(AND(AB50="Probabilidad",AB51="Probabilidad"),(AK50-(+AK50*AE51)),IF(AND(AB50="Impacto",AB51="Probabilidad"),(AK49-(+AK49*AE51)),IF(AB51="Impacto",AK50,""))),"")</f>
        <v/>
      </c>
      <c r="AJ51" s="193" t="str">
        <f t="shared" si="2"/>
        <v/>
      </c>
      <c r="AK51" s="191" t="str">
        <f t="shared" si="56"/>
        <v/>
      </c>
      <c r="AL51" s="193" t="str">
        <f t="shared" si="4"/>
        <v/>
      </c>
      <c r="AM51" s="191" t="str">
        <f t="shared" ref="AM51" si="59">IFERROR(IF(AND(AB50="Impacto",AB51="Impacto"),(AM50-(+AM50*AE51)),IF(AND(AB50="Probabilidad",AB51="Impacto"),(AM49-(+AM49*AE51)),IF(AB51="Probabilidad",AM50,""))),"")</f>
        <v/>
      </c>
      <c r="AN51" s="194" t="str">
        <f t="shared" si="58"/>
        <v/>
      </c>
      <c r="AO51" s="195"/>
      <c r="AP51" s="186"/>
      <c r="AQ51" s="196"/>
      <c r="AR51" s="196"/>
      <c r="AS51" s="197"/>
      <c r="AT51" s="341"/>
      <c r="AU51" s="341"/>
      <c r="AV51" s="341"/>
    </row>
    <row r="52" spans="1:48" ht="37.5" hidden="1" customHeight="1" x14ac:dyDescent="0.2">
      <c r="A52" s="363"/>
      <c r="B52" s="345"/>
      <c r="C52" s="345"/>
      <c r="D52" s="366"/>
      <c r="E52" s="345"/>
      <c r="F52" s="345"/>
      <c r="G52" s="338"/>
      <c r="H52" s="338"/>
      <c r="I52" s="338"/>
      <c r="J52" s="338"/>
      <c r="K52" s="338"/>
      <c r="L52" s="338"/>
      <c r="M52" s="338"/>
      <c r="N52" s="338"/>
      <c r="O52" s="338"/>
      <c r="P52" s="338"/>
      <c r="Q52" s="338"/>
      <c r="R52" s="341"/>
      <c r="S52" s="335"/>
      <c r="T52" s="334"/>
      <c r="U52" s="324"/>
      <c r="V52" s="334">
        <f>IF(NOT(ISERROR(MATCH(U52,_xlfn.ANCHORARRAY(E63),0))),T65&amp;"Por favor no seleccionar los criterios de impacto",U52)</f>
        <v>0</v>
      </c>
      <c r="W52" s="335"/>
      <c r="X52" s="334"/>
      <c r="Y52" s="333"/>
      <c r="Z52" s="214">
        <v>4</v>
      </c>
      <c r="AA52" s="187"/>
      <c r="AB52" s="189" t="str">
        <f t="shared" ref="AB52:AB54" si="60">IF(OR(AC52="Preventivo",AC52="Detectivo"),"Probabilidad",IF(AC52="Correctivo","Impacto",""))</f>
        <v/>
      </c>
      <c r="AC52" s="190"/>
      <c r="AD52" s="190"/>
      <c r="AE52" s="191" t="str">
        <f t="shared" si="55"/>
        <v/>
      </c>
      <c r="AF52" s="190"/>
      <c r="AG52" s="190"/>
      <c r="AH52" s="190"/>
      <c r="AI52" s="192" t="str">
        <f t="shared" ref="AI52:AI54" si="61">IFERROR(IF(AND(AB51="Probabilidad",AB52="Probabilidad"),(AK51-(+AK51*AE52)),IF(AND(AB51="Impacto",AB52="Probabilidad"),(AK50-(+AK50*AE52)),IF(AB52="Impacto",AK51,""))),"")</f>
        <v/>
      </c>
      <c r="AJ52" s="193" t="str">
        <f t="shared" si="2"/>
        <v/>
      </c>
      <c r="AK52" s="191" t="str">
        <f t="shared" si="56"/>
        <v/>
      </c>
      <c r="AL52" s="193" t="str">
        <f t="shared" si="4"/>
        <v/>
      </c>
      <c r="AM52" s="191" t="str">
        <f t="shared" si="14"/>
        <v/>
      </c>
      <c r="AN52" s="194" t="str">
        <f>IFERROR(IF(OR(AND(AJ52="Muy Baja",AL52="Leve"),AND(AJ52="Muy Baja",AL52="Menor"),AND(AJ52="Baja",AL52="Leve")),"Bajo",IF(OR(AND(AJ52="Muy baja",AL52="Moderado"),AND(AJ52="Baja",AL52="Menor"),AND(AJ52="Baja",AL52="Moderado"),AND(AJ52="Media",AL52="Leve"),AND(AJ52="Media",AL52="Menor"),AND(AJ52="Media",AL52="Moderado"),AND(AJ52="Alta",AL52="Leve"),AND(AJ52="Alta",AL52="Menor")),"Moderado",IF(OR(AND(AJ52="Muy Baja",AL52="Mayor"),AND(AJ52="Baja",AL52="Mayor"),AND(AJ52="Media",AL52="Mayor"),AND(AJ52="Alta",AL52="Moderado"),AND(AJ52="Alta",AL52="Mayor"),AND(AJ52="Muy Alta",AL52="Leve"),AND(AJ52="Muy Alta",AL52="Menor"),AND(AJ52="Muy Alta",AL52="Moderado"),AND(AJ52="Muy Alta",AL52="Mayor")),"Alto",IF(OR(AND(AJ52="Muy Baja",AL52="Catastrófico"),AND(AJ52="Baja",AL52="Catastrófico"),AND(AJ52="Media",AL52="Catastrófico"),AND(AJ52="Alta",AL52="Catastrófico"),AND(AJ52="Muy Alta",AL52="Catastrófico")),"Extremo","")))),"")</f>
        <v/>
      </c>
      <c r="AO52" s="195"/>
      <c r="AP52" s="186"/>
      <c r="AQ52" s="196"/>
      <c r="AR52" s="196"/>
      <c r="AS52" s="197"/>
      <c r="AT52" s="341"/>
      <c r="AU52" s="341"/>
      <c r="AV52" s="341"/>
    </row>
    <row r="53" spans="1:48" ht="37.5" hidden="1" customHeight="1" x14ac:dyDescent="0.2">
      <c r="A53" s="363"/>
      <c r="B53" s="345"/>
      <c r="C53" s="345"/>
      <c r="D53" s="366"/>
      <c r="E53" s="345"/>
      <c r="F53" s="345"/>
      <c r="G53" s="338"/>
      <c r="H53" s="338"/>
      <c r="I53" s="338"/>
      <c r="J53" s="338"/>
      <c r="K53" s="338"/>
      <c r="L53" s="338"/>
      <c r="M53" s="338"/>
      <c r="N53" s="338"/>
      <c r="O53" s="338"/>
      <c r="P53" s="338"/>
      <c r="Q53" s="338"/>
      <c r="R53" s="341"/>
      <c r="S53" s="335"/>
      <c r="T53" s="334"/>
      <c r="U53" s="324"/>
      <c r="V53" s="334">
        <f>IF(NOT(ISERROR(MATCH(U53,_xlfn.ANCHORARRAY(E64),0))),T66&amp;"Por favor no seleccionar los criterios de impacto",U53)</f>
        <v>0</v>
      </c>
      <c r="W53" s="335"/>
      <c r="X53" s="334"/>
      <c r="Y53" s="333"/>
      <c r="Z53" s="214">
        <v>5</v>
      </c>
      <c r="AA53" s="187"/>
      <c r="AB53" s="189" t="str">
        <f t="shared" si="60"/>
        <v/>
      </c>
      <c r="AC53" s="190"/>
      <c r="AD53" s="190"/>
      <c r="AE53" s="191" t="str">
        <f t="shared" si="55"/>
        <v/>
      </c>
      <c r="AF53" s="190"/>
      <c r="AG53" s="190"/>
      <c r="AH53" s="190"/>
      <c r="AI53" s="192" t="str">
        <f t="shared" si="61"/>
        <v/>
      </c>
      <c r="AJ53" s="193" t="str">
        <f t="shared" si="2"/>
        <v/>
      </c>
      <c r="AK53" s="191" t="str">
        <f t="shared" si="56"/>
        <v/>
      </c>
      <c r="AL53" s="193" t="str">
        <f t="shared" si="4"/>
        <v/>
      </c>
      <c r="AM53" s="191" t="str">
        <f t="shared" si="14"/>
        <v/>
      </c>
      <c r="AN53" s="194" t="str">
        <f t="shared" ref="AN53:AN54" si="62">IFERROR(IF(OR(AND(AJ53="Muy Baja",AL53="Leve"),AND(AJ53="Muy Baja",AL53="Menor"),AND(AJ53="Baja",AL53="Leve")),"Bajo",IF(OR(AND(AJ53="Muy baja",AL53="Moderado"),AND(AJ53="Baja",AL53="Menor"),AND(AJ53="Baja",AL53="Moderado"),AND(AJ53="Media",AL53="Leve"),AND(AJ53="Media",AL53="Menor"),AND(AJ53="Media",AL53="Moderado"),AND(AJ53="Alta",AL53="Leve"),AND(AJ53="Alta",AL53="Menor")),"Moderado",IF(OR(AND(AJ53="Muy Baja",AL53="Mayor"),AND(AJ53="Baja",AL53="Mayor"),AND(AJ53="Media",AL53="Mayor"),AND(AJ53="Alta",AL53="Moderado"),AND(AJ53="Alta",AL53="Mayor"),AND(AJ53="Muy Alta",AL53="Leve"),AND(AJ53="Muy Alta",AL53="Menor"),AND(AJ53="Muy Alta",AL53="Moderado"),AND(AJ53="Muy Alta",AL53="Mayor")),"Alto",IF(OR(AND(AJ53="Muy Baja",AL53="Catastrófico"),AND(AJ53="Baja",AL53="Catastrófico"),AND(AJ53="Media",AL53="Catastrófico"),AND(AJ53="Alta",AL53="Catastrófico"),AND(AJ53="Muy Alta",AL53="Catastrófico")),"Extremo","")))),"")</f>
        <v/>
      </c>
      <c r="AO53" s="195"/>
      <c r="AP53" s="186"/>
      <c r="AQ53" s="196"/>
      <c r="AR53" s="196"/>
      <c r="AS53" s="197"/>
      <c r="AT53" s="341"/>
      <c r="AU53" s="341"/>
      <c r="AV53" s="341"/>
    </row>
    <row r="54" spans="1:48" ht="37.5" hidden="1" customHeight="1" x14ac:dyDescent="0.2">
      <c r="A54" s="363"/>
      <c r="B54" s="345"/>
      <c r="C54" s="345"/>
      <c r="D54" s="366"/>
      <c r="E54" s="345"/>
      <c r="F54" s="345"/>
      <c r="G54" s="339"/>
      <c r="H54" s="339"/>
      <c r="I54" s="339"/>
      <c r="J54" s="339"/>
      <c r="K54" s="339"/>
      <c r="L54" s="339"/>
      <c r="M54" s="339"/>
      <c r="N54" s="339"/>
      <c r="O54" s="339"/>
      <c r="P54" s="339"/>
      <c r="Q54" s="339"/>
      <c r="R54" s="341"/>
      <c r="S54" s="335"/>
      <c r="T54" s="334"/>
      <c r="U54" s="324"/>
      <c r="V54" s="334">
        <f>IF(NOT(ISERROR(MATCH(U54,_xlfn.ANCHORARRAY(E65),0))),T67&amp;"Por favor no seleccionar los criterios de impacto",U54)</f>
        <v>0</v>
      </c>
      <c r="W54" s="335"/>
      <c r="X54" s="334"/>
      <c r="Y54" s="333"/>
      <c r="Z54" s="214">
        <v>6</v>
      </c>
      <c r="AA54" s="187"/>
      <c r="AB54" s="189" t="str">
        <f t="shared" si="60"/>
        <v/>
      </c>
      <c r="AC54" s="190"/>
      <c r="AD54" s="190"/>
      <c r="AE54" s="191" t="str">
        <f t="shared" si="55"/>
        <v/>
      </c>
      <c r="AF54" s="190"/>
      <c r="AG54" s="190"/>
      <c r="AH54" s="190"/>
      <c r="AI54" s="192" t="str">
        <f t="shared" si="61"/>
        <v/>
      </c>
      <c r="AJ54" s="193" t="str">
        <f t="shared" si="2"/>
        <v/>
      </c>
      <c r="AK54" s="191" t="str">
        <f t="shared" si="56"/>
        <v/>
      </c>
      <c r="AL54" s="193" t="str">
        <f t="shared" si="4"/>
        <v/>
      </c>
      <c r="AM54" s="191" t="str">
        <f t="shared" si="14"/>
        <v/>
      </c>
      <c r="AN54" s="194" t="str">
        <f t="shared" si="62"/>
        <v/>
      </c>
      <c r="AO54" s="195"/>
      <c r="AP54" s="186"/>
      <c r="AQ54" s="196"/>
      <c r="AR54" s="196"/>
      <c r="AS54" s="197"/>
      <c r="AT54" s="341"/>
      <c r="AU54" s="341"/>
      <c r="AV54" s="341"/>
    </row>
    <row r="55" spans="1:48" ht="37.5" hidden="1" customHeight="1" x14ac:dyDescent="0.2">
      <c r="A55" s="363">
        <v>8</v>
      </c>
      <c r="B55" s="345"/>
      <c r="C55" s="345"/>
      <c r="D55" s="345"/>
      <c r="E55" s="345"/>
      <c r="F55" s="345"/>
      <c r="G55" s="337"/>
      <c r="H55" s="337"/>
      <c r="I55" s="337"/>
      <c r="J55" s="337"/>
      <c r="K55" s="337"/>
      <c r="L55" s="337"/>
      <c r="M55" s="337"/>
      <c r="N55" s="337"/>
      <c r="O55" s="337"/>
      <c r="P55" s="337"/>
      <c r="Q55" s="337"/>
      <c r="R55" s="341"/>
      <c r="S55" s="335" t="str">
        <f>IF(R55&lt;=0,"",IF(R55&lt;=2,"Muy Baja",IF(R55&lt;=24,"Baja",IF(R55&lt;=500,"Media",IF(R55&lt;=5000,"Alta","Muy Alta")))))</f>
        <v/>
      </c>
      <c r="T55" s="334" t="str">
        <f>IF(S55="","",IF(S55="Muy Baja",0.2,IF(S55="Baja",0.4,IF(S55="Media",0.6,IF(S55="Alta",0.8,IF(S55="Muy Alta",1,))))))</f>
        <v/>
      </c>
      <c r="U55" s="324"/>
      <c r="V55" s="334">
        <f>IF(NOT(ISERROR(MATCH(U55,'Tabla Impacto'!$B$222:$B$224,0))),'Tabla Impacto'!$F$224&amp;"Por favor no seleccionar los criterios de impacto(Afectación Económica o presupuestal y Pérdida Reputacional)",U55)</f>
        <v>0</v>
      </c>
      <c r="W55" s="335" t="str">
        <f>IF(OR(V55='Tabla Impacto'!$C$12,V55='Tabla Impacto'!$D$12),"Leve",IF(OR(V55='Tabla Impacto'!$C$13,V55='Tabla Impacto'!$D$13),"Menor",IF(OR(V55='Tabla Impacto'!$C$14,V55='Tabla Impacto'!$D$14),"Moderado",IF(OR(V55='Tabla Impacto'!$C$15,V55='Tabla Impacto'!$D$15),"Mayor",IF(OR(V55='Tabla Impacto'!$C$16,V55='Tabla Impacto'!$D$16),"Catastrófico","")))))</f>
        <v/>
      </c>
      <c r="X55" s="334" t="str">
        <f>IF(W55="","",IF(W55="Leve",0.2,IF(W55="Menor",0.4,IF(W55="Moderado",0.6,IF(W55="Mayor",0.8,IF(W55="Catastrófico",1,))))))</f>
        <v/>
      </c>
      <c r="Y55" s="333" t="str">
        <f>IF(OR(AND(S55="Muy Baja",W55="Leve"),AND(S55="Muy Baja",W55="Menor"),AND(S55="Baja",W55="Leve")),"Bajo",IF(OR(AND(S55="Muy baja",W55="Moderado"),AND(S55="Baja",W55="Menor"),AND(S55="Baja",W55="Moderado"),AND(S55="Media",W55="Leve"),AND(S55="Media",W55="Menor"),AND(S55="Media",W55="Moderado"),AND(S55="Alta",W55="Leve"),AND(S55="Alta",W55="Menor")),"Moderado",IF(OR(AND(S55="Muy Baja",W55="Mayor"),AND(S55="Baja",W55="Mayor"),AND(S55="Media",W55="Mayor"),AND(S55="Alta",W55="Moderado"),AND(S55="Alta",W55="Mayor"),AND(S55="Muy Alta",W55="Leve"),AND(S55="Muy Alta",W55="Menor"),AND(S55="Muy Alta",W55="Moderado"),AND(S55="Muy Alta",W55="Mayor")),"Alto",IF(OR(AND(S55="Muy Baja",W55="Catastrófico"),AND(S55="Baja",W55="Catastrófico"),AND(S55="Media",W55="Catastrófico"),AND(S55="Alta",W55="Catastrófico"),AND(S55="Muy Alta",W55="Catastrófico")),"Extremo",""))))</f>
        <v/>
      </c>
      <c r="Z55" s="214">
        <v>1</v>
      </c>
      <c r="AA55" s="187"/>
      <c r="AB55" s="189" t="str">
        <f>IF(OR(AC55="Preventivo",AC55="Detectivo"),"Probabilidad",IF(AC55="Correctivo","Impacto",""))</f>
        <v/>
      </c>
      <c r="AC55" s="190"/>
      <c r="AD55" s="190"/>
      <c r="AE55" s="191" t="str">
        <f>IF(AND(AC55="Preventivo",AD55="Automático"),"50%",IF(AND(AC55="Preventivo",AD55="Manual"),"40%",IF(AND(AC55="Detectivo",AD55="Automático"),"40%",IF(AND(AC55="Detectivo",AD55="Manual"),"30%",IF(AND(AC55="Correctivo",AD55="Automático"),"35%",IF(AND(AC55="Correctivo",AD55="Manual"),"25%",""))))))</f>
        <v/>
      </c>
      <c r="AF55" s="190"/>
      <c r="AG55" s="190"/>
      <c r="AH55" s="190"/>
      <c r="AI55" s="192" t="str">
        <f>IFERROR(IF(AB55="Probabilidad",(T55-(+T55*AE55)),IF(AB55="Impacto",T55,"")),"")</f>
        <v/>
      </c>
      <c r="AJ55" s="193" t="str">
        <f>IFERROR(IF(AI55="","",IF(AI55&lt;=0.2,"Muy Baja",IF(AI55&lt;=0.4,"Baja",IF(AI55&lt;=0.6,"Media",IF(AI55&lt;=0.8,"Alta","Muy Alta"))))),"")</f>
        <v/>
      </c>
      <c r="AK55" s="191" t="str">
        <f>+AI55</f>
        <v/>
      </c>
      <c r="AL55" s="193" t="str">
        <f>IFERROR(IF(AM55="","",IF(AM55&lt;=0.2,"Leve",IF(AM55&lt;=0.4,"Menor",IF(AM55&lt;=0.6,"Moderado",IF(AM55&lt;=0.8,"Mayor","Catastrófico"))))),"")</f>
        <v/>
      </c>
      <c r="AM55" s="191" t="str">
        <f t="shared" ref="AM55" si="63">IFERROR(IF(AB55="Impacto",(X55-(+X55*AE55)),IF(AB55="Probabilidad",X55,"")),"")</f>
        <v/>
      </c>
      <c r="AN55" s="194" t="str">
        <f>IFERROR(IF(OR(AND(AJ55="Muy Baja",AL55="Leve"),AND(AJ55="Muy Baja",AL55="Menor"),AND(AJ55="Baja",AL55="Leve")),"Bajo",IF(OR(AND(AJ55="Muy baja",AL55="Moderado"),AND(AJ55="Baja",AL55="Menor"),AND(AJ55="Baja",AL55="Moderado"),AND(AJ55="Media",AL55="Leve"),AND(AJ55="Media",AL55="Menor"),AND(AJ55="Media",AL55="Moderado"),AND(AJ55="Alta",AL55="Leve"),AND(AJ55="Alta",AL55="Menor")),"Moderado",IF(OR(AND(AJ55="Muy Baja",AL55="Mayor"),AND(AJ55="Baja",AL55="Mayor"),AND(AJ55="Media",AL55="Mayor"),AND(AJ55="Alta",AL55="Moderado"),AND(AJ55="Alta",AL55="Mayor"),AND(AJ55="Muy Alta",AL55="Leve"),AND(AJ55="Muy Alta",AL55="Menor"),AND(AJ55="Muy Alta",AL55="Moderado"),AND(AJ55="Muy Alta",AL55="Mayor")),"Alto",IF(OR(AND(AJ55="Muy Baja",AL55="Catastrófico"),AND(AJ55="Baja",AL55="Catastrófico"),AND(AJ55="Media",AL55="Catastrófico"),AND(AJ55="Alta",AL55="Catastrófico"),AND(AJ55="Muy Alta",AL55="Catastrófico")),"Extremo","")))),"")</f>
        <v/>
      </c>
      <c r="AO55" s="195"/>
      <c r="AP55" s="186"/>
      <c r="AQ55" s="196"/>
      <c r="AR55" s="196"/>
      <c r="AS55" s="197"/>
      <c r="AT55" s="341"/>
      <c r="AU55" s="341"/>
      <c r="AV55" s="341"/>
    </row>
    <row r="56" spans="1:48" ht="37.5" hidden="1" customHeight="1" x14ac:dyDescent="0.2">
      <c r="A56" s="363"/>
      <c r="B56" s="345"/>
      <c r="C56" s="345"/>
      <c r="D56" s="345"/>
      <c r="E56" s="345"/>
      <c r="F56" s="345"/>
      <c r="G56" s="338"/>
      <c r="H56" s="338"/>
      <c r="I56" s="338"/>
      <c r="J56" s="338"/>
      <c r="K56" s="338"/>
      <c r="L56" s="338"/>
      <c r="M56" s="338"/>
      <c r="N56" s="338"/>
      <c r="O56" s="338"/>
      <c r="P56" s="338"/>
      <c r="Q56" s="338"/>
      <c r="R56" s="341"/>
      <c r="S56" s="335"/>
      <c r="T56" s="334"/>
      <c r="U56" s="324"/>
      <c r="V56" s="334">
        <f>IF(NOT(ISERROR(MATCH(U56,_xlfn.ANCHORARRAY(E67),0))),T69&amp;"Por favor no seleccionar los criterios de impacto",U56)</f>
        <v>0</v>
      </c>
      <c r="W56" s="335"/>
      <c r="X56" s="334"/>
      <c r="Y56" s="333"/>
      <c r="Z56" s="214">
        <v>2</v>
      </c>
      <c r="AA56" s="187"/>
      <c r="AB56" s="189" t="str">
        <f>IF(OR(AC56="Preventivo",AC56="Detectivo"),"Probabilidad",IF(AC56="Correctivo","Impacto",""))</f>
        <v/>
      </c>
      <c r="AC56" s="190"/>
      <c r="AD56" s="190"/>
      <c r="AE56" s="191" t="str">
        <f t="shared" ref="AE56:AE60" si="64">IF(AND(AC56="Preventivo",AD56="Automático"),"50%",IF(AND(AC56="Preventivo",AD56="Manual"),"40%",IF(AND(AC56="Detectivo",AD56="Automático"),"40%",IF(AND(AC56="Detectivo",AD56="Manual"),"30%",IF(AND(AC56="Correctivo",AD56="Automático"),"35%",IF(AND(AC56="Correctivo",AD56="Manual"),"25%",""))))))</f>
        <v/>
      </c>
      <c r="AF56" s="190"/>
      <c r="AG56" s="190"/>
      <c r="AH56" s="190"/>
      <c r="AI56" s="192" t="str">
        <f>IFERROR(IF(AND(AB55="Probabilidad",AB56="Probabilidad"),(AK55-(+AK55*AE56)),IF(AB56="Probabilidad",(T55-(+T55*AE56)),IF(AB56="Impacto",AK55,""))),"")</f>
        <v/>
      </c>
      <c r="AJ56" s="193" t="str">
        <f t="shared" si="2"/>
        <v/>
      </c>
      <c r="AK56" s="191" t="str">
        <f t="shared" ref="AK56:AK60" si="65">+AI56</f>
        <v/>
      </c>
      <c r="AL56" s="193" t="str">
        <f t="shared" si="4"/>
        <v/>
      </c>
      <c r="AM56" s="191" t="str">
        <f t="shared" ref="AM56" si="66">IFERROR(IF(AND(AB55="Impacto",AB56="Impacto"),(AM55-(+AM55*AE56)),IF(AB56="Impacto",($X$13-(+$X$13*AE56)),IF(AB56="Probabilidad",AM55,""))),"")</f>
        <v/>
      </c>
      <c r="AN56" s="194" t="str">
        <f t="shared" ref="AN56:AN57" si="67">IFERROR(IF(OR(AND(AJ56="Muy Baja",AL56="Leve"),AND(AJ56="Muy Baja",AL56="Menor"),AND(AJ56="Baja",AL56="Leve")),"Bajo",IF(OR(AND(AJ56="Muy baja",AL56="Moderado"),AND(AJ56="Baja",AL56="Menor"),AND(AJ56="Baja",AL56="Moderado"),AND(AJ56="Media",AL56="Leve"),AND(AJ56="Media",AL56="Menor"),AND(AJ56="Media",AL56="Moderado"),AND(AJ56="Alta",AL56="Leve"),AND(AJ56="Alta",AL56="Menor")),"Moderado",IF(OR(AND(AJ56="Muy Baja",AL56="Mayor"),AND(AJ56="Baja",AL56="Mayor"),AND(AJ56="Media",AL56="Mayor"),AND(AJ56="Alta",AL56="Moderado"),AND(AJ56="Alta",AL56="Mayor"),AND(AJ56="Muy Alta",AL56="Leve"),AND(AJ56="Muy Alta",AL56="Menor"),AND(AJ56="Muy Alta",AL56="Moderado"),AND(AJ56="Muy Alta",AL56="Mayor")),"Alto",IF(OR(AND(AJ56="Muy Baja",AL56="Catastrófico"),AND(AJ56="Baja",AL56="Catastrófico"),AND(AJ56="Media",AL56="Catastrófico"),AND(AJ56="Alta",AL56="Catastrófico"),AND(AJ56="Muy Alta",AL56="Catastrófico")),"Extremo","")))),"")</f>
        <v/>
      </c>
      <c r="AO56" s="195"/>
      <c r="AP56" s="186"/>
      <c r="AQ56" s="196"/>
      <c r="AR56" s="196"/>
      <c r="AS56" s="197"/>
      <c r="AT56" s="341"/>
      <c r="AU56" s="341"/>
      <c r="AV56" s="341"/>
    </row>
    <row r="57" spans="1:48" ht="37.5" hidden="1" customHeight="1" x14ac:dyDescent="0.2">
      <c r="A57" s="363"/>
      <c r="B57" s="345"/>
      <c r="C57" s="345"/>
      <c r="D57" s="345"/>
      <c r="E57" s="345"/>
      <c r="F57" s="345"/>
      <c r="G57" s="338"/>
      <c r="H57" s="338"/>
      <c r="I57" s="338"/>
      <c r="J57" s="338"/>
      <c r="K57" s="338"/>
      <c r="L57" s="338"/>
      <c r="M57" s="338"/>
      <c r="N57" s="338"/>
      <c r="O57" s="338"/>
      <c r="P57" s="338"/>
      <c r="Q57" s="338"/>
      <c r="R57" s="341"/>
      <c r="S57" s="335"/>
      <c r="T57" s="334"/>
      <c r="U57" s="324"/>
      <c r="V57" s="334">
        <f>IF(NOT(ISERROR(MATCH(U57,_xlfn.ANCHORARRAY(E68),0))),T70&amp;"Por favor no seleccionar los criterios de impacto",U57)</f>
        <v>0</v>
      </c>
      <c r="W57" s="335"/>
      <c r="X57" s="334"/>
      <c r="Y57" s="333"/>
      <c r="Z57" s="214">
        <v>3</v>
      </c>
      <c r="AA57" s="188"/>
      <c r="AB57" s="189" t="str">
        <f>IF(OR(AC57="Preventivo",AC57="Detectivo"),"Probabilidad",IF(AC57="Correctivo","Impacto",""))</f>
        <v/>
      </c>
      <c r="AC57" s="190"/>
      <c r="AD57" s="190"/>
      <c r="AE57" s="191" t="str">
        <f t="shared" si="64"/>
        <v/>
      </c>
      <c r="AF57" s="190"/>
      <c r="AG57" s="190"/>
      <c r="AH57" s="190"/>
      <c r="AI57" s="192" t="str">
        <f>IFERROR(IF(AND(AB56="Probabilidad",AB57="Probabilidad"),(AK56-(+AK56*AE57)),IF(AND(AB56="Impacto",AB57="Probabilidad"),(AK55-(+AK55*AE57)),IF(AB57="Impacto",AK56,""))),"")</f>
        <v/>
      </c>
      <c r="AJ57" s="193" t="str">
        <f t="shared" si="2"/>
        <v/>
      </c>
      <c r="AK57" s="191" t="str">
        <f t="shared" si="65"/>
        <v/>
      </c>
      <c r="AL57" s="193" t="str">
        <f t="shared" si="4"/>
        <v/>
      </c>
      <c r="AM57" s="191" t="str">
        <f t="shared" ref="AM57" si="68">IFERROR(IF(AND(AB56="Impacto",AB57="Impacto"),(AM56-(+AM56*AE57)),IF(AND(AB56="Probabilidad",AB57="Impacto"),(AM55-(+AM55*AE57)),IF(AB57="Probabilidad",AM56,""))),"")</f>
        <v/>
      </c>
      <c r="AN57" s="194" t="str">
        <f t="shared" si="67"/>
        <v/>
      </c>
      <c r="AO57" s="195"/>
      <c r="AP57" s="186"/>
      <c r="AQ57" s="196"/>
      <c r="AR57" s="196"/>
      <c r="AS57" s="197"/>
      <c r="AT57" s="341"/>
      <c r="AU57" s="341"/>
      <c r="AV57" s="341"/>
    </row>
    <row r="58" spans="1:48" ht="37.5" hidden="1" customHeight="1" x14ac:dyDescent="0.2">
      <c r="A58" s="363"/>
      <c r="B58" s="345"/>
      <c r="C58" s="345"/>
      <c r="D58" s="345"/>
      <c r="E58" s="345"/>
      <c r="F58" s="345"/>
      <c r="G58" s="338"/>
      <c r="H58" s="338"/>
      <c r="I58" s="338"/>
      <c r="J58" s="338"/>
      <c r="K58" s="338"/>
      <c r="L58" s="338"/>
      <c r="M58" s="338"/>
      <c r="N58" s="338"/>
      <c r="O58" s="338"/>
      <c r="P58" s="338"/>
      <c r="Q58" s="338"/>
      <c r="R58" s="341"/>
      <c r="S58" s="335"/>
      <c r="T58" s="334"/>
      <c r="U58" s="324"/>
      <c r="V58" s="334">
        <f>IF(NOT(ISERROR(MATCH(U58,_xlfn.ANCHORARRAY(E69),0))),T71&amp;"Por favor no seleccionar los criterios de impacto",U58)</f>
        <v>0</v>
      </c>
      <c r="W58" s="335"/>
      <c r="X58" s="334"/>
      <c r="Y58" s="333"/>
      <c r="Z58" s="214">
        <v>4</v>
      </c>
      <c r="AA58" s="187"/>
      <c r="AB58" s="189" t="str">
        <f t="shared" ref="AB58:AB60" si="69">IF(OR(AC58="Preventivo",AC58="Detectivo"),"Probabilidad",IF(AC58="Correctivo","Impacto",""))</f>
        <v/>
      </c>
      <c r="AC58" s="190"/>
      <c r="AD58" s="190"/>
      <c r="AE58" s="191" t="str">
        <f t="shared" si="64"/>
        <v/>
      </c>
      <c r="AF58" s="190"/>
      <c r="AG58" s="190"/>
      <c r="AH58" s="190"/>
      <c r="AI58" s="192" t="str">
        <f t="shared" ref="AI58:AI60" si="70">IFERROR(IF(AND(AB57="Probabilidad",AB58="Probabilidad"),(AK57-(+AK57*AE58)),IF(AND(AB57="Impacto",AB58="Probabilidad"),(AK56-(+AK56*AE58)),IF(AB58="Impacto",AK57,""))),"")</f>
        <v/>
      </c>
      <c r="AJ58" s="193" t="str">
        <f t="shared" si="2"/>
        <v/>
      </c>
      <c r="AK58" s="191" t="str">
        <f t="shared" si="65"/>
        <v/>
      </c>
      <c r="AL58" s="193" t="str">
        <f t="shared" si="4"/>
        <v/>
      </c>
      <c r="AM58" s="191" t="str">
        <f t="shared" si="14"/>
        <v/>
      </c>
      <c r="AN58" s="194" t="str">
        <f>IFERROR(IF(OR(AND(AJ58="Muy Baja",AL58="Leve"),AND(AJ58="Muy Baja",AL58="Menor"),AND(AJ58="Baja",AL58="Leve")),"Bajo",IF(OR(AND(AJ58="Muy baja",AL58="Moderado"),AND(AJ58="Baja",AL58="Menor"),AND(AJ58="Baja",AL58="Moderado"),AND(AJ58="Media",AL58="Leve"),AND(AJ58="Media",AL58="Menor"),AND(AJ58="Media",AL58="Moderado"),AND(AJ58="Alta",AL58="Leve"),AND(AJ58="Alta",AL58="Menor")),"Moderado",IF(OR(AND(AJ58="Muy Baja",AL58="Mayor"),AND(AJ58="Baja",AL58="Mayor"),AND(AJ58="Media",AL58="Mayor"),AND(AJ58="Alta",AL58="Moderado"),AND(AJ58="Alta",AL58="Mayor"),AND(AJ58="Muy Alta",AL58="Leve"),AND(AJ58="Muy Alta",AL58="Menor"),AND(AJ58="Muy Alta",AL58="Moderado"),AND(AJ58="Muy Alta",AL58="Mayor")),"Alto",IF(OR(AND(AJ58="Muy Baja",AL58="Catastrófico"),AND(AJ58="Baja",AL58="Catastrófico"),AND(AJ58="Media",AL58="Catastrófico"),AND(AJ58="Alta",AL58="Catastrófico"),AND(AJ58="Muy Alta",AL58="Catastrófico")),"Extremo","")))),"")</f>
        <v/>
      </c>
      <c r="AO58" s="195"/>
      <c r="AP58" s="186"/>
      <c r="AQ58" s="196"/>
      <c r="AR58" s="196"/>
      <c r="AS58" s="197"/>
      <c r="AT58" s="341"/>
      <c r="AU58" s="341"/>
      <c r="AV58" s="341"/>
    </row>
    <row r="59" spans="1:48" ht="37.5" hidden="1" customHeight="1" x14ac:dyDescent="0.2">
      <c r="A59" s="363"/>
      <c r="B59" s="345"/>
      <c r="C59" s="345"/>
      <c r="D59" s="345"/>
      <c r="E59" s="345"/>
      <c r="F59" s="345"/>
      <c r="G59" s="338"/>
      <c r="H59" s="338"/>
      <c r="I59" s="338"/>
      <c r="J59" s="338"/>
      <c r="K59" s="338"/>
      <c r="L59" s="338"/>
      <c r="M59" s="338"/>
      <c r="N59" s="338"/>
      <c r="O59" s="338"/>
      <c r="P59" s="338"/>
      <c r="Q59" s="338"/>
      <c r="R59" s="341"/>
      <c r="S59" s="335"/>
      <c r="T59" s="334"/>
      <c r="U59" s="324"/>
      <c r="V59" s="334">
        <f>IF(NOT(ISERROR(MATCH(U59,_xlfn.ANCHORARRAY(E70),0))),T72&amp;"Por favor no seleccionar los criterios de impacto",U59)</f>
        <v>0</v>
      </c>
      <c r="W59" s="335"/>
      <c r="X59" s="334"/>
      <c r="Y59" s="333"/>
      <c r="Z59" s="214">
        <v>5</v>
      </c>
      <c r="AA59" s="187"/>
      <c r="AB59" s="189" t="str">
        <f t="shared" si="69"/>
        <v/>
      </c>
      <c r="AC59" s="190"/>
      <c r="AD59" s="190"/>
      <c r="AE59" s="191" t="str">
        <f t="shared" si="64"/>
        <v/>
      </c>
      <c r="AF59" s="190"/>
      <c r="AG59" s="190"/>
      <c r="AH59" s="190"/>
      <c r="AI59" s="192" t="str">
        <f t="shared" si="70"/>
        <v/>
      </c>
      <c r="AJ59" s="193" t="str">
        <f t="shared" si="2"/>
        <v/>
      </c>
      <c r="AK59" s="191" t="str">
        <f t="shared" si="65"/>
        <v/>
      </c>
      <c r="AL59" s="193" t="str">
        <f t="shared" si="4"/>
        <v/>
      </c>
      <c r="AM59" s="191" t="str">
        <f t="shared" si="14"/>
        <v/>
      </c>
      <c r="AN59" s="194" t="str">
        <f t="shared" ref="AN59:AN60" si="71">IFERROR(IF(OR(AND(AJ59="Muy Baja",AL59="Leve"),AND(AJ59="Muy Baja",AL59="Menor"),AND(AJ59="Baja",AL59="Leve")),"Bajo",IF(OR(AND(AJ59="Muy baja",AL59="Moderado"),AND(AJ59="Baja",AL59="Menor"),AND(AJ59="Baja",AL59="Moderado"),AND(AJ59="Media",AL59="Leve"),AND(AJ59="Media",AL59="Menor"),AND(AJ59="Media",AL59="Moderado"),AND(AJ59="Alta",AL59="Leve"),AND(AJ59="Alta",AL59="Menor")),"Moderado",IF(OR(AND(AJ59="Muy Baja",AL59="Mayor"),AND(AJ59="Baja",AL59="Mayor"),AND(AJ59="Media",AL59="Mayor"),AND(AJ59="Alta",AL59="Moderado"),AND(AJ59="Alta",AL59="Mayor"),AND(AJ59="Muy Alta",AL59="Leve"),AND(AJ59="Muy Alta",AL59="Menor"),AND(AJ59="Muy Alta",AL59="Moderado"),AND(AJ59="Muy Alta",AL59="Mayor")),"Alto",IF(OR(AND(AJ59="Muy Baja",AL59="Catastrófico"),AND(AJ59="Baja",AL59="Catastrófico"),AND(AJ59="Media",AL59="Catastrófico"),AND(AJ59="Alta",AL59="Catastrófico"),AND(AJ59="Muy Alta",AL59="Catastrófico")),"Extremo","")))),"")</f>
        <v/>
      </c>
      <c r="AO59" s="195"/>
      <c r="AP59" s="186"/>
      <c r="AQ59" s="196"/>
      <c r="AR59" s="196"/>
      <c r="AS59" s="197"/>
      <c r="AT59" s="341"/>
      <c r="AU59" s="341"/>
      <c r="AV59" s="341"/>
    </row>
    <row r="60" spans="1:48" ht="37.5" hidden="1" customHeight="1" x14ac:dyDescent="0.2">
      <c r="A60" s="363"/>
      <c r="B60" s="345"/>
      <c r="C60" s="345"/>
      <c r="D60" s="345"/>
      <c r="E60" s="345"/>
      <c r="F60" s="345"/>
      <c r="G60" s="339"/>
      <c r="H60" s="339"/>
      <c r="I60" s="339"/>
      <c r="J60" s="339"/>
      <c r="K60" s="339"/>
      <c r="L60" s="339"/>
      <c r="M60" s="339"/>
      <c r="N60" s="339"/>
      <c r="O60" s="339"/>
      <c r="P60" s="339"/>
      <c r="Q60" s="339"/>
      <c r="R60" s="341"/>
      <c r="S60" s="335"/>
      <c r="T60" s="334"/>
      <c r="U60" s="324"/>
      <c r="V60" s="334">
        <f>IF(NOT(ISERROR(MATCH(U60,_xlfn.ANCHORARRAY(E71),0))),U73&amp;"Por favor no seleccionar los criterios de impacto",U60)</f>
        <v>0</v>
      </c>
      <c r="W60" s="335"/>
      <c r="X60" s="334"/>
      <c r="Y60" s="333"/>
      <c r="Z60" s="214">
        <v>6</v>
      </c>
      <c r="AA60" s="187"/>
      <c r="AB60" s="189" t="str">
        <f t="shared" si="69"/>
        <v/>
      </c>
      <c r="AC60" s="190"/>
      <c r="AD60" s="190"/>
      <c r="AE60" s="191" t="str">
        <f t="shared" si="64"/>
        <v/>
      </c>
      <c r="AF60" s="190"/>
      <c r="AG60" s="190"/>
      <c r="AH60" s="190"/>
      <c r="AI60" s="192" t="str">
        <f t="shared" si="70"/>
        <v/>
      </c>
      <c r="AJ60" s="193" t="str">
        <f t="shared" si="2"/>
        <v/>
      </c>
      <c r="AK60" s="191" t="str">
        <f t="shared" si="65"/>
        <v/>
      </c>
      <c r="AL60" s="193" t="str">
        <f t="shared" si="4"/>
        <v/>
      </c>
      <c r="AM60" s="191" t="str">
        <f t="shared" si="14"/>
        <v/>
      </c>
      <c r="AN60" s="194" t="str">
        <f t="shared" si="71"/>
        <v/>
      </c>
      <c r="AO60" s="195"/>
      <c r="AP60" s="186"/>
      <c r="AQ60" s="196"/>
      <c r="AR60" s="196"/>
      <c r="AS60" s="197"/>
      <c r="AT60" s="341"/>
      <c r="AU60" s="341"/>
      <c r="AV60" s="341"/>
    </row>
    <row r="61" spans="1:48" ht="37.5" hidden="1" customHeight="1" x14ac:dyDescent="0.2">
      <c r="A61" s="363">
        <v>9</v>
      </c>
      <c r="B61" s="345"/>
      <c r="C61" s="345"/>
      <c r="D61" s="345"/>
      <c r="E61" s="345"/>
      <c r="F61" s="345"/>
      <c r="G61" s="337"/>
      <c r="H61" s="337"/>
      <c r="I61" s="337"/>
      <c r="J61" s="337"/>
      <c r="K61" s="337"/>
      <c r="L61" s="337"/>
      <c r="M61" s="221"/>
      <c r="N61" s="221"/>
      <c r="O61" s="221"/>
      <c r="P61" s="337"/>
      <c r="Q61" s="337"/>
      <c r="R61" s="341"/>
      <c r="S61" s="335" t="str">
        <f>IF(R61&lt;=0,"",IF(R61&lt;=2,"Muy Baja",IF(R61&lt;=24,"Baja",IF(R61&lt;=500,"Media",IF(R61&lt;=5000,"Alta","Muy Alta")))))</f>
        <v/>
      </c>
      <c r="T61" s="334" t="str">
        <f>IF(S61="","",IF(S61="Muy Baja",0.2,IF(S61="Baja",0.4,IF(S61="Media",0.6,IF(S61="Alta",0.8,IF(S61="Muy Alta",1,))))))</f>
        <v/>
      </c>
      <c r="U61" s="324"/>
      <c r="V61" s="334">
        <f>IF(NOT(ISERROR(MATCH(U61,'Tabla Impacto'!$B$222:$B$224,0))),'Tabla Impacto'!$F$224&amp;"Por favor no seleccionar los criterios de impacto(Afectación Económica o presupuestal y Pérdida Reputacional)",U61)</f>
        <v>0</v>
      </c>
      <c r="W61" s="335" t="str">
        <f>IF(OR(V61='Tabla Impacto'!$C$12,V61='Tabla Impacto'!$D$12),"Leve",IF(OR(V61='Tabla Impacto'!$C$13,V61='Tabla Impacto'!$D$13),"Menor",IF(OR(V61='Tabla Impacto'!$C$14,V61='Tabla Impacto'!$D$14),"Moderado",IF(OR(V61='Tabla Impacto'!$C$15,V61='Tabla Impacto'!$D$15),"Mayor",IF(OR(V61='Tabla Impacto'!$C$16,V61='Tabla Impacto'!$D$16),"Catastrófico","")))))</f>
        <v/>
      </c>
      <c r="X61" s="334" t="str">
        <f>IF(W61="","",IF(W61="Leve",0.2,IF(W61="Menor",0.4,IF(W61="Moderado",0.6,IF(W61="Mayor",0.8,IF(W61="Catastrófico",1,))))))</f>
        <v/>
      </c>
      <c r="Y61" s="333" t="str">
        <f>IF(OR(AND(S61="Muy Baja",W61="Leve"),AND(S61="Muy Baja",W61="Menor"),AND(S61="Baja",W61="Leve")),"Bajo",IF(OR(AND(S61="Muy baja",W61="Moderado"),AND(S61="Baja",W61="Menor"),AND(S61="Baja",W61="Moderado"),AND(S61="Media",W61="Leve"),AND(S61="Media",W61="Menor"),AND(S61="Media",W61="Moderado"),AND(S61="Alta",W61="Leve"),AND(S61="Alta",W61="Menor")),"Moderado",IF(OR(AND(S61="Muy Baja",W61="Mayor"),AND(S61="Baja",W61="Mayor"),AND(S61="Media",W61="Mayor"),AND(S61="Alta",W61="Moderado"),AND(S61="Alta",W61="Mayor"),AND(S61="Muy Alta",W61="Leve"),AND(S61="Muy Alta",W61="Menor"),AND(S61="Muy Alta",W61="Moderado"),AND(S61="Muy Alta",W61="Mayor")),"Alto",IF(OR(AND(S61="Muy Baja",W61="Catastrófico"),AND(S61="Baja",W61="Catastrófico"),AND(S61="Media",W61="Catastrófico"),AND(S61="Alta",W61="Catastrófico"),AND(S61="Muy Alta",W61="Catastrófico")),"Extremo",""))))</f>
        <v/>
      </c>
      <c r="Z61" s="214">
        <v>1</v>
      </c>
      <c r="AA61" s="187"/>
      <c r="AB61" s="189" t="str">
        <f>IF(OR(AC61="Preventivo",AC61="Detectivo"),"Probabilidad",IF(AC61="Correctivo","Impacto",""))</f>
        <v/>
      </c>
      <c r="AC61" s="190"/>
      <c r="AD61" s="190"/>
      <c r="AE61" s="191" t="str">
        <f>IF(AND(AC61="Preventivo",AD61="Automático"),"50%",IF(AND(AC61="Preventivo",AD61="Manual"),"40%",IF(AND(AC61="Detectivo",AD61="Automático"),"40%",IF(AND(AC61="Detectivo",AD61="Manual"),"30%",IF(AND(AC61="Correctivo",AD61="Automático"),"35%",IF(AND(AC61="Correctivo",AD61="Manual"),"25%",""))))))</f>
        <v/>
      </c>
      <c r="AF61" s="190"/>
      <c r="AG61" s="190"/>
      <c r="AH61" s="190"/>
      <c r="AI61" s="192" t="str">
        <f>IFERROR(IF(AB61="Probabilidad",(T61-(+T61*AE61)),IF(AB61="Impacto",T61,"")),"")</f>
        <v/>
      </c>
      <c r="AJ61" s="193" t="str">
        <f>IFERROR(IF(AI61="","",IF(AI61&lt;=0.2,"Muy Baja",IF(AI61&lt;=0.4,"Baja",IF(AI61&lt;=0.6,"Media",IF(AI61&lt;=0.8,"Alta","Muy Alta"))))),"")</f>
        <v/>
      </c>
      <c r="AK61" s="191" t="str">
        <f>+AI61</f>
        <v/>
      </c>
      <c r="AL61" s="193" t="str">
        <f>IFERROR(IF(AM61="","",IF(AM61&lt;=0.2,"Leve",IF(AM61&lt;=0.4,"Menor",IF(AM61&lt;=0.6,"Moderado",IF(AM61&lt;=0.8,"Mayor","Catastrófico"))))),"")</f>
        <v/>
      </c>
      <c r="AM61" s="191" t="str">
        <f t="shared" ref="AM61" si="72">IFERROR(IF(AB61="Impacto",(X61-(+X61*AE61)),IF(AB61="Probabilidad",X61,"")),"")</f>
        <v/>
      </c>
      <c r="AN61" s="194" t="str">
        <f>IFERROR(IF(OR(AND(AJ61="Muy Baja",AL61="Leve"),AND(AJ61="Muy Baja",AL61="Menor"),AND(AJ61="Baja",AL61="Leve")),"Bajo",IF(OR(AND(AJ61="Muy baja",AL61="Moderado"),AND(AJ61="Baja",AL61="Menor"),AND(AJ61="Baja",AL61="Moderado"),AND(AJ61="Media",AL61="Leve"),AND(AJ61="Media",AL61="Menor"),AND(AJ61="Media",AL61="Moderado"),AND(AJ61="Alta",AL61="Leve"),AND(AJ61="Alta",AL61="Menor")),"Moderado",IF(OR(AND(AJ61="Muy Baja",AL61="Mayor"),AND(AJ61="Baja",AL61="Mayor"),AND(AJ61="Media",AL61="Mayor"),AND(AJ61="Alta",AL61="Moderado"),AND(AJ61="Alta",AL61="Mayor"),AND(AJ61="Muy Alta",AL61="Leve"),AND(AJ61="Muy Alta",AL61="Menor"),AND(AJ61="Muy Alta",AL61="Moderado"),AND(AJ61="Muy Alta",AL61="Mayor")),"Alto",IF(OR(AND(AJ61="Muy Baja",AL61="Catastrófico"),AND(AJ61="Baja",AL61="Catastrófico"),AND(AJ61="Media",AL61="Catastrófico"),AND(AJ61="Alta",AL61="Catastrófico"),AND(AJ61="Muy Alta",AL61="Catastrófico")),"Extremo","")))),"")</f>
        <v/>
      </c>
      <c r="AO61" s="195"/>
      <c r="AP61" s="186"/>
      <c r="AQ61" s="196"/>
      <c r="AR61" s="196"/>
      <c r="AS61" s="197"/>
      <c r="AT61" s="341"/>
      <c r="AU61" s="341"/>
      <c r="AV61" s="341"/>
    </row>
    <row r="62" spans="1:48" ht="37.5" hidden="1" customHeight="1" x14ac:dyDescent="0.2">
      <c r="A62" s="363"/>
      <c r="B62" s="345"/>
      <c r="C62" s="345"/>
      <c r="D62" s="345"/>
      <c r="E62" s="345"/>
      <c r="F62" s="345"/>
      <c r="G62" s="338"/>
      <c r="H62" s="338"/>
      <c r="I62" s="338"/>
      <c r="J62" s="338"/>
      <c r="K62" s="338"/>
      <c r="L62" s="338"/>
      <c r="M62" s="222"/>
      <c r="N62" s="222"/>
      <c r="O62" s="222"/>
      <c r="P62" s="338"/>
      <c r="Q62" s="338"/>
      <c r="R62" s="341"/>
      <c r="S62" s="335"/>
      <c r="T62" s="334"/>
      <c r="U62" s="324"/>
      <c r="V62" s="334">
        <f>IF(NOT(ISERROR(MATCH(U62,_xlfn.ANCHORARRAY(F73),0))),U75&amp;"Por favor no seleccionar los criterios de impacto",U62)</f>
        <v>0</v>
      </c>
      <c r="W62" s="335"/>
      <c r="X62" s="334"/>
      <c r="Y62" s="333"/>
      <c r="Z62" s="214">
        <v>2</v>
      </c>
      <c r="AA62" s="187"/>
      <c r="AB62" s="189" t="str">
        <f>IF(OR(AC62="Preventivo",AC62="Detectivo"),"Probabilidad",IF(AC62="Correctivo","Impacto",""))</f>
        <v/>
      </c>
      <c r="AC62" s="190"/>
      <c r="AD62" s="190"/>
      <c r="AE62" s="191" t="str">
        <f t="shared" ref="AE62:AE66" si="73">IF(AND(AC62="Preventivo",AD62="Automático"),"50%",IF(AND(AC62="Preventivo",AD62="Manual"),"40%",IF(AND(AC62="Detectivo",AD62="Automático"),"40%",IF(AND(AC62="Detectivo",AD62="Manual"),"30%",IF(AND(AC62="Correctivo",AD62="Automático"),"35%",IF(AND(AC62="Correctivo",AD62="Manual"),"25%",""))))))</f>
        <v/>
      </c>
      <c r="AF62" s="190"/>
      <c r="AG62" s="190"/>
      <c r="AH62" s="190"/>
      <c r="AI62" s="192" t="str">
        <f>IFERROR(IF(AND(AB61="Probabilidad",AB62="Probabilidad"),(AK61-(+AK61*AE62)),IF(AB62="Probabilidad",(T61-(+T61*AE62)),IF(AB62="Impacto",AK61,""))),"")</f>
        <v/>
      </c>
      <c r="AJ62" s="193" t="str">
        <f t="shared" si="2"/>
        <v/>
      </c>
      <c r="AK62" s="191" t="str">
        <f t="shared" ref="AK62:AK66" si="74">+AI62</f>
        <v/>
      </c>
      <c r="AL62" s="193" t="str">
        <f t="shared" si="4"/>
        <v/>
      </c>
      <c r="AM62" s="191" t="str">
        <f t="shared" ref="AM62" si="75">IFERROR(IF(AND(AB61="Impacto",AB62="Impacto"),(AM61-(+AM61*AE62)),IF(AB62="Impacto",($X$13-(+$X$13*AE62)),IF(AB62="Probabilidad",AM61,""))),"")</f>
        <v/>
      </c>
      <c r="AN62" s="194" t="str">
        <f t="shared" ref="AN62:AN63" si="76">IFERROR(IF(OR(AND(AJ62="Muy Baja",AL62="Leve"),AND(AJ62="Muy Baja",AL62="Menor"),AND(AJ62="Baja",AL62="Leve")),"Bajo",IF(OR(AND(AJ62="Muy baja",AL62="Moderado"),AND(AJ62="Baja",AL62="Menor"),AND(AJ62="Baja",AL62="Moderado"),AND(AJ62="Media",AL62="Leve"),AND(AJ62="Media",AL62="Menor"),AND(AJ62="Media",AL62="Moderado"),AND(AJ62="Alta",AL62="Leve"),AND(AJ62="Alta",AL62="Menor")),"Moderado",IF(OR(AND(AJ62="Muy Baja",AL62="Mayor"),AND(AJ62="Baja",AL62="Mayor"),AND(AJ62="Media",AL62="Mayor"),AND(AJ62="Alta",AL62="Moderado"),AND(AJ62="Alta",AL62="Mayor"),AND(AJ62="Muy Alta",AL62="Leve"),AND(AJ62="Muy Alta",AL62="Menor"),AND(AJ62="Muy Alta",AL62="Moderado"),AND(AJ62="Muy Alta",AL62="Mayor")),"Alto",IF(OR(AND(AJ62="Muy Baja",AL62="Catastrófico"),AND(AJ62="Baja",AL62="Catastrófico"),AND(AJ62="Media",AL62="Catastrófico"),AND(AJ62="Alta",AL62="Catastrófico"),AND(AJ62="Muy Alta",AL62="Catastrófico")),"Extremo","")))),"")</f>
        <v/>
      </c>
      <c r="AO62" s="195"/>
      <c r="AP62" s="186"/>
      <c r="AQ62" s="196"/>
      <c r="AR62" s="196"/>
      <c r="AS62" s="197"/>
      <c r="AT62" s="341"/>
      <c r="AU62" s="341"/>
      <c r="AV62" s="341"/>
    </row>
    <row r="63" spans="1:48" ht="37.5" hidden="1" customHeight="1" x14ac:dyDescent="0.2">
      <c r="A63" s="363"/>
      <c r="B63" s="345"/>
      <c r="C63" s="345"/>
      <c r="D63" s="345"/>
      <c r="E63" s="345"/>
      <c r="F63" s="345"/>
      <c r="G63" s="338"/>
      <c r="H63" s="338"/>
      <c r="I63" s="338"/>
      <c r="J63" s="338"/>
      <c r="K63" s="338"/>
      <c r="L63" s="338"/>
      <c r="M63" s="222"/>
      <c r="N63" s="222"/>
      <c r="O63" s="222"/>
      <c r="P63" s="338"/>
      <c r="Q63" s="338"/>
      <c r="R63" s="341"/>
      <c r="S63" s="335"/>
      <c r="T63" s="334"/>
      <c r="U63" s="324"/>
      <c r="V63" s="334">
        <f>IF(NOT(ISERROR(MATCH(U63,_xlfn.ANCHORARRAY(F74),0))),U76&amp;"Por favor no seleccionar los criterios de impacto",U63)</f>
        <v>0</v>
      </c>
      <c r="W63" s="335"/>
      <c r="X63" s="334"/>
      <c r="Y63" s="333"/>
      <c r="Z63" s="214">
        <v>3</v>
      </c>
      <c r="AA63" s="187"/>
      <c r="AB63" s="189" t="str">
        <f>IF(OR(AC63="Preventivo",AC63="Detectivo"),"Probabilidad",IF(AC63="Correctivo","Impacto",""))</f>
        <v/>
      </c>
      <c r="AC63" s="190"/>
      <c r="AD63" s="190"/>
      <c r="AE63" s="191" t="str">
        <f t="shared" si="73"/>
        <v/>
      </c>
      <c r="AF63" s="190"/>
      <c r="AG63" s="190"/>
      <c r="AH63" s="190"/>
      <c r="AI63" s="192" t="str">
        <f>IFERROR(IF(AND(AB62="Probabilidad",AB63="Probabilidad"),(AK62-(+AK62*AE63)),IF(AND(AB62="Impacto",AB63="Probabilidad"),(AK61-(+AK61*AE63)),IF(AB63="Impacto",AK62,""))),"")</f>
        <v/>
      </c>
      <c r="AJ63" s="193" t="str">
        <f t="shared" si="2"/>
        <v/>
      </c>
      <c r="AK63" s="191" t="str">
        <f t="shared" si="74"/>
        <v/>
      </c>
      <c r="AL63" s="193" t="str">
        <f t="shared" si="4"/>
        <v/>
      </c>
      <c r="AM63" s="191" t="str">
        <f t="shared" ref="AM63" si="77">IFERROR(IF(AND(AB62="Impacto",AB63="Impacto"),(AM62-(+AM62*AE63)),IF(AND(AB62="Probabilidad",AB63="Impacto"),(AM61-(+AM61*AE63)),IF(AB63="Probabilidad",AM62,""))),"")</f>
        <v/>
      </c>
      <c r="AN63" s="194" t="str">
        <f t="shared" si="76"/>
        <v/>
      </c>
      <c r="AO63" s="195"/>
      <c r="AP63" s="186"/>
      <c r="AQ63" s="196"/>
      <c r="AR63" s="196"/>
      <c r="AS63" s="197"/>
      <c r="AT63" s="341"/>
      <c r="AU63" s="341"/>
      <c r="AV63" s="341"/>
    </row>
    <row r="64" spans="1:48" ht="37.5" hidden="1" customHeight="1" x14ac:dyDescent="0.2">
      <c r="A64" s="363"/>
      <c r="B64" s="345"/>
      <c r="C64" s="345"/>
      <c r="D64" s="345"/>
      <c r="E64" s="345"/>
      <c r="F64" s="345"/>
      <c r="G64" s="338"/>
      <c r="H64" s="338"/>
      <c r="I64" s="338"/>
      <c r="J64" s="338"/>
      <c r="K64" s="338"/>
      <c r="L64" s="338"/>
      <c r="M64" s="222"/>
      <c r="N64" s="222"/>
      <c r="O64" s="222"/>
      <c r="P64" s="338"/>
      <c r="Q64" s="338"/>
      <c r="R64" s="341"/>
      <c r="S64" s="335"/>
      <c r="T64" s="334"/>
      <c r="U64" s="324"/>
      <c r="V64" s="334">
        <f>IF(NOT(ISERROR(MATCH(U64,_xlfn.ANCHORARRAY(F75),0))),U77&amp;"Por favor no seleccionar los criterios de impacto",U64)</f>
        <v>0</v>
      </c>
      <c r="W64" s="335"/>
      <c r="X64" s="334"/>
      <c r="Y64" s="333"/>
      <c r="Z64" s="214">
        <v>4</v>
      </c>
      <c r="AA64" s="187"/>
      <c r="AB64" s="189" t="str">
        <f t="shared" ref="AB64:AB66" si="78">IF(OR(AC64="Preventivo",AC64="Detectivo"),"Probabilidad",IF(AC64="Correctivo","Impacto",""))</f>
        <v/>
      </c>
      <c r="AC64" s="190"/>
      <c r="AD64" s="190"/>
      <c r="AE64" s="191" t="str">
        <f t="shared" si="73"/>
        <v/>
      </c>
      <c r="AF64" s="190"/>
      <c r="AG64" s="190"/>
      <c r="AH64" s="190"/>
      <c r="AI64" s="192" t="str">
        <f t="shared" ref="AI64:AI66" si="79">IFERROR(IF(AND(AB63="Probabilidad",AB64="Probabilidad"),(AK63-(+AK63*AE64)),IF(AND(AB63="Impacto",AB64="Probabilidad"),(AK62-(+AK62*AE64)),IF(AB64="Impacto",AK63,""))),"")</f>
        <v/>
      </c>
      <c r="AJ64" s="193" t="str">
        <f t="shared" si="2"/>
        <v/>
      </c>
      <c r="AK64" s="191" t="str">
        <f t="shared" si="74"/>
        <v/>
      </c>
      <c r="AL64" s="193" t="str">
        <f t="shared" si="4"/>
        <v/>
      </c>
      <c r="AM64" s="191" t="str">
        <f t="shared" si="14"/>
        <v/>
      </c>
      <c r="AN64" s="194" t="str">
        <f>IFERROR(IF(OR(AND(AJ64="Muy Baja",AL64="Leve"),AND(AJ64="Muy Baja",AL64="Menor"),AND(AJ64="Baja",AL64="Leve")),"Bajo",IF(OR(AND(AJ64="Muy baja",AL64="Moderado"),AND(AJ64="Baja",AL64="Menor"),AND(AJ64="Baja",AL64="Moderado"),AND(AJ64="Media",AL64="Leve"),AND(AJ64="Media",AL64="Menor"),AND(AJ64="Media",AL64="Moderado"),AND(AJ64="Alta",AL64="Leve"),AND(AJ64="Alta",AL64="Menor")),"Moderado",IF(OR(AND(AJ64="Muy Baja",AL64="Mayor"),AND(AJ64="Baja",AL64="Mayor"),AND(AJ64="Media",AL64="Mayor"),AND(AJ64="Alta",AL64="Moderado"),AND(AJ64="Alta",AL64="Mayor"),AND(AJ64="Muy Alta",AL64="Leve"),AND(AJ64="Muy Alta",AL64="Menor"),AND(AJ64="Muy Alta",AL64="Moderado"),AND(AJ64="Muy Alta",AL64="Mayor")),"Alto",IF(OR(AND(AJ64="Muy Baja",AL64="Catastrófico"),AND(AJ64="Baja",AL64="Catastrófico"),AND(AJ64="Media",AL64="Catastrófico"),AND(AJ64="Alta",AL64="Catastrófico"),AND(AJ64="Muy Alta",AL64="Catastrófico")),"Extremo","")))),"")</f>
        <v/>
      </c>
      <c r="AO64" s="195"/>
      <c r="AP64" s="186"/>
      <c r="AQ64" s="196"/>
      <c r="AR64" s="196"/>
      <c r="AS64" s="197"/>
      <c r="AT64" s="341"/>
      <c r="AU64" s="341"/>
      <c r="AV64" s="341"/>
    </row>
    <row r="65" spans="1:48" ht="37.5" hidden="1" customHeight="1" x14ac:dyDescent="0.2">
      <c r="A65" s="363"/>
      <c r="B65" s="345"/>
      <c r="C65" s="345"/>
      <c r="D65" s="345"/>
      <c r="E65" s="345"/>
      <c r="F65" s="345"/>
      <c r="G65" s="338"/>
      <c r="H65" s="338"/>
      <c r="I65" s="338"/>
      <c r="J65" s="338"/>
      <c r="K65" s="338"/>
      <c r="L65" s="338"/>
      <c r="M65" s="222"/>
      <c r="N65" s="222"/>
      <c r="O65" s="222"/>
      <c r="P65" s="338"/>
      <c r="Q65" s="338"/>
      <c r="R65" s="341"/>
      <c r="S65" s="335"/>
      <c r="T65" s="334"/>
      <c r="U65" s="324"/>
      <c r="V65" s="334">
        <f>IF(NOT(ISERROR(MATCH(U65,_xlfn.ANCHORARRAY(F76),0))),U78&amp;"Por favor no seleccionar los criterios de impacto",U65)</f>
        <v>0</v>
      </c>
      <c r="W65" s="335"/>
      <c r="X65" s="334"/>
      <c r="Y65" s="333"/>
      <c r="Z65" s="214">
        <v>5</v>
      </c>
      <c r="AA65" s="187"/>
      <c r="AB65" s="189" t="str">
        <f t="shared" si="78"/>
        <v/>
      </c>
      <c r="AC65" s="190"/>
      <c r="AD65" s="190"/>
      <c r="AE65" s="191" t="str">
        <f t="shared" si="73"/>
        <v/>
      </c>
      <c r="AF65" s="190"/>
      <c r="AG65" s="190"/>
      <c r="AH65" s="190"/>
      <c r="AI65" s="192" t="str">
        <f t="shared" si="79"/>
        <v/>
      </c>
      <c r="AJ65" s="193" t="str">
        <f t="shared" si="2"/>
        <v/>
      </c>
      <c r="AK65" s="191" t="str">
        <f t="shared" si="74"/>
        <v/>
      </c>
      <c r="AL65" s="193" t="str">
        <f t="shared" si="4"/>
        <v/>
      </c>
      <c r="AM65" s="191" t="str">
        <f t="shared" si="14"/>
        <v/>
      </c>
      <c r="AN65" s="194" t="str">
        <f t="shared" ref="AN65:AN66" si="80">IFERROR(IF(OR(AND(AJ65="Muy Baja",AL65="Leve"),AND(AJ65="Muy Baja",AL65="Menor"),AND(AJ65="Baja",AL65="Leve")),"Bajo",IF(OR(AND(AJ65="Muy baja",AL65="Moderado"),AND(AJ65="Baja",AL65="Menor"),AND(AJ65="Baja",AL65="Moderado"),AND(AJ65="Media",AL65="Leve"),AND(AJ65="Media",AL65="Menor"),AND(AJ65="Media",AL65="Moderado"),AND(AJ65="Alta",AL65="Leve"),AND(AJ65="Alta",AL65="Menor")),"Moderado",IF(OR(AND(AJ65="Muy Baja",AL65="Mayor"),AND(AJ65="Baja",AL65="Mayor"),AND(AJ65="Media",AL65="Mayor"),AND(AJ65="Alta",AL65="Moderado"),AND(AJ65="Alta",AL65="Mayor"),AND(AJ65="Muy Alta",AL65="Leve"),AND(AJ65="Muy Alta",AL65="Menor"),AND(AJ65="Muy Alta",AL65="Moderado"),AND(AJ65="Muy Alta",AL65="Mayor")),"Alto",IF(OR(AND(AJ65="Muy Baja",AL65="Catastrófico"),AND(AJ65="Baja",AL65="Catastrófico"),AND(AJ65="Media",AL65="Catastrófico"),AND(AJ65="Alta",AL65="Catastrófico"),AND(AJ65="Muy Alta",AL65="Catastrófico")),"Extremo","")))),"")</f>
        <v/>
      </c>
      <c r="AO65" s="195"/>
      <c r="AP65" s="186"/>
      <c r="AQ65" s="196"/>
      <c r="AR65" s="196"/>
      <c r="AS65" s="197"/>
      <c r="AT65" s="341"/>
      <c r="AU65" s="341"/>
      <c r="AV65" s="341"/>
    </row>
    <row r="66" spans="1:48" ht="37.5" hidden="1" customHeight="1" x14ac:dyDescent="0.2">
      <c r="A66" s="363"/>
      <c r="B66" s="345"/>
      <c r="C66" s="345"/>
      <c r="D66" s="345"/>
      <c r="E66" s="345"/>
      <c r="F66" s="345"/>
      <c r="G66" s="339"/>
      <c r="H66" s="339"/>
      <c r="I66" s="339"/>
      <c r="J66" s="339"/>
      <c r="K66" s="339"/>
      <c r="L66" s="339"/>
      <c r="M66" s="223"/>
      <c r="N66" s="223"/>
      <c r="O66" s="223"/>
      <c r="P66" s="339"/>
      <c r="Q66" s="339"/>
      <c r="R66" s="341"/>
      <c r="S66" s="335"/>
      <c r="T66" s="334"/>
      <c r="U66" s="324"/>
      <c r="V66" s="334">
        <f>IF(NOT(ISERROR(MATCH(U66,_xlfn.ANCHORARRAY(F77),0))),U79&amp;"Por favor no seleccionar los criterios de impacto",U66)</f>
        <v>0</v>
      </c>
      <c r="W66" s="335"/>
      <c r="X66" s="334"/>
      <c r="Y66" s="333"/>
      <c r="Z66" s="214">
        <v>6</v>
      </c>
      <c r="AA66" s="187"/>
      <c r="AB66" s="189" t="str">
        <f t="shared" si="78"/>
        <v/>
      </c>
      <c r="AC66" s="190"/>
      <c r="AD66" s="190"/>
      <c r="AE66" s="191" t="str">
        <f t="shared" si="73"/>
        <v/>
      </c>
      <c r="AF66" s="190"/>
      <c r="AG66" s="190"/>
      <c r="AH66" s="190"/>
      <c r="AI66" s="192" t="str">
        <f t="shared" si="79"/>
        <v/>
      </c>
      <c r="AJ66" s="193" t="str">
        <f t="shared" si="2"/>
        <v/>
      </c>
      <c r="AK66" s="191" t="str">
        <f t="shared" si="74"/>
        <v/>
      </c>
      <c r="AL66" s="193" t="str">
        <f t="shared" si="4"/>
        <v/>
      </c>
      <c r="AM66" s="191" t="str">
        <f t="shared" si="14"/>
        <v/>
      </c>
      <c r="AN66" s="194" t="str">
        <f t="shared" si="80"/>
        <v/>
      </c>
      <c r="AO66" s="195"/>
      <c r="AP66" s="186"/>
      <c r="AQ66" s="196"/>
      <c r="AR66" s="196"/>
      <c r="AS66" s="197"/>
      <c r="AT66" s="341"/>
      <c r="AU66" s="341"/>
      <c r="AV66" s="341"/>
    </row>
    <row r="67" spans="1:48" ht="37.5" hidden="1" customHeight="1" x14ac:dyDescent="0.2">
      <c r="A67" s="363">
        <v>10</v>
      </c>
      <c r="B67" s="345"/>
      <c r="C67" s="345"/>
      <c r="D67" s="345"/>
      <c r="E67" s="345"/>
      <c r="F67" s="345"/>
      <c r="G67" s="337"/>
      <c r="H67" s="337"/>
      <c r="I67" s="337"/>
      <c r="J67" s="337"/>
      <c r="K67" s="337"/>
      <c r="L67" s="337"/>
      <c r="M67" s="221"/>
      <c r="N67" s="221"/>
      <c r="O67" s="221"/>
      <c r="P67" s="337"/>
      <c r="Q67" s="337"/>
      <c r="R67" s="341"/>
      <c r="S67" s="335" t="str">
        <f>IF(R67&lt;=0,"",IF(R67&lt;=2,"Muy Baja",IF(R67&lt;=24,"Baja",IF(R67&lt;=500,"Media",IF(R67&lt;=5000,"Alta","Muy Alta")))))</f>
        <v/>
      </c>
      <c r="T67" s="334" t="str">
        <f>IF(S67="","",IF(S67="Muy Baja",0.2,IF(S67="Baja",0.4,IF(S67="Media",0.6,IF(S67="Alta",0.8,IF(S67="Muy Alta",1,))))))</f>
        <v/>
      </c>
      <c r="U67" s="324"/>
      <c r="V67" s="334">
        <f>IF(NOT(ISERROR(MATCH(U67,'Tabla Impacto'!$B$222:$B$224,0))),'Tabla Impacto'!$F$224&amp;"Por favor no seleccionar los criterios de impacto(Afectación Económica o presupuestal y Pérdida Reputacional)",U67)</f>
        <v>0</v>
      </c>
      <c r="W67" s="335" t="str">
        <f>IF(OR(V67='Tabla Impacto'!$C$12,V67='Tabla Impacto'!$D$12),"Leve",IF(OR(V67='Tabla Impacto'!$C$13,V67='Tabla Impacto'!$D$13),"Menor",IF(OR(V67='Tabla Impacto'!$C$14,V67='Tabla Impacto'!$D$14),"Moderado",IF(OR(V67='Tabla Impacto'!$C$15,V67='Tabla Impacto'!$D$15),"Mayor",IF(OR(V67='Tabla Impacto'!$C$16,V67='Tabla Impacto'!$D$16),"Catastrófico","")))))</f>
        <v/>
      </c>
      <c r="X67" s="334" t="str">
        <f>IF(W67="","",IF(W67="Leve",0.2,IF(W67="Menor",0.4,IF(W67="Moderado",0.6,IF(W67="Mayor",0.8,IF(W67="Catastrófico",1,))))))</f>
        <v/>
      </c>
      <c r="Y67" s="333" t="str">
        <f>IF(OR(AND(S67="Muy Baja",W67="Leve"),AND(S67="Muy Baja",W67="Menor"),AND(S67="Baja",W67="Leve")),"Bajo",IF(OR(AND(S67="Muy baja",W67="Moderado"),AND(S67="Baja",W67="Menor"),AND(S67="Baja",W67="Moderado"),AND(S67="Media",W67="Leve"),AND(S67="Media",W67="Menor"),AND(S67="Media",W67="Moderado"),AND(S67="Alta",W67="Leve"),AND(S67="Alta",W67="Menor")),"Moderado",IF(OR(AND(S67="Muy Baja",W67="Mayor"),AND(S67="Baja",W67="Mayor"),AND(S67="Media",W67="Mayor"),AND(S67="Alta",W67="Moderado"),AND(S67="Alta",W67="Mayor"),AND(S67="Muy Alta",W67="Leve"),AND(S67="Muy Alta",W67="Menor"),AND(S67="Muy Alta",W67="Moderado"),AND(S67="Muy Alta",W67="Mayor")),"Alto",IF(OR(AND(S67="Muy Baja",W67="Catastrófico"),AND(S67="Baja",W67="Catastrófico"),AND(S67="Media",W67="Catastrófico"),AND(S67="Alta",W67="Catastrófico"),AND(S67="Muy Alta",W67="Catastrófico")),"Extremo",""))))</f>
        <v/>
      </c>
      <c r="Z67" s="214">
        <v>1</v>
      </c>
      <c r="AA67" s="187"/>
      <c r="AB67" s="189" t="str">
        <f>IF(OR(AC67="Preventivo",AC67="Detectivo"),"Probabilidad",IF(AC67="Correctivo","Impacto",""))</f>
        <v/>
      </c>
      <c r="AC67" s="190"/>
      <c r="AD67" s="190"/>
      <c r="AE67" s="191" t="str">
        <f>IF(AND(AC67="Preventivo",AD67="Automático"),"50%",IF(AND(AC67="Preventivo",AD67="Manual"),"40%",IF(AND(AC67="Detectivo",AD67="Automático"),"40%",IF(AND(AC67="Detectivo",AD67="Manual"),"30%",IF(AND(AC67="Correctivo",AD67="Automático"),"35%",IF(AND(AC67="Correctivo",AD67="Manual"),"25%",""))))))</f>
        <v/>
      </c>
      <c r="AF67" s="190"/>
      <c r="AG67" s="190"/>
      <c r="AH67" s="190"/>
      <c r="AI67" s="192" t="str">
        <f>IFERROR(IF(AB67="Probabilidad",(T67-(+T67*AE67)),IF(AB67="Impacto",T67,"")),"")</f>
        <v/>
      </c>
      <c r="AJ67" s="193" t="str">
        <f>IFERROR(IF(AI67="","",IF(AI67&lt;=0.2,"Muy Baja",IF(AI67&lt;=0.4,"Baja",IF(AI67&lt;=0.6,"Media",IF(AI67&lt;=0.8,"Alta","Muy Alta"))))),"")</f>
        <v/>
      </c>
      <c r="AK67" s="191" t="str">
        <f>+AI67</f>
        <v/>
      </c>
      <c r="AL67" s="193" t="str">
        <f>IFERROR(IF(AM67="","",IF(AM67&lt;=0.2,"Leve",IF(AM67&lt;=0.4,"Menor",IF(AM67&lt;=0.6,"Moderado",IF(AM67&lt;=0.8,"Mayor","Catastrófico"))))),"")</f>
        <v/>
      </c>
      <c r="AM67" s="191" t="str">
        <f t="shared" ref="AM67" si="81">IFERROR(IF(AB67="Impacto",(X67-(+X67*AE67)),IF(AB67="Probabilidad",X67,"")),"")</f>
        <v/>
      </c>
      <c r="AN67" s="194" t="str">
        <f>IFERROR(IF(OR(AND(AJ67="Muy Baja",AL67="Leve"),AND(AJ67="Muy Baja",AL67="Menor"),AND(AJ67="Baja",AL67="Leve")),"Bajo",IF(OR(AND(AJ67="Muy baja",AL67="Moderado"),AND(AJ67="Baja",AL67="Menor"),AND(AJ67="Baja",AL67="Moderado"),AND(AJ67="Media",AL67="Leve"),AND(AJ67="Media",AL67="Menor"),AND(AJ67="Media",AL67="Moderado"),AND(AJ67="Alta",AL67="Leve"),AND(AJ67="Alta",AL67="Menor")),"Moderado",IF(OR(AND(AJ67="Muy Baja",AL67="Mayor"),AND(AJ67="Baja",AL67="Mayor"),AND(AJ67="Media",AL67="Mayor"),AND(AJ67="Alta",AL67="Moderado"),AND(AJ67="Alta",AL67="Mayor"),AND(AJ67="Muy Alta",AL67="Leve"),AND(AJ67="Muy Alta",AL67="Menor"),AND(AJ67="Muy Alta",AL67="Moderado"),AND(AJ67="Muy Alta",AL67="Mayor")),"Alto",IF(OR(AND(AJ67="Muy Baja",AL67="Catastrófico"),AND(AJ67="Baja",AL67="Catastrófico"),AND(AJ67="Media",AL67="Catastrófico"),AND(AJ67="Alta",AL67="Catastrófico"),AND(AJ67="Muy Alta",AL67="Catastrófico")),"Extremo","")))),"")</f>
        <v/>
      </c>
      <c r="AO67" s="195"/>
      <c r="AP67" s="186"/>
      <c r="AQ67" s="196"/>
      <c r="AR67" s="196"/>
      <c r="AS67" s="197"/>
      <c r="AT67" s="341"/>
      <c r="AU67" s="341"/>
      <c r="AV67" s="341"/>
    </row>
    <row r="68" spans="1:48" ht="37.5" hidden="1" customHeight="1" x14ac:dyDescent="0.2">
      <c r="A68" s="363"/>
      <c r="B68" s="345"/>
      <c r="C68" s="345"/>
      <c r="D68" s="345"/>
      <c r="E68" s="345"/>
      <c r="F68" s="345"/>
      <c r="G68" s="338"/>
      <c r="H68" s="338"/>
      <c r="I68" s="338"/>
      <c r="J68" s="338"/>
      <c r="K68" s="338"/>
      <c r="L68" s="338"/>
      <c r="M68" s="222"/>
      <c r="N68" s="222"/>
      <c r="O68" s="222"/>
      <c r="P68" s="338"/>
      <c r="Q68" s="338"/>
      <c r="R68" s="341"/>
      <c r="S68" s="335"/>
      <c r="T68" s="334"/>
      <c r="U68" s="324"/>
      <c r="V68" s="334">
        <f>IF(NOT(ISERROR(MATCH(U68,_xlfn.ANCHORARRAY(F79),0))),U81&amp;"Por favor no seleccionar los criterios de impacto",U68)</f>
        <v>0</v>
      </c>
      <c r="W68" s="335"/>
      <c r="X68" s="334"/>
      <c r="Y68" s="333"/>
      <c r="Z68" s="214">
        <v>2</v>
      </c>
      <c r="AA68" s="187"/>
      <c r="AB68" s="189" t="str">
        <f>IF(OR(AC68="Preventivo",AC68="Detectivo"),"Probabilidad",IF(AC68="Correctivo","Impacto",""))</f>
        <v/>
      </c>
      <c r="AC68" s="190"/>
      <c r="AD68" s="190"/>
      <c r="AE68" s="191" t="str">
        <f t="shared" ref="AE68:AE72" si="82">IF(AND(AC68="Preventivo",AD68="Automático"),"50%",IF(AND(AC68="Preventivo",AD68="Manual"),"40%",IF(AND(AC68="Detectivo",AD68="Automático"),"40%",IF(AND(AC68="Detectivo",AD68="Manual"),"30%",IF(AND(AC68="Correctivo",AD68="Automático"),"35%",IF(AND(AC68="Correctivo",AD68="Manual"),"25%",""))))))</f>
        <v/>
      </c>
      <c r="AF68" s="190"/>
      <c r="AG68" s="190"/>
      <c r="AH68" s="190"/>
      <c r="AI68" s="192" t="str">
        <f>IFERROR(IF(AND(AB67="Probabilidad",AB68="Probabilidad"),(AK67-(+AK67*AE68)),IF(AB68="Probabilidad",(T67-(+T67*AE68)),IF(AB68="Impacto",AK67,""))),"")</f>
        <v/>
      </c>
      <c r="AJ68" s="193" t="str">
        <f t="shared" si="2"/>
        <v/>
      </c>
      <c r="AK68" s="191" t="str">
        <f t="shared" ref="AK68:AK72" si="83">+AI68</f>
        <v/>
      </c>
      <c r="AL68" s="193" t="str">
        <f t="shared" si="4"/>
        <v/>
      </c>
      <c r="AM68" s="191" t="str">
        <f t="shared" ref="AM68" si="84">IFERROR(IF(AND(AB67="Impacto",AB68="Impacto"),(AM67-(+AM67*AE68)),IF(AB68="Impacto",($X$13-(+$X$13*AE68)),IF(AB68="Probabilidad",AM67,""))),"")</f>
        <v/>
      </c>
      <c r="AN68" s="194" t="str">
        <f t="shared" ref="AN68:AN69" si="85">IFERROR(IF(OR(AND(AJ68="Muy Baja",AL68="Leve"),AND(AJ68="Muy Baja",AL68="Menor"),AND(AJ68="Baja",AL68="Leve")),"Bajo",IF(OR(AND(AJ68="Muy baja",AL68="Moderado"),AND(AJ68="Baja",AL68="Menor"),AND(AJ68="Baja",AL68="Moderado"),AND(AJ68="Media",AL68="Leve"),AND(AJ68="Media",AL68="Menor"),AND(AJ68="Media",AL68="Moderado"),AND(AJ68="Alta",AL68="Leve"),AND(AJ68="Alta",AL68="Menor")),"Moderado",IF(OR(AND(AJ68="Muy Baja",AL68="Mayor"),AND(AJ68="Baja",AL68="Mayor"),AND(AJ68="Media",AL68="Mayor"),AND(AJ68="Alta",AL68="Moderado"),AND(AJ68="Alta",AL68="Mayor"),AND(AJ68="Muy Alta",AL68="Leve"),AND(AJ68="Muy Alta",AL68="Menor"),AND(AJ68="Muy Alta",AL68="Moderado"),AND(AJ68="Muy Alta",AL68="Mayor")),"Alto",IF(OR(AND(AJ68="Muy Baja",AL68="Catastrófico"),AND(AJ68="Baja",AL68="Catastrófico"),AND(AJ68="Media",AL68="Catastrófico"),AND(AJ68="Alta",AL68="Catastrófico"),AND(AJ68="Muy Alta",AL68="Catastrófico")),"Extremo","")))),"")</f>
        <v/>
      </c>
      <c r="AO68" s="195"/>
      <c r="AP68" s="186"/>
      <c r="AQ68" s="196"/>
      <c r="AR68" s="196"/>
      <c r="AS68" s="197"/>
      <c r="AT68" s="341"/>
      <c r="AU68" s="341"/>
      <c r="AV68" s="341"/>
    </row>
    <row r="69" spans="1:48" ht="37.5" hidden="1" customHeight="1" x14ac:dyDescent="0.2">
      <c r="A69" s="363"/>
      <c r="B69" s="345"/>
      <c r="C69" s="345"/>
      <c r="D69" s="345"/>
      <c r="E69" s="345"/>
      <c r="F69" s="345"/>
      <c r="G69" s="338"/>
      <c r="H69" s="338"/>
      <c r="I69" s="338"/>
      <c r="J69" s="338"/>
      <c r="K69" s="338"/>
      <c r="L69" s="338"/>
      <c r="M69" s="222"/>
      <c r="N69" s="222"/>
      <c r="O69" s="222"/>
      <c r="P69" s="338"/>
      <c r="Q69" s="338"/>
      <c r="R69" s="341"/>
      <c r="S69" s="335"/>
      <c r="T69" s="334"/>
      <c r="U69" s="324"/>
      <c r="V69" s="334">
        <f>IF(NOT(ISERROR(MATCH(U69,_xlfn.ANCHORARRAY(F80),0))),U82&amp;"Por favor no seleccionar los criterios de impacto",U69)</f>
        <v>0</v>
      </c>
      <c r="W69" s="335"/>
      <c r="X69" s="334"/>
      <c r="Y69" s="333"/>
      <c r="Z69" s="214">
        <v>3</v>
      </c>
      <c r="AA69" s="187"/>
      <c r="AB69" s="189" t="str">
        <f>IF(OR(AC69="Preventivo",AC69="Detectivo"),"Probabilidad",IF(AC69="Correctivo","Impacto",""))</f>
        <v/>
      </c>
      <c r="AC69" s="190"/>
      <c r="AD69" s="190"/>
      <c r="AE69" s="191" t="str">
        <f t="shared" si="82"/>
        <v/>
      </c>
      <c r="AF69" s="190"/>
      <c r="AG69" s="190"/>
      <c r="AH69" s="190"/>
      <c r="AI69" s="192" t="str">
        <f>IFERROR(IF(AND(AB68="Probabilidad",AB69="Probabilidad"),(AK68-(+AK68*AE69)),IF(AND(AB68="Impacto",AB69="Probabilidad"),(AK67-(+AK67*AE69)),IF(AB69="Impacto",AK68,""))),"")</f>
        <v/>
      </c>
      <c r="AJ69" s="193" t="str">
        <f t="shared" si="2"/>
        <v/>
      </c>
      <c r="AK69" s="191" t="str">
        <f t="shared" si="83"/>
        <v/>
      </c>
      <c r="AL69" s="193" t="str">
        <f t="shared" si="4"/>
        <v/>
      </c>
      <c r="AM69" s="191" t="str">
        <f t="shared" ref="AM69" si="86">IFERROR(IF(AND(AB68="Impacto",AB69="Impacto"),(AM68-(+AM68*AE69)),IF(AND(AB68="Probabilidad",AB69="Impacto"),(AM67-(+AM67*AE69)),IF(AB69="Probabilidad",AM68,""))),"")</f>
        <v/>
      </c>
      <c r="AN69" s="194" t="str">
        <f t="shared" si="85"/>
        <v/>
      </c>
      <c r="AO69" s="195"/>
      <c r="AP69" s="186"/>
      <c r="AQ69" s="196"/>
      <c r="AR69" s="196"/>
      <c r="AS69" s="197"/>
      <c r="AT69" s="341"/>
      <c r="AU69" s="341"/>
      <c r="AV69" s="341"/>
    </row>
    <row r="70" spans="1:48" ht="37.5" hidden="1" customHeight="1" x14ac:dyDescent="0.2">
      <c r="A70" s="363"/>
      <c r="B70" s="345"/>
      <c r="C70" s="345"/>
      <c r="D70" s="345"/>
      <c r="E70" s="345"/>
      <c r="F70" s="345"/>
      <c r="G70" s="338"/>
      <c r="H70" s="338"/>
      <c r="I70" s="338"/>
      <c r="J70" s="338"/>
      <c r="K70" s="338"/>
      <c r="L70" s="338"/>
      <c r="M70" s="222"/>
      <c r="N70" s="222"/>
      <c r="O70" s="222"/>
      <c r="P70" s="338"/>
      <c r="Q70" s="338"/>
      <c r="R70" s="341"/>
      <c r="S70" s="335"/>
      <c r="T70" s="334"/>
      <c r="U70" s="324"/>
      <c r="V70" s="334">
        <f>IF(NOT(ISERROR(MATCH(U70,_xlfn.ANCHORARRAY(F81),0))),U83&amp;"Por favor no seleccionar los criterios de impacto",U70)</f>
        <v>0</v>
      </c>
      <c r="W70" s="335"/>
      <c r="X70" s="334"/>
      <c r="Y70" s="333"/>
      <c r="Z70" s="214">
        <v>4</v>
      </c>
      <c r="AA70" s="187"/>
      <c r="AB70" s="189" t="str">
        <f t="shared" ref="AB70:AB72" si="87">IF(OR(AC70="Preventivo",AC70="Detectivo"),"Probabilidad",IF(AC70="Correctivo","Impacto",""))</f>
        <v/>
      </c>
      <c r="AC70" s="190"/>
      <c r="AD70" s="190"/>
      <c r="AE70" s="191" t="str">
        <f t="shared" si="82"/>
        <v/>
      </c>
      <c r="AF70" s="190"/>
      <c r="AG70" s="190"/>
      <c r="AH70" s="190"/>
      <c r="AI70" s="192" t="str">
        <f t="shared" ref="AI70:AI72" si="88">IFERROR(IF(AND(AB69="Probabilidad",AB70="Probabilidad"),(AK69-(+AK69*AE70)),IF(AND(AB69="Impacto",AB70="Probabilidad"),(AK68-(+AK68*AE70)),IF(AB70="Impacto",AK69,""))),"")</f>
        <v/>
      </c>
      <c r="AJ70" s="193" t="str">
        <f t="shared" si="2"/>
        <v/>
      </c>
      <c r="AK70" s="191" t="str">
        <f t="shared" si="83"/>
        <v/>
      </c>
      <c r="AL70" s="193" t="str">
        <f t="shared" si="4"/>
        <v/>
      </c>
      <c r="AM70" s="191" t="str">
        <f t="shared" si="14"/>
        <v/>
      </c>
      <c r="AN70" s="194" t="str">
        <f>IFERROR(IF(OR(AND(AJ70="Muy Baja",AL70="Leve"),AND(AJ70="Muy Baja",AL70="Menor"),AND(AJ70="Baja",AL70="Leve")),"Bajo",IF(OR(AND(AJ70="Muy baja",AL70="Moderado"),AND(AJ70="Baja",AL70="Menor"),AND(AJ70="Baja",AL70="Moderado"),AND(AJ70="Media",AL70="Leve"),AND(AJ70="Media",AL70="Menor"),AND(AJ70="Media",AL70="Moderado"),AND(AJ70="Alta",AL70="Leve"),AND(AJ70="Alta",AL70="Menor")),"Moderado",IF(OR(AND(AJ70="Muy Baja",AL70="Mayor"),AND(AJ70="Baja",AL70="Mayor"),AND(AJ70="Media",AL70="Mayor"),AND(AJ70="Alta",AL70="Moderado"),AND(AJ70="Alta",AL70="Mayor"),AND(AJ70="Muy Alta",AL70="Leve"),AND(AJ70="Muy Alta",AL70="Menor"),AND(AJ70="Muy Alta",AL70="Moderado"),AND(AJ70="Muy Alta",AL70="Mayor")),"Alto",IF(OR(AND(AJ70="Muy Baja",AL70="Catastrófico"),AND(AJ70="Baja",AL70="Catastrófico"),AND(AJ70="Media",AL70="Catastrófico"),AND(AJ70="Alta",AL70="Catastrófico"),AND(AJ70="Muy Alta",AL70="Catastrófico")),"Extremo","")))),"")</f>
        <v/>
      </c>
      <c r="AO70" s="195"/>
      <c r="AP70" s="186"/>
      <c r="AQ70" s="196"/>
      <c r="AR70" s="196"/>
      <c r="AS70" s="197"/>
      <c r="AT70" s="341"/>
      <c r="AU70" s="341"/>
      <c r="AV70" s="341"/>
    </row>
    <row r="71" spans="1:48" ht="37.5" hidden="1" customHeight="1" x14ac:dyDescent="0.2">
      <c r="A71" s="363"/>
      <c r="B71" s="345"/>
      <c r="C71" s="345"/>
      <c r="D71" s="345"/>
      <c r="E71" s="345"/>
      <c r="F71" s="345"/>
      <c r="G71" s="338"/>
      <c r="H71" s="338"/>
      <c r="I71" s="338"/>
      <c r="J71" s="338"/>
      <c r="K71" s="338"/>
      <c r="L71" s="338"/>
      <c r="M71" s="222"/>
      <c r="N71" s="222"/>
      <c r="O71" s="222"/>
      <c r="P71" s="338"/>
      <c r="Q71" s="338"/>
      <c r="R71" s="341"/>
      <c r="S71" s="335"/>
      <c r="T71" s="334"/>
      <c r="U71" s="324"/>
      <c r="V71" s="334">
        <f>IF(NOT(ISERROR(MATCH(U71,_xlfn.ANCHORARRAY(F82),0))),U84&amp;"Por favor no seleccionar los criterios de impacto",U71)</f>
        <v>0</v>
      </c>
      <c r="W71" s="335"/>
      <c r="X71" s="334"/>
      <c r="Y71" s="333"/>
      <c r="Z71" s="214">
        <v>5</v>
      </c>
      <c r="AA71" s="187"/>
      <c r="AB71" s="189" t="str">
        <f t="shared" si="87"/>
        <v/>
      </c>
      <c r="AC71" s="190"/>
      <c r="AD71" s="190"/>
      <c r="AE71" s="191" t="str">
        <f t="shared" si="82"/>
        <v/>
      </c>
      <c r="AF71" s="190"/>
      <c r="AG71" s="190"/>
      <c r="AH71" s="190"/>
      <c r="AI71" s="192" t="str">
        <f t="shared" si="88"/>
        <v/>
      </c>
      <c r="AJ71" s="193" t="str">
        <f t="shared" si="2"/>
        <v/>
      </c>
      <c r="AK71" s="191" t="str">
        <f t="shared" si="83"/>
        <v/>
      </c>
      <c r="AL71" s="193" t="str">
        <f t="shared" si="4"/>
        <v/>
      </c>
      <c r="AM71" s="191" t="str">
        <f t="shared" si="14"/>
        <v/>
      </c>
      <c r="AN71" s="194" t="str">
        <f t="shared" ref="AN71:AN72" si="89">IFERROR(IF(OR(AND(AJ71="Muy Baja",AL71="Leve"),AND(AJ71="Muy Baja",AL71="Menor"),AND(AJ71="Baja",AL71="Leve")),"Bajo",IF(OR(AND(AJ71="Muy baja",AL71="Moderado"),AND(AJ71="Baja",AL71="Menor"),AND(AJ71="Baja",AL71="Moderado"),AND(AJ71="Media",AL71="Leve"),AND(AJ71="Media",AL71="Menor"),AND(AJ71="Media",AL71="Moderado"),AND(AJ71="Alta",AL71="Leve"),AND(AJ71="Alta",AL71="Menor")),"Moderado",IF(OR(AND(AJ71="Muy Baja",AL71="Mayor"),AND(AJ71="Baja",AL71="Mayor"),AND(AJ71="Media",AL71="Mayor"),AND(AJ71="Alta",AL71="Moderado"),AND(AJ71="Alta",AL71="Mayor"),AND(AJ71="Muy Alta",AL71="Leve"),AND(AJ71="Muy Alta",AL71="Menor"),AND(AJ71="Muy Alta",AL71="Moderado"),AND(AJ71="Muy Alta",AL71="Mayor")),"Alto",IF(OR(AND(AJ71="Muy Baja",AL71="Catastrófico"),AND(AJ71="Baja",AL71="Catastrófico"),AND(AJ71="Media",AL71="Catastrófico"),AND(AJ71="Alta",AL71="Catastrófico"),AND(AJ71="Muy Alta",AL71="Catastrófico")),"Extremo","")))),"")</f>
        <v/>
      </c>
      <c r="AO71" s="195"/>
      <c r="AP71" s="186"/>
      <c r="AQ71" s="196"/>
      <c r="AR71" s="196"/>
      <c r="AS71" s="197"/>
      <c r="AT71" s="341"/>
      <c r="AU71" s="341"/>
      <c r="AV71" s="341"/>
    </row>
    <row r="72" spans="1:48" ht="37.5" hidden="1" customHeight="1" x14ac:dyDescent="0.2">
      <c r="A72" s="363"/>
      <c r="B72" s="345"/>
      <c r="C72" s="345"/>
      <c r="D72" s="345"/>
      <c r="E72" s="345"/>
      <c r="F72" s="345"/>
      <c r="G72" s="339"/>
      <c r="H72" s="339"/>
      <c r="I72" s="339"/>
      <c r="J72" s="339"/>
      <c r="K72" s="339"/>
      <c r="L72" s="339"/>
      <c r="M72" s="223"/>
      <c r="N72" s="223"/>
      <c r="O72" s="223"/>
      <c r="P72" s="339"/>
      <c r="Q72" s="339"/>
      <c r="R72" s="341"/>
      <c r="S72" s="335"/>
      <c r="T72" s="334"/>
      <c r="U72" s="324"/>
      <c r="V72" s="334">
        <f>IF(NOT(ISERROR(MATCH(U72,_xlfn.ANCHORARRAY(F83),0))),U85&amp;"Por favor no seleccionar los criterios de impacto",U72)</f>
        <v>0</v>
      </c>
      <c r="W72" s="335"/>
      <c r="X72" s="334"/>
      <c r="Y72" s="333"/>
      <c r="Z72" s="214">
        <v>6</v>
      </c>
      <c r="AA72" s="187"/>
      <c r="AB72" s="189" t="str">
        <f t="shared" si="87"/>
        <v/>
      </c>
      <c r="AC72" s="190"/>
      <c r="AD72" s="190"/>
      <c r="AE72" s="191" t="str">
        <f t="shared" si="82"/>
        <v/>
      </c>
      <c r="AF72" s="190"/>
      <c r="AG72" s="190"/>
      <c r="AH72" s="190"/>
      <c r="AI72" s="192" t="str">
        <f t="shared" si="88"/>
        <v/>
      </c>
      <c r="AJ72" s="193" t="str">
        <f t="shared" si="2"/>
        <v/>
      </c>
      <c r="AK72" s="191" t="str">
        <f t="shared" si="83"/>
        <v/>
      </c>
      <c r="AL72" s="193" t="str">
        <f t="shared" si="4"/>
        <v/>
      </c>
      <c r="AM72" s="191" t="str">
        <f t="shared" si="14"/>
        <v/>
      </c>
      <c r="AN72" s="194" t="str">
        <f t="shared" si="89"/>
        <v/>
      </c>
      <c r="AO72" s="195"/>
      <c r="AP72" s="186"/>
      <c r="AQ72" s="196"/>
      <c r="AR72" s="196"/>
      <c r="AS72" s="197"/>
      <c r="AT72" s="341"/>
      <c r="AU72" s="341"/>
      <c r="AV72" s="341"/>
    </row>
    <row r="73" spans="1:48" ht="49.5" customHeight="1" x14ac:dyDescent="0.2">
      <c r="A73" s="216"/>
      <c r="B73" s="367" t="s">
        <v>261</v>
      </c>
      <c r="C73" s="368"/>
      <c r="D73" s="368"/>
      <c r="E73" s="368"/>
      <c r="F73" s="368"/>
      <c r="G73" s="368"/>
      <c r="H73" s="368"/>
      <c r="I73" s="368"/>
      <c r="J73" s="368"/>
      <c r="K73" s="368"/>
      <c r="L73" s="368"/>
      <c r="M73" s="368"/>
      <c r="N73" s="368"/>
      <c r="O73" s="368"/>
      <c r="P73" s="368"/>
      <c r="Q73" s="368"/>
      <c r="R73" s="368"/>
      <c r="S73" s="368"/>
      <c r="T73" s="368"/>
      <c r="U73" s="368"/>
      <c r="V73" s="368"/>
      <c r="W73" s="368"/>
      <c r="X73" s="368"/>
      <c r="Y73" s="368"/>
      <c r="Z73" s="368"/>
      <c r="AA73" s="368"/>
      <c r="AB73" s="368"/>
      <c r="AC73" s="368"/>
      <c r="AD73" s="368"/>
      <c r="AE73" s="368"/>
      <c r="AF73" s="368"/>
      <c r="AG73" s="368"/>
      <c r="AH73" s="368"/>
      <c r="AI73" s="368"/>
      <c r="AJ73" s="368"/>
      <c r="AK73" s="368"/>
      <c r="AL73" s="368"/>
      <c r="AM73" s="368"/>
      <c r="AN73" s="368"/>
      <c r="AO73" s="368"/>
      <c r="AP73" s="368"/>
      <c r="AQ73" s="368"/>
      <c r="AR73" s="368"/>
      <c r="AS73" s="368"/>
      <c r="AT73" s="368"/>
    </row>
    <row r="75" spans="1:48" ht="15.75" x14ac:dyDescent="0.2">
      <c r="A75" s="198"/>
      <c r="B75" s="206" t="s">
        <v>262</v>
      </c>
      <c r="C75" s="198"/>
      <c r="D75" s="198"/>
      <c r="E75" s="198"/>
      <c r="R75" s="198"/>
    </row>
  </sheetData>
  <dataConsolidate/>
  <mergeCells count="343">
    <mergeCell ref="A6:B6"/>
    <mergeCell ref="C6:Z6"/>
    <mergeCell ref="AA6:AC6"/>
    <mergeCell ref="AD6:AV6"/>
    <mergeCell ref="A7:B7"/>
    <mergeCell ref="C7:Z7"/>
    <mergeCell ref="AD7:AV7"/>
    <mergeCell ref="A1:C4"/>
    <mergeCell ref="D1:Z2"/>
    <mergeCell ref="AB1:AV2"/>
    <mergeCell ref="D3:R3"/>
    <mergeCell ref="S3:Z3"/>
    <mergeCell ref="AB3:AP3"/>
    <mergeCell ref="AQ3:AV3"/>
    <mergeCell ref="D4:Z4"/>
    <mergeCell ref="AB4:AV4"/>
    <mergeCell ref="A8:B8"/>
    <mergeCell ref="C8:Z8"/>
    <mergeCell ref="AD8:AV8"/>
    <mergeCell ref="K10:O10"/>
    <mergeCell ref="P10:Q10"/>
    <mergeCell ref="T10:Z10"/>
    <mergeCell ref="AA10:AI10"/>
    <mergeCell ref="AJ10:AN10"/>
    <mergeCell ref="AO10:AS10"/>
    <mergeCell ref="AT10:AV10"/>
    <mergeCell ref="A11:A12"/>
    <mergeCell ref="B11:B12"/>
    <mergeCell ref="C11:C12"/>
    <mergeCell ref="D11:D12"/>
    <mergeCell ref="E11:E12"/>
    <mergeCell ref="F11:F12"/>
    <mergeCell ref="K11:K12"/>
    <mergeCell ref="L11:L12"/>
    <mergeCell ref="M11:M12"/>
    <mergeCell ref="I11:I12"/>
    <mergeCell ref="J11:J12"/>
    <mergeCell ref="Y13:Y18"/>
    <mergeCell ref="AT13:AT18"/>
    <mergeCell ref="AU13:AU18"/>
    <mergeCell ref="AV11:AV12"/>
    <mergeCell ref="A13:A18"/>
    <mergeCell ref="B13:B18"/>
    <mergeCell ref="C13:C18"/>
    <mergeCell ref="D13:D18"/>
    <mergeCell ref="E13:E18"/>
    <mergeCell ref="F13:F18"/>
    <mergeCell ref="AM11:AM12"/>
    <mergeCell ref="AN11:AN12"/>
    <mergeCell ref="AO11:AO12"/>
    <mergeCell ref="AP11:AP12"/>
    <mergeCell ref="AQ11:AQ12"/>
    <mergeCell ref="AR11:AR12"/>
    <mergeCell ref="AB11:AB12"/>
    <mergeCell ref="AC11:AH11"/>
    <mergeCell ref="AI11:AI12"/>
    <mergeCell ref="AJ11:AJ12"/>
    <mergeCell ref="AK11:AK12"/>
    <mergeCell ref="AL11:AL12"/>
    <mergeCell ref="V11:V12"/>
    <mergeCell ref="W11:W12"/>
    <mergeCell ref="AS11:AS12"/>
    <mergeCell ref="AT11:AT12"/>
    <mergeCell ref="AU11:AU12"/>
    <mergeCell ref="AA11:AA12"/>
    <mergeCell ref="N11:N12"/>
    <mergeCell ref="O11:O12"/>
    <mergeCell ref="R11:R12"/>
    <mergeCell ref="S11:S12"/>
    <mergeCell ref="T11:T12"/>
    <mergeCell ref="U11:U12"/>
    <mergeCell ref="X11:X12"/>
    <mergeCell ref="Y11:Y12"/>
    <mergeCell ref="Z11:Z12"/>
    <mergeCell ref="AV13:AV18"/>
    <mergeCell ref="Q13:Q18"/>
    <mergeCell ref="R13:R18"/>
    <mergeCell ref="S13:S18"/>
    <mergeCell ref="T13:T18"/>
    <mergeCell ref="U13:U18"/>
    <mergeCell ref="V13:V18"/>
    <mergeCell ref="K19:K24"/>
    <mergeCell ref="L19:L24"/>
    <mergeCell ref="M19:M24"/>
    <mergeCell ref="N19:N24"/>
    <mergeCell ref="O19:O24"/>
    <mergeCell ref="P19:P24"/>
    <mergeCell ref="AT19:AT24"/>
    <mergeCell ref="AU19:AU24"/>
    <mergeCell ref="AV19:AV24"/>
    <mergeCell ref="K13:K18"/>
    <mergeCell ref="L13:L18"/>
    <mergeCell ref="M13:M18"/>
    <mergeCell ref="N13:N18"/>
    <mergeCell ref="O13:O18"/>
    <mergeCell ref="P13:P18"/>
    <mergeCell ref="W13:W18"/>
    <mergeCell ref="X13:X18"/>
    <mergeCell ref="A19:A24"/>
    <mergeCell ref="B19:B24"/>
    <mergeCell ref="C19:C24"/>
    <mergeCell ref="D19:D24"/>
    <mergeCell ref="E19:E24"/>
    <mergeCell ref="F19:F24"/>
    <mergeCell ref="W19:W24"/>
    <mergeCell ref="X19:X24"/>
    <mergeCell ref="Y19:Y24"/>
    <mergeCell ref="Q19:Q24"/>
    <mergeCell ref="R19:R24"/>
    <mergeCell ref="S19:S24"/>
    <mergeCell ref="T19:T24"/>
    <mergeCell ref="U19:U24"/>
    <mergeCell ref="V19:V24"/>
    <mergeCell ref="G19:G24"/>
    <mergeCell ref="H19:H24"/>
    <mergeCell ref="I19:I24"/>
    <mergeCell ref="J19:J24"/>
    <mergeCell ref="K25:K30"/>
    <mergeCell ref="L25:L30"/>
    <mergeCell ref="M25:M30"/>
    <mergeCell ref="N25:N30"/>
    <mergeCell ref="O25:O30"/>
    <mergeCell ref="P25:P30"/>
    <mergeCell ref="A25:A30"/>
    <mergeCell ref="B25:B30"/>
    <mergeCell ref="C25:C30"/>
    <mergeCell ref="D25:D30"/>
    <mergeCell ref="E25:E30"/>
    <mergeCell ref="F25:F30"/>
    <mergeCell ref="G25:G30"/>
    <mergeCell ref="H25:H30"/>
    <mergeCell ref="I25:I30"/>
    <mergeCell ref="J25:J30"/>
    <mergeCell ref="W25:W30"/>
    <mergeCell ref="X25:X30"/>
    <mergeCell ref="Y25:Y30"/>
    <mergeCell ref="AT25:AT30"/>
    <mergeCell ref="AU25:AU30"/>
    <mergeCell ref="AV25:AV30"/>
    <mergeCell ref="Q25:Q30"/>
    <mergeCell ref="R25:R30"/>
    <mergeCell ref="S25:S30"/>
    <mergeCell ref="T25:T30"/>
    <mergeCell ref="U25:U30"/>
    <mergeCell ref="V25:V30"/>
    <mergeCell ref="K31:K36"/>
    <mergeCell ref="L31:L36"/>
    <mergeCell ref="M31:M36"/>
    <mergeCell ref="N31:N36"/>
    <mergeCell ref="O31:O36"/>
    <mergeCell ref="P31:P36"/>
    <mergeCell ref="A31:A36"/>
    <mergeCell ref="B31:B36"/>
    <mergeCell ref="C31:C36"/>
    <mergeCell ref="D31:D36"/>
    <mergeCell ref="E31:E36"/>
    <mergeCell ref="F31:F36"/>
    <mergeCell ref="W31:W36"/>
    <mergeCell ref="X31:X36"/>
    <mergeCell ref="Y31:Y36"/>
    <mergeCell ref="AT31:AT36"/>
    <mergeCell ref="AU31:AU36"/>
    <mergeCell ref="AV31:AV36"/>
    <mergeCell ref="Q31:Q36"/>
    <mergeCell ref="R31:R36"/>
    <mergeCell ref="S31:S36"/>
    <mergeCell ref="T31:T36"/>
    <mergeCell ref="U31:U36"/>
    <mergeCell ref="V31:V36"/>
    <mergeCell ref="K37:K42"/>
    <mergeCell ref="L37:L42"/>
    <mergeCell ref="M37:M42"/>
    <mergeCell ref="N37:N42"/>
    <mergeCell ref="O37:O42"/>
    <mergeCell ref="P37:P42"/>
    <mergeCell ref="A37:A42"/>
    <mergeCell ref="B37:B42"/>
    <mergeCell ref="C37:C42"/>
    <mergeCell ref="D37:D42"/>
    <mergeCell ref="E37:E42"/>
    <mergeCell ref="F37:F42"/>
    <mergeCell ref="W37:W42"/>
    <mergeCell ref="X37:X42"/>
    <mergeCell ref="Y37:Y42"/>
    <mergeCell ref="AT37:AT42"/>
    <mergeCell ref="AU37:AU42"/>
    <mergeCell ref="AV37:AV42"/>
    <mergeCell ref="Q37:Q42"/>
    <mergeCell ref="R37:R42"/>
    <mergeCell ref="S37:S42"/>
    <mergeCell ref="T37:T42"/>
    <mergeCell ref="U37:U42"/>
    <mergeCell ref="V37:V42"/>
    <mergeCell ref="K43:K48"/>
    <mergeCell ref="L43:L48"/>
    <mergeCell ref="M43:M48"/>
    <mergeCell ref="N43:N48"/>
    <mergeCell ref="O43:O48"/>
    <mergeCell ref="P43:P48"/>
    <mergeCell ref="A43:A48"/>
    <mergeCell ref="B43:B48"/>
    <mergeCell ref="C43:C48"/>
    <mergeCell ref="D43:D48"/>
    <mergeCell ref="E43:E48"/>
    <mergeCell ref="F43:F48"/>
    <mergeCell ref="W43:W48"/>
    <mergeCell ref="X43:X48"/>
    <mergeCell ref="Y43:Y48"/>
    <mergeCell ref="AT43:AT48"/>
    <mergeCell ref="AU43:AU48"/>
    <mergeCell ref="AV43:AV48"/>
    <mergeCell ref="Q43:Q48"/>
    <mergeCell ref="R43:R48"/>
    <mergeCell ref="S43:S48"/>
    <mergeCell ref="T43:T48"/>
    <mergeCell ref="U43:U48"/>
    <mergeCell ref="V43:V48"/>
    <mergeCell ref="K49:K54"/>
    <mergeCell ref="L49:L54"/>
    <mergeCell ref="M49:M54"/>
    <mergeCell ref="N49:N54"/>
    <mergeCell ref="O49:O54"/>
    <mergeCell ref="P49:P54"/>
    <mergeCell ref="A49:A54"/>
    <mergeCell ref="B49:B54"/>
    <mergeCell ref="C49:C54"/>
    <mergeCell ref="D49:D54"/>
    <mergeCell ref="E49:E54"/>
    <mergeCell ref="F49:F54"/>
    <mergeCell ref="W49:W54"/>
    <mergeCell ref="X49:X54"/>
    <mergeCell ref="Y49:Y54"/>
    <mergeCell ref="AT49:AT54"/>
    <mergeCell ref="AU49:AU54"/>
    <mergeCell ref="AV49:AV54"/>
    <mergeCell ref="Q49:Q54"/>
    <mergeCell ref="R49:R54"/>
    <mergeCell ref="S49:S54"/>
    <mergeCell ref="T49:T54"/>
    <mergeCell ref="U49:U54"/>
    <mergeCell ref="V49:V54"/>
    <mergeCell ref="K55:K60"/>
    <mergeCell ref="L55:L60"/>
    <mergeCell ref="M55:M60"/>
    <mergeCell ref="N55:N60"/>
    <mergeCell ref="O55:O60"/>
    <mergeCell ref="P55:P60"/>
    <mergeCell ref="A55:A60"/>
    <mergeCell ref="B55:B60"/>
    <mergeCell ref="C55:C60"/>
    <mergeCell ref="D55:D60"/>
    <mergeCell ref="E55:E60"/>
    <mergeCell ref="F55:F60"/>
    <mergeCell ref="G55:G60"/>
    <mergeCell ref="H55:H60"/>
    <mergeCell ref="I55:I60"/>
    <mergeCell ref="J55:J60"/>
    <mergeCell ref="W55:W60"/>
    <mergeCell ref="X55:X60"/>
    <mergeCell ref="Y55:Y60"/>
    <mergeCell ref="AT55:AT60"/>
    <mergeCell ref="AU55:AU60"/>
    <mergeCell ref="AV55:AV60"/>
    <mergeCell ref="Q55:Q60"/>
    <mergeCell ref="R55:R60"/>
    <mergeCell ref="S55:S60"/>
    <mergeCell ref="T55:T60"/>
    <mergeCell ref="U55:U60"/>
    <mergeCell ref="V55:V60"/>
    <mergeCell ref="Y61:Y66"/>
    <mergeCell ref="K61:K66"/>
    <mergeCell ref="L61:L66"/>
    <mergeCell ref="P61:P66"/>
    <mergeCell ref="Q61:Q66"/>
    <mergeCell ref="R61:R66"/>
    <mergeCell ref="S61:S66"/>
    <mergeCell ref="A61:A66"/>
    <mergeCell ref="B61:B66"/>
    <mergeCell ref="C61:C66"/>
    <mergeCell ref="D61:D66"/>
    <mergeCell ref="E61:E66"/>
    <mergeCell ref="F61:F66"/>
    <mergeCell ref="D67:D72"/>
    <mergeCell ref="E67:E72"/>
    <mergeCell ref="F67:F72"/>
    <mergeCell ref="K67:K72"/>
    <mergeCell ref="T61:T66"/>
    <mergeCell ref="U61:U66"/>
    <mergeCell ref="V61:V66"/>
    <mergeCell ref="W61:W66"/>
    <mergeCell ref="X61:X66"/>
    <mergeCell ref="G67:G72"/>
    <mergeCell ref="H67:H72"/>
    <mergeCell ref="I67:I72"/>
    <mergeCell ref="J67:J72"/>
    <mergeCell ref="G61:G66"/>
    <mergeCell ref="H61:H66"/>
    <mergeCell ref="I61:I66"/>
    <mergeCell ref="J61:J66"/>
    <mergeCell ref="AU67:AU72"/>
    <mergeCell ref="AV67:AV72"/>
    <mergeCell ref="B73:AT73"/>
    <mergeCell ref="A10:J10"/>
    <mergeCell ref="G11:G12"/>
    <mergeCell ref="H11:H12"/>
    <mergeCell ref="U67:U72"/>
    <mergeCell ref="V67:V72"/>
    <mergeCell ref="W67:W72"/>
    <mergeCell ref="X67:X72"/>
    <mergeCell ref="Y67:Y72"/>
    <mergeCell ref="AT67:AT72"/>
    <mergeCell ref="L67:L72"/>
    <mergeCell ref="P67:P72"/>
    <mergeCell ref="Q67:Q72"/>
    <mergeCell ref="R67:R72"/>
    <mergeCell ref="S67:S72"/>
    <mergeCell ref="T67:T72"/>
    <mergeCell ref="AT61:AT66"/>
    <mergeCell ref="AU61:AU66"/>
    <mergeCell ref="AV61:AV66"/>
    <mergeCell ref="A67:A72"/>
    <mergeCell ref="B67:B72"/>
    <mergeCell ref="C67:C72"/>
    <mergeCell ref="G13:G18"/>
    <mergeCell ref="H13:H18"/>
    <mergeCell ref="I13:I18"/>
    <mergeCell ref="J13:J18"/>
    <mergeCell ref="G43:G48"/>
    <mergeCell ref="H43:H48"/>
    <mergeCell ref="I43:I48"/>
    <mergeCell ref="J43:J48"/>
    <mergeCell ref="G49:G54"/>
    <mergeCell ref="H49:H54"/>
    <mergeCell ref="I49:I54"/>
    <mergeCell ref="J49:J54"/>
    <mergeCell ref="G31:G36"/>
    <mergeCell ref="H31:H36"/>
    <mergeCell ref="I31:I36"/>
    <mergeCell ref="J31:J36"/>
    <mergeCell ref="G37:G42"/>
    <mergeCell ref="H37:H42"/>
    <mergeCell ref="I37:I42"/>
    <mergeCell ref="J37:J42"/>
  </mergeCells>
  <conditionalFormatting sqref="S13 S19">
    <cfRule type="cellIs" dxfId="238" priority="227" operator="equal">
      <formula>"Muy Alta"</formula>
    </cfRule>
    <cfRule type="cellIs" dxfId="237" priority="228" operator="equal">
      <formula>"Alta"</formula>
    </cfRule>
    <cfRule type="cellIs" dxfId="236" priority="229" operator="equal">
      <formula>"Media"</formula>
    </cfRule>
    <cfRule type="cellIs" dxfId="235" priority="230" operator="equal">
      <formula>"Baja"</formula>
    </cfRule>
    <cfRule type="cellIs" dxfId="234" priority="231" operator="equal">
      <formula>"Muy Baja"</formula>
    </cfRule>
  </conditionalFormatting>
  <conditionalFormatting sqref="W13 W19 W25 W31 W37 W43 W49 W55 W61 W67">
    <cfRule type="cellIs" dxfId="233" priority="222" operator="equal">
      <formula>"Catastrófico"</formula>
    </cfRule>
    <cfRule type="cellIs" dxfId="232" priority="223" operator="equal">
      <formula>"Mayor"</formula>
    </cfRule>
    <cfRule type="cellIs" dxfId="231" priority="224" operator="equal">
      <formula>"Moderado"</formula>
    </cfRule>
    <cfRule type="cellIs" dxfId="230" priority="225" operator="equal">
      <formula>"Menor"</formula>
    </cfRule>
    <cfRule type="cellIs" dxfId="229" priority="226" operator="equal">
      <formula>"Leve"</formula>
    </cfRule>
  </conditionalFormatting>
  <conditionalFormatting sqref="Y13">
    <cfRule type="cellIs" dxfId="228" priority="218" operator="equal">
      <formula>"Extremo"</formula>
    </cfRule>
    <cfRule type="cellIs" dxfId="227" priority="219" operator="equal">
      <formula>"Alto"</formula>
    </cfRule>
    <cfRule type="cellIs" dxfId="226" priority="220" operator="equal">
      <formula>"Moderado"</formula>
    </cfRule>
    <cfRule type="cellIs" dxfId="225" priority="221" operator="equal">
      <formula>"Bajo"</formula>
    </cfRule>
  </conditionalFormatting>
  <conditionalFormatting sqref="AJ13:AJ18">
    <cfRule type="cellIs" dxfId="224" priority="213" operator="equal">
      <formula>"Muy Alta"</formula>
    </cfRule>
    <cfRule type="cellIs" dxfId="223" priority="214" operator="equal">
      <formula>"Alta"</formula>
    </cfRule>
    <cfRule type="cellIs" dxfId="222" priority="215" operator="equal">
      <formula>"Media"</formula>
    </cfRule>
    <cfRule type="cellIs" dxfId="221" priority="216" operator="equal">
      <formula>"Baja"</formula>
    </cfRule>
    <cfRule type="cellIs" dxfId="220" priority="217" operator="equal">
      <formula>"Muy Baja"</formula>
    </cfRule>
  </conditionalFormatting>
  <conditionalFormatting sqref="AL13:AL18">
    <cfRule type="cellIs" dxfId="219" priority="208" operator="equal">
      <formula>"Catastrófico"</formula>
    </cfRule>
    <cfRule type="cellIs" dxfId="218" priority="209" operator="equal">
      <formula>"Mayor"</formula>
    </cfRule>
    <cfRule type="cellIs" dxfId="217" priority="210" operator="equal">
      <formula>"Moderado"</formula>
    </cfRule>
    <cfRule type="cellIs" dxfId="216" priority="211" operator="equal">
      <formula>"Menor"</formula>
    </cfRule>
    <cfRule type="cellIs" dxfId="215" priority="212" operator="equal">
      <formula>"Leve"</formula>
    </cfRule>
  </conditionalFormatting>
  <conditionalFormatting sqref="AN13:AN18">
    <cfRule type="cellIs" dxfId="214" priority="204" operator="equal">
      <formula>"Extremo"</formula>
    </cfRule>
    <cfRule type="cellIs" dxfId="213" priority="205" operator="equal">
      <formula>"Alto"</formula>
    </cfRule>
    <cfRule type="cellIs" dxfId="212" priority="206" operator="equal">
      <formula>"Moderado"</formula>
    </cfRule>
    <cfRule type="cellIs" dxfId="211" priority="207" operator="equal">
      <formula>"Bajo"</formula>
    </cfRule>
  </conditionalFormatting>
  <conditionalFormatting sqref="S61">
    <cfRule type="cellIs" dxfId="210" priority="48" operator="equal">
      <formula>"Muy Alta"</formula>
    </cfRule>
    <cfRule type="cellIs" dxfId="209" priority="49" operator="equal">
      <formula>"Alta"</formula>
    </cfRule>
    <cfRule type="cellIs" dxfId="208" priority="50" operator="equal">
      <formula>"Media"</formula>
    </cfRule>
    <cfRule type="cellIs" dxfId="207" priority="51" operator="equal">
      <formula>"Baja"</formula>
    </cfRule>
    <cfRule type="cellIs" dxfId="206" priority="52" operator="equal">
      <formula>"Muy Baja"</formula>
    </cfRule>
  </conditionalFormatting>
  <conditionalFormatting sqref="Y19">
    <cfRule type="cellIs" dxfId="205" priority="200" operator="equal">
      <formula>"Extremo"</formula>
    </cfRule>
    <cfRule type="cellIs" dxfId="204" priority="201" operator="equal">
      <formula>"Alto"</formula>
    </cfRule>
    <cfRule type="cellIs" dxfId="203" priority="202" operator="equal">
      <formula>"Moderado"</formula>
    </cfRule>
    <cfRule type="cellIs" dxfId="202" priority="203" operator="equal">
      <formula>"Bajo"</formula>
    </cfRule>
  </conditionalFormatting>
  <conditionalFormatting sqref="AJ19:AJ24">
    <cfRule type="cellIs" dxfId="201" priority="195" operator="equal">
      <formula>"Muy Alta"</formula>
    </cfRule>
    <cfRule type="cellIs" dxfId="200" priority="196" operator="equal">
      <formula>"Alta"</formula>
    </cfRule>
    <cfRule type="cellIs" dxfId="199" priority="197" operator="equal">
      <formula>"Media"</formula>
    </cfRule>
    <cfRule type="cellIs" dxfId="198" priority="198" operator="equal">
      <formula>"Baja"</formula>
    </cfRule>
    <cfRule type="cellIs" dxfId="197" priority="199" operator="equal">
      <formula>"Muy Baja"</formula>
    </cfRule>
  </conditionalFormatting>
  <conditionalFormatting sqref="AL19:AL24">
    <cfRule type="cellIs" dxfId="196" priority="190" operator="equal">
      <formula>"Catastrófico"</formula>
    </cfRule>
    <cfRule type="cellIs" dxfId="195" priority="191" operator="equal">
      <formula>"Mayor"</formula>
    </cfRule>
    <cfRule type="cellIs" dxfId="194" priority="192" operator="equal">
      <formula>"Moderado"</formula>
    </cfRule>
    <cfRule type="cellIs" dxfId="193" priority="193" operator="equal">
      <formula>"Menor"</formula>
    </cfRule>
    <cfRule type="cellIs" dxfId="192" priority="194" operator="equal">
      <formula>"Leve"</formula>
    </cfRule>
  </conditionalFormatting>
  <conditionalFormatting sqref="AN19:AN24">
    <cfRule type="cellIs" dxfId="191" priority="186" operator="equal">
      <formula>"Extremo"</formula>
    </cfRule>
    <cfRule type="cellIs" dxfId="190" priority="187" operator="equal">
      <formula>"Alto"</formula>
    </cfRule>
    <cfRule type="cellIs" dxfId="189" priority="188" operator="equal">
      <formula>"Moderado"</formula>
    </cfRule>
    <cfRule type="cellIs" dxfId="188" priority="189" operator="equal">
      <formula>"Bajo"</formula>
    </cfRule>
  </conditionalFormatting>
  <conditionalFormatting sqref="S25">
    <cfRule type="cellIs" dxfId="187" priority="181" operator="equal">
      <formula>"Muy Alta"</formula>
    </cfRule>
    <cfRule type="cellIs" dxfId="186" priority="182" operator="equal">
      <formula>"Alta"</formula>
    </cfRule>
    <cfRule type="cellIs" dxfId="185" priority="183" operator="equal">
      <formula>"Media"</formula>
    </cfRule>
    <cfRule type="cellIs" dxfId="184" priority="184" operator="equal">
      <formula>"Baja"</formula>
    </cfRule>
    <cfRule type="cellIs" dxfId="183" priority="185" operator="equal">
      <formula>"Muy Baja"</formula>
    </cfRule>
  </conditionalFormatting>
  <conditionalFormatting sqref="Y25">
    <cfRule type="cellIs" dxfId="182" priority="177" operator="equal">
      <formula>"Extremo"</formula>
    </cfRule>
    <cfRule type="cellIs" dxfId="181" priority="178" operator="equal">
      <formula>"Alto"</formula>
    </cfRule>
    <cfRule type="cellIs" dxfId="180" priority="179" operator="equal">
      <formula>"Moderado"</formula>
    </cfRule>
    <cfRule type="cellIs" dxfId="179" priority="180" operator="equal">
      <formula>"Bajo"</formula>
    </cfRule>
  </conditionalFormatting>
  <conditionalFormatting sqref="AJ25:AJ30">
    <cfRule type="cellIs" dxfId="178" priority="172" operator="equal">
      <formula>"Muy Alta"</formula>
    </cfRule>
    <cfRule type="cellIs" dxfId="177" priority="173" operator="equal">
      <formula>"Alta"</formula>
    </cfRule>
    <cfRule type="cellIs" dxfId="176" priority="174" operator="equal">
      <formula>"Media"</formula>
    </cfRule>
    <cfRule type="cellIs" dxfId="175" priority="175" operator="equal">
      <formula>"Baja"</formula>
    </cfRule>
    <cfRule type="cellIs" dxfId="174" priority="176" operator="equal">
      <formula>"Muy Baja"</formula>
    </cfRule>
  </conditionalFormatting>
  <conditionalFormatting sqref="AL25:AL30">
    <cfRule type="cellIs" dxfId="173" priority="167" operator="equal">
      <formula>"Catastrófico"</formula>
    </cfRule>
    <cfRule type="cellIs" dxfId="172" priority="168" operator="equal">
      <formula>"Mayor"</formula>
    </cfRule>
    <cfRule type="cellIs" dxfId="171" priority="169" operator="equal">
      <formula>"Moderado"</formula>
    </cfRule>
    <cfRule type="cellIs" dxfId="170" priority="170" operator="equal">
      <formula>"Menor"</formula>
    </cfRule>
    <cfRule type="cellIs" dxfId="169" priority="171" operator="equal">
      <formula>"Leve"</formula>
    </cfRule>
  </conditionalFormatting>
  <conditionalFormatting sqref="AN25:AN30">
    <cfRule type="cellIs" dxfId="168" priority="163" operator="equal">
      <formula>"Extremo"</formula>
    </cfRule>
    <cfRule type="cellIs" dxfId="167" priority="164" operator="equal">
      <formula>"Alto"</formula>
    </cfRule>
    <cfRule type="cellIs" dxfId="166" priority="165" operator="equal">
      <formula>"Moderado"</formula>
    </cfRule>
    <cfRule type="cellIs" dxfId="165" priority="166" operator="equal">
      <formula>"Bajo"</formula>
    </cfRule>
  </conditionalFormatting>
  <conditionalFormatting sqref="S31">
    <cfRule type="cellIs" dxfId="164" priority="158" operator="equal">
      <formula>"Muy Alta"</formula>
    </cfRule>
    <cfRule type="cellIs" dxfId="163" priority="159" operator="equal">
      <formula>"Alta"</formula>
    </cfRule>
    <cfRule type="cellIs" dxfId="162" priority="160" operator="equal">
      <formula>"Media"</formula>
    </cfRule>
    <cfRule type="cellIs" dxfId="161" priority="161" operator="equal">
      <formula>"Baja"</formula>
    </cfRule>
    <cfRule type="cellIs" dxfId="160" priority="162" operator="equal">
      <formula>"Muy Baja"</formula>
    </cfRule>
  </conditionalFormatting>
  <conditionalFormatting sqref="Y31">
    <cfRule type="cellIs" dxfId="159" priority="154" operator="equal">
      <formula>"Extremo"</formula>
    </cfRule>
    <cfRule type="cellIs" dxfId="158" priority="155" operator="equal">
      <formula>"Alto"</formula>
    </cfRule>
    <cfRule type="cellIs" dxfId="157" priority="156" operator="equal">
      <formula>"Moderado"</formula>
    </cfRule>
    <cfRule type="cellIs" dxfId="156" priority="157" operator="equal">
      <formula>"Bajo"</formula>
    </cfRule>
  </conditionalFormatting>
  <conditionalFormatting sqref="AJ31:AJ36">
    <cfRule type="cellIs" dxfId="155" priority="149" operator="equal">
      <formula>"Muy Alta"</formula>
    </cfRule>
    <cfRule type="cellIs" dxfId="154" priority="150" operator="equal">
      <formula>"Alta"</formula>
    </cfRule>
    <cfRule type="cellIs" dxfId="153" priority="151" operator="equal">
      <formula>"Media"</formula>
    </cfRule>
    <cfRule type="cellIs" dxfId="152" priority="152" operator="equal">
      <formula>"Baja"</formula>
    </cfRule>
    <cfRule type="cellIs" dxfId="151" priority="153" operator="equal">
      <formula>"Muy Baja"</formula>
    </cfRule>
  </conditionalFormatting>
  <conditionalFormatting sqref="AL31:AL36">
    <cfRule type="cellIs" dxfId="150" priority="144" operator="equal">
      <formula>"Catastrófico"</formula>
    </cfRule>
    <cfRule type="cellIs" dxfId="149" priority="145" operator="equal">
      <formula>"Mayor"</formula>
    </cfRule>
    <cfRule type="cellIs" dxfId="148" priority="146" operator="equal">
      <formula>"Moderado"</formula>
    </cfRule>
    <cfRule type="cellIs" dxfId="147" priority="147" operator="equal">
      <formula>"Menor"</formula>
    </cfRule>
    <cfRule type="cellIs" dxfId="146" priority="148" operator="equal">
      <formula>"Leve"</formula>
    </cfRule>
  </conditionalFormatting>
  <conditionalFormatting sqref="AN31:AN36">
    <cfRule type="cellIs" dxfId="145" priority="140" operator="equal">
      <formula>"Extremo"</formula>
    </cfRule>
    <cfRule type="cellIs" dxfId="144" priority="141" operator="equal">
      <formula>"Alto"</formula>
    </cfRule>
    <cfRule type="cellIs" dxfId="143" priority="142" operator="equal">
      <formula>"Moderado"</formula>
    </cfRule>
    <cfRule type="cellIs" dxfId="142" priority="143" operator="equal">
      <formula>"Bajo"</formula>
    </cfRule>
  </conditionalFormatting>
  <conditionalFormatting sqref="S37">
    <cfRule type="cellIs" dxfId="141" priority="135" operator="equal">
      <formula>"Muy Alta"</formula>
    </cfRule>
    <cfRule type="cellIs" dxfId="140" priority="136" operator="equal">
      <formula>"Alta"</formula>
    </cfRule>
    <cfRule type="cellIs" dxfId="139" priority="137" operator="equal">
      <formula>"Media"</formula>
    </cfRule>
    <cfRule type="cellIs" dxfId="138" priority="138" operator="equal">
      <formula>"Baja"</formula>
    </cfRule>
    <cfRule type="cellIs" dxfId="137" priority="139" operator="equal">
      <formula>"Muy Baja"</formula>
    </cfRule>
  </conditionalFormatting>
  <conditionalFormatting sqref="Y37">
    <cfRule type="cellIs" dxfId="136" priority="131" operator="equal">
      <formula>"Extremo"</formula>
    </cfRule>
    <cfRule type="cellIs" dxfId="135" priority="132" operator="equal">
      <formula>"Alto"</formula>
    </cfRule>
    <cfRule type="cellIs" dxfId="134" priority="133" operator="equal">
      <formula>"Moderado"</formula>
    </cfRule>
    <cfRule type="cellIs" dxfId="133" priority="134" operator="equal">
      <formula>"Bajo"</formula>
    </cfRule>
  </conditionalFormatting>
  <conditionalFormatting sqref="AJ37:AJ42">
    <cfRule type="cellIs" dxfId="132" priority="126" operator="equal">
      <formula>"Muy Alta"</formula>
    </cfRule>
    <cfRule type="cellIs" dxfId="131" priority="127" operator="equal">
      <formula>"Alta"</formula>
    </cfRule>
    <cfRule type="cellIs" dxfId="130" priority="128" operator="equal">
      <formula>"Media"</formula>
    </cfRule>
    <cfRule type="cellIs" dxfId="129" priority="129" operator="equal">
      <formula>"Baja"</formula>
    </cfRule>
    <cfRule type="cellIs" dxfId="128" priority="130" operator="equal">
      <formula>"Muy Baja"</formula>
    </cfRule>
  </conditionalFormatting>
  <conditionalFormatting sqref="AL37:AL42">
    <cfRule type="cellIs" dxfId="127" priority="121" operator="equal">
      <formula>"Catastrófico"</formula>
    </cfRule>
    <cfRule type="cellIs" dxfId="126" priority="122" operator="equal">
      <formula>"Mayor"</formula>
    </cfRule>
    <cfRule type="cellIs" dxfId="125" priority="123" operator="equal">
      <formula>"Moderado"</formula>
    </cfRule>
    <cfRule type="cellIs" dxfId="124" priority="124" operator="equal">
      <formula>"Menor"</formula>
    </cfRule>
    <cfRule type="cellIs" dxfId="123" priority="125" operator="equal">
      <formula>"Leve"</formula>
    </cfRule>
  </conditionalFormatting>
  <conditionalFormatting sqref="AN37:AN42">
    <cfRule type="cellIs" dxfId="122" priority="117" operator="equal">
      <formula>"Extremo"</formula>
    </cfRule>
    <cfRule type="cellIs" dxfId="121" priority="118" operator="equal">
      <formula>"Alto"</formula>
    </cfRule>
    <cfRule type="cellIs" dxfId="120" priority="119" operator="equal">
      <formula>"Moderado"</formula>
    </cfRule>
    <cfRule type="cellIs" dxfId="119" priority="120" operator="equal">
      <formula>"Bajo"</formula>
    </cfRule>
  </conditionalFormatting>
  <conditionalFormatting sqref="S43">
    <cfRule type="cellIs" dxfId="118" priority="112" operator="equal">
      <formula>"Muy Alta"</formula>
    </cfRule>
    <cfRule type="cellIs" dxfId="117" priority="113" operator="equal">
      <formula>"Alta"</formula>
    </cfRule>
    <cfRule type="cellIs" dxfId="116" priority="114" operator="equal">
      <formula>"Media"</formula>
    </cfRule>
    <cfRule type="cellIs" dxfId="115" priority="115" operator="equal">
      <formula>"Baja"</formula>
    </cfRule>
    <cfRule type="cellIs" dxfId="114" priority="116" operator="equal">
      <formula>"Muy Baja"</formula>
    </cfRule>
  </conditionalFormatting>
  <conditionalFormatting sqref="Y43">
    <cfRule type="cellIs" dxfId="113" priority="108" operator="equal">
      <formula>"Extremo"</formula>
    </cfRule>
    <cfRule type="cellIs" dxfId="112" priority="109" operator="equal">
      <formula>"Alto"</formula>
    </cfRule>
    <cfRule type="cellIs" dxfId="111" priority="110" operator="equal">
      <formula>"Moderado"</formula>
    </cfRule>
    <cfRule type="cellIs" dxfId="110" priority="111" operator="equal">
      <formula>"Bajo"</formula>
    </cfRule>
  </conditionalFormatting>
  <conditionalFormatting sqref="AJ43:AJ48">
    <cfRule type="cellIs" dxfId="109" priority="103" operator="equal">
      <formula>"Muy Alta"</formula>
    </cfRule>
    <cfRule type="cellIs" dxfId="108" priority="104" operator="equal">
      <formula>"Alta"</formula>
    </cfRule>
    <cfRule type="cellIs" dxfId="107" priority="105" operator="equal">
      <formula>"Media"</formula>
    </cfRule>
    <cfRule type="cellIs" dxfId="106" priority="106" operator="equal">
      <formula>"Baja"</formula>
    </cfRule>
    <cfRule type="cellIs" dxfId="105" priority="107" operator="equal">
      <formula>"Muy Baja"</formula>
    </cfRule>
  </conditionalFormatting>
  <conditionalFormatting sqref="AL43:AL48">
    <cfRule type="cellIs" dxfId="104" priority="98" operator="equal">
      <formula>"Catastrófico"</formula>
    </cfRule>
    <cfRule type="cellIs" dxfId="103" priority="99" operator="equal">
      <formula>"Mayor"</formula>
    </cfRule>
    <cfRule type="cellIs" dxfId="102" priority="100" operator="equal">
      <formula>"Moderado"</formula>
    </cfRule>
    <cfRule type="cellIs" dxfId="101" priority="101" operator="equal">
      <formula>"Menor"</formula>
    </cfRule>
    <cfRule type="cellIs" dxfId="100" priority="102" operator="equal">
      <formula>"Leve"</formula>
    </cfRule>
  </conditionalFormatting>
  <conditionalFormatting sqref="AN43:AN48">
    <cfRule type="cellIs" dxfId="99" priority="94" operator="equal">
      <formula>"Extremo"</formula>
    </cfRule>
    <cfRule type="cellIs" dxfId="98" priority="95" operator="equal">
      <formula>"Alto"</formula>
    </cfRule>
    <cfRule type="cellIs" dxfId="97" priority="96" operator="equal">
      <formula>"Moderado"</formula>
    </cfRule>
    <cfRule type="cellIs" dxfId="96" priority="97" operator="equal">
      <formula>"Bajo"</formula>
    </cfRule>
  </conditionalFormatting>
  <conditionalFormatting sqref="S49">
    <cfRule type="cellIs" dxfId="95" priority="89" operator="equal">
      <formula>"Muy Alta"</formula>
    </cfRule>
    <cfRule type="cellIs" dxfId="94" priority="90" operator="equal">
      <formula>"Alta"</formula>
    </cfRule>
    <cfRule type="cellIs" dxfId="93" priority="91" operator="equal">
      <formula>"Media"</formula>
    </cfRule>
    <cfRule type="cellIs" dxfId="92" priority="92" operator="equal">
      <formula>"Baja"</formula>
    </cfRule>
    <cfRule type="cellIs" dxfId="91" priority="93" operator="equal">
      <formula>"Muy Baja"</formula>
    </cfRule>
  </conditionalFormatting>
  <conditionalFormatting sqref="Y49">
    <cfRule type="cellIs" dxfId="90" priority="85" operator="equal">
      <formula>"Extremo"</formula>
    </cfRule>
    <cfRule type="cellIs" dxfId="89" priority="86" operator="equal">
      <formula>"Alto"</formula>
    </cfRule>
    <cfRule type="cellIs" dxfId="88" priority="87" operator="equal">
      <formula>"Moderado"</formula>
    </cfRule>
    <cfRule type="cellIs" dxfId="87" priority="88" operator="equal">
      <formula>"Bajo"</formula>
    </cfRule>
  </conditionalFormatting>
  <conditionalFormatting sqref="AJ49:AJ54">
    <cfRule type="cellIs" dxfId="86" priority="80" operator="equal">
      <formula>"Muy Alta"</formula>
    </cfRule>
    <cfRule type="cellIs" dxfId="85" priority="81" operator="equal">
      <formula>"Alta"</formula>
    </cfRule>
    <cfRule type="cellIs" dxfId="84" priority="82" operator="equal">
      <formula>"Media"</formula>
    </cfRule>
    <cfRule type="cellIs" dxfId="83" priority="83" operator="equal">
      <formula>"Baja"</formula>
    </cfRule>
    <cfRule type="cellIs" dxfId="82" priority="84" operator="equal">
      <formula>"Muy Baja"</formula>
    </cfRule>
  </conditionalFormatting>
  <conditionalFormatting sqref="AL49:AL54">
    <cfRule type="cellIs" dxfId="81" priority="75" operator="equal">
      <formula>"Catastrófico"</formula>
    </cfRule>
    <cfRule type="cellIs" dxfId="80" priority="76" operator="equal">
      <formula>"Mayor"</formula>
    </cfRule>
    <cfRule type="cellIs" dxfId="79" priority="77" operator="equal">
      <formula>"Moderado"</formula>
    </cfRule>
    <cfRule type="cellIs" dxfId="78" priority="78" operator="equal">
      <formula>"Menor"</formula>
    </cfRule>
    <cfRule type="cellIs" dxfId="77" priority="79" operator="equal">
      <formula>"Leve"</formula>
    </cfRule>
  </conditionalFormatting>
  <conditionalFormatting sqref="AN49:AN54">
    <cfRule type="cellIs" dxfId="76" priority="71" operator="equal">
      <formula>"Extremo"</formula>
    </cfRule>
    <cfRule type="cellIs" dxfId="75" priority="72" operator="equal">
      <formula>"Alto"</formula>
    </cfRule>
    <cfRule type="cellIs" dxfId="74" priority="73" operator="equal">
      <formula>"Moderado"</formula>
    </cfRule>
    <cfRule type="cellIs" dxfId="73" priority="74" operator="equal">
      <formula>"Bajo"</formula>
    </cfRule>
  </conditionalFormatting>
  <conditionalFormatting sqref="Y55">
    <cfRule type="cellIs" dxfId="72" priority="67" operator="equal">
      <formula>"Extremo"</formula>
    </cfRule>
    <cfRule type="cellIs" dxfId="71" priority="68" operator="equal">
      <formula>"Alto"</formula>
    </cfRule>
    <cfRule type="cellIs" dxfId="70" priority="69" operator="equal">
      <formula>"Moderado"</formula>
    </cfRule>
    <cfRule type="cellIs" dxfId="69" priority="70" operator="equal">
      <formula>"Bajo"</formula>
    </cfRule>
  </conditionalFormatting>
  <conditionalFormatting sqref="AJ55:AJ60">
    <cfRule type="cellIs" dxfId="68" priority="62" operator="equal">
      <formula>"Muy Alta"</formula>
    </cfRule>
    <cfRule type="cellIs" dxfId="67" priority="63" operator="equal">
      <formula>"Alta"</formula>
    </cfRule>
    <cfRule type="cellIs" dxfId="66" priority="64" operator="equal">
      <formula>"Media"</formula>
    </cfRule>
    <cfRule type="cellIs" dxfId="65" priority="65" operator="equal">
      <formula>"Baja"</formula>
    </cfRule>
    <cfRule type="cellIs" dxfId="64" priority="66" operator="equal">
      <formula>"Muy Baja"</formula>
    </cfRule>
  </conditionalFormatting>
  <conditionalFormatting sqref="AL55:AL60">
    <cfRule type="cellIs" dxfId="63" priority="57" operator="equal">
      <formula>"Catastrófico"</formula>
    </cfRule>
    <cfRule type="cellIs" dxfId="62" priority="58" operator="equal">
      <formula>"Mayor"</formula>
    </cfRule>
    <cfRule type="cellIs" dxfId="61" priority="59" operator="equal">
      <formula>"Moderado"</formula>
    </cfRule>
    <cfRule type="cellIs" dxfId="60" priority="60" operator="equal">
      <formula>"Menor"</formula>
    </cfRule>
    <cfRule type="cellIs" dxfId="59" priority="61" operator="equal">
      <formula>"Leve"</formula>
    </cfRule>
  </conditionalFormatting>
  <conditionalFormatting sqref="AN55:AN60">
    <cfRule type="cellIs" dxfId="58" priority="53" operator="equal">
      <formula>"Extremo"</formula>
    </cfRule>
    <cfRule type="cellIs" dxfId="57" priority="54" operator="equal">
      <formula>"Alto"</formula>
    </cfRule>
    <cfRule type="cellIs" dxfId="56" priority="55" operator="equal">
      <formula>"Moderado"</formula>
    </cfRule>
    <cfRule type="cellIs" dxfId="55" priority="56" operator="equal">
      <formula>"Bajo"</formula>
    </cfRule>
  </conditionalFormatting>
  <conditionalFormatting sqref="Y61">
    <cfRule type="cellIs" dxfId="54" priority="44" operator="equal">
      <formula>"Extremo"</formula>
    </cfRule>
    <cfRule type="cellIs" dxfId="53" priority="45" operator="equal">
      <formula>"Alto"</formula>
    </cfRule>
    <cfRule type="cellIs" dxfId="52" priority="46" operator="equal">
      <formula>"Moderado"</formula>
    </cfRule>
    <cfRule type="cellIs" dxfId="51" priority="47" operator="equal">
      <formula>"Bajo"</formula>
    </cfRule>
  </conditionalFormatting>
  <conditionalFormatting sqref="AJ61:AJ66">
    <cfRule type="cellIs" dxfId="50" priority="39" operator="equal">
      <formula>"Muy Alta"</formula>
    </cfRule>
    <cfRule type="cellIs" dxfId="49" priority="40" operator="equal">
      <formula>"Alta"</formula>
    </cfRule>
    <cfRule type="cellIs" dxfId="48" priority="41" operator="equal">
      <formula>"Media"</formula>
    </cfRule>
    <cfRule type="cellIs" dxfId="47" priority="42" operator="equal">
      <formula>"Baja"</formula>
    </cfRule>
    <cfRule type="cellIs" dxfId="46" priority="43" operator="equal">
      <formula>"Muy Baja"</formula>
    </cfRule>
  </conditionalFormatting>
  <conditionalFormatting sqref="AL61:AL66">
    <cfRule type="cellIs" dxfId="45" priority="34" operator="equal">
      <formula>"Catastrófico"</formula>
    </cfRule>
    <cfRule type="cellIs" dxfId="44" priority="35" operator="equal">
      <formula>"Mayor"</formula>
    </cfRule>
    <cfRule type="cellIs" dxfId="43" priority="36" operator="equal">
      <formula>"Moderado"</formula>
    </cfRule>
    <cfRule type="cellIs" dxfId="42" priority="37" operator="equal">
      <formula>"Menor"</formula>
    </cfRule>
    <cfRule type="cellIs" dxfId="41" priority="38" operator="equal">
      <formula>"Leve"</formula>
    </cfRule>
  </conditionalFormatting>
  <conditionalFormatting sqref="AN61:AN66">
    <cfRule type="cellIs" dxfId="40" priority="30" operator="equal">
      <formula>"Extremo"</formula>
    </cfRule>
    <cfRule type="cellIs" dxfId="39" priority="31" operator="equal">
      <formula>"Alto"</formula>
    </cfRule>
    <cfRule type="cellIs" dxfId="38" priority="32" operator="equal">
      <formula>"Moderado"</formula>
    </cfRule>
    <cfRule type="cellIs" dxfId="37" priority="33" operator="equal">
      <formula>"Bajo"</formula>
    </cfRule>
  </conditionalFormatting>
  <conditionalFormatting sqref="S67">
    <cfRule type="cellIs" dxfId="36" priority="25" operator="equal">
      <formula>"Muy Alta"</formula>
    </cfRule>
    <cfRule type="cellIs" dxfId="35" priority="26" operator="equal">
      <formula>"Alta"</formula>
    </cfRule>
    <cfRule type="cellIs" dxfId="34" priority="27" operator="equal">
      <formula>"Media"</formula>
    </cfRule>
    <cfRule type="cellIs" dxfId="33" priority="28" operator="equal">
      <formula>"Baja"</formula>
    </cfRule>
    <cfRule type="cellIs" dxfId="32" priority="29" operator="equal">
      <formula>"Muy Baja"</formula>
    </cfRule>
  </conditionalFormatting>
  <conditionalFormatting sqref="Y67">
    <cfRule type="cellIs" dxfId="31" priority="21" operator="equal">
      <formula>"Extremo"</formula>
    </cfRule>
    <cfRule type="cellIs" dxfId="30" priority="22" operator="equal">
      <formula>"Alto"</formula>
    </cfRule>
    <cfRule type="cellIs" dxfId="29" priority="23" operator="equal">
      <formula>"Moderado"</formula>
    </cfRule>
    <cfRule type="cellIs" dxfId="28" priority="24" operator="equal">
      <formula>"Bajo"</formula>
    </cfRule>
  </conditionalFormatting>
  <conditionalFormatting sqref="AJ67:AJ72">
    <cfRule type="cellIs" dxfId="27" priority="16" operator="equal">
      <formula>"Muy Alta"</formula>
    </cfRule>
    <cfRule type="cellIs" dxfId="26" priority="17" operator="equal">
      <formula>"Alta"</formula>
    </cfRule>
    <cfRule type="cellIs" dxfId="25" priority="18" operator="equal">
      <formula>"Media"</formula>
    </cfRule>
    <cfRule type="cellIs" dxfId="24" priority="19" operator="equal">
      <formula>"Baja"</formula>
    </cfRule>
    <cfRule type="cellIs" dxfId="23" priority="20" operator="equal">
      <formula>"Muy Baja"</formula>
    </cfRule>
  </conditionalFormatting>
  <conditionalFormatting sqref="AL67:AL72">
    <cfRule type="cellIs" dxfId="22" priority="11" operator="equal">
      <formula>"Catastrófico"</formula>
    </cfRule>
    <cfRule type="cellIs" dxfId="21" priority="12" operator="equal">
      <formula>"Mayor"</formula>
    </cfRule>
    <cfRule type="cellIs" dxfId="20" priority="13" operator="equal">
      <formula>"Moderado"</formula>
    </cfRule>
    <cfRule type="cellIs" dxfId="19" priority="14" operator="equal">
      <formula>"Menor"</formula>
    </cfRule>
    <cfRule type="cellIs" dxfId="18" priority="15" operator="equal">
      <formula>"Leve"</formula>
    </cfRule>
  </conditionalFormatting>
  <conditionalFormatting sqref="AN67:AN72">
    <cfRule type="cellIs" dxfId="17" priority="7" operator="equal">
      <formula>"Extremo"</formula>
    </cfRule>
    <cfRule type="cellIs" dxfId="16" priority="8" operator="equal">
      <formula>"Alto"</formula>
    </cfRule>
    <cfRule type="cellIs" dxfId="15" priority="9" operator="equal">
      <formula>"Moderado"</formula>
    </cfRule>
    <cfRule type="cellIs" dxfId="14" priority="10" operator="equal">
      <formula>"Bajo"</formula>
    </cfRule>
  </conditionalFormatting>
  <conditionalFormatting sqref="V13:V72">
    <cfRule type="containsText" dxfId="13" priority="6" operator="containsText" text="❌">
      <formula>NOT(ISERROR(SEARCH("❌",V13)))</formula>
    </cfRule>
  </conditionalFormatting>
  <conditionalFormatting sqref="S55">
    <cfRule type="cellIs" dxfId="12" priority="1" operator="equal">
      <formula>"Muy Alta"</formula>
    </cfRule>
    <cfRule type="cellIs" dxfId="11" priority="2" operator="equal">
      <formula>"Alta"</formula>
    </cfRule>
    <cfRule type="cellIs" dxfId="10" priority="3" operator="equal">
      <formula>"Media"</formula>
    </cfRule>
    <cfRule type="cellIs" dxfId="9" priority="4" operator="equal">
      <formula>"Baja"</formula>
    </cfRule>
    <cfRule type="cellIs" dxfId="8"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&amp;LAvenida Calle 26 No. 69-76,Edificio Elemento ,   Torre Aire , Piso 3, CP-111071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26" max="23" man="1"/>
  </colBreaks>
  <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800-000000000000}">
          <x14:formula1>
            <xm:f>Listas!$H$14:$H$18</xm:f>
          </x14:formula1>
          <xm:sqref>Q13:Q72</xm:sqref>
        </x14:dataValidation>
        <x14:dataValidation type="list" allowBlank="1" showInputMessage="1" showErrorMessage="1" xr:uid="{00000000-0002-0000-0800-000001000000}">
          <x14:formula1>
            <xm:f>Listas!$H$8:$H$12</xm:f>
          </x14:formula1>
          <xm:sqref>P13:P72</xm:sqref>
        </x14:dataValidation>
        <x14:dataValidation type="list" allowBlank="1" showInputMessage="1" showErrorMessage="1" xr:uid="{00000000-0002-0000-0800-000002000000}">
          <x14:formula1>
            <xm:f>Intructivo!$C$300:$C$316</xm:f>
          </x14:formula1>
          <xm:sqref>C6:Z6</xm:sqref>
        </x14:dataValidation>
        <x14:dataValidation type="list" allowBlank="1" showInputMessage="1" showErrorMessage="1" xr:uid="{00000000-0002-0000-0800-000003000000}">
          <x14:formula1>
            <xm:f>Listas!$F$8:$F$9</xm:f>
          </x14:formula1>
          <xm:sqref>K13:K72</xm:sqref>
        </x14:dataValidation>
        <x14:dataValidation type="list" allowBlank="1" showInputMessage="1" showErrorMessage="1" xr:uid="{00000000-0002-0000-0800-000004000000}">
          <x14:formula1>
            <xm:f>Listas!$B$20:$B$22</xm:f>
          </x14:formula1>
          <xm:sqref>F13:F72</xm:sqref>
        </x14:dataValidation>
        <x14:dataValidation type="custom" allowBlank="1" showInputMessage="1" showErrorMessage="1" error="Recuerde que las acciones se generan bajo la medida de mitigar el riesgo" xr:uid="{00000000-0002-0000-0800-000005000000}">
          <x14:formula1>
            <xm:f>IF(OR(#REF!=Listas!$B$2,#REF!=Listas!$B$3,#REF!=Listas!$B$4),ISBLANK(#REF!),ISTEXT(#REF!))</xm:f>
          </x14:formula1>
          <xm:sqref>AT19:AV19 AT67:AV67 AT61:AV61 AT55:AV55 AT49:AV49 AT43:AV43 AT37:AV37 AT31:AV31 AT25:AV25</xm:sqref>
        </x14:dataValidation>
        <x14:dataValidation type="custom" allowBlank="1" showInputMessage="1" showErrorMessage="1" error="Recuerde que las acciones se generan bajo la medida de mitigar el riesgo" xr:uid="{00000000-0002-0000-0800-000006000000}">
          <x14:formula1>
            <xm:f>IF(OR(AO13=Listas!$B$2,AO13=Listas!$B$3,AO13=Listas!$B$4),ISBLANK(AO13),ISTEXT(AO13))</xm:f>
          </x14:formula1>
          <xm:sqref>AS13:AS72</xm:sqref>
        </x14:dataValidation>
        <x14:dataValidation type="custom" allowBlank="1" showInputMessage="1" showErrorMessage="1" error="Recuerde que las acciones se generan bajo la medida de mitigar el riesgo" xr:uid="{00000000-0002-0000-0800-000007000000}">
          <x14:formula1>
            <xm:f>IF(OR(AO13=Listas!$B$2,AO13=Listas!$B$3,AO13=Listas!$B$4),ISBLANK(AO13),ISTEXT(AO13))</xm:f>
          </x14:formula1>
          <xm:sqref>AQ13:AR72</xm:sqref>
        </x14:dataValidation>
        <x14:dataValidation type="custom" allowBlank="1" showInputMessage="1" showErrorMessage="1" error="Recuerde que las acciones se generan bajo la medida de mitigar el riesgo" xr:uid="{00000000-0002-0000-0800-000008000000}">
          <x14:formula1>
            <xm:f>IF(OR(AO13=Listas!$B$2,AO13=Listas!$B$3,AO13=Listas!$B$4),ISBLANK(AO13),ISTEXT(AO13))</xm:f>
          </x14:formula1>
          <xm:sqref>AP13:AP72</xm:sqref>
        </x14:dataValidation>
        <x14:dataValidation type="list" allowBlank="1" showInputMessage="1" showErrorMessage="1" xr:uid="{00000000-0002-0000-0800-000009000000}">
          <x14:formula1>
            <xm:f>'Tabla Impacto'!$F$211:$F$222</xm:f>
          </x14:formula1>
          <xm:sqref>U13:U72</xm:sqref>
        </x14:dataValidation>
        <x14:dataValidation type="list" allowBlank="1" showInputMessage="1" showErrorMessage="1" xr:uid="{00000000-0002-0000-0800-00000A000000}">
          <x14:formula1>
            <xm:f>Listas!$B$2:$B$5</xm:f>
          </x14:formula1>
          <xm:sqref>AO13:AO72</xm:sqref>
        </x14:dataValidation>
        <x14:dataValidation type="list" allowBlank="1" showInputMessage="1" showErrorMessage="1" xr:uid="{00000000-0002-0000-0800-00000B000000}">
          <x14:formula1>
            <xm:f>Listas!$E$2:$E$4</xm:f>
          </x14:formula1>
          <xm:sqref>B13:B72</xm:sqref>
        </x14:dataValidation>
        <x14:dataValidation type="list" allowBlank="1" showInputMessage="1" showErrorMessage="1" xr:uid="{00000000-0002-0000-0800-00000C000000}">
          <x14:formula1>
            <xm:f>'Tabla Valoración controles'!$D$13:$D$14</xm:f>
          </x14:formula1>
          <xm:sqref>AH13:AH72</xm:sqref>
        </x14:dataValidation>
        <x14:dataValidation type="list" allowBlank="1" showInputMessage="1" showErrorMessage="1" xr:uid="{00000000-0002-0000-0800-00000D000000}">
          <x14:formula1>
            <xm:f>'Tabla Valoración controles'!$D$11:$D$12</xm:f>
          </x14:formula1>
          <xm:sqref>AG13:AG72</xm:sqref>
        </x14:dataValidation>
        <x14:dataValidation type="list" allowBlank="1" showInputMessage="1" showErrorMessage="1" xr:uid="{00000000-0002-0000-0800-00000E000000}">
          <x14:formula1>
            <xm:f>'Tabla Valoración controles'!$D$9:$D$10</xm:f>
          </x14:formula1>
          <xm:sqref>AF13:AF72</xm:sqref>
        </x14:dataValidation>
        <x14:dataValidation type="list" allowBlank="1" showInputMessage="1" showErrorMessage="1" xr:uid="{00000000-0002-0000-0800-00000F000000}">
          <x14:formula1>
            <xm:f>'Tabla Valoración controles'!$D$7:$D$8</xm:f>
          </x14:formula1>
          <xm:sqref>AD13:AD72</xm:sqref>
        </x14:dataValidation>
        <x14:dataValidation type="list" allowBlank="1" showInputMessage="1" showErrorMessage="1" xr:uid="{00000000-0002-0000-0800-000010000000}">
          <x14:formula1>
            <xm:f>'Tabla Valoración controles'!$D$4:$D$6</xm:f>
          </x14:formula1>
          <xm:sqref>AC13:AC72</xm:sqref>
        </x14:dataValidation>
        <x14:dataValidation type="list" allowBlank="1" showInputMessage="1" showErrorMessage="1" xr:uid="{00000000-0002-0000-0800-000011000000}">
          <x14:formula1>
            <xm:f>Amenazas!$C$2:$C$11</xm:f>
          </x14:formula1>
          <xm:sqref>G13:G72</xm:sqref>
        </x14:dataValidation>
        <x14:dataValidation type="list" allowBlank="1" showInputMessage="1" showErrorMessage="1" xr:uid="{00000000-0002-0000-0800-000012000000}">
          <x14:formula1>
            <xm:f>Listas!$B$25:$B$32</xm:f>
          </x14:formula1>
          <xm:sqref>I13:I72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9" ma:contentTypeDescription="Crear nuevo documento." ma:contentTypeScope="" ma:versionID="1546d84508d0a19fa9f2decf4348aac9">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54bed18be0c869b59340f686d3cdf95e"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0eaac67-e064-433b-ba54-6f78c0f1ecb1">
      <UserInfo>
        <DisplayName>Stefany Ospino Cuellar</DisplayName>
        <AccountId>1659</AccountId>
        <AccountType/>
      </UserInfo>
      <UserInfo>
        <DisplayName>German Andres Hernandez Matiz</DisplayName>
        <AccountId>571</AccountId>
        <AccountType/>
      </UserInfo>
    </SharedWithUsers>
    <TaxCatchAll xmlns="70eaac67-e064-433b-ba54-6f78c0f1ecb1" xsi:nil="true"/>
    <lcf76f155ced4ddcb4097134ff3c332f xmlns="64d77176-54eb-4753-be67-9b2e2fa23e0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F9D396-168A-421B-BF9D-116A92C771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D5E4EF-2809-49C9-8DCF-B2E4E5208101}">
  <ds:schemaRefs>
    <ds:schemaRef ds:uri="http://schemas.openxmlformats.org/package/2006/metadata/core-properties"/>
    <ds:schemaRef ds:uri="http://www.w3.org/XML/1998/namespace"/>
    <ds:schemaRef ds:uri="http://purl.org/dc/elements/1.1/"/>
    <ds:schemaRef ds:uri="http://schemas.microsoft.com/office/2006/documentManagement/types"/>
    <ds:schemaRef ds:uri="http://schemas.microsoft.com/office/infopath/2007/PartnerControls"/>
    <ds:schemaRef ds:uri="http://purl.org/dc/terms/"/>
    <ds:schemaRef ds:uri="70eaac67-e064-433b-ba54-6f78c0f1ecb1"/>
    <ds:schemaRef ds:uri="http://schemas.microsoft.com/sharepoint/v3"/>
    <ds:schemaRef ds:uri="http://purl.org/dc/dcmitype/"/>
    <ds:schemaRef ds:uri="http://schemas.microsoft.com/office/2006/metadata/properties"/>
    <ds:schemaRef ds:uri="64d77176-54eb-4753-be67-9b2e2fa23e0f"/>
  </ds:schemaRefs>
</ds:datastoreItem>
</file>

<file path=customXml/itemProps3.xml><?xml version="1.0" encoding="utf-8"?>
<ds:datastoreItem xmlns:ds="http://schemas.openxmlformats.org/officeDocument/2006/customXml" ds:itemID="{0238E702-99CD-4A3A-A328-D1F3ADA68E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7</vt:i4>
      </vt:variant>
    </vt:vector>
  </HeadingPairs>
  <TitlesOfParts>
    <vt:vector size="23" baseType="lpstr">
      <vt:lpstr>Intructivo</vt:lpstr>
      <vt:lpstr>Revisión DOFA</vt:lpstr>
      <vt:lpstr>Listas</vt:lpstr>
      <vt:lpstr>Riesgos de Gestión</vt:lpstr>
      <vt:lpstr>Matriz Calor Inherente</vt:lpstr>
      <vt:lpstr>Matriz Calor Residual</vt:lpstr>
      <vt:lpstr>Riesgos de Corrupción</vt:lpstr>
      <vt:lpstr>Impacto Corrupción </vt:lpstr>
      <vt:lpstr>Riesgos de Seguridad</vt:lpstr>
      <vt:lpstr>Tabla probabilidad</vt:lpstr>
      <vt:lpstr>Tabla Impacto</vt:lpstr>
      <vt:lpstr>Tipo de riesgos</vt:lpstr>
      <vt:lpstr>Amenazas</vt:lpstr>
      <vt:lpstr>Ejemplos de riesgos</vt:lpstr>
      <vt:lpstr>Tabla Valoración controles</vt:lpstr>
      <vt:lpstr>Hoja1</vt:lpstr>
      <vt:lpstr>'Impacto Corrupción '!Área_de_impresión</vt:lpstr>
      <vt:lpstr>'Riesgos de Corrupción'!Área_de_impresión</vt:lpstr>
      <vt:lpstr>'Riesgos de Gestión'!Área_de_impresión</vt:lpstr>
      <vt:lpstr>'Riesgos de Seguridad'!Área_de_impresión</vt:lpstr>
      <vt:lpstr>'Riesgos de Corrupción'!Títulos_a_imprimir</vt:lpstr>
      <vt:lpstr>'Riesgos de Gestión'!Títulos_a_imprimir</vt:lpstr>
      <vt:lpstr>'Riesgos de Seguridad'!Títulos_a_imprimir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Usuario</cp:lastModifiedBy>
  <cp:revision/>
  <cp:lastPrinted>2022-11-28T21:48:11Z</cp:lastPrinted>
  <dcterms:created xsi:type="dcterms:W3CDTF">2020-03-24T23:12:47Z</dcterms:created>
  <dcterms:modified xsi:type="dcterms:W3CDTF">2023-01-30T14:54:13Z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y fmtid="{D5CDD505-2E9C-101B-9397-08002B2CF9AE}" pid="3" name="MediaServiceImageTags">
    <vt:lpwstr/>
  </property>
</Properties>
</file>