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OneDrive - uaermv\NATA SIG\2022\1. Enero\MR 2022\MR Ajustado\"/>
    </mc:Choice>
  </mc:AlternateContent>
  <bookViews>
    <workbookView xWindow="0" yWindow="0" windowWidth="20490" windowHeight="7620" tabRatio="933" firstSheet="1" activeTab="1"/>
  </bookViews>
  <sheets>
    <sheet name="Intructivo" sheetId="20" r:id="rId1"/>
    <sheet name="DOFA " sheetId="27" r:id="rId2"/>
    <sheet name="Revisión DOFA" sheetId="21" state="hidden" r:id="rId3"/>
    <sheet name="Mapa riesgos" sheetId="1" r:id="rId4"/>
    <sheet name="Matriz Calor Inherente" sheetId="18" r:id="rId5"/>
    <sheet name="Matriz Calor Residual" sheetId="19" r:id="rId6"/>
    <sheet name="Tabla probabilidad" sheetId="12" r:id="rId7"/>
    <sheet name="Tabla Impacto" sheetId="13" r:id="rId8"/>
    <sheet name="Impacto Corrupción " sheetId="22" r:id="rId9"/>
    <sheet name="Tipo de riesgos" sheetId="23" r:id="rId10"/>
    <sheet name="Amenazas" sheetId="28" r:id="rId11"/>
    <sheet name="Ejemplos de riesgos" sheetId="26" r:id="rId12"/>
    <sheet name="Tabla Valoración controles" sheetId="15" r:id="rId13"/>
    <sheet name="Opciones Tratamiento" sheetId="16" state="hidden" r:id="rId14"/>
    <sheet name="Hoja1" sheetId="11" state="hidden" r:id="rId15"/>
  </sheets>
  <externalReferences>
    <externalReference r:id="rId16"/>
    <externalReference r:id="rId17"/>
  </externalReferences>
  <definedNames>
    <definedName name="_xlnm.Print_Area" localSheetId="1">'DOFA '!$B$8:$E$17</definedName>
    <definedName name="_xlnm.Print_Area" localSheetId="8">'Impacto Corrupción '!$A$1:$G$26</definedName>
    <definedName name="_xlnm.Print_Area" localSheetId="3">'Mapa riesgos'!$A$1:$AP$30</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 localSheetId="8">#REF!</definedName>
    <definedName name="impactoco">#REF!</definedName>
    <definedName name="infraestructura">#REF!</definedName>
    <definedName name="interno">#REF!</definedName>
    <definedName name="macroprocesos">#REF!</definedName>
    <definedName name="medio_ambientales">#REF!</definedName>
    <definedName name="opciondelriesgo" localSheetId="8">[1]FORMULAS!$K$4:$K$7</definedName>
    <definedName name="opciondelriesgo">[2]FORMULAS!$K$4:$K$7</definedName>
    <definedName name="personal">#REF!</definedName>
    <definedName name="políticos">#REF!</definedName>
    <definedName name="probabilidad" localSheetId="8">#REF!</definedName>
    <definedName name="probabilidad">[2]FORMULAS!$G$4:$G$8</definedName>
    <definedName name="proceso">#REF!</definedName>
    <definedName name="procesos" localSheetId="8">#REF!</definedName>
    <definedName name="procesos">[2]FORMULAS!$B$4:$B$21</definedName>
    <definedName name="sociales">#REF!</definedName>
    <definedName name="tecnología">#REF!</definedName>
    <definedName name="tecnológicos">#REF!</definedName>
    <definedName name="tipo_de_amenaza" localSheetId="8">[1]FORMULAS!$E$4:$E$11</definedName>
    <definedName name="tipo_de_amenaza">[2]FORMULAS!$E$4:$E$11</definedName>
    <definedName name="tipo_de_riesgos" localSheetId="8">[1]FORMULAS!$C$4:$C$6</definedName>
    <definedName name="tipo_de_riesgos">[2]FORMULAS!$C$4:$C$6</definedName>
    <definedName name="_xlnm.Print_Titles" localSheetId="1">'DOFA '!$9:$9</definedName>
    <definedName name="_xlnm.Print_Titles" localSheetId="3">'Mapa riesgos'!$1:$8</definedName>
  </definedNames>
  <calcPr calcId="162913"/>
  <pivotCaches>
    <pivotCache cacheId="1"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72" i="1" l="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6" i="1"/>
  <c r="AG35" i="1"/>
  <c r="AG34" i="1"/>
  <c r="M13" i="1" l="1"/>
  <c r="N13" i="1" s="1"/>
  <c r="P13" i="1"/>
  <c r="Q13" i="1" s="1"/>
  <c r="R13" i="1" s="1"/>
  <c r="V13" i="1"/>
  <c r="Y13" i="1"/>
  <c r="V14" i="1"/>
  <c r="Y14" i="1"/>
  <c r="V15" i="1"/>
  <c r="Y15" i="1"/>
  <c r="V16" i="1"/>
  <c r="Y16" i="1"/>
  <c r="V17" i="1"/>
  <c r="AG18" i="1" s="1"/>
  <c r="AF18" i="1" s="1"/>
  <c r="Y17" i="1"/>
  <c r="V18" i="1"/>
  <c r="Y18" i="1"/>
  <c r="P14" i="1"/>
  <c r="P18" i="1"/>
  <c r="P15" i="1"/>
  <c r="P16" i="1"/>
  <c r="P17" i="1"/>
  <c r="AC17" i="1" l="1"/>
  <c r="AC18" i="1"/>
  <c r="AE18" i="1" s="1"/>
  <c r="AG16" i="1"/>
  <c r="AF16" i="1" s="1"/>
  <c r="AG13" i="1"/>
  <c r="AF13" i="1" s="1"/>
  <c r="AC13" i="1"/>
  <c r="AE13" i="1" s="1"/>
  <c r="AC14" i="1" s="1"/>
  <c r="AD17" i="1"/>
  <c r="AE17" i="1"/>
  <c r="AD18" i="1"/>
  <c r="AH18" i="1" s="1"/>
  <c r="S13" i="1"/>
  <c r="AG17" i="1"/>
  <c r="AF17" i="1" s="1"/>
  <c r="AC16" i="1"/>
  <c r="AG14" i="1" l="1"/>
  <c r="AF14" i="1" s="1"/>
  <c r="AG15" i="1"/>
  <c r="AF15" i="1" s="1"/>
  <c r="AD13" i="1"/>
  <c r="AH13" i="1" s="1"/>
  <c r="AD14" i="1"/>
  <c r="AE14" i="1"/>
  <c r="AC15" i="1" s="1"/>
  <c r="AD15" i="1" s="1"/>
  <c r="AD16" i="1"/>
  <c r="AH16" i="1" s="1"/>
  <c r="AE16" i="1"/>
  <c r="AH17" i="1"/>
  <c r="AH14" i="1" l="1"/>
  <c r="AH15" i="1"/>
  <c r="AE15" i="1"/>
  <c r="M55" i="1" l="1"/>
  <c r="W8" i="1" l="1"/>
  <c r="W7" i="1"/>
  <c r="W6" i="1"/>
  <c r="V19" i="1" l="1"/>
  <c r="V20" i="1"/>
  <c r="E24" i="22" l="1"/>
  <c r="E8" i="13"/>
  <c r="E7" i="13"/>
  <c r="E6" i="13"/>
  <c r="E5" i="13"/>
  <c r="P47" i="1"/>
  <c r="P22" i="1"/>
  <c r="P35" i="1"/>
  <c r="P69" i="1"/>
  <c r="P42" i="1"/>
  <c r="P21" i="1"/>
  <c r="P23" i="1"/>
  <c r="P59" i="1"/>
  <c r="P71" i="1"/>
  <c r="P53" i="1"/>
  <c r="P62" i="1"/>
  <c r="P60" i="1"/>
  <c r="P66" i="1"/>
  <c r="P20" i="1"/>
  <c r="P36" i="1"/>
  <c r="P46" i="1"/>
  <c r="P30" i="1"/>
  <c r="P34" i="1"/>
  <c r="P54" i="1"/>
  <c r="P24" i="1"/>
  <c r="P39" i="1"/>
  <c r="P56" i="1"/>
  <c r="P50" i="1"/>
  <c r="P70" i="1"/>
  <c r="P33" i="1"/>
  <c r="P57" i="1"/>
  <c r="P27" i="1"/>
  <c r="P64" i="1"/>
  <c r="P63" i="1"/>
  <c r="P65" i="1"/>
  <c r="P29" i="1"/>
  <c r="P38" i="1"/>
  <c r="P68" i="1"/>
  <c r="P45" i="1"/>
  <c r="P51" i="1"/>
  <c r="P26" i="1"/>
  <c r="P41" i="1"/>
  <c r="P52" i="1"/>
  <c r="P40" i="1"/>
  <c r="P32" i="1"/>
  <c r="P44" i="1"/>
  <c r="P48" i="1"/>
  <c r="P58" i="1"/>
  <c r="P72" i="1"/>
  <c r="P28" i="1"/>
  <c r="F222" i="13" l="1"/>
  <c r="F212" i="13"/>
  <c r="F213" i="13"/>
  <c r="F214" i="13"/>
  <c r="F215" i="13"/>
  <c r="F216" i="13"/>
  <c r="F217" i="13"/>
  <c r="F218" i="13"/>
  <c r="F219" i="13"/>
  <c r="F220" i="13"/>
  <c r="F221" i="13"/>
  <c r="F211" i="13"/>
  <c r="B222" i="13" a="1"/>
  <c r="B222" i="13" l="1"/>
  <c r="V55" i="1"/>
  <c r="V50" i="1"/>
  <c r="V44"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Y72" i="1" l="1"/>
  <c r="V72" i="1"/>
  <c r="Y71" i="1"/>
  <c r="V71" i="1"/>
  <c r="Y70" i="1"/>
  <c r="V70" i="1"/>
  <c r="Y69" i="1"/>
  <c r="V69" i="1"/>
  <c r="Y68" i="1"/>
  <c r="V68" i="1"/>
  <c r="Y67" i="1"/>
  <c r="V67" i="1"/>
  <c r="M67" i="1"/>
  <c r="N67" i="1" s="1"/>
  <c r="Y66" i="1"/>
  <c r="V66" i="1"/>
  <c r="Y65" i="1"/>
  <c r="V65" i="1"/>
  <c r="Y64" i="1"/>
  <c r="V64" i="1"/>
  <c r="Y63" i="1"/>
  <c r="V63" i="1"/>
  <c r="Y62" i="1"/>
  <c r="V62" i="1"/>
  <c r="Y61" i="1"/>
  <c r="V61" i="1"/>
  <c r="M61" i="1"/>
  <c r="N61" i="1" s="1"/>
  <c r="Y60" i="1"/>
  <c r="V60" i="1"/>
  <c r="Y59" i="1"/>
  <c r="V59" i="1"/>
  <c r="Y58" i="1"/>
  <c r="V58" i="1"/>
  <c r="Y57" i="1"/>
  <c r="V57" i="1"/>
  <c r="Y56" i="1"/>
  <c r="V56" i="1"/>
  <c r="Y55" i="1"/>
  <c r="N55" i="1"/>
  <c r="Y54" i="1"/>
  <c r="V54" i="1"/>
  <c r="Y53" i="1"/>
  <c r="V53" i="1"/>
  <c r="Y52" i="1"/>
  <c r="V52" i="1"/>
  <c r="Y51" i="1"/>
  <c r="V51" i="1"/>
  <c r="Y50" i="1"/>
  <c r="Y49" i="1"/>
  <c r="V49" i="1"/>
  <c r="M49" i="1"/>
  <c r="N49" i="1" s="1"/>
  <c r="Y48" i="1"/>
  <c r="V48" i="1"/>
  <c r="Y47" i="1"/>
  <c r="V47" i="1"/>
  <c r="Y46" i="1"/>
  <c r="V46" i="1"/>
  <c r="Y45" i="1"/>
  <c r="V45" i="1"/>
  <c r="Y44" i="1"/>
  <c r="Y43" i="1"/>
  <c r="V43" i="1"/>
  <c r="M43" i="1"/>
  <c r="N43" i="1" s="1"/>
  <c r="Y42" i="1"/>
  <c r="V42" i="1"/>
  <c r="Y41" i="1"/>
  <c r="V41" i="1"/>
  <c r="Y40" i="1"/>
  <c r="V40" i="1"/>
  <c r="Y39" i="1"/>
  <c r="V39" i="1"/>
  <c r="Y38" i="1"/>
  <c r="V38" i="1"/>
  <c r="AG39" i="1" s="1"/>
  <c r="Y37" i="1"/>
  <c r="V37" i="1"/>
  <c r="M37" i="1"/>
  <c r="N37" i="1" s="1"/>
  <c r="Y36" i="1"/>
  <c r="V36" i="1"/>
  <c r="Y35" i="1"/>
  <c r="V35" i="1"/>
  <c r="Y34" i="1"/>
  <c r="V34" i="1"/>
  <c r="Y33" i="1"/>
  <c r="V33" i="1"/>
  <c r="Y32" i="1"/>
  <c r="V32" i="1"/>
  <c r="AG33" i="1" s="1"/>
  <c r="Y31" i="1"/>
  <c r="V31" i="1"/>
  <c r="M31" i="1"/>
  <c r="N31" i="1" s="1"/>
  <c r="Y30" i="1"/>
  <c r="V30" i="1"/>
  <c r="Y29" i="1"/>
  <c r="V29" i="1"/>
  <c r="Y28" i="1"/>
  <c r="V28" i="1"/>
  <c r="AG29" i="1" s="1"/>
  <c r="Y27" i="1"/>
  <c r="V27" i="1"/>
  <c r="AG28" i="1" s="1"/>
  <c r="Y26" i="1"/>
  <c r="V26" i="1"/>
  <c r="Y25" i="1"/>
  <c r="V25" i="1"/>
  <c r="M25" i="1"/>
  <c r="N25" i="1" s="1"/>
  <c r="M19" i="1"/>
  <c r="Y24" i="1"/>
  <c r="V24" i="1"/>
  <c r="Y23" i="1"/>
  <c r="V23" i="1"/>
  <c r="Y22" i="1"/>
  <c r="V22" i="1"/>
  <c r="Y21" i="1"/>
  <c r="V21" i="1"/>
  <c r="Y20" i="1"/>
  <c r="Y19" i="1"/>
  <c r="AG24" i="1" l="1"/>
  <c r="AG27" i="1"/>
  <c r="AG30" i="1"/>
  <c r="AG22" i="1"/>
  <c r="AG21" i="1"/>
  <c r="AG23" i="1"/>
  <c r="AG37" i="1"/>
  <c r="AG38" i="1" s="1"/>
  <c r="AG32" i="1"/>
  <c r="AF53" i="1"/>
  <c r="AF54" i="1"/>
  <c r="N19" i="1"/>
  <c r="AC19" i="1" s="1"/>
  <c r="AC67" i="1"/>
  <c r="AC61" i="1"/>
  <c r="AC55" i="1"/>
  <c r="AC49" i="1"/>
  <c r="AC53" i="1"/>
  <c r="AC54" i="1"/>
  <c r="AC43" i="1"/>
  <c r="AC37" i="1"/>
  <c r="AC31" i="1"/>
  <c r="AC25" i="1"/>
  <c r="AD67" i="1" l="1"/>
  <c r="AE67" i="1"/>
  <c r="AC68" i="1" s="1"/>
  <c r="AD68" i="1" s="1"/>
  <c r="AD61" i="1"/>
  <c r="AE61" i="1"/>
  <c r="AC62" i="1" s="1"/>
  <c r="AE62" i="1" s="1"/>
  <c r="AC63" i="1" s="1"/>
  <c r="AD55" i="1"/>
  <c r="AE55" i="1"/>
  <c r="AC56" i="1" s="1"/>
  <c r="AE56" i="1" s="1"/>
  <c r="AC57" i="1" s="1"/>
  <c r="AD54" i="1"/>
  <c r="AE54" i="1"/>
  <c r="AD53" i="1"/>
  <c r="AE53" i="1"/>
  <c r="AD49" i="1"/>
  <c r="AE49" i="1"/>
  <c r="AD43" i="1"/>
  <c r="AE43" i="1"/>
  <c r="AC44" i="1" s="1"/>
  <c r="AE44" i="1" s="1"/>
  <c r="AC45" i="1" s="1"/>
  <c r="AD37" i="1"/>
  <c r="AE37" i="1"/>
  <c r="AD31" i="1"/>
  <c r="AE31" i="1"/>
  <c r="AC32" i="1" s="1"/>
  <c r="AE32" i="1" s="1"/>
  <c r="AC33" i="1" s="1"/>
  <c r="AD33" i="1" s="1"/>
  <c r="AD25" i="1"/>
  <c r="AE25" i="1"/>
  <c r="AC26" i="1" s="1"/>
  <c r="AD26" i="1" s="1"/>
  <c r="AD19" i="1"/>
  <c r="AE19" i="1"/>
  <c r="AC20" i="1" s="1"/>
  <c r="AD62" i="1" l="1"/>
  <c r="AD56" i="1"/>
  <c r="AE26" i="1"/>
  <c r="AC27" i="1" s="1"/>
  <c r="AD27" i="1" s="1"/>
  <c r="AD44" i="1"/>
  <c r="AD32" i="1"/>
  <c r="AD45" i="1"/>
  <c r="AE45" i="1"/>
  <c r="AE63" i="1"/>
  <c r="AC64" i="1" s="1"/>
  <c r="AD63" i="1"/>
  <c r="AE57" i="1"/>
  <c r="AC58" i="1" s="1"/>
  <c r="AD57" i="1"/>
  <c r="AE68" i="1"/>
  <c r="AC69" i="1" s="1"/>
  <c r="AC38" i="1"/>
  <c r="AC50" i="1"/>
  <c r="AE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H53" i="1"/>
  <c r="AH54" i="1"/>
  <c r="AD64" i="1" l="1"/>
  <c r="AE64" i="1"/>
  <c r="AD58" i="1"/>
  <c r="AE58" i="1"/>
  <c r="AC59" i="1" s="1"/>
  <c r="AE27" i="1"/>
  <c r="AC28" i="1" s="1"/>
  <c r="AE28" i="1" s="1"/>
  <c r="AD69" i="1"/>
  <c r="AE69" i="1"/>
  <c r="AC70" i="1" s="1"/>
  <c r="AD50" i="1"/>
  <c r="AE50" i="1"/>
  <c r="AC51" i="1" s="1"/>
  <c r="AD51" i="1" s="1"/>
  <c r="AC46" i="1"/>
  <c r="AD38" i="1"/>
  <c r="AE38" i="1"/>
  <c r="AC39" i="1" s="1"/>
  <c r="AD39" i="1" s="1"/>
  <c r="AC35" i="1"/>
  <c r="AD35" i="1" s="1"/>
  <c r="AC34" i="1"/>
  <c r="AD20" i="1"/>
  <c r="AE20" i="1"/>
  <c r="AC21" i="1" s="1"/>
  <c r="AD21" i="1" s="1"/>
  <c r="AE51" i="1" l="1"/>
  <c r="AC52" i="1" s="1"/>
  <c r="AD52" i="1" s="1"/>
  <c r="AE39" i="1"/>
  <c r="AC40" i="1" s="1"/>
  <c r="AE40" i="1" s="1"/>
  <c r="AC41" i="1" s="1"/>
  <c r="AD59" i="1"/>
  <c r="AE59" i="1"/>
  <c r="AC60" i="1" s="1"/>
  <c r="AC65" i="1"/>
  <c r="AC66" i="1"/>
  <c r="AD28" i="1"/>
  <c r="AD46" i="1"/>
  <c r="AE46" i="1"/>
  <c r="AC47" i="1" s="1"/>
  <c r="AD47" i="1" s="1"/>
  <c r="AC29" i="1"/>
  <c r="AE70" i="1"/>
  <c r="AD70" i="1"/>
  <c r="AD34" i="1"/>
  <c r="AE34" i="1"/>
  <c r="AE35" i="1"/>
  <c r="AC36" i="1" s="1"/>
  <c r="AE21" i="1"/>
  <c r="AC22" i="1" s="1"/>
  <c r="AD22" i="1" s="1"/>
  <c r="AE52" i="1" l="1"/>
  <c r="AD40" i="1"/>
  <c r="AD66" i="1"/>
  <c r="AE66" i="1"/>
  <c r="AD65" i="1"/>
  <c r="AE65" i="1"/>
  <c r="AD60" i="1"/>
  <c r="AE60" i="1"/>
  <c r="AC71" i="1"/>
  <c r="AC72" i="1"/>
  <c r="AE47" i="1"/>
  <c r="AC48" i="1" s="1"/>
  <c r="AD48" i="1" s="1"/>
  <c r="AE41" i="1"/>
  <c r="AC42" i="1" s="1"/>
  <c r="AD41" i="1"/>
  <c r="AD29" i="1"/>
  <c r="AE29" i="1"/>
  <c r="AC30" i="1" s="1"/>
  <c r="AD30" i="1" s="1"/>
  <c r="AD36" i="1"/>
  <c r="AE36" i="1"/>
  <c r="AE22" i="1"/>
  <c r="AC23" i="1" s="1"/>
  <c r="AE23" i="1" s="1"/>
  <c r="AC24" i="1" s="1"/>
  <c r="AD72" i="1" l="1"/>
  <c r="AE72" i="1"/>
  <c r="AD71" i="1"/>
  <c r="AE71" i="1"/>
  <c r="AD42" i="1"/>
  <c r="AE42" i="1"/>
  <c r="AE48" i="1"/>
  <c r="AE30" i="1"/>
  <c r="AD23" i="1"/>
  <c r="AD24" i="1"/>
  <c r="AE24" i="1"/>
  <c r="P43" i="1" l="1"/>
  <c r="Q43" i="1" s="1"/>
  <c r="P31" i="1"/>
  <c r="Q31" i="1" s="1"/>
  <c r="P25" i="1"/>
  <c r="Q25" i="1" s="1"/>
  <c r="P55" i="1"/>
  <c r="Q55" i="1" s="1"/>
  <c r="P49" i="1"/>
  <c r="Q49" i="1" s="1"/>
  <c r="P37" i="1"/>
  <c r="Q37" i="1" s="1"/>
  <c r="P67" i="1"/>
  <c r="Q67" i="1" s="1"/>
  <c r="P61" i="1"/>
  <c r="Q61" i="1" s="1"/>
  <c r="P19" i="1"/>
  <c r="Q19" i="1" s="1"/>
  <c r="Z42" i="18" l="1"/>
  <c r="N42" i="18"/>
  <c r="AF26" i="18"/>
  <c r="N26" i="18"/>
  <c r="AF18" i="18"/>
  <c r="T10" i="18"/>
  <c r="N34" i="18"/>
  <c r="T34" i="18"/>
  <c r="T18" i="18"/>
  <c r="Z18" i="18"/>
  <c r="Z10" i="18"/>
  <c r="AL18" i="18"/>
  <c r="Z26" i="18"/>
  <c r="S61" i="1"/>
  <c r="R61"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R55" i="1"/>
  <c r="AJ42" i="18"/>
  <c r="AJ18" i="18"/>
  <c r="AD26" i="18"/>
  <c r="L10" i="18"/>
  <c r="AD10" i="18"/>
  <c r="X18" i="18"/>
  <c r="AD42" i="18"/>
  <c r="L18" i="18"/>
  <c r="R10" i="18"/>
  <c r="S55" i="1"/>
  <c r="R67" i="1"/>
  <c r="AB36" i="18"/>
  <c r="AH12" i="18"/>
  <c r="P28" i="18"/>
  <c r="AH20" i="18"/>
  <c r="P36" i="18"/>
  <c r="V12" i="18"/>
  <c r="AH28" i="18"/>
  <c r="AB20" i="18"/>
  <c r="J12" i="18"/>
  <c r="J20" i="18"/>
  <c r="S67" i="1"/>
  <c r="P44" i="18"/>
  <c r="AB44" i="18"/>
  <c r="V28" i="18"/>
  <c r="V36" i="18"/>
  <c r="J28" i="18"/>
  <c r="AH36" i="18"/>
  <c r="J44" i="18"/>
  <c r="P12" i="18"/>
  <c r="AB12" i="18"/>
  <c r="V44" i="18"/>
  <c r="AH44" i="18"/>
  <c r="V20" i="18"/>
  <c r="P20" i="18"/>
  <c r="J36" i="18"/>
  <c r="AB28" i="18"/>
  <c r="T38" i="18"/>
  <c r="AF22" i="18"/>
  <c r="N38" i="18"/>
  <c r="AF30" i="18"/>
  <c r="AL6" i="18"/>
  <c r="Z6" i="18"/>
  <c r="S25" i="1"/>
  <c r="T14" i="18"/>
  <c r="T22" i="18"/>
  <c r="N6" i="18"/>
  <c r="AL30" i="18"/>
  <c r="Z22" i="18"/>
  <c r="Z14" i="18"/>
  <c r="R25" i="1"/>
  <c r="AG25" i="1" s="1"/>
  <c r="AG26" i="1" s="1"/>
  <c r="Z30" i="18"/>
  <c r="AL38" i="18"/>
  <c r="AL14" i="18"/>
  <c r="AF6" i="18"/>
  <c r="AL22" i="18"/>
  <c r="T30" i="18"/>
  <c r="Z38" i="18"/>
  <c r="AF14" i="18"/>
  <c r="N30" i="18"/>
  <c r="N14" i="18"/>
  <c r="N22" i="18"/>
  <c r="AF38" i="18"/>
  <c r="T6" i="18"/>
  <c r="R37" i="1"/>
  <c r="X32" i="18"/>
  <c r="AD32" i="18"/>
  <c r="AJ8" i="18"/>
  <c r="L16" i="18"/>
  <c r="R32" i="18"/>
  <c r="AJ32" i="18"/>
  <c r="S37" i="1"/>
  <c r="R40" i="18"/>
  <c r="AJ40" i="18"/>
  <c r="AD24" i="18"/>
  <c r="AJ24" i="18"/>
  <c r="R24" i="18"/>
  <c r="AJ16" i="18"/>
  <c r="AD8" i="18"/>
  <c r="L32" i="18"/>
  <c r="L40" i="18"/>
  <c r="R16" i="18"/>
  <c r="L24" i="18"/>
  <c r="AD16" i="18"/>
  <c r="L8" i="18"/>
  <c r="R8" i="18"/>
  <c r="X40" i="18"/>
  <c r="X8" i="18"/>
  <c r="X16" i="18"/>
  <c r="AD40" i="18"/>
  <c r="X24" i="18"/>
  <c r="R31" i="1"/>
  <c r="AG31" i="1" s="1"/>
  <c r="J40" i="18"/>
  <c r="J16" i="18"/>
  <c r="P16" i="18"/>
  <c r="V8" i="18"/>
  <c r="J8" i="18"/>
  <c r="J24" i="18"/>
  <c r="AH16" i="18"/>
  <c r="AB16" i="18"/>
  <c r="AB40" i="18"/>
  <c r="P32" i="18"/>
  <c r="P40" i="18"/>
  <c r="AH24" i="18"/>
  <c r="AB32" i="18"/>
  <c r="J32" i="18"/>
  <c r="V16" i="18"/>
  <c r="V40" i="18"/>
  <c r="AH32" i="18"/>
  <c r="V24" i="18"/>
  <c r="V32" i="18"/>
  <c r="AH8" i="18"/>
  <c r="AB8" i="18"/>
  <c r="P8" i="18"/>
  <c r="S31" i="1"/>
  <c r="AH40" i="18"/>
  <c r="AB24" i="18"/>
  <c r="P24" i="18"/>
  <c r="AD38" i="18"/>
  <c r="L30" i="18"/>
  <c r="AD30" i="18"/>
  <c r="AJ6" i="18"/>
  <c r="L14" i="18"/>
  <c r="L22" i="18"/>
  <c r="X6" i="18"/>
  <c r="L6" i="18"/>
  <c r="S19" i="1"/>
  <c r="R38" i="18"/>
  <c r="AJ38" i="18"/>
  <c r="L38" i="18"/>
  <c r="AD6" i="18"/>
  <c r="R6" i="18"/>
  <c r="AJ30" i="18"/>
  <c r="R30" i="18"/>
  <c r="AD22" i="18"/>
  <c r="AJ14" i="18"/>
  <c r="AJ22" i="18"/>
  <c r="AD14" i="18"/>
  <c r="X38" i="18"/>
  <c r="X14" i="18"/>
  <c r="R22" i="18"/>
  <c r="X22" i="18"/>
  <c r="R19" i="1"/>
  <c r="AG19" i="1" s="1"/>
  <c r="AG20" i="1" s="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R49" i="1"/>
  <c r="AH34" i="18"/>
  <c r="AH42" i="18"/>
  <c r="AH18" i="18"/>
  <c r="AB10" i="18"/>
  <c r="J26" i="18"/>
  <c r="V18" i="18"/>
  <c r="V42" i="18"/>
  <c r="J42" i="18"/>
  <c r="P10" i="18"/>
  <c r="AB26" i="18"/>
  <c r="J34" i="18"/>
  <c r="J18" i="18"/>
  <c r="AH10" i="18"/>
  <c r="AB34" i="18"/>
  <c r="P26" i="18"/>
  <c r="P34" i="18"/>
  <c r="V34" i="18"/>
  <c r="AH26" i="18"/>
  <c r="J10" i="18"/>
  <c r="S49" i="1"/>
  <c r="P18" i="18"/>
  <c r="AB42" i="18"/>
  <c r="V10" i="18"/>
  <c r="AB18" i="18"/>
  <c r="P42" i="18"/>
  <c r="V26" i="18"/>
  <c r="Z32" i="18"/>
  <c r="N24" i="18"/>
  <c r="AL32" i="18"/>
  <c r="AL40" i="18"/>
  <c r="N8" i="18"/>
  <c r="AF24" i="18"/>
  <c r="Z40" i="18"/>
  <c r="Z16" i="18"/>
  <c r="N32" i="18"/>
  <c r="T32" i="18"/>
  <c r="N40" i="18"/>
  <c r="T8" i="18"/>
  <c r="R43" i="1"/>
  <c r="AF32" i="18"/>
  <c r="AL8" i="18"/>
  <c r="T24" i="18"/>
  <c r="N16" i="18"/>
  <c r="T16" i="18"/>
  <c r="Z24" i="18"/>
  <c r="AF16" i="18"/>
  <c r="S43" i="1"/>
  <c r="T40" i="18"/>
  <c r="AF8" i="18"/>
  <c r="AL24" i="18"/>
  <c r="Z8" i="18"/>
  <c r="AF40" i="18"/>
  <c r="AL16" i="18"/>
  <c r="AF31" i="1" l="1"/>
  <c r="AF67" i="1"/>
  <c r="AF43" i="1"/>
  <c r="AF55" i="1"/>
  <c r="AF19" i="1"/>
  <c r="AF25" i="1"/>
  <c r="AF49" i="1"/>
  <c r="AF37" i="1"/>
  <c r="AF50" i="1" l="1"/>
  <c r="AF56" i="1"/>
  <c r="AF62" i="1"/>
  <c r="AF38" i="1"/>
  <c r="AF44" i="1"/>
  <c r="AF32" i="1"/>
  <c r="AF26" i="1"/>
  <c r="J40" i="19"/>
  <c r="V30" i="19"/>
  <c r="AH20" i="19"/>
  <c r="J30" i="19"/>
  <c r="V20" i="19"/>
  <c r="AH10" i="19"/>
  <c r="P10" i="19"/>
  <c r="AB50" i="19"/>
  <c r="J50" i="19"/>
  <c r="AB40" i="19"/>
  <c r="P30" i="19"/>
  <c r="V50" i="19"/>
  <c r="P50" i="19"/>
  <c r="AB10" i="19"/>
  <c r="AH30" i="19"/>
  <c r="AH40" i="19"/>
  <c r="J10" i="19"/>
  <c r="AB20" i="19"/>
  <c r="AH50" i="19"/>
  <c r="AH37" i="1"/>
  <c r="V10" i="19"/>
  <c r="P20" i="19"/>
  <c r="J20" i="19"/>
  <c r="P40" i="19"/>
  <c r="V40" i="19"/>
  <c r="AB30" i="19"/>
  <c r="J11" i="19"/>
  <c r="V11" i="19"/>
  <c r="AB21" i="19"/>
  <c r="P31" i="19"/>
  <c r="J31" i="19"/>
  <c r="AB41" i="19"/>
  <c r="AH43"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AH67" i="1"/>
  <c r="P25" i="19"/>
  <c r="V55" i="19"/>
  <c r="J15" i="19"/>
  <c r="AB15" i="19"/>
  <c r="J35" i="19"/>
  <c r="AB35" i="19"/>
  <c r="J55" i="19"/>
  <c r="AB25" i="19"/>
  <c r="P35" i="19"/>
  <c r="P55" i="19"/>
  <c r="AB45" i="19"/>
  <c r="P15" i="19"/>
  <c r="J47" i="19"/>
  <c r="V27" i="19"/>
  <c r="AH7" i="19"/>
  <c r="P47" i="19"/>
  <c r="AB27" i="19"/>
  <c r="J17" i="19"/>
  <c r="V47" i="19"/>
  <c r="J37" i="19"/>
  <c r="AH19" i="1"/>
  <c r="AB37" i="19"/>
  <c r="J27" i="19"/>
  <c r="V7" i="19"/>
  <c r="AH37" i="19"/>
  <c r="P27" i="19"/>
  <c r="AB7" i="19"/>
  <c r="P17" i="19"/>
  <c r="V17" i="19"/>
  <c r="AH47" i="19"/>
  <c r="P37" i="19"/>
  <c r="AB17" i="19"/>
  <c r="J7" i="19"/>
  <c r="V37" i="19"/>
  <c r="AH17" i="19"/>
  <c r="P7" i="19"/>
  <c r="AH27" i="19"/>
  <c r="AB47" i="19"/>
  <c r="AH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F61" i="1"/>
  <c r="AH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25"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F45" i="1"/>
  <c r="V32" i="19"/>
  <c r="P42" i="19"/>
  <c r="J12" i="19"/>
  <c r="J32" i="19"/>
  <c r="AB52" i="19"/>
  <c r="AH49" i="1"/>
  <c r="J22" i="19"/>
  <c r="V22" i="19"/>
  <c r="J52" i="19"/>
  <c r="AH12" i="19"/>
  <c r="J42" i="19"/>
  <c r="AH42" i="19"/>
  <c r="P32" i="19"/>
  <c r="AB12" i="19"/>
  <c r="AH32" i="19"/>
  <c r="AB32" i="19"/>
  <c r="AB42" i="19"/>
  <c r="V42" i="19"/>
  <c r="V12" i="19"/>
  <c r="V52" i="19"/>
  <c r="AB22" i="19"/>
  <c r="AH52" i="19"/>
  <c r="AH22" i="19"/>
  <c r="P22" i="19"/>
  <c r="P12" i="19"/>
  <c r="P52" i="19"/>
  <c r="AF51" i="1"/>
  <c r="AF20" i="1"/>
  <c r="AF68" i="1" l="1"/>
  <c r="K45" i="19" s="1"/>
  <c r="AF52" i="1"/>
  <c r="S12" i="19" s="1"/>
  <c r="W37" i="19"/>
  <c r="AI7" i="19"/>
  <c r="W17" i="19"/>
  <c r="W27" i="19"/>
  <c r="Q47" i="19"/>
  <c r="W7" i="19"/>
  <c r="AI17" i="19"/>
  <c r="K47" i="19"/>
  <c r="AI47" i="19"/>
  <c r="Q27" i="19"/>
  <c r="AC27" i="19"/>
  <c r="AC47" i="19"/>
  <c r="AC37" i="19"/>
  <c r="AI37" i="19"/>
  <c r="AH20" i="1"/>
  <c r="AC17" i="19"/>
  <c r="K37" i="19"/>
  <c r="AC7" i="19"/>
  <c r="W47" i="19"/>
  <c r="Q37" i="19"/>
  <c r="AI27" i="19"/>
  <c r="Q7" i="19"/>
  <c r="K27" i="19"/>
  <c r="K17" i="19"/>
  <c r="K7" i="19"/>
  <c r="Q17" i="19"/>
  <c r="AC14" i="19"/>
  <c r="Q14" i="19"/>
  <c r="AI54" i="19"/>
  <c r="Q54" i="19"/>
  <c r="Q24" i="19"/>
  <c r="AI14" i="19"/>
  <c r="W24" i="19"/>
  <c r="AC44" i="19"/>
  <c r="K54" i="19"/>
  <c r="AI34" i="19"/>
  <c r="W14" i="19"/>
  <c r="K24" i="19"/>
  <c r="AC24" i="19"/>
  <c r="AI44" i="19"/>
  <c r="AI24" i="19"/>
  <c r="W44" i="19"/>
  <c r="Q44" i="19"/>
  <c r="AC54" i="19"/>
  <c r="AH62"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H44" i="1"/>
  <c r="P54" i="19"/>
  <c r="AH14" i="19"/>
  <c r="AB14" i="19"/>
  <c r="AH34" i="19"/>
  <c r="AB54" i="19"/>
  <c r="AH54" i="19"/>
  <c r="AH61"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H51" i="1"/>
  <c r="AD12" i="19"/>
  <c r="AD32" i="19"/>
  <c r="AD22" i="19"/>
  <c r="X52" i="19"/>
  <c r="AD52" i="19"/>
  <c r="L42" i="19"/>
  <c r="R42" i="19"/>
  <c r="AJ21" i="19"/>
  <c r="AD31" i="19"/>
  <c r="R21" i="19"/>
  <c r="AD41" i="19"/>
  <c r="AJ11" i="19"/>
  <c r="AJ51" i="19"/>
  <c r="AH45" i="1"/>
  <c r="L41" i="19"/>
  <c r="AD11" i="19"/>
  <c r="L21" i="19"/>
  <c r="L11" i="19"/>
  <c r="X51" i="19"/>
  <c r="X21" i="19"/>
  <c r="R11" i="19"/>
  <c r="R31" i="19"/>
  <c r="AJ41" i="19"/>
  <c r="L31" i="19"/>
  <c r="R51" i="19"/>
  <c r="X31" i="19"/>
  <c r="X11" i="19"/>
  <c r="X41" i="19"/>
  <c r="AJ31" i="19"/>
  <c r="AD51" i="19"/>
  <c r="R41" i="19"/>
  <c r="AD21" i="19"/>
  <c r="L51" i="19"/>
  <c r="AF21" i="1"/>
  <c r="AF33" i="1"/>
  <c r="AF57" i="1"/>
  <c r="K42" i="19"/>
  <c r="AC32" i="19"/>
  <c r="W42" i="19"/>
  <c r="AI52" i="19"/>
  <c r="K22" i="19"/>
  <c r="Q32" i="19"/>
  <c r="AI12" i="19"/>
  <c r="AC52" i="19"/>
  <c r="Q42" i="19"/>
  <c r="AC42" i="19"/>
  <c r="K12" i="19"/>
  <c r="Q22" i="19"/>
  <c r="W52" i="19"/>
  <c r="AI42" i="19"/>
  <c r="W32" i="19"/>
  <c r="AI22" i="19"/>
  <c r="W12" i="19"/>
  <c r="AI32" i="19"/>
  <c r="AC12" i="19"/>
  <c r="Q12" i="19"/>
  <c r="Q52" i="19"/>
  <c r="AH50" i="1"/>
  <c r="K32" i="19"/>
  <c r="W22" i="19"/>
  <c r="K52" i="19"/>
  <c r="AC22" i="19"/>
  <c r="AC40" i="19"/>
  <c r="W10" i="19"/>
  <c r="AC50" i="19"/>
  <c r="Q10" i="19"/>
  <c r="Q30" i="19"/>
  <c r="W50" i="19"/>
  <c r="K40" i="19"/>
  <c r="Q50" i="19"/>
  <c r="W20" i="19"/>
  <c r="AH38"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F63" i="1"/>
  <c r="K39" i="19"/>
  <c r="AC39" i="19"/>
  <c r="W29" i="19"/>
  <c r="AI49" i="19"/>
  <c r="W9" i="19"/>
  <c r="AC19" i="19"/>
  <c r="Q49" i="19"/>
  <c r="W49" i="19"/>
  <c r="AC9" i="19"/>
  <c r="AI9" i="19"/>
  <c r="Q29" i="19"/>
  <c r="W39" i="19"/>
  <c r="Q39" i="19"/>
  <c r="AH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H56" i="1"/>
  <c r="Q33" i="19"/>
  <c r="AI23" i="19"/>
  <c r="K53" i="19"/>
  <c r="AC23" i="19"/>
  <c r="AC13" i="19"/>
  <c r="W23" i="19"/>
  <c r="W33" i="19"/>
  <c r="Q13" i="19"/>
  <c r="W13" i="19"/>
  <c r="AI13" i="19"/>
  <c r="Q43" i="19"/>
  <c r="Q23" i="19"/>
  <c r="W53" i="19"/>
  <c r="M12" i="19"/>
  <c r="AK42" i="19"/>
  <c r="AE32" i="19"/>
  <c r="AH52" i="1"/>
  <c r="Y52" i="19"/>
  <c r="S22" i="19"/>
  <c r="AK52" i="19"/>
  <c r="M22" i="19"/>
  <c r="AK32" i="19"/>
  <c r="AE22" i="19"/>
  <c r="AE42" i="19"/>
  <c r="S42" i="19"/>
  <c r="AF46" i="1"/>
  <c r="AF48" i="1"/>
  <c r="AF47" i="1"/>
  <c r="AF39"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H26" i="1"/>
  <c r="S52" i="19" l="1"/>
  <c r="AK22" i="19"/>
  <c r="AK12" i="19"/>
  <c r="AE52" i="19"/>
  <c r="Y42" i="19"/>
  <c r="Q55" i="19"/>
  <c r="Y22" i="19"/>
  <c r="Y32" i="19"/>
  <c r="AE12" i="19"/>
  <c r="M52" i="19"/>
  <c r="Y12" i="19"/>
  <c r="S32" i="19"/>
  <c r="M32" i="19"/>
  <c r="M42" i="19"/>
  <c r="W45" i="19"/>
  <c r="K25" i="19"/>
  <c r="W55" i="19"/>
  <c r="AI25" i="19"/>
  <c r="AI45" i="19"/>
  <c r="Q25" i="19"/>
  <c r="AH68" i="1"/>
  <c r="AC35" i="19"/>
  <c r="AI15" i="19"/>
  <c r="Q35" i="19"/>
  <c r="W25" i="19"/>
  <c r="AC25" i="19"/>
  <c r="AI55" i="19"/>
  <c r="K15" i="19"/>
  <c r="Q15" i="19"/>
  <c r="K35" i="19"/>
  <c r="W35" i="19"/>
  <c r="W15" i="19"/>
  <c r="AC15" i="19"/>
  <c r="Q45" i="19"/>
  <c r="AC55" i="19"/>
  <c r="K55" i="19"/>
  <c r="AC45" i="19"/>
  <c r="AI35" i="19"/>
  <c r="AF69" i="1"/>
  <c r="AF27" i="1"/>
  <c r="R18" i="19" s="1"/>
  <c r="R40" i="19"/>
  <c r="AD10" i="19"/>
  <c r="X40" i="19"/>
  <c r="AJ10" i="19"/>
  <c r="R50" i="19"/>
  <c r="X10" i="19"/>
  <c r="R30" i="19"/>
  <c r="AH39" i="1"/>
  <c r="L10" i="19"/>
  <c r="L50" i="19"/>
  <c r="AJ20" i="19"/>
  <c r="AJ40" i="19"/>
  <c r="AD30" i="19"/>
  <c r="R20" i="19"/>
  <c r="AD50" i="19"/>
  <c r="AJ30" i="19"/>
  <c r="AJ50" i="19"/>
  <c r="X30" i="19"/>
  <c r="AD20" i="19"/>
  <c r="L40" i="19"/>
  <c r="X50" i="19"/>
  <c r="X20" i="19"/>
  <c r="AD40" i="19"/>
  <c r="R10" i="19"/>
  <c r="L30" i="19"/>
  <c r="L20" i="19"/>
  <c r="AF58" i="1"/>
  <c r="AF72" i="1"/>
  <c r="AD47" i="19"/>
  <c r="AJ27" i="19"/>
  <c r="AD27" i="19"/>
  <c r="AJ7" i="19"/>
  <c r="AJ37" i="19"/>
  <c r="L27" i="19"/>
  <c r="AD17" i="19"/>
  <c r="L37" i="19"/>
  <c r="R17" i="19"/>
  <c r="AJ17" i="19"/>
  <c r="X7" i="19"/>
  <c r="X47" i="19"/>
  <c r="L7" i="19"/>
  <c r="L17" i="19"/>
  <c r="R27" i="19"/>
  <c r="X27" i="19"/>
  <c r="R7" i="19"/>
  <c r="X17" i="19"/>
  <c r="AJ47" i="19"/>
  <c r="L47" i="19"/>
  <c r="R37" i="19"/>
  <c r="AD7" i="19"/>
  <c r="X37" i="19"/>
  <c r="AH21" i="1"/>
  <c r="R47" i="19"/>
  <c r="AD37" i="19"/>
  <c r="AF29" i="1"/>
  <c r="AF28" i="1"/>
  <c r="AF30" i="1"/>
  <c r="AJ43" i="19"/>
  <c r="AD33" i="19"/>
  <c r="X33" i="19"/>
  <c r="X13" i="19"/>
  <c r="AD43" i="19"/>
  <c r="L43" i="19"/>
  <c r="AH57" i="1"/>
  <c r="X23" i="19"/>
  <c r="R33" i="19"/>
  <c r="R43" i="19"/>
  <c r="AD53" i="19"/>
  <c r="AJ13" i="19"/>
  <c r="R23" i="19"/>
  <c r="R13" i="19"/>
  <c r="AJ53" i="19"/>
  <c r="L33" i="19"/>
  <c r="L23" i="19"/>
  <c r="X43" i="19"/>
  <c r="X53" i="19"/>
  <c r="AD13" i="19"/>
  <c r="L53" i="19"/>
  <c r="L13" i="19"/>
  <c r="AD23" i="19"/>
  <c r="AJ33" i="19"/>
  <c r="AJ23" i="19"/>
  <c r="R53" i="19"/>
  <c r="AF22" i="1"/>
  <c r="Z11" i="19"/>
  <c r="AF31" i="19"/>
  <c r="T51" i="19"/>
  <c r="N51" i="19"/>
  <c r="Z41" i="19"/>
  <c r="AF21" i="19"/>
  <c r="AL31" i="19"/>
  <c r="T31" i="19"/>
  <c r="Z31" i="19"/>
  <c r="N21" i="19"/>
  <c r="N31" i="19"/>
  <c r="AL11" i="19"/>
  <c r="T11" i="19"/>
  <c r="AF11" i="19"/>
  <c r="AL41" i="19"/>
  <c r="T21" i="19"/>
  <c r="Z21" i="19"/>
  <c r="AL51" i="19"/>
  <c r="N11" i="19"/>
  <c r="AF51" i="19"/>
  <c r="N41" i="19"/>
  <c r="Z51" i="19"/>
  <c r="AH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H48" i="1"/>
  <c r="AG11" i="19"/>
  <c r="AM41" i="19"/>
  <c r="AA21" i="19"/>
  <c r="AA51" i="19"/>
  <c r="U51" i="19"/>
  <c r="U31" i="19"/>
  <c r="AA11" i="19"/>
  <c r="AG21" i="19"/>
  <c r="O31" i="19"/>
  <c r="AF64" i="1"/>
  <c r="AF34" i="1"/>
  <c r="AF35" i="1"/>
  <c r="AF36"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F40" i="1"/>
  <c r="AE11" i="19"/>
  <c r="Y41" i="19"/>
  <c r="M41" i="19"/>
  <c r="Y21" i="19"/>
  <c r="AK41" i="19"/>
  <c r="S31" i="19"/>
  <c r="M31" i="19"/>
  <c r="M51" i="19"/>
  <c r="Y51" i="19"/>
  <c r="AK21" i="19"/>
  <c r="AK31" i="19"/>
  <c r="Y11" i="19"/>
  <c r="AE41" i="19"/>
  <c r="AE21" i="19"/>
  <c r="S51" i="19"/>
  <c r="AE51" i="19"/>
  <c r="AK51" i="19"/>
  <c r="M21" i="19"/>
  <c r="AE31" i="19"/>
  <c r="AH46" i="1"/>
  <c r="S41" i="19"/>
  <c r="AK11" i="19"/>
  <c r="S11" i="19"/>
  <c r="Y31" i="19"/>
  <c r="S21" i="19"/>
  <c r="M11" i="19"/>
  <c r="L54" i="19"/>
  <c r="AJ14" i="19"/>
  <c r="AD44" i="19"/>
  <c r="X54" i="19"/>
  <c r="R14" i="19"/>
  <c r="AD24" i="19"/>
  <c r="AD34" i="19"/>
  <c r="R54" i="19"/>
  <c r="L34" i="19"/>
  <c r="AJ34" i="19"/>
  <c r="X24" i="19"/>
  <c r="AJ24" i="19"/>
  <c r="X44" i="19"/>
  <c r="R24" i="19"/>
  <c r="AH63" i="1"/>
  <c r="X34" i="19"/>
  <c r="L14" i="19"/>
  <c r="AD14" i="19"/>
  <c r="L44" i="19"/>
  <c r="R44" i="19"/>
  <c r="AD54" i="19"/>
  <c r="X14" i="19"/>
  <c r="AJ44" i="19"/>
  <c r="R34" i="19"/>
  <c r="AJ54" i="19"/>
  <c r="L24" i="19"/>
  <c r="AD29" i="19"/>
  <c r="AD19" i="19"/>
  <c r="R39" i="19"/>
  <c r="R9" i="19"/>
  <c r="X49" i="19"/>
  <c r="X9" i="19"/>
  <c r="AD39" i="19"/>
  <c r="R29" i="19"/>
  <c r="L49" i="19"/>
  <c r="X19" i="19"/>
  <c r="X29" i="19"/>
  <c r="X39" i="19"/>
  <c r="L9" i="19"/>
  <c r="AH33" i="1"/>
  <c r="AD9" i="19"/>
  <c r="AJ49" i="19"/>
  <c r="L39" i="19"/>
  <c r="R19" i="19"/>
  <c r="AJ39" i="19"/>
  <c r="AJ29" i="19"/>
  <c r="AJ19" i="19"/>
  <c r="AJ9" i="19"/>
  <c r="AD49" i="19"/>
  <c r="L19" i="19"/>
  <c r="L29" i="19"/>
  <c r="R49" i="19"/>
  <c r="R15" i="19" l="1"/>
  <c r="R55" i="19"/>
  <c r="AD25" i="19"/>
  <c r="L55" i="19"/>
  <c r="AJ35" i="19"/>
  <c r="X55" i="19"/>
  <c r="X35" i="19"/>
  <c r="AH69" i="1"/>
  <c r="AD15" i="19"/>
  <c r="X25" i="19"/>
  <c r="X45" i="19"/>
  <c r="L35" i="19"/>
  <c r="R35" i="19"/>
  <c r="AJ15" i="19"/>
  <c r="L15" i="19"/>
  <c r="AJ25" i="19"/>
  <c r="AJ55" i="19"/>
  <c r="L45" i="19"/>
  <c r="AD35" i="19"/>
  <c r="R25" i="19"/>
  <c r="AD45" i="19"/>
  <c r="R45" i="19"/>
  <c r="AD55" i="19"/>
  <c r="X15" i="19"/>
  <c r="L25" i="19"/>
  <c r="AJ45" i="19"/>
  <c r="AF71" i="1"/>
  <c r="Z35" i="19" s="1"/>
  <c r="AF70" i="1"/>
  <c r="AJ48" i="19"/>
  <c r="L18" i="19"/>
  <c r="AD8" i="19"/>
  <c r="AJ8" i="19"/>
  <c r="AJ28" i="19"/>
  <c r="R48" i="19"/>
  <c r="X48" i="19"/>
  <c r="L8" i="19"/>
  <c r="AD28" i="19"/>
  <c r="X38" i="19"/>
  <c r="AH27" i="1"/>
  <c r="X8" i="19"/>
  <c r="L48" i="19"/>
  <c r="AD48" i="19"/>
  <c r="AD38" i="19"/>
  <c r="X18" i="19"/>
  <c r="R38" i="19"/>
  <c r="R8" i="19"/>
  <c r="L38" i="19"/>
  <c r="R28" i="19"/>
  <c r="AJ38" i="19"/>
  <c r="AD18" i="19"/>
  <c r="L28" i="19"/>
  <c r="AJ18" i="19"/>
  <c r="X28" i="19"/>
  <c r="AF41" i="1"/>
  <c r="AF42" i="1"/>
  <c r="AG39" i="19"/>
  <c r="AG29" i="19"/>
  <c r="AM19" i="19"/>
  <c r="O39" i="19"/>
  <c r="AH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H64" i="1"/>
  <c r="AE24" i="19"/>
  <c r="S14" i="19"/>
  <c r="AK17" i="19"/>
  <c r="S27" i="19"/>
  <c r="S37" i="19"/>
  <c r="AE27" i="19"/>
  <c r="Y47" i="19"/>
  <c r="S7" i="19"/>
  <c r="M17" i="19"/>
  <c r="AE17" i="19"/>
  <c r="AK27" i="19"/>
  <c r="Y7" i="19"/>
  <c r="Y37" i="19"/>
  <c r="AE37" i="19"/>
  <c r="Y27" i="19"/>
  <c r="M47" i="19"/>
  <c r="AH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H28" i="1"/>
  <c r="AE28" i="19"/>
  <c r="AA55" i="19"/>
  <c r="O45" i="19"/>
  <c r="AA15" i="19"/>
  <c r="AM55" i="19"/>
  <c r="O55" i="19"/>
  <c r="AG35" i="19"/>
  <c r="AM25" i="19"/>
  <c r="AM35" i="19"/>
  <c r="AA25" i="19"/>
  <c r="AM45" i="19"/>
  <c r="AG25" i="19"/>
  <c r="AA35" i="19"/>
  <c r="O25" i="19"/>
  <c r="U25" i="19"/>
  <c r="AG45" i="19"/>
  <c r="U35" i="19"/>
  <c r="AA45" i="19"/>
  <c r="AM15" i="19"/>
  <c r="U45" i="19"/>
  <c r="O35" i="19"/>
  <c r="O15" i="19"/>
  <c r="AH72" i="1"/>
  <c r="AG15" i="19"/>
  <c r="U15" i="19"/>
  <c r="AG55" i="19"/>
  <c r="U55" i="19"/>
  <c r="AE40" i="19"/>
  <c r="Y30" i="19"/>
  <c r="M20" i="19"/>
  <c r="AH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H35" i="1"/>
  <c r="T19" i="19"/>
  <c r="AL49" i="19"/>
  <c r="T29" i="19"/>
  <c r="AF29" i="19"/>
  <c r="T18" i="19"/>
  <c r="N48" i="19"/>
  <c r="N8" i="19"/>
  <c r="T28" i="19"/>
  <c r="AF38" i="19"/>
  <c r="Z28" i="19"/>
  <c r="Z18" i="19"/>
  <c r="AF8" i="19"/>
  <c r="AH29" i="1"/>
  <c r="AL8" i="19"/>
  <c r="Z48" i="19"/>
  <c r="AL48" i="19"/>
  <c r="AL28" i="19"/>
  <c r="N38" i="19"/>
  <c r="AL38" i="19"/>
  <c r="AF28" i="19"/>
  <c r="AF18" i="19"/>
  <c r="AL18" i="19"/>
  <c r="Z8" i="19"/>
  <c r="T48" i="19"/>
  <c r="T8" i="19"/>
  <c r="T38" i="19"/>
  <c r="Z38" i="19"/>
  <c r="AF48" i="19"/>
  <c r="N28" i="19"/>
  <c r="N18" i="19"/>
  <c r="S39" i="19"/>
  <c r="M49" i="19"/>
  <c r="AE19" i="19"/>
  <c r="S49" i="19"/>
  <c r="AK19" i="19"/>
  <c r="Y9" i="19"/>
  <c r="M29" i="19"/>
  <c r="AE49" i="19"/>
  <c r="Y39" i="19"/>
  <c r="AK49" i="19"/>
  <c r="AK29" i="19"/>
  <c r="AK39" i="19"/>
  <c r="S19" i="19"/>
  <c r="M19" i="19"/>
  <c r="AE9" i="19"/>
  <c r="AE39" i="19"/>
  <c r="M39" i="19"/>
  <c r="AK9" i="19"/>
  <c r="Y19" i="19"/>
  <c r="S29" i="19"/>
  <c r="S9" i="19"/>
  <c r="AE29" i="19"/>
  <c r="Y49" i="19"/>
  <c r="AH34" i="1"/>
  <c r="M9" i="19"/>
  <c r="Y29" i="19"/>
  <c r="AF59" i="1"/>
  <c r="AF60"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F65" i="1"/>
  <c r="AF66" i="1"/>
  <c r="AF24" i="1"/>
  <c r="AF23" i="1"/>
  <c r="O8" i="19"/>
  <c r="AA48" i="19"/>
  <c r="AM38" i="19"/>
  <c r="U48" i="19"/>
  <c r="AA18" i="19"/>
  <c r="AG18" i="19"/>
  <c r="AG48" i="19"/>
  <c r="AM18" i="19"/>
  <c r="AA28" i="19"/>
  <c r="AG28" i="19"/>
  <c r="AA8" i="19"/>
  <c r="U18" i="19"/>
  <c r="AG38" i="19"/>
  <c r="U38" i="19"/>
  <c r="AM8" i="19"/>
  <c r="AA38" i="19"/>
  <c r="AM48" i="19"/>
  <c r="U28" i="19"/>
  <c r="O38" i="19"/>
  <c r="U8" i="19"/>
  <c r="AG8" i="19"/>
  <c r="AH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H58"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L35" i="19" l="1"/>
  <c r="AH71" i="1"/>
  <c r="N25" i="19"/>
  <c r="AF15" i="19"/>
  <c r="AF25" i="19"/>
  <c r="N15" i="19"/>
  <c r="Z25" i="19"/>
  <c r="N45" i="19"/>
  <c r="Z55" i="19"/>
  <c r="N35" i="19"/>
  <c r="AF35" i="19"/>
  <c r="Z45" i="19"/>
  <c r="Z15" i="19"/>
  <c r="AL45" i="19"/>
  <c r="AL25" i="19"/>
  <c r="AL55" i="19"/>
  <c r="AF45" i="19"/>
  <c r="AL15" i="19"/>
  <c r="N55" i="19"/>
  <c r="T55" i="19"/>
  <c r="T45" i="19"/>
  <c r="T25" i="19"/>
  <c r="AF55" i="19"/>
  <c r="T15" i="19"/>
  <c r="T35" i="19"/>
  <c r="Y35" i="19"/>
  <c r="Y45" i="19"/>
  <c r="M25" i="19"/>
  <c r="AE55" i="19"/>
  <c r="AE35" i="19"/>
  <c r="S55" i="19"/>
  <c r="M35" i="19"/>
  <c r="AK25" i="19"/>
  <c r="AE25" i="19"/>
  <c r="S45" i="19"/>
  <c r="M45" i="19"/>
  <c r="Y55" i="19"/>
  <c r="M55" i="19"/>
  <c r="S15" i="19"/>
  <c r="AE45" i="19"/>
  <c r="S35" i="19"/>
  <c r="S25" i="19"/>
  <c r="AK15" i="19"/>
  <c r="M15" i="19"/>
  <c r="AK35" i="19"/>
  <c r="AK55" i="19"/>
  <c r="Y25" i="19"/>
  <c r="AH70" i="1"/>
  <c r="Y15" i="19"/>
  <c r="AE15" i="19"/>
  <c r="AK45" i="19"/>
  <c r="AG24" i="19"/>
  <c r="O44" i="19"/>
  <c r="O24" i="19"/>
  <c r="AM14" i="19"/>
  <c r="AG34" i="19"/>
  <c r="O34" i="19"/>
  <c r="AA44" i="19"/>
  <c r="O14" i="19"/>
  <c r="AA54" i="19"/>
  <c r="U14" i="19"/>
  <c r="AM44" i="19"/>
  <c r="AA34" i="19"/>
  <c r="AM24" i="19"/>
  <c r="AM54" i="19"/>
  <c r="AG14" i="19"/>
  <c r="AM34" i="19"/>
  <c r="U54" i="19"/>
  <c r="AG44" i="19"/>
  <c r="AA24" i="19"/>
  <c r="AG54" i="19"/>
  <c r="U34" i="19"/>
  <c r="U24" i="19"/>
  <c r="AH66" i="1"/>
  <c r="AA14" i="19"/>
  <c r="O54" i="19"/>
  <c r="U44" i="19"/>
  <c r="U43" i="19"/>
  <c r="U13" i="19"/>
  <c r="AM53" i="19"/>
  <c r="AA53" i="19"/>
  <c r="AA43" i="19"/>
  <c r="O53" i="19"/>
  <c r="O23" i="19"/>
  <c r="O13" i="19"/>
  <c r="AG43" i="19"/>
  <c r="U33" i="19"/>
  <c r="U23" i="19"/>
  <c r="AM13" i="19"/>
  <c r="AM23" i="19"/>
  <c r="AG13" i="19"/>
  <c r="AA23" i="19"/>
  <c r="AG33" i="19"/>
  <c r="AA33" i="19"/>
  <c r="AM33" i="19"/>
  <c r="AA13" i="19"/>
  <c r="AH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H65" i="1"/>
  <c r="AF53" i="19"/>
  <c r="T43" i="19"/>
  <c r="Z53" i="19"/>
  <c r="N43" i="19"/>
  <c r="T23" i="19"/>
  <c r="AF43" i="19"/>
  <c r="Z13" i="19"/>
  <c r="Z43" i="19"/>
  <c r="AF23" i="19"/>
  <c r="AL13" i="19"/>
  <c r="Z23" i="19"/>
  <c r="AL43" i="19"/>
  <c r="AF13" i="19"/>
  <c r="AL23" i="19"/>
  <c r="N13" i="19"/>
  <c r="T33" i="19"/>
  <c r="AL53" i="19"/>
  <c r="N23" i="19"/>
  <c r="N53" i="19"/>
  <c r="AF33" i="19"/>
  <c r="N33" i="19"/>
  <c r="AH59" i="1"/>
  <c r="T53" i="19"/>
  <c r="AL33" i="19"/>
  <c r="T13" i="19"/>
  <c r="Z33" i="19"/>
  <c r="Z47" i="19"/>
  <c r="T7" i="19"/>
  <c r="AL37" i="19"/>
  <c r="T17" i="19"/>
  <c r="Z17" i="19"/>
  <c r="AF7" i="19"/>
  <c r="AF37" i="19"/>
  <c r="N17" i="19"/>
  <c r="AF27" i="19"/>
  <c r="AH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H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H24" i="1"/>
  <c r="AA17" i="19"/>
  <c r="O7" i="19"/>
  <c r="AA37" i="19"/>
  <c r="AA27" i="19"/>
  <c r="AM27" i="19"/>
  <c r="U17" i="19"/>
  <c r="U47" i="19"/>
  <c r="AG17" i="19"/>
  <c r="O47" i="19"/>
  <c r="Z40" i="19"/>
  <c r="AH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4" i="13"/>
  <c r="B223"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<sst xmlns="http://schemas.openxmlformats.org/spreadsheetml/2006/main" count="770" uniqueCount="485">
  <si>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</si>
  <si>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</si>
  <si>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</si>
  <si>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t>
    </r>
    <r>
      <rPr>
        <b/>
        <sz val="11"/>
        <rFont val="Arial Narrow"/>
        <family val="2"/>
      </rPr>
      <t xml:space="preserve">DOFA </t>
    </r>
    <r>
      <rPr>
        <sz val="11"/>
        <rFont val="Arial Narrow"/>
        <family val="2"/>
      </rPr>
      <t xml:space="preserve">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</si>
  <si>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</si>
  <si>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</si>
  <si>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</si>
  <si>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</si>
  <si>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</si>
  <si>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</si>
  <si>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</si>
  <si>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</si>
  <si>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</si>
  <si>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</si>
  <si>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</si>
  <si>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</si>
  <si>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</si>
  <si>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</si>
  <si>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</si>
  <si>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</si>
  <si>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</si>
  <si>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</si>
  <si>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</si>
  <si>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</si>
  <si>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</si>
  <si>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</si>
  <si>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</si>
  <si>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</si>
  <si>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</si>
  <si>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</si>
  <si>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</si>
  <si>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</si>
  <si>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</si>
  <si>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</si>
  <si>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</si>
  <si>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</si>
  <si>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</si>
  <si>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</si>
  <si>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</si>
  <si>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</si>
  <si>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</si>
  <si>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</si>
  <si>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</si>
  <si>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</si>
  <si>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</si>
  <si>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</si>
  <si>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</si>
  <si>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</si>
  <si>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</si>
  <si>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</si>
  <si>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</si>
  <si>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</si>
  <si>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</si>
  <si>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</si>
  <si>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</si>
  <si>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</si>
  <si>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</si>
  <si>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</si>
  <si>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</si>
  <si>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</si>
  <si>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1. Direccionamiento estratégico e innovación</t>
  </si>
  <si>
    <t>2. Atención a partes interesadas y comunicaciones</t>
  </si>
  <si>
    <t>3. Estrategia y gobierno de TI</t>
  </si>
  <si>
    <t>4. Planificación de la intervención vial</t>
  </si>
  <si>
    <t>6. Intervención de la malla vial</t>
  </si>
  <si>
    <t>7. Gestión de servicios e infraestructura tecnológica</t>
  </si>
  <si>
    <t>8. Gestión de recursos físicos</t>
  </si>
  <si>
    <t>9. Gestión contractual</t>
  </si>
  <si>
    <t>10. Gestión financiera</t>
  </si>
  <si>
    <t>11. Gestión de laboratorio</t>
  </si>
  <si>
    <t>12. Gestión de talento humano</t>
  </si>
  <si>
    <t>13. Gestión ambiental</t>
  </si>
  <si>
    <t>14. Gestión documental</t>
  </si>
  <si>
    <t>15. Gestión jurídica</t>
  </si>
  <si>
    <t xml:space="preserve">16. Control, evaluación y mejora de la gestión  </t>
  </si>
  <si>
    <t>17. Control disciplinario interno</t>
  </si>
  <si>
    <t>FORMATO DEBILIDADES, OPORTUNIDADES, FORTALEZAS Y AMENAZAS -DOFA DE PROCESO</t>
  </si>
  <si>
    <t>CÓDIGO: DESI-FM-029</t>
  </si>
  <si>
    <t>PROCESO:</t>
  </si>
  <si>
    <t>DEPENDENCIA</t>
  </si>
  <si>
    <t>CONTEXTO  DE PROCESO</t>
  </si>
  <si>
    <t>FACTORES INTERNOS Y EXTERNOS</t>
  </si>
  <si>
    <t>ORIGEN</t>
  </si>
  <si>
    <t>FORTALEZAS Y/O OPORTUNIDADES</t>
  </si>
  <si>
    <t>DEBILIDADES Y/O AMENAZAS</t>
  </si>
  <si>
    <t>DISEÑO DEL PROCESO:</t>
  </si>
  <si>
    <t>INTERACCIONES CON OTROS PROCESOS:</t>
  </si>
  <si>
    <t>TRANSVERSALIDAD</t>
  </si>
  <si>
    <t>PROCEDIMIENTOS ASOCIADOS:</t>
  </si>
  <si>
    <t xml:space="preserve">RESPONSABLES DEL PROCESO: </t>
  </si>
  <si>
    <t>COMUNICACIÓN ENTRE LOS PROCESOS:</t>
  </si>
  <si>
    <t>ACTIVOS DE SEGURIDAD DIGITAL DEL PROCESO:</t>
  </si>
  <si>
    <t>Riesgo asociado</t>
  </si>
  <si>
    <t>FACTORES INTERNOS</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</si>
  <si>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</si>
  <si>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</si>
  <si>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</si>
  <si>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</si>
  <si>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</si>
  <si>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</si>
  <si>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</si>
  <si>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</si>
  <si>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</si>
  <si>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</si>
  <si>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</si>
  <si>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</si>
  <si>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</si>
  <si>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</si>
  <si>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FORMATO MAPA RIESGOS DE PROCESO</t>
  </si>
  <si>
    <t>CÓDIGO: DESI-FM-018</t>
  </si>
  <si>
    <t>VERSIÓN: 10</t>
  </si>
  <si>
    <t xml:space="preserve">                CÓDIGO: DESI-FM-018</t>
  </si>
  <si>
    <t>Proceso:</t>
  </si>
  <si>
    <t>Objetivo:</t>
  </si>
  <si>
    <t>Alcance:</t>
  </si>
  <si>
    <t>Identificación del riesgo</t>
  </si>
  <si>
    <t>Análisis del riesgo inherente</t>
  </si>
  <si>
    <t>Evaluación del riesgo - Valoración de los controles</t>
  </si>
  <si>
    <t>Evaluación del riesgo - Nivel del riesgo residual</t>
  </si>
  <si>
    <t>Plan de Acción</t>
  </si>
  <si>
    <t>ACCION DE CONTINGENCIA</t>
  </si>
  <si>
    <t xml:space="preserve">Referencia </t>
  </si>
  <si>
    <t>Tipo de riesgo</t>
  </si>
  <si>
    <t>Tipo de activo</t>
  </si>
  <si>
    <t>Activo de información</t>
  </si>
  <si>
    <t>Tipo de amenaza</t>
  </si>
  <si>
    <t>Amenaza</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</si>
  <si>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</si>
  <si>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</si>
  <si>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</si>
  <si>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</si>
  <si>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</si>
  <si>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</si>
  <si>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</si>
  <si>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</si>
  <si>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</si>
  <si>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</si>
  <si>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</si>
  <si>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</si>
  <si>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Acción</t>
  </si>
  <si>
    <t>Responsable</t>
  </si>
  <si>
    <t>Producto</t>
  </si>
  <si>
    <t>Fecha Implementación</t>
  </si>
  <si>
    <t>ACCIÓN</t>
  </si>
  <si>
    <t>SOPORTE / PRODUCTO</t>
  </si>
  <si>
    <t>RESPONSABLE</t>
  </si>
  <si>
    <t>Tipo</t>
  </si>
  <si>
    <t>Implementación</t>
  </si>
  <si>
    <t>Calificación</t>
  </si>
  <si>
    <t>Documentación</t>
  </si>
  <si>
    <t>Frecuencia</t>
  </si>
  <si>
    <t>Evidencia</t>
  </si>
  <si>
    <t>Económico y Reputacional</t>
  </si>
  <si>
    <t>Gestión</t>
  </si>
  <si>
    <t>Ejecucion y Administracion de procesos</t>
  </si>
  <si>
    <t xml:space="preserve">     El riesgo afecta la imagen de la entidad con algunos usuarios de relevancia frente al logro de los objetivos</t>
  </si>
  <si>
    <t>Preventivo</t>
  </si>
  <si>
    <t>Manual</t>
  </si>
  <si>
    <t>Detectivo</t>
  </si>
  <si>
    <t>Reducir (mitigar)</t>
  </si>
  <si>
    <t>Documentado</t>
  </si>
  <si>
    <t>Continua</t>
  </si>
  <si>
    <t>Con Registro</t>
  </si>
  <si>
    <t>Reputacional</t>
  </si>
  <si>
    <t>Corrupción</t>
  </si>
  <si>
    <t>Fraude Interno</t>
  </si>
  <si>
    <t>Seguridad Digital</t>
  </si>
  <si>
    <t xml:space="preserve">Pérdida de la confidencialidad </t>
  </si>
  <si>
    <t>INFORMACIÓN</t>
  </si>
  <si>
    <t>Acciones no autorizadas </t>
  </si>
  <si>
    <t>Uso no autorizado del equipo </t>
  </si>
  <si>
    <t xml:space="preserve">Pérdida de la disponibilidad </t>
  </si>
  <si>
    <t>Fallas técnicas </t>
  </si>
  <si>
    <t>Económico</t>
  </si>
  <si>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</si>
  <si>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</si>
  <si>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</si>
  <si>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</si>
  <si>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</si>
  <si>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</si>
  <si>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</si>
  <si>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</si>
  <si>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</si>
  <si>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</si>
  <si>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</si>
  <si>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</si>
  <si>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</si>
  <si>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</si>
  <si>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</si>
  <si>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</si>
  <si>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</si>
  <si>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</si>
  <si>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</si>
  <si>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</si>
  <si>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</si>
  <si>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</si>
  <si>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</si>
  <si>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</si>
  <si>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</si>
  <si>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</si>
  <si>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</si>
  <si>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</si>
  <si>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</si>
  <si>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</si>
  <si>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</si>
  <si>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</si>
  <si>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</si>
  <si>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</si>
  <si>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</si>
  <si>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130 SMLMV </t>
  </si>
  <si>
    <t>El riesgo afecta la imagen de alguna área de la organización</t>
  </si>
  <si>
    <t>Menor</t>
  </si>
  <si>
    <t xml:space="preserve">Menor 40% </t>
  </si>
  <si>
    <t xml:space="preserve">Entre 130 y 650 SMLMV </t>
  </si>
  <si>
    <t>El riesgo afecta la imagen de la entidad internamente, de conocimiento general, nivel interno, de junta dircetiva y accionistas y/o de provedores</t>
  </si>
  <si>
    <t>Moderado 60%</t>
  </si>
  <si>
    <t xml:space="preserve">Entre 650 y 1300 SMLMV </t>
  </si>
  <si>
    <t>El riesgo afecta la imagen de la entidad con algunos usuarios de relevancia frente al logro de los objetivos</t>
  </si>
  <si>
    <t>Mayor</t>
  </si>
  <si>
    <t>Mayor 80%</t>
  </si>
  <si>
    <t xml:space="preserve">Entre 1300 y 6500 SMLMV </t>
  </si>
  <si>
    <r>
      <t>El riesgo afecta la imagen de</t>
    </r>
    <r>
      <rPr>
        <sz val="26"/>
        <color theme="9" tint="-0.249977111117893"/>
        <rFont val="Arial Narrow"/>
        <family val="2"/>
      </rPr>
      <t xml:space="preserve">  la entidad </t>
    </r>
    <r>
      <rPr>
        <sz val="26"/>
        <color rgb="FF000000"/>
        <rFont val="Arial Narrow"/>
        <family val="2"/>
      </rPr>
      <t>con efecto publicitario sostenido a nivel de sector administrativo, nivel departamental o municipal</t>
    </r>
  </si>
  <si>
    <t>Catastrófico</t>
  </si>
  <si>
    <t>Catastrófico 100%</t>
  </si>
  <si>
    <t xml:space="preserve">Mayor a 6500 SMLMV </t>
  </si>
  <si>
    <t>El riesgo afecta la imagen de la entidad a nivel nacional, con efecto publicitarios sostenible a nivel país</t>
  </si>
  <si>
    <t>Afectación_Económica_o_presupuestal</t>
  </si>
  <si>
    <t xml:space="preserve">     Afectación menor a 130 SMLMV .</t>
  </si>
  <si>
    <t xml:space="preserve">     El riesgo afecta la imagen de alguna área de la organización</t>
  </si>
  <si>
    <t>Pérdida_Reputacional</t>
  </si>
  <si>
    <t xml:space="preserve">     Entre 130 y 650 SMLMV </t>
  </si>
  <si>
    <t xml:space="preserve">     El riesgo afecta la imagen de la entidad internamente, de conocimiento general, nivel interno, de junta dircetiva y accionistas y/o de provedores</t>
  </si>
  <si>
    <t xml:space="preserve">     Entre 650 y 1300 SMLMV </t>
  </si>
  <si>
    <t xml:space="preserve">     Entre 1300 y 6500 SMLMV </t>
  </si>
  <si>
    <t xml:space="preserve">     El riesgo afecta la imagen de de la entidad con efecto publicitario sostenido a nivel de sector administrativo, nivel departamental o municipal</t>
  </si>
  <si>
    <t xml:space="preserve">     Mayor a 6500 SMLMV </t>
  </si>
  <si>
    <t xml:space="preserve">     El riesgo afecta la imagen de la entidad a nivel nacional, con efecto publicitarios sostenible a nivel país</t>
  </si>
  <si>
    <t>Criterios</t>
  </si>
  <si>
    <t>Subcriterios</t>
  </si>
  <si>
    <t>Catastrofico</t>
  </si>
  <si>
    <t>Afectación Económica o presupuestal</t>
  </si>
  <si>
    <t>Afectación menor a 130 SMLMV .</t>
  </si>
  <si>
    <t>El riesgo afecta la imagen de de la entidad con efecto publicitario sostenido a nivel de sector administrativo, nivel departamental o municipal</t>
  </si>
  <si>
    <t>❌</t>
  </si>
  <si>
    <t>✔</t>
  </si>
  <si>
    <t>IMPACTO CORRUPCIÓN</t>
  </si>
  <si>
    <t>No.</t>
  </si>
  <si>
    <t>SI EL RIESGO DE CORRUPCIÓN SE MATERIALIZA PODRÍA...</t>
  </si>
  <si>
    <t>RESPUESTA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</si>
  <si>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</si>
  <si>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</si>
  <si>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</si>
  <si>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</si>
  <si>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</si>
  <si>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</si>
  <si>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</si>
  <si>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</si>
  <si>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</si>
  <si>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</si>
  <si>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</si>
  <si>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</si>
  <si>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</si>
  <si>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</si>
  <si>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</si>
  <si>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</si>
  <si>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</si>
  <si>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</si>
  <si>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</si>
  <si>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</si>
  <si>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</si>
  <si>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TOTAL RESPUESTAS AFIRMATIVAS </t>
  </si>
  <si>
    <r>
      <t>Responder afirmativamente de 1 a 5 pregunta(s) genera un impacto</t>
    </r>
    <r>
      <rPr>
        <b/>
        <sz val="10"/>
        <rFont val="Arial"/>
        <family val="2"/>
      </rPr>
      <t xml:space="preserve"> Moderado</t>
    </r>
    <r>
      <rPr>
        <sz val="11"/>
        <color theme="1"/>
        <rFont val="Arial"/>
        <family val="2"/>
      </rPr>
      <t xml:space="preserve">
Responder afirmativamente de 6 a 11 preguntas genera un impacto </t>
    </r>
    <r>
      <rPr>
        <b/>
        <sz val="10"/>
        <rFont val="Arial"/>
        <family val="2"/>
      </rPr>
      <t xml:space="preserve">Mayor </t>
    </r>
    <r>
      <rPr>
        <sz val="11"/>
        <color theme="1"/>
        <rFont val="Arial"/>
        <family val="2"/>
      </rPr>
      <t xml:space="preserve">
Responder afirmativamente de 12 a 19 preguntas genera un impacto </t>
    </r>
    <r>
      <rPr>
        <b/>
        <sz val="10"/>
        <rFont val="Arial"/>
        <family val="2"/>
      </rPr>
      <t>Catastrófico</t>
    </r>
    <r>
      <rPr>
        <sz val="11"/>
        <color theme="1"/>
        <rFont val="Arial"/>
        <family val="2"/>
      </rPr>
      <t>.</t>
    </r>
  </si>
  <si>
    <t>Ejecución y administración de procesos</t>
  </si>
  <si>
    <t>Pérdidas derivadas de errores en la ejecución y administración de procesos.</t>
  </si>
  <si>
    <t>Relaciones laborales</t>
  </si>
  <si>
    <t>Pérdidas que surgen de acciones contrarias a las leyes o acuerdos de empleo, salud o seguridad, del pago de demandas por  daños personales o de discriminación.</t>
  </si>
  <si>
    <t>Daños a activos fijos/ eventos externos</t>
  </si>
  <si>
    <t>Pérdida por daños o extravíos de los activos fijos por desastres naturales u otros riesgos/eventos externos como atentados, vandalismo, orden público.</t>
  </si>
  <si>
    <t>Fallas tecnológicas</t>
  </si>
  <si>
    <t>Errores en hardware, software, telecomunicaciones, interrupción de servicios básicos.</t>
  </si>
  <si>
    <t>Fraude externo</t>
  </si>
  <si>
    <t>Pérdida derivada de actos de fraude por personas ajenas a la organización (no participa personal de la entidad).</t>
  </si>
  <si>
    <t>Fraude interno</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</si>
  <si>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</si>
  <si>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Soborno</t>
  </si>
  <si>
    <t>Cuando una persona da u ofrece “dinero u otra utilidad para que se realice u omita un acto propio del cargo de un funcionario público, o para que se ejecute uno contrario a sus deberes oficiales”</t>
  </si>
  <si>
    <t>Determina que la información no esté disponible ni sea revelada a individuos, entidades o procesos no autorizados.</t>
  </si>
  <si>
    <t>Determina la exactitud y completitud de la información, permitiendo que la información sea precisa, coherente y completa desde su creación hasta su destrucción.</t>
  </si>
  <si>
    <t xml:space="preserve">Pérdida de la integridad </t>
  </si>
  <si>
    <t>Determina la accesibilidad y utilización de la información por solicitud de una persona entidad o proceso autorizada cuando así lo requiera esta, en el momento y en la forma que se requiere ahora y en el futuro, al igual que los recursos necesarios para su uso.</t>
  </si>
  <si>
    <t>TIPO DE ACTIVO</t>
  </si>
  <si>
    <t>EQUIPAMIENTO AUXILIAR</t>
  </si>
  <si>
    <t>TIPO</t>
  </si>
  <si>
    <t>AMENAZA</t>
  </si>
  <si>
    <t>HARDWARE</t>
  </si>
  <si>
    <t>Daño físico </t>
  </si>
  <si>
    <t>Fuego</t>
  </si>
  <si>
    <t>Agua</t>
  </si>
  <si>
    <t>INSTALACIONES</t>
  </si>
  <si>
    <t>Contaminación</t>
  </si>
  <si>
    <t>PROCESOS</t>
  </si>
  <si>
    <t>Accidente Importante</t>
  </si>
  <si>
    <t>RECURSOS HUMANOS</t>
  </si>
  <si>
    <t>Destrucción del equipo o medios </t>
  </si>
  <si>
    <t>RED</t>
  </si>
  <si>
    <t>Polvo, corrosión, congelamiento </t>
  </si>
  <si>
    <t>SERVICIOS</t>
  </si>
  <si>
    <t>Eventos naturales </t>
  </si>
  <si>
    <t>Fenómenos climáticos </t>
  </si>
  <si>
    <t>SOFTWARE</t>
  </si>
  <si>
    <t>Fenómenos sísmicos </t>
  </si>
  <si>
    <t>Fenómenos volcánicos </t>
  </si>
  <si>
    <t>Fenómenos meteorológicos </t>
  </si>
  <si>
    <t>Inundación </t>
  </si>
  <si>
    <t>Perdida de los servicios esenciales </t>
  </si>
  <si>
    <t>Fallas en el sistema de suministro de agua o aire acondicionado </t>
  </si>
  <si>
    <t>Perdida de suministro de energía </t>
  </si>
  <si>
    <t>Falla en equipo de telecomunicaciones </t>
  </si>
  <si>
    <t>Perturbación debida a la radiación </t>
  </si>
  <si>
    <t>Radiación electromagnética </t>
  </si>
  <si>
    <t>Radiación térmica </t>
  </si>
  <si>
    <t>Impulsos electromagnéticos </t>
  </si>
  <si>
    <t>Compromiso de la información </t>
  </si>
  <si>
    <t>Interceptación de señales de interferencia comprometida </t>
  </si>
  <si>
    <t>Espionaje remoto </t>
  </si>
  <si>
    <t>Escucha encubierta </t>
  </si>
  <si>
    <t>Hurto de medios o documentos </t>
  </si>
  <si>
    <t>Hurto de equipo </t>
  </si>
  <si>
    <t>Recuperación de medios reciclados o desechados </t>
  </si>
  <si>
    <t>Divulgación </t>
  </si>
  <si>
    <t>Datos provenientes de fuentes no confiables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</si>
  <si>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</si>
  <si>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</si>
  <si>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</si>
  <si>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</si>
  <si>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</si>
  <si>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</si>
  <si>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</si>
  <si>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</si>
  <si>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Copia fraudulenta del software </t>
  </si>
  <si>
    <t>Uso de software falso o copiado </t>
  </si>
  <si>
    <t>Corrupción de los datos </t>
  </si>
  <si>
    <t>Procesamiento ilegal de datos </t>
  </si>
  <si>
    <t>Compromiso de las funciones </t>
  </si>
  <si>
    <t>Error en el uso </t>
  </si>
  <si>
    <t>Abuso de derechos </t>
  </si>
  <si>
    <t>Falsificación de derechos </t>
  </si>
  <si>
    <t>Negación de acciones </t>
  </si>
  <si>
    <t>Incumplimiento en la disponibilidad del personal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</si>
  <si>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</si>
  <si>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</si>
  <si>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</si>
  <si>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</si>
  <si>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</si>
  <si>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</si>
  <si>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</si>
  <si>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</si>
  <si>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</si>
  <si>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</si>
  <si>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</si>
  <si>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</si>
  <si>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</si>
  <si>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</si>
  <si>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</si>
  <si>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</si>
  <si>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</si>
  <si>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</si>
  <si>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</si>
  <si>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</si>
  <si>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</si>
  <si>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</si>
  <si>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</si>
  <si>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</si>
  <si>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</si>
  <si>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Evitar</t>
  </si>
  <si>
    <t>Reducir (compartir)</t>
  </si>
  <si>
    <t>Plan de accion (solo para la opción reducir)</t>
  </si>
  <si>
    <t>Finalizado</t>
  </si>
  <si>
    <t>En curso</t>
  </si>
  <si>
    <t>Daños Activos Fisicos</t>
  </si>
  <si>
    <t>Fallas Tecnologicas</t>
  </si>
  <si>
    <t>Fraude Externo</t>
  </si>
  <si>
    <t>Relaciones Laborales</t>
  </si>
  <si>
    <t>Usuarios, productos y practicas , organizacionales</t>
  </si>
  <si>
    <t>Registro Sustancial</t>
  </si>
  <si>
    <t>Registro Material</t>
  </si>
  <si>
    <t>Sin registro</t>
  </si>
  <si>
    <t>Reducir</t>
  </si>
  <si>
    <t>ANALISIS</t>
  </si>
  <si>
    <t xml:space="preserve">CONTEXTO  DE PROCESO </t>
  </si>
  <si>
    <t>OTROS</t>
  </si>
  <si>
    <t>VERSIÓN: 2</t>
  </si>
  <si>
    <t>FECHA DE APLICACIÓN: DICIEMBRE 2021</t>
  </si>
  <si>
    <r>
      <rPr>
        <b/>
        <sz val="12"/>
        <rFont val="Arial"/>
        <family val="2"/>
      </rPr>
      <t xml:space="preserve">*Nota: </t>
    </r>
    <r>
      <rPr>
        <sz val="12"/>
        <rFont val="Arial"/>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</si>
  <si>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 xml:space="preserve">Equivalente </t>
  </si>
  <si>
    <t xml:space="preserve">                FECHA DE APLICACIÓN: DICIEMBRE 2021</t>
  </si>
  <si>
    <t>5. Producción de mezcla y provisión de maquinaria y equipos</t>
  </si>
  <si>
    <t>Liderar la programación anual del 100% de los recursos presupuestales de funcionamiento para la elaboración del Anteproyecto de Presupuesto y apoyar la programación de los recursos presupuestales de inversión, efectuando el seguimiento, registro, contabilización y pago del 100% de las obligaciones económicas adquiridas por la Entidad, previo cumplimiento de los requisitos, obteniendo como resultado la presentación y confiabilidad de los estados financieros.</t>
  </si>
  <si>
    <t xml:space="preserve">Inicia con las etapas de aprobación, ejecución y modificaciones presupuestales, realizando la identificación de los hechos económicos financieros y finalizando con el pago de los compromisos u obligaciones, como el registro y la elaboración de los estados e informes contables, en dónde se realiza el respectivo análisis e interpretación de la información contable para la toma de decisiones por parte de los directivos de la UAERMV. </t>
  </si>
  <si>
    <t>Desactualización en las normas</t>
  </si>
  <si>
    <t>1. Definición clara de roles y responsabilidades de los equipos que conforman el proceso de gestión financiera, sus objetivos y alcance.</t>
  </si>
  <si>
    <t>1. Desarticulación entre los sistemas de costos contables y la información de recursos físicos y de producción, que permitan evidenciar los registros de los costos y gastos que se generan para producir las mezclas asfálticas, en las dos (2) plantas de asfalto ubicadas en el Parque Minero Industrial El Mochuelo, con que cuenta la UAERMV.</t>
  </si>
  <si>
    <t>2. El proceso cuenta con profesionales capacitados para sus labores, los cuales están atentos a brindar la orientación y ayuda requerida para la culminación de los trámites relacionados.</t>
  </si>
  <si>
    <t xml:space="preserve">3.  Se han definido los requisitos que las áreas deben aportar para los principales trámite a saber, certificados de disponibilidad y de registro presupuestal, y la revisión y aprobación de las órdenes de pago. 
 </t>
  </si>
  <si>
    <t>3. La aplicación de una nueva reforma tributaría que modifique los procesos para la aplicación de la retención en la fuente, el reporte de la información exógena y el procedimiento de pagos a contratistas.</t>
  </si>
  <si>
    <t>4. El proceso ofrece asesoría a los Supervisores, contratistas o proveedores para aclarar requisitos, formas de presentación y términos para la realización de los diferentes trámites de índole financiero.</t>
  </si>
  <si>
    <t>4. Se presenta constante actualización normativa y tecnológica por la que se deben ajustar los procedimientos asociados.</t>
  </si>
  <si>
    <t xml:space="preserve">5. Los participantes en el proceso poseen los conocimientos necesarios para realizar las diferentes actividades del proceso. </t>
  </si>
  <si>
    <t>6. El trabajo en conjunto con los procesos de gestión contractual e Intervención a permitido minimizar los tiempos y actividades adicionales para el cierre de contratos y convenios, su liquidación y cierre financiero.</t>
  </si>
  <si>
    <t>7. Se cuenta con un Sistema de Administración financiera, protegido por un proceso de almacenamiento en la nube y toma de copias de seguridad que permite salvaguardar la información, el cual reposa en cabeza del proceso gestión de servicios e infraestructura tecnológica.</t>
  </si>
  <si>
    <t xml:space="preserve">Mensualmente el funcionario o contratista designado revisa el portal informativo de normatividad o los correos informativos para verificar si se ha expedido nueva normatividad que afecte las actividades del proceso, con el propósito de identificar las nuevas normas, su fecha de aplicación e implicaciones en el proceso, como evitar la no aplicación de normatividad relacionada. De acuerdo, a la fecha de aplicación y sus implicaciones el funcionario o contratista expondrá la norma en la reunión bimestral del proceso o se solicitará al profesional Especializado citar a reunión prioritaria, para determinar como se hará su aplicación. En caso de evidenciar la no aplicación de una norma previamente expedida, se realizará reunión con los responsables de los subprocesos y en caso de aplicar, se realizarán los reprocesos o el ajuste de los documentos del proceso correspondientes. Los correos informativos, las normas analizadas, las actas de reunión o las notas de la reunión, y en caso de proceder, las actualizaciones de los documentos relacionados o soporte de la aplicación de las normas, se conservarán como evidencia de la aplicación del control. </t>
  </si>
  <si>
    <t>Asegurar que se realicen los cambios a nivel sistema o documentación por los cambios normativos</t>
  </si>
  <si>
    <t>Profesional Especializado de Financiera</t>
  </si>
  <si>
    <t>Soportes de Mesa de trabajo y/o Solicitudes a mesa de ayuda</t>
  </si>
  <si>
    <t>Mensual</t>
  </si>
  <si>
    <t>Devolución del trámite al punto donde se presento la inconsistencia y realización de la corrección.</t>
  </si>
  <si>
    <t>Documentación asociada al caso.</t>
  </si>
  <si>
    <t>Bimestralmente los profesionales del proceso de Gestión Financiera en mesa de trabajo socializarán la aplicación de la normatividad vigente, con el propósito de evidenciar cambios normativos y/o diferencias en la interpretación de la aplicación de la norma. En caso de encontrar inconsistencias en la aplicación de la norma al interior de la Entidad, se procede a elevar consultas a los entes rectores en materia financiera o solicitar el desarrollo de capacitaciones frente a los temas particulares. Como evidencia de la ejecución del control de la actividad realizada se dejarán las actas de reunión o notas de la reunión, los oficios de solicitud de consulta o de capacitación y las normas revisadas en la reunión.</t>
  </si>
  <si>
    <t>Socializar la aplicación de la nueva normatividad al grupo Financiero que se relacionado</t>
  </si>
  <si>
    <t>Actas de reunión o notas de la reunión y soportes de la socialización</t>
  </si>
  <si>
    <t>Bimestral</t>
  </si>
  <si>
    <t>Permisibilidad del sistema financiero para el registro de información incorrecta</t>
  </si>
  <si>
    <t>Debilidad en el soporte técnico del Sistema Financiero.
Parametrización inadecuada o fuera de la normatividad vigente.</t>
  </si>
  <si>
    <t xml:space="preserve">QUE? Posibilidad afectación Reputacional  
COMO?  Por permisibilidad del sistema financiero para el registro de información incorrecta
PORQUE? por debilidad en el soporte técnico del Sistema Financiero y parametrización inadecuada o fuera de la normatividad vigente.
Pérdida de la Integridad del Sistema de Gestión de Información Administrativa y Financiera 
</t>
  </si>
  <si>
    <t>Sistema de Gestión de Información Administrativa y Financiera</t>
  </si>
  <si>
    <t>Mal funcionamiento del Software</t>
  </si>
  <si>
    <t>Mensualmente los profesionales del proceso de Gestión financiera validan en el comité de seguimiento al aplicativo financiero vigente, las necesidades de actualizaciones y/o parametrizaciones, como los avances en los diferentes requerimientos, con el propósito de contar con información confiable y veraz, dejando como evidencia las respectivas actas y/o controles de asistencia o notas de la reunión.
En caso de evidenciar fallas en el Sistema o nuevos requerimientos, se realizan solicitudes a mesa de ayuda con el fin de garantizar la correcta operatividad del Sistema, para que los ingenieros encargados de parametrizar y actualizar realicen las respectivas pruebas o ajustes correspondientes.</t>
  </si>
  <si>
    <t xml:space="preserve">Realizar el seguimiento del desarrollo e implementación de los requerimientos solicitados en el Comité de seguimiento al sistema financiero vigente </t>
  </si>
  <si>
    <t>Profesional Especializado de Financiera 
Ingeniero de Sistema de Información y tecnología</t>
  </si>
  <si>
    <t>Actas de reunión del comité de seguimiento, solicitudes mesa de ayuda o notas de reunión</t>
  </si>
  <si>
    <t>Mensualmente</t>
  </si>
  <si>
    <t>Reporte en mesa de ayuda de la novedad presentada con relación a la funcionalidad del sistema financiero vigente.</t>
  </si>
  <si>
    <t>Reporte de mesa de ayuda</t>
  </si>
  <si>
    <t>Profesional Especializado de Financiera Ingeniero de Sistema de Información y tecnología</t>
  </si>
  <si>
    <t xml:space="preserve">Cada vez que se reciba documentos para causación contable el contratista designado revisa los documentos con el propósito de realizar la contabilización correcta de la información y evidenciar las inconsistencias presentadas, dejando como soporte las conciliaciones bancarias, de almacén, las cuentas reciprocas, SIPROJ y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</si>
  <si>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Solicitar a través de correo electrónico, comunicación escrita  y/o  mesa de ayuda, la realización de los respectivos ajustes y/o modificaciones para el registro d ela información</t>
  </si>
  <si>
    <t>Profesional Especializado de Financiera 
Ingeniero de Sistema de Información y tecnología.</t>
  </si>
  <si>
    <t>Requerimientos a tecnología por correo o mesa de ayuda</t>
  </si>
  <si>
    <t>Asignación de orden de llegada manual y a discreción de la persona que recepciona la llegada de las cuentas de cobro</t>
  </si>
  <si>
    <t xml:space="preserve">Tráfico de influencias con el fin de agilizar el pago del contratista
No cumplimiento a la circular de pagos generada por la Entidad </t>
  </si>
  <si>
    <t>QUE? Posibilidad afectación Reputacional  
COMO?  Por asignación de orden de llegada manual y a discreción de la persona que recepciona la llegada de las cuentas de cobro
PORQUE? por Tráfico de influencias con el fin de agilizar el pago del contratista y no cumplimiento a la circular de pagos generada por la Entidad.
Aceptación de ofrecimientos o dádivas de los proveedores o contratistas para agilizar el trámite de los pagos, en beneficio propio o de un tercero, modificando el orden de presentación de los pagos por parte de los colaboradores.</t>
  </si>
  <si>
    <t xml:space="preserve">Cada vez que se recibe una solicitud de pago a través del sistema de correspondencia Orfeo en su orden de llegada, la Auxiliar Administrativa valida la documentación y en caso de cumplir con los requisitos reasigna al funcionario o Contratista encargado de realizar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o devolución de la solicitud de pago se encuentra en el sistema Orfeo en el historial de la solicitud de radicación. </t>
  </si>
  <si>
    <t>Mensualmente la Auxiliar Administrativa recibe las solicitudes de pago, según las fechas establecidas en la circular de pagos, previamente socializada por los canales de comunicación de la Entidad, con el fin de cumplir con la oportunidad en los pagos, las solicitudes se tramitan en el orden con que son recibidas a través del sistema de correspondencia Orfeo, verificando y validando que la fecha en la cual se reciben se encuentre dentro de los días definidos en la circular para su recepción y atención. En caso de recibir solicitudes de manera extemporánea, se devuelven al contratista o Supervisor para radicarse en el siguiente período establecido para la recepción de solicitudes de pago, como evidencia del control se establece la trazabilidad en el histórico de la solicitud en el aplicativo Orfeo.</t>
  </si>
  <si>
    <t>Proyectar una circular a todos los servidores de la UAERMV donde se establecen las fechas de radicación y pago de las cuentas.</t>
  </si>
  <si>
    <t>Circular</t>
  </si>
  <si>
    <t>Anualmente</t>
  </si>
  <si>
    <t>Realizar el reporte correspondiente para dar inicio a las investigaciones a que hubiera lugar</t>
  </si>
  <si>
    <t>Reporte del caso a la Control Disciplinario Interno para tomar las medidas pertinentes</t>
  </si>
  <si>
    <t xml:space="preserve">Incumplimiento en las fechas y requerimientos de entrega de la información establecidos en la circular </t>
  </si>
  <si>
    <t>El desconocimiento del Manual de Políticas Contables de la UAERMV o la falta de análisis de la información
Incumplimiento de las fechas establecidas para la entrega de la información por parte de las áreas generadoras de la información.</t>
  </si>
  <si>
    <t xml:space="preserve">Mensualmente el Contratista designado previamente por el lider del área contable, recibe la información reportada por las áreas según lo establecido en la circular "procedimiento para la presentación de la información contable" y se procede a la verificación de las cuentas contables y conceptos utilizados en cada uno de los documentos remitidos para la contabilización, con el propósito de evidenciar posibles inconsistencias. En caso de presentarse inconsistencias se informa al área para que realicen los ajustes o correcciones pertinentes. La evidencia de la verificación se observa en los correos y/o radicados de correspondencia con que se recibe o se solicita el ajuste de la información. </t>
  </si>
  <si>
    <t>Socialización del Manual de Políticas Contables, del Manual Operativo y de la Circular Para la Presentación de la Información Contable</t>
  </si>
  <si>
    <t>Profesional Especializado área Contable</t>
  </si>
  <si>
    <t>Asistencia a Mesa de trabajo con las áreas que intervienen en el proceso contable
Correos Electrónicos de la UMV Informa</t>
  </si>
  <si>
    <t>Semestral</t>
  </si>
  <si>
    <t>Realizar la corrección de la información contable reportada y cargarla nuevamente en los aplicativos de la Contaduría General de la Nación y Bogotá Consolida</t>
  </si>
  <si>
    <t>Información corregida cargada en los aplicativos</t>
  </si>
  <si>
    <t xml:space="preserve">Trimestralmente el Profesional Especializado por medio de correo electrónico recuerda a las áreas el cumplimiento de las fechas de reporte establecidas en la circular para la presentación de la información contable. En caso de no recibir la información en la fecha establecida esta será registrada en el siguiente mes, informando al área dicha situación. Como evidencia se conservan los correos de solicitud y la circular anual de presentación de la información contable. </t>
  </si>
  <si>
    <t>Incumplimiento de los controles establecidos para la aprobación de los pagos y la realización de los desembolsos</t>
  </si>
  <si>
    <t xml:space="preserve">Falta de control en los saldos de las cuentas bancarias.
 Incumplimiento del protocolo para las condiciones de manejo de las cuentas bancarias documentado </t>
  </si>
  <si>
    <t>QUE? Posibilidad afectación Económico y Reputacional
COMO?  Por incumplimiento de los controles establecidos para la aprobación de los pagos y la realización de los desembolsos
PORQUE? Por falta de control en los saldos de las cuentas bancarias e incumplimiento del protocolo para las condiciones de manejo de las cuentas bancarias documentado.
Pérdida de recursos financieros administrados por la UAERMV</t>
  </si>
  <si>
    <t>Diariamente el Apoyo - contratista designado del área de Tesorería General coteja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libro diario y de ser el caso, la comunicación enviada a la entidad financiera.</t>
  </si>
  <si>
    <t>Contar con un Protocolo bancario de seguridad</t>
  </si>
  <si>
    <t>Profesional Especializado de Financiera.</t>
  </si>
  <si>
    <t>Protocolo</t>
  </si>
  <si>
    <t>Reporte del caso al Supervisor del Programa de Seguros para solicitar realizar la reclamación</t>
  </si>
  <si>
    <t>Memorando con la notificación del caso solicitando realizar la reclamación</t>
  </si>
  <si>
    <t>Utilización de la póliza de responsabilidad financiera que ampare sobre los actos de los servidores públicos asignados a la Tesorería</t>
  </si>
  <si>
    <t>Póliza de manejo</t>
  </si>
  <si>
    <t>2. Las actividades de devolución de saldos y rendimientos financieros por concepto de convenios, están directamente relacionados con su ejecución y liquidación, lo que ocasiona que se deba custodiar este dinero hasta que se realice el cierre de los procesos contractuales por las áreas responsables.</t>
  </si>
  <si>
    <t>5. La Entidad no realiza capacitación en actualizaciones tributarias para todo el equipo de gestión financiera, los grupos son seleccionados y no se realiza replicación de la información.</t>
  </si>
  <si>
    <t xml:space="preserve">6. La Entidad no cuenta con un sistema de información que integre el proceso contractual y financiero, con el fin de disminuir la probabilidad de error y actividades adicionales, las cuales no permiten agilizar los procesos de pago desde el área de gestión financiera. </t>
  </si>
  <si>
    <t>7. Algunos de los activos de seguridad digital del proceso se manejan en Excel y en los equipos locales, lo que ocasiona que no cuenten con el respaldo adecuado para evitar pérdidas de información por daños lógicos en los equipos o intromisiones no autorizadas en la red de datos, falta de aplicación de las Tablas de Retención Documental.
8. Se requiere un proceso de parametrización tecnológica de los módulos del aplicativo local y el aplicativo de Nómina que permitan la generación de informes y reportes necesarios para agilizar la toma de decisiones.
9. No se cuenta con el desarrollo de la totalidad de funcionalidades en el aplicativo local que permitan la implementación de las actividades del proceso de forma ágil y efectiva, en cada una de sus etapas.</t>
  </si>
  <si>
    <t xml:space="preserve">Esta desarculación se convierte en el riesgo Inoportunidad y/o imprecisión en la entrega de la información por parte de las áreas que intervienen en el proceso contable, ya que cuando la información que se reporta por las áreas es diferente no permite su procesamiento por no cumplir con la presentación requerida, además se generan retrasos para la preparación y presentación de los estados financieros, ya que se hace necesario transformar la información a la presentación o fromato requerido y que se genere la necesidad de hacer conciliaciones o ajustes en los reportes. </t>
  </si>
  <si>
    <t xml:space="preserve">Esta amenaza se relaciona con el riesgo Inoportunidad y/o imprecisión en la entrega de la información por parte de las áreas que intervienen en el proceso contable, ya que se debe adecuar la estructura o el formato de la presentación de los datos, de acuerdo a lo establecido en reforma, sin embargo el plazo que se fija para su implementación se convierte en una oportunidad para adecuar tanto los sistemas de información como su forma de presentanción. </t>
  </si>
  <si>
    <t xml:space="preserve">Esta amenaza se relaciona con el riesgo Inoportunidad y/o imprecisión en la entrega de la información por parte de las áreas que intervienen en el proceso contable, ya que se debe adecuar la estructura o el formato de la presentación de los datos, de acuerdo a lo establecido en la norma o el nuevo sistema, sin embargo el plazo que se fija para su implementación se convierte en una oportunidad para adecuar tanto los sistemas de información como su forma de presentanción. </t>
  </si>
  <si>
    <t>Esta amenaza se convierte en el riesgo Aplicación incorrecta de la normativa en cada una de las etapas de la gestión financiera, ya que si el colaborador no es capacitado, no se encuentra en la capacidad para la revisión o aplicación del descuento o de realizar el reporte tributario adecuadamente, lo que ocasionen retrasos en el proceso y reprocesos.</t>
  </si>
  <si>
    <t>Esta amenaza se convierte en el riesgo Pérdida de la Integridad del Sistema de Gestión de Información Administrativa y Financiera, ya que no permite que validar la información que se comparte entre contratación y financiera, lo que puede ocasionar que se registre información incorrecta, lo que puede generar reproceso o retrasos en los procesos y tramites que se realicen.</t>
  </si>
  <si>
    <t>Estas amenazas combinandos se convierten en el riesgo Pérdida de la Integridad del Sistema de Gestión de Información Administrativa y Financiera, ya que no permite que validar la información que se comparte entre contratación y financiera, lo que puede ocasionar que se registre información incorrecta, lo que puede generar reproceso o retrasos en los procesos y tramites que se realicen. 
Además de favorecer que se presenten el riesgo Aceptación de ofrecimientos o dádivas de los proveedores o contratistas para agilizar el trámite de los pagos, en beneficio propio o de un tercero, modificando el orden de presentación de los pagos por parte de los colaboradores, ya que actualemnte, el sistema no permite realizar un control efectivo del orden en que se reciben las solicitudes de pago, sino que deba hacer manualmente por la aplicación de filtos por la fecha de recepción en el proceso.</t>
  </si>
  <si>
    <t>Esta debilidad se controla por el seguimiento a los saldos de las cuentas en los bancos y del informe diario, sin embargo puede inferir en la apaorición del riesgo Pérdida de recursos financieros administrados por la UAERMV, ya que al estar consigados en centas bancarias puede presentarse perdidas por transacciones no autorizadas o robo electrónico por la interrupcción de intrusos que violen la seguridad electrónica de la entidad financiera.</t>
  </si>
  <si>
    <t>X</t>
  </si>
  <si>
    <t>Cada vez que se ordene un pago para cumplir con una obligación financiera de la Unidad con una orden de pago previamente revisada y aprobada, el Contratista designado del área de Tesorería con el rol para validar y cargar los pagos, realiza el cargue del proceso de pago en el portal bancario con la clave y el token personal asignado, para que la Tesorera o quién haga sus veces, con la clave y token personal asignado, verifique que la información corresponde al pago aprobado con la Orden y actualice el proceso para la aprobación de los desembolsos. En caso de encontrar inconsistencias el pago se rechaza y se debe validar nuevamente la información. La aplicación del control se evidencia en el registro del control dual para la aprobación del pago que aparecerá en estado del pago "exitoso", la disminución del saldo en el banco y de ser el caso, el rechazo del pago.</t>
  </si>
  <si>
    <t>QUE? Posibilidad afectación Reputacional  
COMO?  Por desactualización de las normas
PORQUE? Por liquidación manual, falta de capacitación y diferentes interpretaciones sobre la normatividad vigente.
Aplicación incorrecta de la normativa en cada una de las etapas de la gestión financiera.</t>
  </si>
  <si>
    <t>Liquidación manual
Falta de capacitación y diferentes interpretaciones sobre la normatividad vigente.</t>
  </si>
  <si>
    <t xml:space="preserve">QUE? Posibilidad afectación Económico y Reputacional
COMO?  Por incumplimiento en las fechas y requerimientos de entrega de la información establecidos en la circular 
PORQUE? Por desconocimiento del Manual de Políticas Contables de la UAERMV o la falta de análisis de la información e incumplimiento de las fechas establecidas para la entrega de la información por parte de las áreas generadoras de la información.
Inoportunidad y/o imprecisión en la entrega de la información por parte de las áreas que intervienen en el proceso contable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</si>
</sst>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0.0%"/>
    <numFmt numFmtId="165" formatCode="_-&quot;$&quot;\ * #,##0_-;\-&quot;$&quot;\ * #,##0_-;_-&quot;$&quot;\ * &quot;-&quot;??_-;_-@_-"/>
    <numFmt numFmtId="166" formatCode="&quot;$&quot;\ #,##0.00"/>
  </numFmts>
  <fonts count="92"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8"/>
      <color theme="1"/>
      <name val="Calibri"/>
      <family val="2"/>
      <scheme val="minor"/>
    </font>
    <font>
      <sz val="11"/>
      <color rgb="FF002060"/>
      <name val="Calibri"/>
      <family val="2"/>
      <scheme val="minor"/>
    </font>
    <font>
      <sz val="16"/>
      <color rgb="FF002060"/>
      <name val="Arial Narrow"/>
      <family val="2"/>
    </font>
    <font>
      <b/>
      <sz val="11"/>
      <color rgb="FF002060"/>
      <name val="Arial Narrow"/>
      <family val="2"/>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sz val="11"/>
      <color theme="1"/>
      <name val="Arial"/>
      <family val="2"/>
    </font>
    <font>
      <b/>
      <sz val="14"/>
      <name val="Arial"/>
      <family val="2"/>
    </font>
    <font>
      <b/>
      <sz val="10"/>
      <name val="Arial"/>
      <family val="2"/>
    </font>
    <font>
      <b/>
      <sz val="11"/>
      <color theme="1"/>
      <name val="Arial"/>
      <family val="2"/>
    </font>
    <font>
      <b/>
      <sz val="9"/>
      <color theme="1"/>
      <name val="Arial"/>
      <family val="2"/>
    </font>
    <font>
      <sz val="9"/>
      <color theme="1"/>
      <name val="Arial"/>
      <family val="2"/>
    </font>
    <font>
      <b/>
      <sz val="18"/>
      <color theme="1"/>
      <name val="Arial"/>
      <family val="2"/>
    </font>
    <font>
      <sz val="12"/>
      <color rgb="FF203764"/>
      <name val="Calibri"/>
      <family val="2"/>
      <scheme val="minor"/>
    </font>
    <font>
      <b/>
      <sz val="16"/>
      <name val="Arial"/>
      <family val="2"/>
    </font>
    <font>
      <sz val="12"/>
      <name val="Arial"/>
      <family val="2"/>
    </font>
    <font>
      <b/>
      <sz val="12"/>
      <name val="Arial"/>
      <family val="2"/>
    </font>
    <font>
      <sz val="26"/>
      <color theme="9" tint="-0.249977111117893"/>
      <name val="Arial Narrow"/>
      <family val="2"/>
    </font>
    <font>
      <b/>
      <sz val="11"/>
      <color theme="1"/>
      <name val="Calibri"/>
      <family val="2"/>
      <scheme val="minor"/>
    </font>
    <font>
      <b/>
      <sz val="11"/>
      <color rgb="FF000000"/>
      <name val="Calibri"/>
      <family val="2"/>
      <scheme val="minor"/>
    </font>
    <font>
      <b/>
      <sz val="11"/>
      <name val="Arial"/>
      <family val="2"/>
    </font>
    <font>
      <sz val="16"/>
      <name val="Arial"/>
      <family val="2"/>
    </font>
    <font>
      <sz val="11"/>
      <color rgb="FF444444"/>
      <name val="Calibri"/>
      <family val="2"/>
      <scheme val="minor"/>
    </font>
    <font>
      <sz val="12"/>
      <color rgb="FF000000"/>
      <name val="Arial"/>
      <family val="2"/>
    </font>
    <font>
      <sz val="21"/>
      <color rgb="FF000000"/>
      <name val="Arial"/>
      <family val="2"/>
    </font>
  </fonts>
  <fills count="3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BDD7EE"/>
        <bgColor rgb="FF000000"/>
      </patternFill>
    </fill>
    <fill>
      <patternFill patternType="solid">
        <fgColor rgb="FFFFF2CC"/>
        <bgColor rgb="FF000000"/>
      </patternFill>
    </fill>
    <fill>
      <patternFill patternType="solid">
        <fgColor theme="0" tint="-0.34998626667073579"/>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rgb="FF000000"/>
      </patternFill>
    </fill>
  </fills>
  <borders count="12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style="hair">
        <color theme="6" tint="-0.499984740745262"/>
      </top>
      <bottom/>
      <diagonal/>
    </border>
    <border>
      <left/>
      <right style="hair">
        <color theme="6" tint="-0.499984740745262"/>
      </right>
      <top style="hair">
        <color theme="6" tint="-0.499984740745262"/>
      </top>
      <bottom style="hair">
        <color theme="6" tint="-0.499984740745262"/>
      </bottom>
      <diagonal/>
    </border>
    <border>
      <left/>
      <right style="hair">
        <color theme="6" tint="-0.499984740745262"/>
      </right>
      <top/>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medium">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medium">
        <color theme="6" tint="-0.499984740745262"/>
      </right>
      <top style="hair">
        <color theme="6" tint="-0.499984740745262"/>
      </top>
      <bottom style="hair">
        <color theme="6" tint="-0.499984740745262"/>
      </bottom>
      <diagonal/>
    </border>
    <border>
      <left style="hair">
        <color theme="6" tint="-0.499984740745262"/>
      </left>
      <right style="medium">
        <color theme="6" tint="-0.499984740745262"/>
      </right>
      <top style="hair">
        <color theme="6" tint="-0.499984740745262"/>
      </top>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medium">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bottom/>
      <diagonal/>
    </border>
    <border>
      <left style="hair">
        <color theme="6" tint="-0.499984740745262"/>
      </left>
      <right style="medium">
        <color theme="6" tint="-0.499984740745262"/>
      </right>
      <top/>
      <bottom/>
      <diagonal/>
    </border>
    <border>
      <left style="medium">
        <color theme="6" tint="-0.499984740745262"/>
      </left>
      <right style="hair">
        <color theme="6" tint="-0.499984740745262"/>
      </right>
      <top/>
      <bottom style="hair">
        <color theme="6" tint="-0.499984740745262"/>
      </bottom>
      <diagonal/>
    </border>
    <border>
      <left style="hair">
        <color theme="6" tint="-0.499984740745262"/>
      </left>
      <right style="medium">
        <color theme="6" tint="-0.499984740745262"/>
      </right>
      <top/>
      <bottom style="hair">
        <color theme="6" tint="-0.499984740745262"/>
      </bottom>
      <diagonal/>
    </border>
    <border>
      <left/>
      <right style="hair">
        <color theme="6" tint="-0.499984740745262"/>
      </right>
      <top style="medium">
        <color theme="6" tint="-0.499984740745262"/>
      </top>
      <bottom style="hair">
        <color theme="6" tint="-0.499984740745262"/>
      </bottom>
      <diagonal/>
    </border>
    <border>
      <left/>
      <right style="hair">
        <color theme="6" tint="-0.499984740745262"/>
      </right>
      <top style="hair">
        <color theme="6" tint="-0.499984740745262"/>
      </top>
      <bottom style="medium">
        <color theme="6" tint="-0.499984740745262"/>
      </bottom>
      <diagonal/>
    </border>
    <border>
      <left style="medium">
        <color theme="6" tint="-0.499984740745262"/>
      </left>
      <right style="hair">
        <color theme="6" tint="-0.499984740745262"/>
      </right>
      <top style="hair">
        <color theme="6" tint="-0.499984740745262"/>
      </top>
      <bottom/>
      <diagonal/>
    </border>
    <border>
      <left style="medium">
        <color indexed="64"/>
      </left>
      <right/>
      <top style="medium">
        <color rgb="FF000000"/>
      </top>
      <bottom/>
      <diagonal/>
    </border>
    <border>
      <left style="medium">
        <color indexed="64"/>
      </left>
      <right style="hair">
        <color theme="6" tint="-0.499984740745262"/>
      </right>
      <top style="medium">
        <color indexed="64"/>
      </top>
      <bottom style="hair">
        <color theme="6" tint="-0.499984740745262"/>
      </bottom>
      <diagonal/>
    </border>
    <border>
      <left style="hair">
        <color theme="6" tint="-0.499984740745262"/>
      </left>
      <right style="medium">
        <color indexed="64"/>
      </right>
      <top style="medium">
        <color indexed="64"/>
      </top>
      <bottom style="hair">
        <color theme="6" tint="-0.499984740745262"/>
      </bottom>
      <diagonal/>
    </border>
    <border>
      <left style="medium">
        <color indexed="64"/>
      </left>
      <right style="hair">
        <color theme="6" tint="-0.499984740745262"/>
      </right>
      <top style="hair">
        <color theme="6" tint="-0.499984740745262"/>
      </top>
      <bottom style="hair">
        <color theme="6" tint="-0.499984740745262"/>
      </bottom>
      <diagonal/>
    </border>
    <border>
      <left style="hair">
        <color theme="6" tint="-0.499984740745262"/>
      </left>
      <right style="medium">
        <color indexed="64"/>
      </right>
      <top style="hair">
        <color theme="6" tint="-0.499984740745262"/>
      </top>
      <bottom style="hair">
        <color theme="6" tint="-0.499984740745262"/>
      </bottom>
      <diagonal/>
    </border>
    <border>
      <left style="medium">
        <color indexed="64"/>
      </left>
      <right style="hair">
        <color theme="6" tint="-0.499984740745262"/>
      </right>
      <top style="hair">
        <color theme="6" tint="-0.499984740745262"/>
      </top>
      <bottom style="medium">
        <color indexed="64"/>
      </bottom>
      <diagonal/>
    </border>
    <border>
      <left style="hair">
        <color theme="6" tint="-0.499984740745262"/>
      </left>
      <right style="medium">
        <color indexed="64"/>
      </right>
      <top style="hair">
        <color theme="6" tint="-0.499984740745262"/>
      </top>
      <bottom style="medium">
        <color indexed="64"/>
      </bottom>
      <diagonal/>
    </border>
    <border>
      <left style="thin">
        <color indexed="64"/>
      </left>
      <right/>
      <top style="medium">
        <color indexed="64"/>
      </top>
      <bottom style="medium">
        <color indexed="64"/>
      </bottom>
      <diagonal/>
    </border>
    <border>
      <left/>
      <right/>
      <top style="hair">
        <color theme="6" tint="-0.499984740745262"/>
      </top>
      <bottom/>
      <diagonal/>
    </border>
    <border>
      <left/>
      <right/>
      <top/>
      <bottom style="hair">
        <color theme="6" tint="-0.499984740745262"/>
      </bottom>
      <diagonal/>
    </border>
    <border>
      <left style="hair">
        <color theme="6" tint="-0.499984740745262"/>
      </left>
      <right/>
      <top style="hair">
        <color theme="6" tint="-0.499984740745262"/>
      </top>
      <bottom/>
      <diagonal/>
    </border>
    <border>
      <left style="hair">
        <color theme="6" tint="-0.499984740745262"/>
      </left>
      <right/>
      <top/>
      <bottom style="hair">
        <color theme="6" tint="-0.499984740745262"/>
      </bottom>
      <diagonal/>
    </border>
  </borders>
  <cellStyleXfs count="6">
    <xf numFmtId="0" fontId="0" fillId="0" borderId="0"/>
    <xf numFmtId="9" fontId="12" fillId="0" borderId="0" applyFont="0" applyFill="0" applyBorder="0" applyAlignment="0" applyProtection="0"/>
    <xf numFmtId="0" fontId="44" fillId="0" borderId="0"/>
    <xf numFmtId="0" fontId="45" fillId="0" borderId="0"/>
    <xf numFmtId="0" fontId="4" fillId="0" borderId="0"/>
    <xf numFmtId="44" fontId="12" fillId="0" borderId="0" applyFont="0" applyFill="0" applyBorder="0" applyAlignment="0" applyProtection="0"/>
  </cellStyleXfs>
  <cellXfs count="597">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4" xfId="0" applyFont="1" applyFill="1" applyBorder="1" applyAlignment="1">
      <alignment horizontal="center" vertical="center" wrapText="1" readingOrder="1"/>
    </xf>
    <xf numFmtId="0" fontId="8" fillId="0" borderId="4" xfId="0" applyFont="1" applyBorder="1" applyAlignment="1">
      <alignment horizontal="justify" vertical="center" wrapText="1" readingOrder="1"/>
    </xf>
    <xf numFmtId="9" fontId="8" fillId="0" borderId="4"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5" fillId="0" borderId="0" xfId="0" applyFont="1" applyAlignment="1">
      <alignment vertical="center"/>
    </xf>
    <xf numFmtId="0" fontId="26" fillId="0" borderId="0" xfId="0" applyFont="1"/>
    <xf numFmtId="0" fontId="24" fillId="0" borderId="0" xfId="0" applyFont="1"/>
    <xf numFmtId="0" fontId="0" fillId="0" borderId="0" xfId="0" pivotButton="1"/>
    <xf numFmtId="0" fontId="10" fillId="0" borderId="0" xfId="0" applyFont="1" applyAlignment="1">
      <alignment horizontal="justify" vertical="center" wrapText="1" readingOrder="1"/>
    </xf>
    <xf numFmtId="0" fontId="29" fillId="6" borderId="0" xfId="0" applyFont="1" applyFill="1" applyAlignment="1">
      <alignment horizontal="center" vertical="center" wrapText="1" readingOrder="1"/>
    </xf>
    <xf numFmtId="0" fontId="30" fillId="5" borderId="4" xfId="0" applyFont="1" applyFill="1" applyBorder="1" applyAlignment="1">
      <alignment horizontal="center" vertical="center" wrapText="1" readingOrder="1"/>
    </xf>
    <xf numFmtId="0" fontId="30" fillId="7" borderId="1" xfId="0" applyFont="1" applyFill="1" applyBorder="1" applyAlignment="1">
      <alignment horizontal="center" vertical="center" wrapText="1" readingOrder="1"/>
    </xf>
    <xf numFmtId="0" fontId="30" fillId="4" borderId="1" xfId="0" applyFont="1" applyFill="1" applyBorder="1" applyAlignment="1">
      <alignment horizontal="center" vertical="center" wrapText="1" readingOrder="1"/>
    </xf>
    <xf numFmtId="0" fontId="30" fillId="8" borderId="1" xfId="0" applyFont="1" applyFill="1" applyBorder="1" applyAlignment="1">
      <alignment horizontal="center" vertical="center" wrapText="1" readingOrder="1"/>
    </xf>
    <xf numFmtId="0" fontId="31" fillId="9" borderId="1" xfId="0" applyFont="1" applyFill="1" applyBorder="1" applyAlignment="1">
      <alignment horizontal="center" vertical="center" wrapText="1" readingOrder="1"/>
    </xf>
    <xf numFmtId="0" fontId="30" fillId="0" borderId="4"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7" fillId="11" borderId="5" xfId="0" applyFont="1" applyFill="1" applyBorder="1" applyAlignment="1" applyProtection="1">
      <alignment horizontal="center" vertical="center" wrapText="1" readingOrder="1"/>
      <protection hidden="1"/>
    </xf>
    <xf numFmtId="0" fontId="17" fillId="11" borderId="12" xfId="0" applyFont="1" applyFill="1" applyBorder="1" applyAlignment="1" applyProtection="1">
      <alignment horizontal="center" vertical="center" wrapText="1" readingOrder="1"/>
      <protection hidden="1"/>
    </xf>
    <xf numFmtId="0" fontId="17" fillId="11" borderId="6" xfId="0" applyFont="1" applyFill="1" applyBorder="1" applyAlignment="1" applyProtection="1">
      <alignment horizontal="center" vertical="center" wrapText="1" readingOrder="1"/>
      <protection hidden="1"/>
    </xf>
    <xf numFmtId="0" fontId="17" fillId="12" borderId="5" xfId="0" applyFont="1" applyFill="1" applyBorder="1" applyAlignment="1" applyProtection="1">
      <alignment horizontal="center" wrapText="1" readingOrder="1"/>
      <protection hidden="1"/>
    </xf>
    <xf numFmtId="0" fontId="17" fillId="12" borderId="12" xfId="0" applyFont="1" applyFill="1" applyBorder="1" applyAlignment="1" applyProtection="1">
      <alignment horizontal="center" wrapText="1" readingOrder="1"/>
      <protection hidden="1"/>
    </xf>
    <xf numFmtId="0" fontId="17" fillId="12" borderId="6" xfId="0" applyFont="1" applyFill="1" applyBorder="1" applyAlignment="1" applyProtection="1">
      <alignment horizontal="center" wrapText="1" readingOrder="1"/>
      <protection hidden="1"/>
    </xf>
    <xf numFmtId="0" fontId="17" fillId="11" borderId="7" xfId="0" applyFont="1" applyFill="1" applyBorder="1" applyAlignment="1" applyProtection="1">
      <alignment horizontal="center" vertical="center" wrapText="1" readingOrder="1"/>
      <protection hidden="1"/>
    </xf>
    <xf numFmtId="0" fontId="17" fillId="11" borderId="0" xfId="0" applyFont="1" applyFill="1" applyAlignment="1" applyProtection="1">
      <alignment horizontal="center" vertical="center" wrapText="1" readingOrder="1"/>
      <protection hidden="1"/>
    </xf>
    <xf numFmtId="0" fontId="17" fillId="11" borderId="8" xfId="0" applyFont="1" applyFill="1" applyBorder="1" applyAlignment="1" applyProtection="1">
      <alignment horizontal="center" vertical="center" wrapText="1" readingOrder="1"/>
      <protection hidden="1"/>
    </xf>
    <xf numFmtId="0" fontId="17" fillId="12" borderId="7" xfId="0" applyFont="1" applyFill="1" applyBorder="1" applyAlignment="1" applyProtection="1">
      <alignment horizontal="center" wrapText="1" readingOrder="1"/>
      <protection hidden="1"/>
    </xf>
    <xf numFmtId="0" fontId="17" fillId="12" borderId="0" xfId="0" applyFont="1" applyFill="1" applyAlignment="1" applyProtection="1">
      <alignment horizontal="center" wrapText="1" readingOrder="1"/>
      <protection hidden="1"/>
    </xf>
    <xf numFmtId="0" fontId="17" fillId="12" borderId="8" xfId="0" applyFont="1" applyFill="1" applyBorder="1" applyAlignment="1" applyProtection="1">
      <alignment horizontal="center" wrapText="1" readingOrder="1"/>
      <protection hidden="1"/>
    </xf>
    <xf numFmtId="0" fontId="17" fillId="11" borderId="9" xfId="0" applyFont="1" applyFill="1" applyBorder="1" applyAlignment="1" applyProtection="1">
      <alignment horizontal="center" vertical="center" wrapText="1" readingOrder="1"/>
      <protection hidden="1"/>
    </xf>
    <xf numFmtId="0" fontId="17" fillId="11" borderId="11" xfId="0" applyFont="1" applyFill="1" applyBorder="1" applyAlignment="1" applyProtection="1">
      <alignment horizontal="center" vertical="center" wrapText="1" readingOrder="1"/>
      <protection hidden="1"/>
    </xf>
    <xf numFmtId="0" fontId="17" fillId="11" borderId="10" xfId="0" applyFont="1" applyFill="1" applyBorder="1" applyAlignment="1" applyProtection="1">
      <alignment horizontal="center" vertical="center" wrapText="1" readingOrder="1"/>
      <protection hidden="1"/>
    </xf>
    <xf numFmtId="0" fontId="17" fillId="12" borderId="9" xfId="0" applyFont="1" applyFill="1" applyBorder="1" applyAlignment="1" applyProtection="1">
      <alignment horizontal="center" wrapText="1" readingOrder="1"/>
      <protection hidden="1"/>
    </xf>
    <xf numFmtId="0" fontId="17" fillId="12" borderId="11" xfId="0" applyFont="1" applyFill="1" applyBorder="1" applyAlignment="1" applyProtection="1">
      <alignment horizontal="center" wrapText="1" readingOrder="1"/>
      <protection hidden="1"/>
    </xf>
    <xf numFmtId="0" fontId="17" fillId="12" borderId="10" xfId="0" applyFont="1" applyFill="1" applyBorder="1" applyAlignment="1" applyProtection="1">
      <alignment horizontal="center" wrapText="1" readingOrder="1"/>
      <protection hidden="1"/>
    </xf>
    <xf numFmtId="0" fontId="17" fillId="13" borderId="5" xfId="0" applyFont="1" applyFill="1" applyBorder="1" applyAlignment="1" applyProtection="1">
      <alignment horizontal="center" wrapText="1" readingOrder="1"/>
      <protection hidden="1"/>
    </xf>
    <xf numFmtId="0" fontId="17" fillId="13" borderId="12" xfId="0" applyFont="1" applyFill="1" applyBorder="1" applyAlignment="1" applyProtection="1">
      <alignment horizontal="center" wrapText="1" readingOrder="1"/>
      <protection hidden="1"/>
    </xf>
    <xf numFmtId="0" fontId="17" fillId="13" borderId="6" xfId="0" applyFont="1" applyFill="1" applyBorder="1" applyAlignment="1" applyProtection="1">
      <alignment horizontal="center" wrapText="1" readingOrder="1"/>
      <protection hidden="1"/>
    </xf>
    <xf numFmtId="0" fontId="17" fillId="13" borderId="7" xfId="0" applyFont="1" applyFill="1" applyBorder="1" applyAlignment="1" applyProtection="1">
      <alignment horizontal="center" wrapText="1" readingOrder="1"/>
      <protection hidden="1"/>
    </xf>
    <xf numFmtId="0" fontId="17" fillId="13" borderId="0" xfId="0" applyFont="1" applyFill="1" applyAlignment="1" applyProtection="1">
      <alignment horizontal="center" wrapText="1" readingOrder="1"/>
      <protection hidden="1"/>
    </xf>
    <xf numFmtId="0" fontId="17" fillId="13" borderId="8" xfId="0" applyFont="1" applyFill="1" applyBorder="1" applyAlignment="1" applyProtection="1">
      <alignment horizontal="center" wrapText="1" readingOrder="1"/>
      <protection hidden="1"/>
    </xf>
    <xf numFmtId="0" fontId="17" fillId="13" borderId="9" xfId="0" applyFont="1" applyFill="1" applyBorder="1" applyAlignment="1" applyProtection="1">
      <alignment horizontal="center" wrapText="1" readingOrder="1"/>
      <protection hidden="1"/>
    </xf>
    <xf numFmtId="0" fontId="17" fillId="13" borderId="11" xfId="0" applyFont="1" applyFill="1" applyBorder="1" applyAlignment="1" applyProtection="1">
      <alignment horizontal="center" wrapText="1" readingOrder="1"/>
      <protection hidden="1"/>
    </xf>
    <xf numFmtId="0" fontId="17" fillId="13" borderId="10" xfId="0" applyFont="1" applyFill="1" applyBorder="1" applyAlignment="1" applyProtection="1">
      <alignment horizontal="center" wrapText="1" readingOrder="1"/>
      <protection hidden="1"/>
    </xf>
    <xf numFmtId="0" fontId="17" fillId="5" borderId="5" xfId="0" applyFont="1" applyFill="1" applyBorder="1" applyAlignment="1" applyProtection="1">
      <alignment horizontal="center" wrapText="1" readingOrder="1"/>
      <protection hidden="1"/>
    </xf>
    <xf numFmtId="0" fontId="17" fillId="5" borderId="12" xfId="0" applyFont="1" applyFill="1" applyBorder="1" applyAlignment="1" applyProtection="1">
      <alignment horizontal="center" wrapText="1" readingOrder="1"/>
      <protection hidden="1"/>
    </xf>
    <xf numFmtId="0" fontId="17" fillId="5" borderId="6" xfId="0" applyFont="1" applyFill="1" applyBorder="1" applyAlignment="1" applyProtection="1">
      <alignment horizontal="center" wrapText="1" readingOrder="1"/>
      <protection hidden="1"/>
    </xf>
    <xf numFmtId="0" fontId="17" fillId="5" borderId="7" xfId="0" applyFont="1" applyFill="1" applyBorder="1" applyAlignment="1" applyProtection="1">
      <alignment horizontal="center" wrapText="1" readingOrder="1"/>
      <protection hidden="1"/>
    </xf>
    <xf numFmtId="0" fontId="17" fillId="5" borderId="0" xfId="0" applyFont="1" applyFill="1" applyAlignment="1" applyProtection="1">
      <alignment horizontal="center" wrapText="1" readingOrder="1"/>
      <protection hidden="1"/>
    </xf>
    <xf numFmtId="0" fontId="17" fillId="5" borderId="8" xfId="0" applyFont="1" applyFill="1" applyBorder="1" applyAlignment="1" applyProtection="1">
      <alignment horizontal="center" wrapText="1" readingOrder="1"/>
      <protection hidden="1"/>
    </xf>
    <xf numFmtId="0" fontId="17" fillId="5" borderId="9" xfId="0" applyFont="1" applyFill="1" applyBorder="1" applyAlignment="1" applyProtection="1">
      <alignment horizontal="center" wrapText="1" readingOrder="1"/>
      <protection hidden="1"/>
    </xf>
    <xf numFmtId="0" fontId="17" fillId="5" borderId="11" xfId="0" applyFont="1" applyFill="1" applyBorder="1" applyAlignment="1" applyProtection="1">
      <alignment horizontal="center" wrapText="1" readingOrder="1"/>
      <protection hidden="1"/>
    </xf>
    <xf numFmtId="0" fontId="17" fillId="5" borderId="10"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0" fillId="3" borderId="0" xfId="0" applyFill="1"/>
    <xf numFmtId="0" fontId="46" fillId="3" borderId="40" xfId="2" applyFont="1" applyFill="1" applyBorder="1"/>
    <xf numFmtId="0" fontId="46" fillId="3" borderId="41" xfId="2" applyFont="1" applyFill="1" applyBorder="1"/>
    <xf numFmtId="0" fontId="46" fillId="3" borderId="42" xfId="2" applyFont="1" applyFill="1" applyBorder="1"/>
    <xf numFmtId="0" fontId="14" fillId="3" borderId="0" xfId="0" applyFont="1" applyFill="1" applyAlignment="1">
      <alignment vertical="center"/>
    </xf>
    <xf numFmtId="0" fontId="4" fillId="3" borderId="0" xfId="0" applyFont="1" applyFill="1"/>
    <xf numFmtId="0" fontId="33" fillId="3" borderId="0" xfId="0" applyFont="1" applyFill="1"/>
    <xf numFmtId="0" fontId="34" fillId="3" borderId="23" xfId="0" applyFont="1" applyFill="1" applyBorder="1" applyAlignment="1">
      <alignment horizontal="center" vertical="center" wrapText="1" readingOrder="1"/>
    </xf>
    <xf numFmtId="0" fontId="35" fillId="3" borderId="23" xfId="0" applyFont="1" applyFill="1" applyBorder="1" applyAlignment="1">
      <alignment horizontal="justify" vertical="center" wrapText="1" readingOrder="1"/>
    </xf>
    <xf numFmtId="9" fontId="34" fillId="3" borderId="32" xfId="0" applyNumberFormat="1" applyFont="1" applyFill="1" applyBorder="1" applyAlignment="1">
      <alignment horizontal="center" vertical="center" wrapText="1" readingOrder="1"/>
    </xf>
    <xf numFmtId="0" fontId="34" fillId="3" borderId="22" xfId="0" applyFont="1" applyFill="1" applyBorder="1" applyAlignment="1">
      <alignment horizontal="center" vertical="center" wrapText="1" readingOrder="1"/>
    </xf>
    <xf numFmtId="0" fontId="35" fillId="3" borderId="22" xfId="0" applyFont="1" applyFill="1" applyBorder="1" applyAlignment="1">
      <alignment horizontal="justify" vertical="center" wrapText="1" readingOrder="1"/>
    </xf>
    <xf numFmtId="9" fontId="34" fillId="3" borderId="27" xfId="0" applyNumberFormat="1"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4" fillId="3" borderId="29" xfId="0" applyFont="1" applyFill="1" applyBorder="1" applyAlignment="1">
      <alignment horizontal="center" vertical="center" wrapText="1" readingOrder="1"/>
    </xf>
    <xf numFmtId="0" fontId="35" fillId="3" borderId="29" xfId="0" applyFont="1" applyFill="1" applyBorder="1" applyAlignment="1">
      <alignment horizontal="justify" vertical="center" wrapText="1" readingOrder="1"/>
    </xf>
    <xf numFmtId="0" fontId="35" fillId="3" borderId="30" xfId="0" applyFont="1" applyFill="1" applyBorder="1" applyAlignment="1">
      <alignment horizontal="center" vertical="center" wrapText="1" readingOrder="1"/>
    </xf>
    <xf numFmtId="0" fontId="43" fillId="3" borderId="0" xfId="0" applyFont="1" applyFill="1"/>
    <xf numFmtId="0" fontId="34" fillId="15" borderId="34" xfId="0" applyFont="1" applyFill="1" applyBorder="1" applyAlignment="1">
      <alignment horizontal="center" vertical="center" wrapText="1" readingOrder="1"/>
    </xf>
    <xf numFmtId="0" fontId="34" fillId="15" borderId="35" xfId="0" applyFont="1" applyFill="1" applyBorder="1" applyAlignment="1">
      <alignment horizontal="center" vertical="center" wrapText="1" readingOrder="1"/>
    </xf>
    <xf numFmtId="0" fontId="11" fillId="3" borderId="0" xfId="0" applyFont="1" applyFill="1"/>
    <xf numFmtId="0" fontId="10" fillId="3" borderId="0" xfId="0" applyFont="1" applyFill="1" applyAlignment="1">
      <alignment horizontal="justify" vertical="center" wrapText="1" readingOrder="1"/>
    </xf>
    <xf numFmtId="0" fontId="13" fillId="3" borderId="0" xfId="0" applyFont="1" applyFill="1"/>
    <xf numFmtId="0" fontId="3" fillId="3" borderId="0" xfId="0" applyFont="1" applyFill="1" applyAlignment="1">
      <alignment horizontal="left" vertical="center"/>
    </xf>
    <xf numFmtId="0" fontId="46" fillId="3" borderId="7" xfId="2" applyFont="1" applyFill="1" applyBorder="1"/>
    <xf numFmtId="0" fontId="51" fillId="3" borderId="0" xfId="0" applyFont="1" applyFill="1" applyAlignment="1">
      <alignment horizontal="left" vertical="center" wrapText="1"/>
    </xf>
    <xf numFmtId="0" fontId="52" fillId="3" borderId="0" xfId="0" applyFont="1" applyFill="1" applyAlignment="1">
      <alignment horizontal="left" vertical="top" wrapText="1"/>
    </xf>
    <xf numFmtId="0" fontId="46" fillId="3" borderId="0" xfId="2" applyFont="1" applyFill="1"/>
    <xf numFmtId="0" fontId="46" fillId="3" borderId="8" xfId="2" applyFont="1" applyFill="1" applyBorder="1"/>
    <xf numFmtId="0" fontId="46" fillId="3" borderId="9" xfId="2" applyFont="1" applyFill="1" applyBorder="1"/>
    <xf numFmtId="0" fontId="46" fillId="3" borderId="11" xfId="2" applyFont="1" applyFill="1" applyBorder="1"/>
    <xf numFmtId="0" fontId="46" fillId="3" borderId="10" xfId="2" applyFont="1" applyFill="1" applyBorder="1"/>
    <xf numFmtId="0" fontId="50" fillId="3" borderId="0" xfId="2" applyFont="1" applyFill="1" applyAlignment="1">
      <alignment horizontal="left" vertical="center" wrapText="1"/>
    </xf>
    <xf numFmtId="0" fontId="46" fillId="3" borderId="0" xfId="2" applyFont="1" applyFill="1" applyAlignment="1">
      <alignment horizontal="left" vertical="center" wrapText="1"/>
    </xf>
    <xf numFmtId="0" fontId="46" fillId="3" borderId="0" xfId="2" quotePrefix="1" applyFont="1" applyFill="1" applyAlignment="1">
      <alignment horizontal="left" vertical="center" wrapText="1"/>
    </xf>
    <xf numFmtId="0" fontId="48" fillId="3" borderId="7" xfId="2" quotePrefix="1" applyFont="1" applyFill="1" applyBorder="1" applyAlignment="1">
      <alignment horizontal="left" vertical="top" wrapText="1"/>
    </xf>
    <xf numFmtId="0" fontId="49" fillId="3" borderId="0" xfId="2" quotePrefix="1" applyFont="1" applyFill="1" applyAlignment="1">
      <alignment horizontal="left" vertical="top" wrapText="1"/>
    </xf>
    <xf numFmtId="0" fontId="49" fillId="3" borderId="8" xfId="2" quotePrefix="1" applyFont="1" applyFill="1" applyBorder="1" applyAlignment="1">
      <alignment horizontal="left" vertical="top" wrapText="1"/>
    </xf>
    <xf numFmtId="0" fontId="30" fillId="0" borderId="64" xfId="0" applyFont="1" applyBorder="1" applyAlignment="1">
      <alignment horizontal="justify" vertical="center" wrapText="1" readingOrder="1"/>
    </xf>
    <xf numFmtId="0" fontId="30" fillId="0" borderId="65" xfId="0" applyFont="1" applyBorder="1" applyAlignment="1">
      <alignment horizontal="justify" vertical="center" wrapText="1" readingOrder="1"/>
    </xf>
    <xf numFmtId="165" fontId="28" fillId="3" borderId="0" xfId="5" applyNumberFormat="1" applyFont="1" applyFill="1" applyAlignment="1">
      <alignment horizontal="center" vertical="center" wrapText="1"/>
    </xf>
    <xf numFmtId="165" fontId="0" fillId="3" borderId="0" xfId="5" applyNumberFormat="1" applyFont="1" applyFill="1" applyAlignment="1">
      <alignment horizontal="center" vertical="center"/>
    </xf>
    <xf numFmtId="0" fontId="56" fillId="3" borderId="0" xfId="0" applyFont="1" applyFill="1"/>
    <xf numFmtId="0" fontId="57" fillId="3" borderId="0" xfId="0" applyFont="1" applyFill="1" applyAlignment="1">
      <alignment horizontal="justify" vertical="center" wrapText="1" readingOrder="1"/>
    </xf>
    <xf numFmtId="0" fontId="56" fillId="0" borderId="0" xfId="0" applyFont="1"/>
    <xf numFmtId="0" fontId="58" fillId="3" borderId="0" xfId="0" applyFont="1" applyFill="1" applyAlignment="1">
      <alignment vertical="center"/>
    </xf>
    <xf numFmtId="44" fontId="0" fillId="3" borderId="0" xfId="5" applyFont="1" applyFill="1" applyAlignment="1">
      <alignment horizontal="left" vertical="center"/>
    </xf>
    <xf numFmtId="44" fontId="56" fillId="3" borderId="0" xfId="5" applyFont="1" applyFill="1" applyAlignment="1">
      <alignment horizontal="left" vertical="center"/>
    </xf>
    <xf numFmtId="44" fontId="0" fillId="0" borderId="0" xfId="5" applyFont="1" applyAlignment="1">
      <alignment horizontal="left" vertical="center"/>
    </xf>
    <xf numFmtId="44" fontId="27" fillId="0" borderId="0" xfId="5" applyFont="1" applyAlignment="1">
      <alignment horizontal="left" vertical="center"/>
    </xf>
    <xf numFmtId="0" fontId="0" fillId="0" borderId="0" xfId="0" applyAlignment="1">
      <alignment wrapText="1"/>
    </xf>
    <xf numFmtId="0" fontId="26" fillId="0" borderId="0" xfId="0" applyFont="1" applyAlignment="1">
      <alignment wrapText="1"/>
    </xf>
    <xf numFmtId="0" fontId="0" fillId="0" borderId="0" xfId="0" applyAlignment="1">
      <alignment vertical="center" wrapText="1"/>
    </xf>
    <xf numFmtId="0" fontId="59" fillId="0" borderId="0" xfId="0" applyFont="1"/>
    <xf numFmtId="0" fontId="60" fillId="0" borderId="0" xfId="0" applyFont="1"/>
    <xf numFmtId="0" fontId="61" fillId="0" borderId="0" xfId="0" applyFont="1"/>
    <xf numFmtId="0" fontId="62" fillId="0" borderId="0" xfId="0" applyFont="1" applyAlignment="1">
      <alignment wrapText="1"/>
    </xf>
    <xf numFmtId="0" fontId="61" fillId="0" borderId="0" xfId="0" applyFont="1" applyAlignment="1">
      <alignment wrapText="1"/>
    </xf>
    <xf numFmtId="0" fontId="59" fillId="0" borderId="8" xfId="0" applyFont="1" applyBorder="1"/>
    <xf numFmtId="0" fontId="64" fillId="0" borderId="8" xfId="0" applyFont="1" applyBorder="1"/>
    <xf numFmtId="0" fontId="65" fillId="19" borderId="69" xfId="0" applyFont="1" applyFill="1" applyBorder="1" applyAlignment="1">
      <alignment horizontal="center" vertical="center" wrapText="1"/>
    </xf>
    <xf numFmtId="0" fontId="66" fillId="19" borderId="10" xfId="0" applyFont="1" applyFill="1" applyBorder="1" applyAlignment="1">
      <alignment horizontal="center" vertical="center" wrapText="1"/>
    </xf>
    <xf numFmtId="0" fontId="65" fillId="19" borderId="33" xfId="0" applyFont="1" applyFill="1" applyBorder="1" applyAlignment="1">
      <alignment horizontal="center" vertical="center" wrapText="1"/>
    </xf>
    <xf numFmtId="0" fontId="64" fillId="0" borderId="0" xfId="0" applyFont="1"/>
    <xf numFmtId="0" fontId="65" fillId="19" borderId="69" xfId="0" applyFont="1" applyFill="1" applyBorder="1" applyAlignment="1">
      <alignment horizontal="center" vertical="center" textRotation="90" wrapText="1"/>
    </xf>
    <xf numFmtId="0" fontId="62" fillId="0" borderId="6" xfId="0" applyFont="1" applyBorder="1" applyAlignment="1">
      <alignment horizontal="justify" vertical="center" wrapText="1"/>
    </xf>
    <xf numFmtId="0" fontId="65" fillId="19" borderId="68" xfId="0" applyFont="1" applyFill="1" applyBorder="1" applyAlignment="1">
      <alignment horizontal="center" vertical="center" textRotation="90" wrapText="1"/>
    </xf>
    <xf numFmtId="0" fontId="62" fillId="0" borderId="68" xfId="0" applyFont="1" applyBorder="1" applyAlignment="1">
      <alignment horizontal="left" vertical="center" wrapText="1"/>
    </xf>
    <xf numFmtId="0" fontId="65" fillId="19" borderId="71" xfId="0" applyFont="1" applyFill="1" applyBorder="1" applyAlignment="1">
      <alignment horizontal="center" vertical="center" textRotation="90" wrapText="1"/>
    </xf>
    <xf numFmtId="0" fontId="62" fillId="0" borderId="69" xfId="0" applyFont="1" applyBorder="1" applyAlignment="1">
      <alignment horizontal="left" vertical="center" wrapText="1"/>
    </xf>
    <xf numFmtId="0" fontId="65" fillId="19" borderId="6" xfId="0" applyFont="1" applyFill="1" applyBorder="1" applyAlignment="1">
      <alignment horizontal="center" vertical="center" textRotation="90" wrapText="1"/>
    </xf>
    <xf numFmtId="0" fontId="69" fillId="0" borderId="68" xfId="0" applyFont="1" applyBorder="1" applyAlignment="1">
      <alignment horizontal="left" vertical="center" wrapText="1"/>
    </xf>
    <xf numFmtId="0" fontId="65" fillId="19" borderId="36" xfId="0" applyFont="1" applyFill="1" applyBorder="1" applyAlignment="1">
      <alignment horizontal="center" vertical="center" textRotation="90" wrapText="1"/>
    </xf>
    <xf numFmtId="0" fontId="70" fillId="0" borderId="8" xfId="0" applyFont="1" applyBorder="1"/>
    <xf numFmtId="0" fontId="71" fillId="20" borderId="6" xfId="0" applyFont="1" applyFill="1" applyBorder="1" applyAlignment="1">
      <alignment horizontal="center" vertical="center" textRotation="90" wrapText="1"/>
    </xf>
    <xf numFmtId="0" fontId="70" fillId="0" borderId="0" xfId="0" applyFont="1"/>
    <xf numFmtId="0" fontId="70" fillId="20" borderId="36" xfId="0" applyFont="1" applyFill="1" applyBorder="1"/>
    <xf numFmtId="0" fontId="72" fillId="20" borderId="69" xfId="0" applyFont="1" applyFill="1" applyBorder="1" applyAlignment="1">
      <alignment horizontal="center" vertical="center" wrapText="1"/>
    </xf>
    <xf numFmtId="0" fontId="71" fillId="20" borderId="69" xfId="0" applyFont="1" applyFill="1" applyBorder="1" applyAlignment="1">
      <alignment horizontal="center" vertical="center" wrapText="1"/>
    </xf>
    <xf numFmtId="0" fontId="66" fillId="0" borderId="0" xfId="0" applyFont="1" applyAlignment="1">
      <alignment horizontal="center" vertical="center"/>
    </xf>
    <xf numFmtId="0" fontId="65" fillId="0" borderId="0" xfId="0" applyFont="1" applyAlignment="1">
      <alignment horizontal="center" vertical="center"/>
    </xf>
    <xf numFmtId="0" fontId="62" fillId="0" borderId="0" xfId="0" applyFont="1"/>
    <xf numFmtId="0" fontId="73" fillId="0" borderId="0" xfId="0" applyFont="1" applyAlignment="1">
      <alignment vertical="center" wrapText="1"/>
    </xf>
    <xf numFmtId="0" fontId="73" fillId="0" borderId="73"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2" xfId="0" applyFont="1" applyBorder="1" applyAlignment="1">
      <alignment vertical="center" wrapText="1"/>
    </xf>
    <xf numFmtId="0" fontId="73" fillId="0" borderId="27" xfId="0" applyFont="1" applyBorder="1" applyAlignment="1">
      <alignment vertical="center" wrapText="1"/>
    </xf>
    <xf numFmtId="0" fontId="78" fillId="0" borderId="77" xfId="0" applyFont="1" applyBorder="1" applyAlignment="1">
      <alignment horizontal="justify" vertical="center" wrapText="1"/>
    </xf>
    <xf numFmtId="0" fontId="78" fillId="0" borderId="79" xfId="0" applyFont="1" applyBorder="1" applyAlignment="1">
      <alignment horizontal="justify" vertical="center" wrapText="1"/>
    </xf>
    <xf numFmtId="0" fontId="77" fillId="16" borderId="77" xfId="0" applyFont="1" applyFill="1" applyBorder="1" applyAlignment="1">
      <alignment horizontal="center" vertical="center" wrapText="1"/>
    </xf>
    <xf numFmtId="0" fontId="77" fillId="16" borderId="79" xfId="0" applyFont="1" applyFill="1" applyBorder="1" applyAlignment="1">
      <alignment horizontal="center" vertical="center" wrapText="1"/>
    </xf>
    <xf numFmtId="0" fontId="77" fillId="16" borderId="81" xfId="0" applyFont="1" applyFill="1" applyBorder="1" applyAlignment="1">
      <alignment horizontal="center" vertical="center" wrapText="1"/>
    </xf>
    <xf numFmtId="0" fontId="75" fillId="16" borderId="29" xfId="0" applyFont="1" applyFill="1" applyBorder="1" applyAlignment="1">
      <alignment horizontal="center" vertical="center" wrapText="1"/>
    </xf>
    <xf numFmtId="0" fontId="75" fillId="16" borderId="30" xfId="0" applyFont="1" applyFill="1" applyBorder="1" applyAlignment="1">
      <alignment horizontal="center" vertical="center" wrapText="1"/>
    </xf>
    <xf numFmtId="0" fontId="77" fillId="19" borderId="69" xfId="0" applyFont="1" applyFill="1" applyBorder="1" applyAlignment="1">
      <alignment horizontal="center" vertical="center" wrapText="1"/>
    </xf>
    <xf numFmtId="0" fontId="77" fillId="19" borderId="36" xfId="0" applyFont="1" applyFill="1" applyBorder="1" applyAlignment="1">
      <alignment horizontal="center" vertical="center" wrapText="1"/>
    </xf>
    <xf numFmtId="0" fontId="78" fillId="0" borderId="10" xfId="0" applyFont="1" applyBorder="1" applyAlignment="1">
      <alignment horizontal="justify" vertical="center" wrapText="1"/>
    </xf>
    <xf numFmtId="0" fontId="62" fillId="0" borderId="5" xfId="0" applyFont="1" applyBorder="1" applyAlignment="1">
      <alignment horizontal="justify" vertical="center" wrapText="1"/>
    </xf>
    <xf numFmtId="0" fontId="62" fillId="0" borderId="5" xfId="0" applyFont="1" applyBorder="1" applyAlignment="1">
      <alignment horizontal="left" vertical="center" wrapText="1"/>
    </xf>
    <xf numFmtId="0" fontId="61" fillId="0" borderId="24" xfId="0" applyFont="1" applyBorder="1" applyAlignment="1">
      <alignment horizontal="left" vertical="center" wrapText="1"/>
    </xf>
    <xf numFmtId="0" fontId="61" fillId="0" borderId="5" xfId="0" applyFont="1" applyBorder="1" applyAlignment="1">
      <alignment horizontal="justify" vertical="center" wrapText="1"/>
    </xf>
    <xf numFmtId="0" fontId="64" fillId="0" borderId="85" xfId="0" applyFont="1" applyBorder="1" applyAlignment="1">
      <alignment horizontal="center" vertical="center"/>
    </xf>
    <xf numFmtId="0" fontId="64" fillId="0" borderId="84" xfId="0" applyFont="1" applyBorder="1" applyAlignment="1">
      <alignment horizontal="center" vertical="center"/>
    </xf>
    <xf numFmtId="0" fontId="70" fillId="0" borderId="86" xfId="0" applyFont="1" applyBorder="1" applyAlignment="1">
      <alignment horizontal="center" vertical="center"/>
    </xf>
    <xf numFmtId="0" fontId="80" fillId="24" borderId="89" xfId="0" applyFont="1" applyFill="1" applyBorder="1" applyAlignment="1">
      <alignment horizontal="left" vertical="center" wrapText="1" readingOrder="1"/>
    </xf>
    <xf numFmtId="0" fontId="80" fillId="25" borderId="89" xfId="0" applyFont="1" applyFill="1" applyBorder="1" applyAlignment="1">
      <alignment horizontal="left" vertical="center" wrapText="1" readingOrder="1"/>
    </xf>
    <xf numFmtId="0" fontId="75" fillId="0" borderId="22" xfId="0" applyFont="1" applyBorder="1" applyAlignment="1">
      <alignment horizontal="left" vertical="center" wrapText="1"/>
    </xf>
    <xf numFmtId="0" fontId="65" fillId="19" borderId="5" xfId="0" applyFont="1" applyFill="1" applyBorder="1" applyAlignment="1">
      <alignment horizontal="center" vertical="center" textRotation="90" wrapText="1"/>
    </xf>
    <xf numFmtId="0" fontId="65" fillId="19" borderId="112" xfId="0" applyFont="1" applyFill="1" applyBorder="1" applyAlignment="1">
      <alignment horizontal="center" vertical="center" textRotation="90" wrapText="1"/>
    </xf>
    <xf numFmtId="0" fontId="65" fillId="19" borderId="12" xfId="0" applyFont="1" applyFill="1" applyBorder="1" applyAlignment="1">
      <alignment horizontal="center" vertical="center" textRotation="90" wrapText="1"/>
    </xf>
    <xf numFmtId="0" fontId="65" fillId="19" borderId="25" xfId="0" applyFont="1" applyFill="1" applyBorder="1" applyAlignment="1">
      <alignment horizontal="center" vertical="center" textRotation="90" wrapText="1"/>
    </xf>
    <xf numFmtId="0" fontId="86" fillId="0" borderId="84" xfId="0" applyFont="1" applyBorder="1" applyAlignment="1">
      <alignment vertical="center" wrapText="1"/>
    </xf>
    <xf numFmtId="0" fontId="85" fillId="0" borderId="84" xfId="0" applyFont="1" applyBorder="1" applyAlignment="1">
      <alignment vertical="center"/>
    </xf>
    <xf numFmtId="0" fontId="85" fillId="0" borderId="84" xfId="0" applyFont="1" applyBorder="1" applyAlignment="1">
      <alignment vertical="center" wrapText="1"/>
    </xf>
    <xf numFmtId="0" fontId="85" fillId="27" borderId="0" xfId="0" applyFont="1" applyFill="1" applyAlignment="1">
      <alignment horizontal="center" vertical="center"/>
    </xf>
    <xf numFmtId="0" fontId="77" fillId="27" borderId="69" xfId="0" applyFont="1" applyFill="1" applyBorder="1" applyAlignment="1">
      <alignment horizontal="center" vertical="center" wrapText="1"/>
    </xf>
    <xf numFmtId="0" fontId="77" fillId="27" borderId="36" xfId="0" applyFont="1" applyFill="1" applyBorder="1" applyAlignment="1">
      <alignment horizontal="center" vertical="center" wrapText="1"/>
    </xf>
    <xf numFmtId="0" fontId="73" fillId="0" borderId="74" xfId="0" applyFont="1" applyBorder="1" applyAlignment="1">
      <alignment horizontal="center" vertical="center" wrapText="1"/>
    </xf>
    <xf numFmtId="0" fontId="73" fillId="0" borderId="75"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27" xfId="0" applyFont="1" applyBorder="1" applyAlignment="1">
      <alignment horizontal="center" vertical="center" wrapText="1"/>
    </xf>
    <xf numFmtId="0" fontId="0" fillId="3" borderId="0" xfId="0" applyFill="1" applyAlignment="1">
      <alignment vertical="top"/>
    </xf>
    <xf numFmtId="44" fontId="0" fillId="3" borderId="0" xfId="5" applyFont="1" applyFill="1" applyAlignment="1">
      <alignment horizontal="left" vertical="top"/>
    </xf>
    <xf numFmtId="0" fontId="0" fillId="0" borderId="0" xfId="0" applyAlignment="1">
      <alignment vertical="top"/>
    </xf>
    <xf numFmtId="44" fontId="55" fillId="3" borderId="0" xfId="5" applyFont="1" applyFill="1" applyAlignment="1">
      <alignment vertical="top"/>
    </xf>
    <xf numFmtId="0" fontId="65" fillId="28" borderId="69" xfId="0" applyFont="1" applyFill="1" applyBorder="1" applyAlignment="1">
      <alignment horizontal="center" vertical="center" wrapText="1"/>
    </xf>
    <xf numFmtId="0" fontId="66" fillId="28" borderId="6" xfId="0" applyFont="1" applyFill="1" applyBorder="1" applyAlignment="1">
      <alignment horizontal="center" vertical="center" wrapText="1"/>
    </xf>
    <xf numFmtId="0" fontId="65" fillId="28" borderId="68" xfId="0" applyFont="1" applyFill="1" applyBorder="1" applyAlignment="1">
      <alignment horizontal="center" vertical="center" wrapText="1"/>
    </xf>
    <xf numFmtId="0" fontId="62" fillId="0" borderId="68" xfId="0" applyFont="1" applyBorder="1" applyAlignment="1">
      <alignment horizontal="justify" vertical="center" wrapText="1"/>
    </xf>
    <xf numFmtId="0" fontId="60" fillId="0" borderId="0" xfId="0" applyFont="1" applyFill="1" applyBorder="1"/>
    <xf numFmtId="0" fontId="61" fillId="0" borderId="0" xfId="0" applyFont="1" applyFill="1" applyBorder="1"/>
    <xf numFmtId="0" fontId="62" fillId="0" borderId="0" xfId="0" applyFont="1" applyFill="1" applyBorder="1"/>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textRotation="90" wrapText="1"/>
    </xf>
    <xf numFmtId="0" fontId="61" fillId="0" borderId="0" xfId="0" applyFont="1" applyFill="1" applyBorder="1" applyAlignment="1">
      <alignment horizontal="justify" vertical="center" wrapText="1"/>
    </xf>
    <xf numFmtId="0" fontId="61" fillId="0" borderId="0" xfId="0" applyFont="1" applyFill="1" applyBorder="1" applyAlignment="1">
      <alignment horizontal="left" vertical="center" wrapText="1"/>
    </xf>
    <xf numFmtId="0" fontId="71" fillId="0" borderId="0" xfId="0" applyFont="1" applyFill="1" applyBorder="1" applyAlignment="1">
      <alignment horizontal="center" vertical="center" textRotation="90" wrapText="1"/>
    </xf>
    <xf numFmtId="0" fontId="70" fillId="0" borderId="0" xfId="0" applyFont="1" applyFill="1" applyBorder="1"/>
    <xf numFmtId="0" fontId="71" fillId="0" borderId="0" xfId="0" applyFont="1" applyFill="1" applyBorder="1" applyAlignment="1">
      <alignment horizontal="center" vertical="center" wrapText="1"/>
    </xf>
    <xf numFmtId="0" fontId="71" fillId="20" borderId="12" xfId="0" applyFont="1" applyFill="1" applyBorder="1" applyAlignment="1">
      <alignment horizontal="center" vertical="center" textRotation="90" wrapText="1"/>
    </xf>
    <xf numFmtId="0" fontId="71" fillId="20" borderId="24" xfId="0" applyFont="1" applyFill="1" applyBorder="1" applyAlignment="1">
      <alignment horizontal="center" vertical="center" textRotation="90" wrapText="1"/>
    </xf>
    <xf numFmtId="0" fontId="66" fillId="0" borderId="34" xfId="0" applyFont="1" applyBorder="1" applyAlignment="1">
      <alignment horizontal="center" vertical="center"/>
    </xf>
    <xf numFmtId="0" fontId="65" fillId="0" borderId="119" xfId="0" applyFont="1" applyBorder="1" applyAlignment="1">
      <alignment horizontal="center" vertical="center"/>
    </xf>
    <xf numFmtId="0" fontId="59" fillId="0" borderId="86" xfId="0" applyFont="1" applyBorder="1"/>
    <xf numFmtId="0" fontId="62" fillId="3" borderId="6" xfId="0" applyFont="1" applyFill="1" applyBorder="1" applyAlignment="1">
      <alignment horizontal="justify" vertical="center" wrapText="1"/>
    </xf>
    <xf numFmtId="0" fontId="62" fillId="3" borderId="68" xfId="0" applyFont="1" applyFill="1" applyBorder="1" applyAlignment="1">
      <alignment horizontal="justify" vertical="center" wrapText="1"/>
    </xf>
    <xf numFmtId="0" fontId="82" fillId="0" borderId="90" xfId="0" applyFont="1" applyFill="1" applyBorder="1" applyAlignment="1" applyProtection="1">
      <alignment horizontal="center" vertical="center" wrapText="1"/>
      <protection locked="0"/>
    </xf>
    <xf numFmtId="0" fontId="82" fillId="0" borderId="90" xfId="0" applyFont="1" applyFill="1" applyBorder="1" applyAlignment="1" applyProtection="1">
      <alignment horizontal="justify" vertical="center" wrapText="1"/>
      <protection locked="0"/>
    </xf>
    <xf numFmtId="0" fontId="82" fillId="0" borderId="90" xfId="0" applyFont="1" applyFill="1" applyBorder="1" applyAlignment="1" applyProtection="1">
      <alignment horizontal="justify" vertical="center"/>
      <protection locked="0"/>
    </xf>
    <xf numFmtId="0" fontId="82" fillId="0" borderId="90" xfId="0" applyFont="1" applyFill="1" applyBorder="1" applyAlignment="1" applyProtection="1">
      <alignment horizontal="center" vertical="center"/>
      <protection hidden="1"/>
    </xf>
    <xf numFmtId="0" fontId="82" fillId="0" borderId="90" xfId="0" applyFont="1" applyFill="1" applyBorder="1" applyAlignment="1" applyProtection="1">
      <alignment horizontal="center" vertical="center" textRotation="90"/>
      <protection locked="0"/>
    </xf>
    <xf numFmtId="9" fontId="82" fillId="0" borderId="90" xfId="0" applyNumberFormat="1" applyFont="1" applyFill="1" applyBorder="1" applyAlignment="1" applyProtection="1">
      <alignment horizontal="center" vertical="center"/>
      <protection hidden="1"/>
    </xf>
    <xf numFmtId="164" fontId="82" fillId="0" borderId="90" xfId="1" applyNumberFormat="1" applyFont="1" applyFill="1" applyBorder="1" applyAlignment="1">
      <alignment horizontal="center" vertical="center"/>
    </xf>
    <xf numFmtId="0" fontId="83" fillId="0" borderId="90" xfId="0" applyFont="1" applyFill="1" applyBorder="1" applyAlignment="1" applyProtection="1">
      <alignment horizontal="center" vertical="center" textRotation="90" wrapText="1"/>
      <protection hidden="1"/>
    </xf>
    <xf numFmtId="0" fontId="83" fillId="0" borderId="90" xfId="0" applyFont="1" applyFill="1" applyBorder="1" applyAlignment="1" applyProtection="1">
      <alignment horizontal="center" vertical="center" textRotation="90"/>
      <protection hidden="1"/>
    </xf>
    <xf numFmtId="0" fontId="82" fillId="0" borderId="90" xfId="0" applyFont="1" applyFill="1" applyBorder="1" applyAlignment="1" applyProtection="1">
      <alignment horizontal="center" vertical="center" textRotation="90" wrapText="1"/>
      <protection locked="0"/>
    </xf>
    <xf numFmtId="0" fontId="82" fillId="0" borderId="90" xfId="0" applyFont="1" applyFill="1" applyBorder="1" applyAlignment="1" applyProtection="1">
      <alignment horizontal="center" vertical="center"/>
      <protection locked="0"/>
    </xf>
    <xf numFmtId="14" fontId="82" fillId="0" borderId="90" xfId="0" applyNumberFormat="1" applyFont="1" applyFill="1" applyBorder="1" applyAlignment="1" applyProtection="1">
      <alignment horizontal="center" vertical="center"/>
      <protection locked="0"/>
    </xf>
    <xf numFmtId="0" fontId="82" fillId="0" borderId="0" xfId="0" applyFont="1" applyFill="1"/>
    <xf numFmtId="0" fontId="82" fillId="0" borderId="90" xfId="0" applyFont="1" applyFill="1" applyBorder="1" applyAlignment="1" applyProtection="1">
      <alignment horizontal="justify" vertical="top" wrapText="1"/>
      <protection locked="0"/>
    </xf>
    <xf numFmtId="0" fontId="81" fillId="0" borderId="0" xfId="0" applyFont="1" applyAlignment="1">
      <alignment vertical="center"/>
    </xf>
    <xf numFmtId="0" fontId="88" fillId="3" borderId="0" xfId="0" applyFont="1" applyFill="1"/>
    <xf numFmtId="0" fontId="88" fillId="0" borderId="0" xfId="0" applyFont="1"/>
    <xf numFmtId="0" fontId="81" fillId="0" borderId="93" xfId="0" applyFont="1" applyBorder="1" applyAlignment="1">
      <alignment vertical="center"/>
    </xf>
    <xf numFmtId="0" fontId="81" fillId="0" borderId="91" xfId="0" applyFont="1" applyBorder="1" applyAlignment="1">
      <alignment vertical="center"/>
    </xf>
    <xf numFmtId="0" fontId="82" fillId="3" borderId="0" xfId="0" applyFont="1" applyFill="1" applyAlignment="1">
      <alignment horizontal="center" vertical="center"/>
    </xf>
    <xf numFmtId="0" fontId="82" fillId="3" borderId="0" xfId="0" applyFont="1" applyFill="1" applyAlignment="1">
      <alignment horizontal="left" vertical="center"/>
    </xf>
    <xf numFmtId="0" fontId="82" fillId="3" borderId="0" xfId="0" applyFont="1" applyFill="1"/>
    <xf numFmtId="0" fontId="82" fillId="3" borderId="0" xfId="0" applyFont="1" applyFill="1" applyAlignment="1">
      <alignment horizontal="center"/>
    </xf>
    <xf numFmtId="0" fontId="82" fillId="3" borderId="0" xfId="0" applyFont="1" applyFill="1" applyAlignment="1">
      <alignment wrapText="1"/>
    </xf>
    <xf numFmtId="0" fontId="82" fillId="0" borderId="0" xfId="0" applyFont="1"/>
    <xf numFmtId="0" fontId="83" fillId="3" borderId="99" xfId="0" applyFont="1" applyFill="1" applyBorder="1"/>
    <xf numFmtId="0" fontId="83" fillId="3" borderId="90" xfId="0" applyFont="1" applyFill="1" applyBorder="1"/>
    <xf numFmtId="0" fontId="83" fillId="3" borderId="100" xfId="0" applyFont="1" applyFill="1" applyBorder="1"/>
    <xf numFmtId="0" fontId="83" fillId="3" borderId="111" xfId="0" applyFont="1" applyFill="1" applyBorder="1"/>
    <xf numFmtId="0" fontId="83" fillId="3" borderId="91" xfId="0" applyFont="1" applyFill="1" applyBorder="1"/>
    <xf numFmtId="0" fontId="83" fillId="3" borderId="101" xfId="0" applyFont="1" applyFill="1" applyBorder="1"/>
    <xf numFmtId="0" fontId="83" fillId="0" borderId="0" xfId="0" applyFont="1" applyAlignment="1">
      <alignment horizontal="left" vertical="center"/>
    </xf>
    <xf numFmtId="0" fontId="82" fillId="0" borderId="0" xfId="0" applyFont="1" applyAlignment="1" applyProtection="1">
      <alignment horizontal="left" vertical="center" wrapText="1"/>
      <protection locked="0"/>
    </xf>
    <xf numFmtId="0" fontId="83" fillId="0" borderId="0" xfId="0" applyFont="1"/>
    <xf numFmtId="0" fontId="82" fillId="0" borderId="0" xfId="0" applyFont="1" applyAlignment="1">
      <alignment horizontal="left" wrapText="1"/>
    </xf>
    <xf numFmtId="0" fontId="83" fillId="16" borderId="90" xfId="0" applyFont="1" applyFill="1" applyBorder="1" applyAlignment="1">
      <alignment horizontal="center" vertical="center" textRotation="90"/>
    </xf>
    <xf numFmtId="0" fontId="83" fillId="3" borderId="0" xfId="0" applyFont="1" applyFill="1" applyAlignment="1">
      <alignment horizontal="center" vertical="center"/>
    </xf>
    <xf numFmtId="0" fontId="83" fillId="0" borderId="0" xfId="0" applyFont="1" applyAlignment="1">
      <alignment horizontal="center" vertical="center"/>
    </xf>
    <xf numFmtId="0" fontId="83" fillId="2" borderId="0" xfId="0" applyFont="1" applyFill="1" applyAlignment="1">
      <alignment horizontal="center" vertical="center"/>
    </xf>
    <xf numFmtId="0" fontId="82" fillId="0" borderId="90" xfId="0" applyFont="1" applyFill="1" applyBorder="1" applyAlignment="1">
      <alignment horizontal="center" vertical="center"/>
    </xf>
    <xf numFmtId="0" fontId="82" fillId="0" borderId="0" xfId="0" applyFont="1" applyFill="1" applyAlignment="1">
      <alignment vertical="center"/>
    </xf>
    <xf numFmtId="0" fontId="82" fillId="0" borderId="3" xfId="0" applyFont="1" applyBorder="1" applyAlignment="1">
      <alignment horizontal="center" vertical="center"/>
    </xf>
    <xf numFmtId="0" fontId="82" fillId="0" borderId="0" xfId="0" applyFont="1" applyAlignment="1">
      <alignment wrapText="1"/>
    </xf>
    <xf numFmtId="0" fontId="82" fillId="0" borderId="0" xfId="0" applyFont="1" applyAlignment="1">
      <alignment horizontal="center" vertical="center"/>
    </xf>
    <xf numFmtId="0" fontId="82" fillId="0" borderId="0" xfId="0" applyFont="1" applyAlignment="1">
      <alignment horizontal="center"/>
    </xf>
    <xf numFmtId="166" fontId="30" fillId="0" borderId="64" xfId="0" applyNumberFormat="1" applyFont="1" applyBorder="1" applyAlignment="1">
      <alignment horizontal="center" vertical="center" wrapText="1" readingOrder="1"/>
    </xf>
    <xf numFmtId="0" fontId="82" fillId="0" borderId="90" xfId="0" applyFont="1" applyFill="1" applyBorder="1" applyAlignment="1" applyProtection="1">
      <alignment horizontal="center" vertical="center" wrapText="1"/>
      <protection locked="0"/>
    </xf>
    <xf numFmtId="0" fontId="82" fillId="0" borderId="90" xfId="0" applyFont="1" applyFill="1" applyBorder="1" applyAlignment="1" applyProtection="1">
      <alignment vertical="center" wrapText="1"/>
      <protection locked="0"/>
    </xf>
    <xf numFmtId="0" fontId="82" fillId="0" borderId="105" xfId="0" applyFont="1" applyFill="1" applyBorder="1" applyAlignment="1" applyProtection="1">
      <alignment vertical="center" wrapText="1"/>
      <protection locked="0"/>
    </xf>
    <xf numFmtId="0" fontId="82" fillId="0" borderId="92" xfId="0" applyFont="1" applyFill="1" applyBorder="1" applyAlignment="1" applyProtection="1">
      <alignment vertical="center" wrapText="1"/>
      <protection locked="0"/>
    </xf>
    <xf numFmtId="0" fontId="90" fillId="0" borderId="0" xfId="0" applyFont="1" applyAlignment="1">
      <alignment vertical="center" wrapText="1"/>
    </xf>
    <xf numFmtId="0" fontId="90" fillId="0" borderId="0" xfId="0" applyFont="1" applyAlignment="1">
      <alignment vertical="center"/>
    </xf>
    <xf numFmtId="0" fontId="82" fillId="0" borderId="90" xfId="0" applyFont="1" applyFill="1" applyBorder="1" applyAlignment="1" applyProtection="1">
      <alignment vertical="center"/>
      <protection locked="0"/>
    </xf>
    <xf numFmtId="0" fontId="91" fillId="29" borderId="0" xfId="0" applyFont="1" applyFill="1" applyBorder="1" applyAlignment="1">
      <alignment horizontal="justify" vertical="center" wrapText="1"/>
    </xf>
    <xf numFmtId="0" fontId="64" fillId="0" borderId="84" xfId="0" applyFont="1" applyBorder="1" applyAlignment="1">
      <alignment vertical="center" wrapText="1"/>
    </xf>
    <xf numFmtId="0" fontId="64" fillId="0" borderId="85" xfId="0" applyFont="1" applyBorder="1" applyAlignment="1">
      <alignment horizontal="center" vertical="center" wrapText="1"/>
    </xf>
    <xf numFmtId="0" fontId="64" fillId="0" borderId="85" xfId="0" applyFont="1" applyBorder="1" applyAlignment="1">
      <alignment wrapText="1"/>
    </xf>
    <xf numFmtId="0" fontId="64" fillId="0" borderId="85" xfId="0" applyFont="1" applyBorder="1" applyAlignment="1">
      <alignment vertical="center" wrapText="1"/>
    </xf>
    <xf numFmtId="0" fontId="52" fillId="3" borderId="53" xfId="2" applyFont="1" applyFill="1" applyBorder="1" applyAlignment="1">
      <alignment horizontal="justify" vertical="center" wrapText="1"/>
    </xf>
    <xf numFmtId="0" fontId="52" fillId="3" borderId="54" xfId="2" applyFont="1" applyFill="1" applyBorder="1" applyAlignment="1">
      <alignment horizontal="justify" vertical="center" wrapText="1"/>
    </xf>
    <xf numFmtId="0" fontId="51" fillId="3" borderId="60" xfId="0" applyFont="1" applyFill="1" applyBorder="1" applyAlignment="1">
      <alignment horizontal="left" vertical="center" wrapText="1"/>
    </xf>
    <xf numFmtId="0" fontId="51" fillId="3" borderId="61" xfId="0" applyFont="1" applyFill="1" applyBorder="1" applyAlignment="1">
      <alignment horizontal="left" vertical="center" wrapText="1"/>
    </xf>
    <xf numFmtId="0" fontId="51" fillId="3" borderId="47" xfId="3" applyFont="1" applyFill="1" applyBorder="1" applyAlignment="1">
      <alignment horizontal="left" vertical="top" wrapText="1" readingOrder="1"/>
    </xf>
    <xf numFmtId="0" fontId="51" fillId="3" borderId="48" xfId="3" applyFont="1" applyFill="1" applyBorder="1" applyAlignment="1">
      <alignment horizontal="left" vertical="top" wrapText="1" readingOrder="1"/>
    </xf>
    <xf numFmtId="0" fontId="52" fillId="3" borderId="49" xfId="2" applyFont="1" applyFill="1" applyBorder="1" applyAlignment="1">
      <alignment horizontal="justify" vertical="center" wrapText="1"/>
    </xf>
    <xf numFmtId="0" fontId="52" fillId="3" borderId="50" xfId="2" applyFont="1" applyFill="1" applyBorder="1" applyAlignment="1">
      <alignment horizontal="justify" vertical="center" wrapText="1"/>
    </xf>
    <xf numFmtId="0" fontId="51" fillId="3" borderId="51" xfId="0" applyFont="1" applyFill="1" applyBorder="1" applyAlignment="1">
      <alignment horizontal="left" vertical="center" wrapText="1"/>
    </xf>
    <xf numFmtId="0" fontId="51" fillId="3" borderId="52" xfId="0" applyFont="1" applyFill="1" applyBorder="1" applyAlignment="1">
      <alignment horizontal="left" vertical="center" wrapText="1"/>
    </xf>
    <xf numFmtId="0" fontId="46" fillId="3" borderId="7" xfId="2" applyFont="1" applyFill="1" applyBorder="1" applyAlignment="1">
      <alignment horizontal="left" vertical="top" wrapText="1"/>
    </xf>
    <xf numFmtId="0" fontId="46" fillId="3" borderId="0" xfId="2" applyFont="1" applyFill="1" applyAlignment="1">
      <alignment horizontal="left" vertical="top" wrapText="1"/>
    </xf>
    <xf numFmtId="0" fontId="46" fillId="3" borderId="8" xfId="2" applyFont="1" applyFill="1" applyBorder="1" applyAlignment="1">
      <alignment horizontal="left" vertical="top" wrapText="1"/>
    </xf>
    <xf numFmtId="0" fontId="51" fillId="3" borderId="62" xfId="0" applyFont="1" applyFill="1" applyBorder="1" applyAlignment="1">
      <alignment horizontal="left" vertical="center" wrapText="1"/>
    </xf>
    <xf numFmtId="0" fontId="51" fillId="3" borderId="63" xfId="0" applyFont="1" applyFill="1" applyBorder="1" applyAlignment="1">
      <alignment horizontal="left" vertical="center" wrapText="1"/>
    </xf>
    <xf numFmtId="0" fontId="52" fillId="3" borderId="55" xfId="0" applyFont="1" applyFill="1" applyBorder="1" applyAlignment="1">
      <alignment horizontal="justify" vertical="center" wrapText="1"/>
    </xf>
    <xf numFmtId="0" fontId="52" fillId="3" borderId="56" xfId="0" applyFont="1" applyFill="1" applyBorder="1" applyAlignment="1">
      <alignment horizontal="justify" vertical="center" wrapText="1"/>
    </xf>
    <xf numFmtId="0" fontId="47" fillId="23" borderId="37" xfId="2" applyFont="1" applyFill="1" applyBorder="1" applyAlignment="1">
      <alignment horizontal="center" vertical="center" wrapText="1"/>
    </xf>
    <xf numFmtId="0" fontId="47" fillId="23" borderId="38" xfId="2" applyFont="1" applyFill="1" applyBorder="1" applyAlignment="1">
      <alignment horizontal="center" vertical="center" wrapText="1"/>
    </xf>
    <xf numFmtId="0" fontId="47" fillId="23" borderId="39" xfId="2" applyFont="1" applyFill="1" applyBorder="1" applyAlignment="1">
      <alignment horizontal="center" vertical="center" wrapText="1"/>
    </xf>
    <xf numFmtId="0" fontId="46" fillId="0" borderId="7" xfId="2" quotePrefix="1" applyFont="1" applyBorder="1" applyAlignment="1">
      <alignment horizontal="left" vertical="center" wrapText="1"/>
    </xf>
    <xf numFmtId="0" fontId="46" fillId="0" borderId="0" xfId="2" quotePrefix="1" applyFont="1" applyAlignment="1">
      <alignment horizontal="left" vertical="center" wrapText="1"/>
    </xf>
    <xf numFmtId="0" fontId="46" fillId="0" borderId="8" xfId="2" quotePrefix="1" applyFont="1" applyBorder="1" applyAlignment="1">
      <alignment horizontal="left" vertical="center" wrapText="1"/>
    </xf>
    <xf numFmtId="0" fontId="46" fillId="0" borderId="57" xfId="2" quotePrefix="1" applyFont="1" applyBorder="1" applyAlignment="1">
      <alignment horizontal="left" vertical="center" wrapText="1"/>
    </xf>
    <xf numFmtId="0" fontId="46" fillId="0" borderId="58" xfId="2" quotePrefix="1" applyFont="1" applyBorder="1" applyAlignment="1">
      <alignment horizontal="left" vertical="center" wrapText="1"/>
    </xf>
    <xf numFmtId="0" fontId="46" fillId="0" borderId="59" xfId="2" quotePrefix="1" applyFont="1" applyBorder="1" applyAlignment="1">
      <alignment horizontal="left" vertical="center" wrapText="1"/>
    </xf>
    <xf numFmtId="0" fontId="48" fillId="3" borderId="40" xfId="2" quotePrefix="1" applyFont="1" applyFill="1" applyBorder="1" applyAlignment="1">
      <alignment horizontal="left" vertical="top" wrapText="1"/>
    </xf>
    <xf numFmtId="0" fontId="49" fillId="3" borderId="41" xfId="2" quotePrefix="1" applyFont="1" applyFill="1" applyBorder="1" applyAlignment="1">
      <alignment horizontal="left" vertical="top" wrapText="1"/>
    </xf>
    <xf numFmtId="0" fontId="49" fillId="3" borderId="42" xfId="2" quotePrefix="1" applyFont="1" applyFill="1" applyBorder="1" applyAlignment="1">
      <alignment horizontal="left" vertical="top" wrapText="1"/>
    </xf>
    <xf numFmtId="0" fontId="46" fillId="0" borderId="7" xfId="2" quotePrefix="1" applyFont="1" applyBorder="1" applyAlignment="1">
      <alignment horizontal="left" vertical="top" wrapText="1"/>
    </xf>
    <xf numFmtId="0" fontId="46" fillId="0" borderId="0" xfId="2" quotePrefix="1" applyFont="1" applyAlignment="1">
      <alignment horizontal="left" vertical="top" wrapText="1"/>
    </xf>
    <xf numFmtId="0" fontId="46" fillId="0" borderId="8" xfId="2" quotePrefix="1" applyFont="1" applyBorder="1" applyAlignment="1">
      <alignment horizontal="left" vertical="top" wrapText="1"/>
    </xf>
    <xf numFmtId="0" fontId="51" fillId="14" borderId="43" xfId="3" applyFont="1" applyFill="1" applyBorder="1" applyAlignment="1">
      <alignment horizontal="center" vertical="center" wrapText="1"/>
    </xf>
    <xf numFmtId="0" fontId="51" fillId="14" borderId="44" xfId="3" applyFont="1" applyFill="1" applyBorder="1" applyAlignment="1">
      <alignment horizontal="center" vertical="center" wrapText="1"/>
    </xf>
    <xf numFmtId="0" fontId="51" fillId="14" borderId="45" xfId="2" applyFont="1" applyFill="1" applyBorder="1" applyAlignment="1">
      <alignment horizontal="center" vertical="center"/>
    </xf>
    <xf numFmtId="0" fontId="51" fillId="14" borderId="46" xfId="2" applyFont="1" applyFill="1" applyBorder="1" applyAlignment="1">
      <alignment horizontal="center" vertical="center"/>
    </xf>
    <xf numFmtId="0" fontId="1" fillId="3" borderId="57" xfId="2" quotePrefix="1" applyFont="1" applyFill="1" applyBorder="1" applyAlignment="1">
      <alignment horizontal="justify" vertical="center" wrapText="1"/>
    </xf>
    <xf numFmtId="0" fontId="1" fillId="3" borderId="58" xfId="2" quotePrefix="1" applyFont="1" applyFill="1" applyBorder="1" applyAlignment="1">
      <alignment horizontal="justify" vertical="center" wrapText="1"/>
    </xf>
    <xf numFmtId="0" fontId="1" fillId="3" borderId="59" xfId="2" quotePrefix="1" applyFont="1" applyFill="1" applyBorder="1" applyAlignment="1">
      <alignment horizontal="justify"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textRotation="90"/>
    </xf>
    <xf numFmtId="15" fontId="79" fillId="6" borderId="68" xfId="0" applyNumberFormat="1" applyFont="1" applyFill="1" applyBorder="1" applyAlignment="1">
      <alignment horizontal="center" vertical="center"/>
    </xf>
    <xf numFmtId="15" fontId="79" fillId="6" borderId="72" xfId="0" applyNumberFormat="1" applyFont="1" applyFill="1" applyBorder="1" applyAlignment="1">
      <alignment horizontal="center" vertical="center"/>
    </xf>
    <xf numFmtId="0" fontId="63" fillId="26" borderId="24" xfId="0" applyFont="1" applyFill="1" applyBorder="1" applyAlignment="1">
      <alignment horizontal="center" vertical="center" wrapText="1"/>
    </xf>
    <xf numFmtId="0" fontId="63" fillId="26" borderId="25" xfId="0" applyFont="1" applyFill="1" applyBorder="1" applyAlignment="1">
      <alignment horizontal="center" vertical="center" wrapText="1"/>
    </xf>
    <xf numFmtId="0" fontId="63" fillId="26" borderId="36" xfId="0" applyFont="1" applyFill="1" applyBorder="1" applyAlignment="1">
      <alignment horizontal="center" vertical="center" wrapText="1"/>
    </xf>
    <xf numFmtId="0" fontId="63" fillId="26" borderId="12" xfId="0" applyFont="1" applyFill="1" applyBorder="1" applyAlignment="1">
      <alignment horizontal="center" vertical="center" textRotation="90"/>
    </xf>
    <xf numFmtId="0" fontId="63" fillId="26" borderId="0" xfId="0" applyFont="1" applyFill="1" applyBorder="1" applyAlignment="1">
      <alignment horizontal="center" vertical="center" textRotation="90"/>
    </xf>
    <xf numFmtId="0" fontId="87" fillId="21" borderId="22" xfId="0" applyFont="1" applyFill="1" applyBorder="1" applyAlignment="1">
      <alignment horizontal="center" vertical="center" wrapText="1"/>
    </xf>
    <xf numFmtId="0" fontId="0" fillId="0" borderId="22" xfId="0" applyBorder="1" applyAlignment="1">
      <alignment horizontal="center"/>
    </xf>
    <xf numFmtId="0" fontId="81" fillId="0" borderId="22" xfId="0" applyFont="1" applyBorder="1" applyAlignment="1">
      <alignment horizontal="center" vertical="center" wrapText="1"/>
    </xf>
    <xf numFmtId="0" fontId="75" fillId="0" borderId="22" xfId="0" applyFont="1" applyBorder="1" applyAlignment="1">
      <alignment horizontal="left" vertical="center" wrapText="1"/>
    </xf>
    <xf numFmtId="0" fontId="75" fillId="0" borderId="22" xfId="0" applyFont="1" applyBorder="1" applyAlignment="1">
      <alignment horizontal="left" vertical="center" wrapText="1" indent="1"/>
    </xf>
    <xf numFmtId="0" fontId="76" fillId="0" borderId="87" xfId="0" applyFont="1" applyBorder="1" applyAlignment="1">
      <alignment horizontal="left"/>
    </xf>
    <xf numFmtId="0" fontId="76" fillId="0" borderId="0" xfId="0" applyFont="1" applyBorder="1" applyAlignment="1">
      <alignment horizontal="left"/>
    </xf>
    <xf numFmtId="0" fontId="73" fillId="0" borderId="87" xfId="0" applyFont="1" applyBorder="1" applyAlignment="1">
      <alignment horizontal="center"/>
    </xf>
    <xf numFmtId="0" fontId="73" fillId="0" borderId="0" xfId="0" applyFont="1" applyBorder="1" applyAlignment="1">
      <alignment horizontal="center"/>
    </xf>
    <xf numFmtId="0" fontId="63" fillId="17" borderId="66" xfId="0" applyFont="1" applyFill="1" applyBorder="1" applyAlignment="1">
      <alignment horizontal="center" vertical="center" wrapText="1"/>
    </xf>
    <xf numFmtId="0" fontId="63" fillId="17" borderId="67" xfId="0" applyFont="1" applyFill="1" applyBorder="1" applyAlignment="1">
      <alignment horizontal="center" vertical="center" wrapText="1"/>
    </xf>
    <xf numFmtId="0" fontId="63" fillId="18" borderId="68" xfId="0" applyFont="1" applyFill="1" applyBorder="1" applyAlignment="1">
      <alignment horizontal="center" vertical="center" textRotation="90"/>
    </xf>
    <xf numFmtId="0" fontId="63" fillId="18" borderId="70" xfId="0" applyFont="1" applyFill="1" applyBorder="1" applyAlignment="1">
      <alignment horizontal="center" vertical="center" textRotation="90"/>
    </xf>
    <xf numFmtId="0" fontId="63" fillId="18" borderId="72" xfId="0" applyFont="1" applyFill="1" applyBorder="1" applyAlignment="1">
      <alignment horizontal="center" vertical="center" textRotation="90"/>
    </xf>
    <xf numFmtId="0" fontId="79" fillId="22" borderId="87" xfId="0" applyFont="1" applyFill="1" applyBorder="1" applyAlignment="1">
      <alignment horizontal="center" vertical="center"/>
    </xf>
    <xf numFmtId="0" fontId="79" fillId="22" borderId="88" xfId="0" applyFont="1" applyFill="1" applyBorder="1" applyAlignment="1">
      <alignment horizontal="center" vertical="center"/>
    </xf>
    <xf numFmtId="9" fontId="82" fillId="0" borderId="90" xfId="0" applyNumberFormat="1" applyFont="1" applyFill="1" applyBorder="1" applyAlignment="1" applyProtection="1">
      <alignment horizontal="center" vertical="center" wrapText="1"/>
      <protection hidden="1"/>
    </xf>
    <xf numFmtId="0" fontId="83" fillId="0" borderId="90" xfId="0" applyFont="1" applyFill="1" applyBorder="1" applyAlignment="1" applyProtection="1">
      <alignment horizontal="center" vertical="center"/>
      <protection hidden="1"/>
    </xf>
    <xf numFmtId="0" fontId="88" fillId="0" borderId="96" xfId="0" applyFont="1" applyBorder="1" applyAlignment="1">
      <alignment horizontal="center" vertical="center"/>
    </xf>
    <xf numFmtId="0" fontId="88" fillId="0" borderId="97" xfId="0" applyFont="1" applyBorder="1" applyAlignment="1">
      <alignment horizontal="center" vertical="center"/>
    </xf>
    <xf numFmtId="0" fontId="88" fillId="0" borderId="98" xfId="0" applyFont="1" applyBorder="1" applyAlignment="1">
      <alignment horizontal="center" vertical="center"/>
    </xf>
    <xf numFmtId="0" fontId="88" fillId="0" borderId="99" xfId="0" applyFont="1" applyBorder="1" applyAlignment="1">
      <alignment horizontal="center" vertical="center"/>
    </xf>
    <xf numFmtId="0" fontId="88" fillId="0" borderId="90" xfId="0" applyFont="1" applyBorder="1" applyAlignment="1">
      <alignment horizontal="center" vertical="center"/>
    </xf>
    <xf numFmtId="0" fontId="88" fillId="0" borderId="100" xfId="0" applyFont="1" applyBorder="1" applyAlignment="1">
      <alignment horizontal="center" vertical="center"/>
    </xf>
    <xf numFmtId="0" fontId="88" fillId="0" borderId="102" xfId="0" applyFont="1" applyBorder="1" applyAlignment="1">
      <alignment horizontal="center" vertical="center"/>
    </xf>
    <xf numFmtId="0" fontId="88" fillId="0" borderId="103" xfId="0" applyFont="1" applyBorder="1" applyAlignment="1">
      <alignment horizontal="center" vertical="center"/>
    </xf>
    <xf numFmtId="0" fontId="88" fillId="0" borderId="104" xfId="0" applyFont="1" applyBorder="1" applyAlignment="1">
      <alignment horizontal="center" vertical="center"/>
    </xf>
    <xf numFmtId="0" fontId="81" fillId="0" borderId="109" xfId="0" applyFont="1" applyBorder="1" applyAlignment="1">
      <alignment horizontal="center" vertical="center"/>
    </xf>
    <xf numFmtId="0" fontId="81" fillId="0" borderId="97" xfId="0" applyFont="1" applyBorder="1" applyAlignment="1">
      <alignment horizontal="center" vertical="center"/>
    </xf>
    <xf numFmtId="0" fontId="81" fillId="0" borderId="98" xfId="0" applyFont="1" applyBorder="1" applyAlignment="1">
      <alignment horizontal="center" vertical="center"/>
    </xf>
    <xf numFmtId="0" fontId="81" fillId="0" borderId="110" xfId="0" applyFont="1" applyBorder="1" applyAlignment="1">
      <alignment horizontal="center" vertical="center"/>
    </xf>
    <xf numFmtId="0" fontId="81" fillId="0" borderId="103" xfId="0" applyFont="1" applyBorder="1" applyAlignment="1">
      <alignment horizontal="center" vertical="center"/>
    </xf>
    <xf numFmtId="0" fontId="81" fillId="0" borderId="104" xfId="0" applyFont="1" applyBorder="1" applyAlignment="1">
      <alignment horizontal="center" vertical="center"/>
    </xf>
    <xf numFmtId="0" fontId="81" fillId="0" borderId="95" xfId="0" applyFont="1" applyBorder="1" applyAlignment="1">
      <alignment horizontal="left" vertical="center"/>
    </xf>
    <xf numFmtId="0" fontId="81" fillId="0" borderId="105" xfId="0" applyFont="1" applyBorder="1" applyAlignment="1">
      <alignment horizontal="left" vertical="center"/>
    </xf>
    <xf numFmtId="0" fontId="81" fillId="0" borderId="106" xfId="0" applyFont="1" applyBorder="1" applyAlignment="1">
      <alignment horizontal="left" vertical="center"/>
    </xf>
    <xf numFmtId="0" fontId="81" fillId="0" borderId="110" xfId="0" applyFont="1" applyBorder="1" applyAlignment="1">
      <alignment horizontal="left" vertical="center"/>
    </xf>
    <xf numFmtId="0" fontId="81" fillId="0" borderId="103" xfId="0" applyFont="1" applyBorder="1" applyAlignment="1">
      <alignment horizontal="left" vertical="center"/>
    </xf>
    <xf numFmtId="0" fontId="81" fillId="0" borderId="104" xfId="0" applyFont="1" applyBorder="1" applyAlignment="1">
      <alignment horizontal="left" vertical="center"/>
    </xf>
    <xf numFmtId="0" fontId="82" fillId="3" borderId="109" xfId="0" applyFont="1" applyFill="1" applyBorder="1" applyAlignment="1">
      <alignment horizontal="left" wrapText="1"/>
    </xf>
    <xf numFmtId="0" fontId="82" fillId="3" borderId="97" xfId="0" applyFont="1" applyFill="1" applyBorder="1" applyAlignment="1">
      <alignment horizontal="left" wrapText="1"/>
    </xf>
    <xf numFmtId="0" fontId="82" fillId="3" borderId="98" xfId="0" applyFont="1" applyFill="1" applyBorder="1" applyAlignment="1">
      <alignment horizontal="left" wrapText="1"/>
    </xf>
    <xf numFmtId="0" fontId="82" fillId="3" borderId="94" xfId="0" applyFont="1" applyFill="1" applyBorder="1" applyAlignment="1">
      <alignment horizontal="left" wrapText="1"/>
    </xf>
    <xf numFmtId="0" fontId="82" fillId="3" borderId="90" xfId="0" applyFont="1" applyFill="1" applyBorder="1" applyAlignment="1">
      <alignment horizontal="left" wrapText="1"/>
    </xf>
    <xf numFmtId="0" fontId="82" fillId="3" borderId="100" xfId="0" applyFont="1" applyFill="1" applyBorder="1" applyAlignment="1">
      <alignment horizontal="left" wrapText="1"/>
    </xf>
    <xf numFmtId="0" fontId="82" fillId="3" borderId="93" xfId="0" applyFont="1" applyFill="1" applyBorder="1" applyAlignment="1">
      <alignment horizontal="left" wrapText="1"/>
    </xf>
    <xf numFmtId="0" fontId="82" fillId="3" borderId="91" xfId="0" applyFont="1" applyFill="1" applyBorder="1" applyAlignment="1">
      <alignment horizontal="left" wrapText="1"/>
    </xf>
    <xf numFmtId="0" fontId="82" fillId="3" borderId="101" xfId="0" applyFont="1" applyFill="1" applyBorder="1" applyAlignment="1">
      <alignment horizontal="left" wrapText="1"/>
    </xf>
    <xf numFmtId="0" fontId="81" fillId="0" borderId="96" xfId="0" applyFont="1" applyBorder="1" applyAlignment="1">
      <alignment horizontal="center" vertical="center"/>
    </xf>
    <xf numFmtId="0" fontId="81" fillId="0" borderId="102" xfId="0" applyFont="1" applyBorder="1" applyAlignment="1">
      <alignment horizontal="center" vertical="center"/>
    </xf>
    <xf numFmtId="0" fontId="81" fillId="0" borderId="107" xfId="0" applyFont="1" applyBorder="1" applyAlignment="1">
      <alignment horizontal="left" vertical="center"/>
    </xf>
    <xf numFmtId="0" fontId="81" fillId="0" borderId="92" xfId="0" applyFont="1" applyBorder="1" applyAlignment="1">
      <alignment horizontal="left" vertical="center"/>
    </xf>
    <xf numFmtId="0" fontId="81" fillId="0" borderId="102" xfId="0" applyFont="1" applyBorder="1" applyAlignment="1">
      <alignment horizontal="left" vertical="center"/>
    </xf>
    <xf numFmtId="0" fontId="81" fillId="0" borderId="108" xfId="0" applyFont="1" applyBorder="1" applyAlignment="1">
      <alignment horizontal="left" vertical="center"/>
    </xf>
    <xf numFmtId="0" fontId="83" fillId="16" borderId="113" xfId="0" applyFont="1" applyFill="1" applyBorder="1" applyAlignment="1">
      <alignment horizontal="left" vertical="center"/>
    </xf>
    <xf numFmtId="0" fontId="83" fillId="16" borderId="114" xfId="0" applyFont="1" applyFill="1" applyBorder="1" applyAlignment="1">
      <alignment horizontal="left" vertical="center"/>
    </xf>
    <xf numFmtId="0" fontId="83" fillId="16" borderId="115" xfId="0" applyFont="1" applyFill="1" applyBorder="1" applyAlignment="1">
      <alignment horizontal="left" vertical="center"/>
    </xf>
    <xf numFmtId="0" fontId="83" fillId="16" borderId="116" xfId="0" applyFont="1" applyFill="1" applyBorder="1" applyAlignment="1">
      <alignment horizontal="left" vertical="center"/>
    </xf>
    <xf numFmtId="0" fontId="83" fillId="16" borderId="117" xfId="0" applyFont="1" applyFill="1" applyBorder="1" applyAlignment="1">
      <alignment horizontal="left" vertical="center"/>
    </xf>
    <xf numFmtId="0" fontId="83" fillId="16" borderId="118" xfId="0" applyFont="1" applyFill="1" applyBorder="1" applyAlignment="1">
      <alignment horizontal="left" vertical="center"/>
    </xf>
    <xf numFmtId="9" fontId="82" fillId="0" borderId="90" xfId="0" applyNumberFormat="1" applyFont="1" applyFill="1" applyBorder="1" applyAlignment="1" applyProtection="1">
      <alignment horizontal="center" vertical="center" wrapText="1"/>
      <protection locked="0"/>
    </xf>
    <xf numFmtId="0" fontId="83" fillId="0" borderId="90" xfId="0" applyFont="1" applyFill="1" applyBorder="1" applyAlignment="1" applyProtection="1">
      <alignment horizontal="center" vertical="center" wrapText="1"/>
      <protection hidden="1"/>
    </xf>
    <xf numFmtId="0" fontId="83" fillId="0" borderId="90" xfId="0" applyFont="1" applyFill="1" applyBorder="1" applyAlignment="1">
      <alignment horizontal="center" vertical="center"/>
    </xf>
    <xf numFmtId="0" fontId="82" fillId="0" borderId="90" xfId="0" applyFont="1" applyFill="1" applyBorder="1" applyAlignment="1" applyProtection="1">
      <alignment horizontal="center" vertical="center" wrapText="1"/>
      <protection locked="0"/>
    </xf>
    <xf numFmtId="0" fontId="82" fillId="0" borderId="90" xfId="0" applyFont="1" applyFill="1" applyBorder="1" applyAlignment="1" applyProtection="1">
      <alignment horizontal="center" vertical="center"/>
      <protection locked="0"/>
    </xf>
    <xf numFmtId="0" fontId="82" fillId="3" borderId="109" xfId="0" applyFont="1" applyFill="1" applyBorder="1" applyAlignment="1" applyProtection="1">
      <alignment horizontal="left" vertical="center"/>
      <protection locked="0"/>
    </xf>
    <xf numFmtId="0" fontId="82" fillId="3" borderId="97" xfId="0" applyFont="1" applyFill="1" applyBorder="1" applyAlignment="1" applyProtection="1">
      <alignment horizontal="left" vertical="center"/>
      <protection locked="0"/>
    </xf>
    <xf numFmtId="0" fontId="82" fillId="3" borderId="98" xfId="0" applyFont="1" applyFill="1" applyBorder="1" applyAlignment="1" applyProtection="1">
      <alignment horizontal="left" vertical="center"/>
      <protection locked="0"/>
    </xf>
    <xf numFmtId="0" fontId="83" fillId="3" borderId="96" xfId="0" applyFont="1" applyFill="1" applyBorder="1" applyAlignment="1">
      <alignment horizontal="left" vertical="center"/>
    </xf>
    <xf numFmtId="0" fontId="83" fillId="3" borderId="97" xfId="0" applyFont="1" applyFill="1" applyBorder="1" applyAlignment="1">
      <alignment horizontal="left" vertical="center"/>
    </xf>
    <xf numFmtId="0" fontId="83" fillId="3" borderId="98" xfId="0" applyFont="1" applyFill="1" applyBorder="1" applyAlignment="1">
      <alignment horizontal="left" vertical="center"/>
    </xf>
    <xf numFmtId="0" fontId="83" fillId="16" borderId="92" xfId="0" applyFont="1" applyFill="1" applyBorder="1" applyAlignment="1">
      <alignment horizontal="center" vertical="center"/>
    </xf>
    <xf numFmtId="0" fontId="82" fillId="0" borderId="2" xfId="0" applyFont="1" applyBorder="1" applyAlignment="1">
      <alignment horizontal="left" vertical="center" wrapText="1"/>
    </xf>
    <xf numFmtId="0" fontId="82" fillId="0" borderId="21" xfId="0" applyFont="1" applyBorder="1" applyAlignment="1">
      <alignment horizontal="left" vertical="center" wrapText="1"/>
    </xf>
    <xf numFmtId="0" fontId="82" fillId="0" borderId="90" xfId="0" applyFont="1" applyFill="1" applyBorder="1" applyAlignment="1" applyProtection="1">
      <alignment horizontal="left" vertical="center" wrapText="1"/>
      <protection locked="0"/>
    </xf>
    <xf numFmtId="0" fontId="82" fillId="0" borderId="91" xfId="0" applyFont="1" applyFill="1" applyBorder="1" applyAlignment="1" applyProtection="1">
      <alignment horizontal="center" vertical="center" wrapText="1"/>
      <protection locked="0"/>
    </xf>
    <xf numFmtId="0" fontId="82" fillId="0" borderId="105" xfId="0" applyFont="1" applyFill="1" applyBorder="1" applyAlignment="1" applyProtection="1">
      <alignment horizontal="center" vertical="center" wrapText="1"/>
      <protection locked="0"/>
    </xf>
    <xf numFmtId="0" fontId="82" fillId="0" borderId="92" xfId="0" applyFont="1" applyFill="1" applyBorder="1" applyAlignment="1" applyProtection="1">
      <alignment horizontal="center" vertical="center" wrapText="1"/>
      <protection locked="0"/>
    </xf>
    <xf numFmtId="0" fontId="82" fillId="3" borderId="94" xfId="0" applyFont="1" applyFill="1" applyBorder="1" applyAlignment="1" applyProtection="1">
      <alignment horizontal="left" vertical="center" wrapText="1"/>
      <protection locked="0"/>
    </xf>
    <xf numFmtId="0" fontId="82" fillId="3" borderId="90" xfId="0" applyFont="1" applyFill="1" applyBorder="1" applyAlignment="1" applyProtection="1">
      <alignment horizontal="left" vertical="center" wrapText="1"/>
      <protection locked="0"/>
    </xf>
    <xf numFmtId="0" fontId="82" fillId="3" borderId="100" xfId="0" applyFont="1" applyFill="1" applyBorder="1" applyAlignment="1" applyProtection="1">
      <alignment horizontal="left" vertical="center" wrapText="1"/>
      <protection locked="0"/>
    </xf>
    <xf numFmtId="0" fontId="82" fillId="3" borderId="110" xfId="0" applyFont="1" applyFill="1" applyBorder="1" applyAlignment="1" applyProtection="1">
      <alignment horizontal="left" vertical="center" wrapText="1"/>
      <protection locked="0"/>
    </xf>
    <xf numFmtId="0" fontId="82" fillId="3" borderId="103" xfId="0" applyFont="1" applyFill="1" applyBorder="1" applyAlignment="1" applyProtection="1">
      <alignment horizontal="left" vertical="center" wrapText="1"/>
      <protection locked="0"/>
    </xf>
    <xf numFmtId="0" fontId="82" fillId="3" borderId="104" xfId="0" applyFont="1" applyFill="1" applyBorder="1" applyAlignment="1" applyProtection="1">
      <alignment horizontal="left" vertical="center" wrapText="1"/>
      <protection locked="0"/>
    </xf>
    <xf numFmtId="0" fontId="83" fillId="16" borderId="90" xfId="0" applyFont="1" applyFill="1" applyBorder="1" applyAlignment="1">
      <alignment horizontal="center" vertical="center" wrapText="1"/>
    </xf>
    <xf numFmtId="0" fontId="83" fillId="16" borderId="90" xfId="0" applyFont="1" applyFill="1" applyBorder="1" applyAlignment="1">
      <alignment horizontal="center" vertical="center" textRotation="90"/>
    </xf>
    <xf numFmtId="0" fontId="83" fillId="23" borderId="90" xfId="0" applyFont="1" applyFill="1" applyBorder="1" applyAlignment="1">
      <alignment horizontal="center" vertical="center" wrapText="1"/>
    </xf>
    <xf numFmtId="0" fontId="83" fillId="16" borderId="90" xfId="0" applyFont="1" applyFill="1" applyBorder="1" applyAlignment="1">
      <alignment horizontal="center" vertical="center"/>
    </xf>
    <xf numFmtId="0" fontId="83" fillId="16" borderId="90" xfId="0" applyFont="1" applyFill="1" applyBorder="1" applyAlignment="1">
      <alignment horizontal="center" vertical="center" textRotation="90" wrapText="1"/>
    </xf>
    <xf numFmtId="0" fontId="90" fillId="0" borderId="120" xfId="0" applyFont="1" applyBorder="1" applyAlignment="1">
      <alignment horizontal="center" vertical="center" wrapText="1"/>
    </xf>
    <xf numFmtId="0" fontId="90" fillId="0" borderId="121" xfId="0" applyFont="1" applyBorder="1" applyAlignment="1">
      <alignment horizontal="center" vertical="center" wrapText="1"/>
    </xf>
    <xf numFmtId="0" fontId="83" fillId="23" borderId="91" xfId="0" applyFont="1" applyFill="1" applyBorder="1" applyAlignment="1">
      <alignment horizontal="center" vertical="center" wrapText="1"/>
    </xf>
    <xf numFmtId="0" fontId="83" fillId="23" borderId="92" xfId="0" applyFont="1" applyFill="1" applyBorder="1" applyAlignment="1">
      <alignment horizontal="center" vertical="center" wrapText="1"/>
    </xf>
    <xf numFmtId="14" fontId="82" fillId="0" borderId="91" xfId="0" applyNumberFormat="1" applyFont="1" applyFill="1" applyBorder="1" applyAlignment="1" applyProtection="1">
      <alignment horizontal="center" vertical="center"/>
      <protection locked="0"/>
    </xf>
    <xf numFmtId="14" fontId="82" fillId="0" borderId="92" xfId="0" applyNumberFormat="1" applyFont="1" applyFill="1" applyBorder="1" applyAlignment="1" applyProtection="1">
      <alignment horizontal="center" vertical="center"/>
      <protection locked="0"/>
    </xf>
    <xf numFmtId="0" fontId="90" fillId="0" borderId="122" xfId="0" applyFont="1" applyBorder="1" applyAlignment="1">
      <alignment horizontal="center" vertical="center" wrapText="1"/>
    </xf>
    <xf numFmtId="0" fontId="90" fillId="0" borderId="123" xfId="0" applyFont="1" applyBorder="1" applyAlignment="1">
      <alignment horizontal="center" vertical="center" wrapText="1"/>
    </xf>
    <xf numFmtId="0" fontId="90" fillId="0" borderId="0" xfId="0" applyFont="1" applyAlignment="1">
      <alignment horizontal="center" vertical="center" wrapText="1"/>
    </xf>
    <xf numFmtId="0" fontId="82" fillId="0" borderId="91" xfId="0" applyFont="1" applyFill="1" applyBorder="1" applyAlignment="1" applyProtection="1">
      <alignment horizontal="center" vertical="center"/>
      <protection locked="0"/>
    </xf>
    <xf numFmtId="0" fontId="82" fillId="0" borderId="92" xfId="0" applyFont="1" applyFill="1" applyBorder="1" applyAlignment="1" applyProtection="1">
      <alignment horizontal="center" vertical="center"/>
      <protection locked="0"/>
    </xf>
    <xf numFmtId="0" fontId="90" fillId="0" borderId="91" xfId="0" applyFont="1" applyBorder="1" applyAlignment="1">
      <alignment horizontal="center" vertical="center" wrapText="1"/>
    </xf>
    <xf numFmtId="0" fontId="90" fillId="0" borderId="92" xfId="0" applyFont="1" applyBorder="1" applyAlignment="1">
      <alignment horizontal="center" vertical="center" wrapText="1"/>
    </xf>
    <xf numFmtId="0" fontId="89" fillId="0" borderId="120" xfId="0" applyFont="1" applyBorder="1" applyAlignment="1">
      <alignment horizontal="center" vertical="center" wrapText="1"/>
    </xf>
    <xf numFmtId="0" fontId="89" fillId="0" borderId="121" xfId="0" applyFont="1" applyBorder="1" applyAlignment="1">
      <alignment horizontal="center" vertical="center" wrapText="1"/>
    </xf>
    <xf numFmtId="0" fontId="16" fillId="10" borderId="0" xfId="0" applyFont="1" applyFill="1" applyAlignment="1">
      <alignment horizontal="center" vertical="center" textRotation="90" wrapText="1" readingOrder="1"/>
    </xf>
    <xf numFmtId="0" fontId="16" fillId="10" borderId="8" xfId="0" applyFont="1" applyFill="1" applyBorder="1" applyAlignment="1">
      <alignment horizontal="center" vertical="center" textRotation="90" wrapText="1" readingOrder="1"/>
    </xf>
    <xf numFmtId="0" fontId="19" fillId="12" borderId="13" xfId="0" applyFont="1" applyFill="1" applyBorder="1" applyAlignment="1">
      <alignment horizontal="center" vertical="center" wrapText="1" readingOrder="1"/>
    </xf>
    <xf numFmtId="0" fontId="19" fillId="12" borderId="14" xfId="0" applyFont="1" applyFill="1" applyBorder="1" applyAlignment="1">
      <alignment horizontal="center" vertical="center" wrapText="1" readingOrder="1"/>
    </xf>
    <xf numFmtId="0" fontId="19" fillId="12" borderId="15" xfId="0" applyFont="1" applyFill="1" applyBorder="1" applyAlignment="1">
      <alignment horizontal="center" vertical="center" wrapText="1" readingOrder="1"/>
    </xf>
    <xf numFmtId="0" fontId="19" fillId="12" borderId="16" xfId="0" applyFont="1" applyFill="1" applyBorder="1" applyAlignment="1">
      <alignment horizontal="center" vertical="center" wrapText="1" readingOrder="1"/>
    </xf>
    <xf numFmtId="0" fontId="19" fillId="12" borderId="0" xfId="0" applyFont="1" applyFill="1" applyAlignment="1">
      <alignment horizontal="center" vertical="center" wrapText="1" readingOrder="1"/>
    </xf>
    <xf numFmtId="0" fontId="19" fillId="12" borderId="17" xfId="0" applyFont="1" applyFill="1" applyBorder="1" applyAlignment="1">
      <alignment horizontal="center" vertical="center" wrapText="1" readingOrder="1"/>
    </xf>
    <xf numFmtId="0" fontId="19" fillId="12" borderId="18" xfId="0" applyFont="1" applyFill="1" applyBorder="1" applyAlignment="1">
      <alignment horizontal="center" vertical="center" wrapText="1" readingOrder="1"/>
    </xf>
    <xf numFmtId="0" fontId="19" fillId="12" borderId="19" xfId="0" applyFont="1" applyFill="1" applyBorder="1" applyAlignment="1">
      <alignment horizontal="center" vertical="center" wrapText="1" readingOrder="1"/>
    </xf>
    <xf numFmtId="0" fontId="19" fillId="12" borderId="20" xfId="0" applyFont="1" applyFill="1" applyBorder="1" applyAlignment="1">
      <alignment horizontal="center" vertical="center" wrapText="1" readingOrder="1"/>
    </xf>
    <xf numFmtId="0" fontId="19" fillId="11" borderId="13" xfId="0" applyFont="1" applyFill="1" applyBorder="1" applyAlignment="1">
      <alignment horizontal="center" vertical="center" wrapText="1" readingOrder="1"/>
    </xf>
    <xf numFmtId="0" fontId="19" fillId="11" borderId="14" xfId="0" applyFont="1" applyFill="1" applyBorder="1" applyAlignment="1">
      <alignment horizontal="center" vertical="center" wrapText="1" readingOrder="1"/>
    </xf>
    <xf numFmtId="0" fontId="19" fillId="11" borderId="15" xfId="0" applyFont="1" applyFill="1" applyBorder="1" applyAlignment="1">
      <alignment horizontal="center" vertical="center" wrapText="1" readingOrder="1"/>
    </xf>
    <xf numFmtId="0" fontId="19" fillId="11" borderId="16" xfId="0" applyFont="1" applyFill="1" applyBorder="1" applyAlignment="1">
      <alignment horizontal="center" vertical="center" wrapText="1" readingOrder="1"/>
    </xf>
    <xf numFmtId="0" fontId="19" fillId="11" borderId="0" xfId="0" applyFont="1" applyFill="1" applyAlignment="1">
      <alignment horizontal="center" vertical="center" wrapText="1" readingOrder="1"/>
    </xf>
    <xf numFmtId="0" fontId="19" fillId="11" borderId="17" xfId="0" applyFont="1" applyFill="1" applyBorder="1" applyAlignment="1">
      <alignment horizontal="center" vertical="center" wrapText="1" readingOrder="1"/>
    </xf>
    <xf numFmtId="0" fontId="19" fillId="11" borderId="18" xfId="0" applyFont="1" applyFill="1" applyBorder="1" applyAlignment="1">
      <alignment horizontal="center" vertical="center" wrapText="1" readingOrder="1"/>
    </xf>
    <xf numFmtId="0" fontId="19" fillId="11" borderId="19" xfId="0" applyFont="1" applyFill="1" applyBorder="1" applyAlignment="1">
      <alignment horizontal="center" vertical="center" wrapText="1" readingOrder="1"/>
    </xf>
    <xf numFmtId="0" fontId="19" fillId="11" borderId="20" xfId="0" applyFont="1" applyFill="1" applyBorder="1" applyAlignment="1">
      <alignment horizontal="center" vertical="center" wrapText="1" readingOrder="1"/>
    </xf>
    <xf numFmtId="0" fontId="19" fillId="13" borderId="13" xfId="0" applyFont="1" applyFill="1" applyBorder="1" applyAlignment="1">
      <alignment horizontal="center" vertical="center" wrapText="1" readingOrder="1"/>
    </xf>
    <xf numFmtId="0" fontId="19" fillId="13" borderId="14" xfId="0" applyFont="1" applyFill="1" applyBorder="1" applyAlignment="1">
      <alignment horizontal="center" vertical="center" wrapText="1" readingOrder="1"/>
    </xf>
    <xf numFmtId="0" fontId="19" fillId="13" borderId="15" xfId="0" applyFont="1" applyFill="1" applyBorder="1" applyAlignment="1">
      <alignment horizontal="center" vertical="center" wrapText="1" readingOrder="1"/>
    </xf>
    <xf numFmtId="0" fontId="19" fillId="13" borderId="16" xfId="0" applyFont="1" applyFill="1" applyBorder="1" applyAlignment="1">
      <alignment horizontal="center" vertical="center" wrapText="1" readingOrder="1"/>
    </xf>
    <xf numFmtId="0" fontId="19" fillId="13" borderId="0" xfId="0" applyFont="1" applyFill="1" applyAlignment="1">
      <alignment horizontal="center" vertical="center" wrapText="1" readingOrder="1"/>
    </xf>
    <xf numFmtId="0" fontId="19" fillId="13" borderId="17" xfId="0" applyFont="1" applyFill="1" applyBorder="1" applyAlignment="1">
      <alignment horizontal="center" vertical="center" wrapText="1" readingOrder="1"/>
    </xf>
    <xf numFmtId="0" fontId="19" fillId="13" borderId="18" xfId="0" applyFont="1" applyFill="1" applyBorder="1" applyAlignment="1">
      <alignment horizontal="center" vertical="center" wrapText="1" readingOrder="1"/>
    </xf>
    <xf numFmtId="0" fontId="19" fillId="13" borderId="19" xfId="0" applyFont="1" applyFill="1" applyBorder="1" applyAlignment="1">
      <alignment horizontal="center" vertical="center" wrapText="1" readingOrder="1"/>
    </xf>
    <xf numFmtId="0" fontId="19" fillId="13" borderId="20" xfId="0" applyFont="1" applyFill="1" applyBorder="1" applyAlignment="1">
      <alignment horizontal="center" vertical="center" wrapText="1" readingOrder="1"/>
    </xf>
    <xf numFmtId="0" fontId="19" fillId="5" borderId="13" xfId="0" applyFont="1" applyFill="1" applyBorder="1" applyAlignment="1">
      <alignment horizontal="center" vertical="center" wrapText="1" readingOrder="1"/>
    </xf>
    <xf numFmtId="0" fontId="19" fillId="5" borderId="14" xfId="0" applyFont="1" applyFill="1" applyBorder="1" applyAlignment="1">
      <alignment horizontal="center" vertical="center" wrapText="1" readingOrder="1"/>
    </xf>
    <xf numFmtId="0" fontId="19" fillId="5" borderId="15" xfId="0" applyFont="1" applyFill="1" applyBorder="1" applyAlignment="1">
      <alignment horizontal="center" vertical="center" wrapText="1" readingOrder="1"/>
    </xf>
    <xf numFmtId="0" fontId="19" fillId="5" borderId="16" xfId="0" applyFont="1" applyFill="1" applyBorder="1" applyAlignment="1">
      <alignment horizontal="center" vertical="center" wrapText="1" readingOrder="1"/>
    </xf>
    <xf numFmtId="0" fontId="19" fillId="5" borderId="0" xfId="0" applyFont="1" applyFill="1" applyAlignment="1">
      <alignment horizontal="center" vertical="center" wrapText="1" readingOrder="1"/>
    </xf>
    <xf numFmtId="0" fontId="19" fillId="5" borderId="17" xfId="0" applyFont="1" applyFill="1" applyBorder="1" applyAlignment="1">
      <alignment horizontal="center" vertical="center" wrapText="1" readingOrder="1"/>
    </xf>
    <xf numFmtId="0" fontId="19" fillId="5" borderId="18" xfId="0" applyFont="1" applyFill="1" applyBorder="1" applyAlignment="1">
      <alignment horizontal="center" vertical="center" wrapText="1" readingOrder="1"/>
    </xf>
    <xf numFmtId="0" fontId="19" fillId="5" borderId="19" xfId="0" applyFont="1" applyFill="1" applyBorder="1" applyAlignment="1">
      <alignment horizontal="center" vertical="center" wrapText="1" readingOrder="1"/>
    </xf>
    <xf numFmtId="0" fontId="19" fillId="5" borderId="20" xfId="0" applyFont="1" applyFill="1" applyBorder="1" applyAlignment="1">
      <alignment horizontal="center" vertical="center" wrapText="1" readingOrder="1"/>
    </xf>
    <xf numFmtId="0" fontId="15" fillId="0" borderId="5" xfId="0" applyFont="1" applyBorder="1" applyAlignment="1">
      <alignment horizontal="center" vertical="center" wrapText="1"/>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6" fillId="10" borderId="0" xfId="0" applyFont="1" applyFill="1" applyAlignment="1">
      <alignment horizontal="center" vertical="center" wrapText="1" readingOrder="1"/>
    </xf>
    <xf numFmtId="0" fontId="15" fillId="0" borderId="12" xfId="0" applyFont="1" applyBorder="1" applyAlignment="1">
      <alignment horizontal="center" vertical="center" wrapText="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23" fillId="0" borderId="0" xfId="0" applyFont="1" applyAlignment="1">
      <alignment horizontal="center" vertical="center" wrapText="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0" xfId="0" applyFont="1" applyFill="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39" fillId="11" borderId="19" xfId="0" applyFont="1" applyFill="1" applyBorder="1" applyAlignment="1">
      <alignment horizontal="center" vertical="center" wrapText="1" readingOrder="1"/>
    </xf>
    <xf numFmtId="0" fontId="39" fillId="11" borderId="20" xfId="0" applyFont="1" applyFill="1" applyBorder="1" applyAlignment="1">
      <alignment horizontal="center" vertical="center" wrapText="1" readingOrder="1"/>
    </xf>
    <xf numFmtId="0" fontId="40" fillId="0" borderId="5" xfId="0" applyFont="1" applyBorder="1" applyAlignment="1">
      <alignment horizontal="center" vertical="center" wrapText="1"/>
    </xf>
    <xf numFmtId="0" fontId="40" fillId="0" borderId="12" xfId="0" applyFont="1" applyBorder="1" applyAlignment="1">
      <alignment horizontal="center" vertical="center"/>
    </xf>
    <xf numFmtId="0" fontId="40" fillId="0" borderId="7" xfId="0" applyFont="1" applyBorder="1" applyAlignment="1">
      <alignment horizontal="center" vertical="center" wrapText="1"/>
    </xf>
    <xf numFmtId="0" fontId="40" fillId="0" borderId="0" xfId="0" applyFont="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40" fillId="0" borderId="11" xfId="0" applyFont="1" applyBorder="1" applyAlignment="1">
      <alignment horizontal="center" vertical="center"/>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0" xfId="0" applyFont="1" applyFill="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9" fillId="12" borderId="19" xfId="0" applyFont="1" applyFill="1" applyBorder="1" applyAlignment="1">
      <alignment horizontal="center" vertical="center" wrapText="1" readingOrder="1"/>
    </xf>
    <xf numFmtId="0" fontId="39" fillId="12" borderId="20" xfId="0" applyFont="1" applyFill="1" applyBorder="1" applyAlignment="1">
      <alignment horizontal="center" vertical="center" wrapText="1" readingOrder="1"/>
    </xf>
    <xf numFmtId="0" fontId="38" fillId="0" borderId="0" xfId="0" applyFont="1" applyAlignment="1">
      <alignment horizontal="center" vertical="center" wrapText="1"/>
    </xf>
    <xf numFmtId="0" fontId="20" fillId="0" borderId="0" xfId="0" applyFont="1" applyAlignment="1">
      <alignment horizontal="center" vertical="center" wrapText="1"/>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40" fillId="0" borderId="10" xfId="0" applyFont="1" applyBorder="1" applyAlignment="1">
      <alignment horizontal="center" vertical="center"/>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0" xfId="0" applyFont="1" applyFill="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5" borderId="19" xfId="0" applyFont="1" applyFill="1" applyBorder="1" applyAlignment="1">
      <alignment horizontal="center" vertical="center" wrapText="1" readingOrder="1"/>
    </xf>
    <xf numFmtId="0" fontId="39" fillId="5" borderId="20"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0" xfId="0" applyFont="1" applyFill="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39" fillId="13" borderId="19" xfId="0" applyFont="1" applyFill="1" applyBorder="1" applyAlignment="1">
      <alignment horizontal="center" vertical="center" wrapText="1" readingOrder="1"/>
    </xf>
    <xf numFmtId="0" fontId="39" fillId="13" borderId="20" xfId="0" applyFont="1" applyFill="1" applyBorder="1" applyAlignment="1">
      <alignment horizontal="center" vertical="center" wrapText="1" readingOrder="1"/>
    </xf>
    <xf numFmtId="0" fontId="40" fillId="0" borderId="12" xfId="0" applyFont="1" applyBorder="1" applyAlignment="1">
      <alignment horizontal="center" vertical="center" wrapText="1"/>
    </xf>
    <xf numFmtId="0" fontId="22" fillId="0" borderId="0" xfId="0" applyFont="1" applyAlignment="1">
      <alignment horizontal="center" vertical="center"/>
    </xf>
    <xf numFmtId="0" fontId="42" fillId="0" borderId="0" xfId="0" applyFont="1" applyAlignment="1">
      <alignment horizontal="center" vertical="center"/>
    </xf>
    <xf numFmtId="0" fontId="76" fillId="21" borderId="34" xfId="0" applyFont="1" applyFill="1" applyBorder="1" applyAlignment="1">
      <alignment horizontal="center" vertical="center" wrapText="1"/>
    </xf>
    <xf numFmtId="0" fontId="76" fillId="21" borderId="35" xfId="0" applyFont="1" applyFill="1" applyBorder="1" applyAlignment="1">
      <alignment horizontal="center" vertical="center" wrapText="1"/>
    </xf>
    <xf numFmtId="0" fontId="73" fillId="0" borderId="0" xfId="0" applyFont="1" applyAlignment="1">
      <alignment horizontal="left" vertical="center" wrapText="1"/>
    </xf>
    <xf numFmtId="0" fontId="73" fillId="0" borderId="0" xfId="0" applyFont="1" applyAlignment="1">
      <alignment horizontal="center" vertical="center" wrapText="1"/>
    </xf>
    <xf numFmtId="0" fontId="73" fillId="0" borderId="22" xfId="0" applyFont="1" applyBorder="1" applyAlignment="1">
      <alignment horizontal="left" vertical="center" wrapText="1"/>
    </xf>
    <xf numFmtId="0" fontId="73" fillId="0" borderId="76" xfId="0" applyFont="1" applyBorder="1" applyAlignment="1">
      <alignment horizontal="left" vertical="center" wrapText="1"/>
    </xf>
    <xf numFmtId="0" fontId="76" fillId="21" borderId="33" xfId="0" applyFont="1" applyFill="1" applyBorder="1" applyAlignment="1">
      <alignment horizontal="center" vertical="center" wrapText="1"/>
    </xf>
    <xf numFmtId="0" fontId="74" fillId="16" borderId="24" xfId="0" applyFont="1" applyFill="1" applyBorder="1" applyAlignment="1">
      <alignment horizontal="center" vertical="center" wrapText="1"/>
    </xf>
    <xf numFmtId="0" fontId="74" fillId="16" borderId="25" xfId="0" applyFont="1" applyFill="1" applyBorder="1" applyAlignment="1">
      <alignment horizontal="center" vertical="center" wrapText="1"/>
    </xf>
    <xf numFmtId="0" fontId="74" fillId="16" borderId="36" xfId="0" applyFont="1" applyFill="1" applyBorder="1" applyAlignment="1">
      <alignment horizontal="center" vertical="center" wrapText="1"/>
    </xf>
    <xf numFmtId="0" fontId="75" fillId="16" borderId="73" xfId="0" applyFont="1" applyFill="1" applyBorder="1" applyAlignment="1">
      <alignment horizontal="center" vertical="center" wrapText="1"/>
    </xf>
    <xf numFmtId="0" fontId="75" fillId="16" borderId="28" xfId="0" applyFont="1" applyFill="1" applyBorder="1" applyAlignment="1">
      <alignment horizontal="center" vertical="center" wrapText="1"/>
    </xf>
    <xf numFmtId="0" fontId="75" fillId="16" borderId="74" xfId="0" applyFont="1" applyFill="1" applyBorder="1" applyAlignment="1">
      <alignment horizontal="center" vertical="center" wrapText="1"/>
    </xf>
    <xf numFmtId="0" fontId="75" fillId="16" borderId="29" xfId="0" applyFont="1" applyFill="1" applyBorder="1" applyAlignment="1">
      <alignment horizontal="center" vertical="center" wrapText="1"/>
    </xf>
    <xf numFmtId="0" fontId="75" fillId="16" borderId="75" xfId="0" applyFont="1" applyFill="1" applyBorder="1" applyAlignment="1">
      <alignment horizontal="center" vertical="center" wrapText="1"/>
    </xf>
    <xf numFmtId="0" fontId="73" fillId="0" borderId="74" xfId="0" applyFont="1" applyBorder="1" applyAlignment="1">
      <alignment horizontal="left" vertical="center" wrapText="1"/>
    </xf>
    <xf numFmtId="0" fontId="77" fillId="16" borderId="82" xfId="0" applyFont="1" applyFill="1" applyBorder="1" applyAlignment="1">
      <alignment horizontal="center" vertical="center" wrapText="1"/>
    </xf>
    <xf numFmtId="0" fontId="77" fillId="16" borderId="80" xfId="0" applyFont="1" applyFill="1" applyBorder="1" applyAlignment="1">
      <alignment horizontal="center" vertical="center" wrapText="1"/>
    </xf>
    <xf numFmtId="0" fontId="77" fillId="16" borderId="78" xfId="0" applyFont="1" applyFill="1" applyBorder="1" applyAlignment="1">
      <alignment horizontal="center" vertical="center" wrapText="1"/>
    </xf>
    <xf numFmtId="0" fontId="78" fillId="0" borderId="82" xfId="0" applyFont="1" applyBorder="1" applyAlignment="1">
      <alignment horizontal="justify" vertical="center" wrapText="1"/>
    </xf>
    <xf numFmtId="0" fontId="78" fillId="0" borderId="80" xfId="0" applyFont="1" applyBorder="1" applyAlignment="1">
      <alignment horizontal="justify" vertical="center" wrapText="1"/>
    </xf>
    <xf numFmtId="0" fontId="78" fillId="0" borderId="78" xfId="0" applyFont="1" applyBorder="1" applyAlignment="1">
      <alignment horizontal="justify" vertical="center" wrapText="1"/>
    </xf>
    <xf numFmtId="0" fontId="77" fillId="0" borderId="71"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83" xfId="0" applyFont="1" applyBorder="1" applyAlignment="1">
      <alignment horizontal="center" vertical="center" wrapText="1"/>
    </xf>
    <xf numFmtId="0" fontId="77" fillId="0" borderId="68" xfId="0" applyFont="1" applyBorder="1" applyAlignment="1">
      <alignment horizontal="center" vertical="center" wrapText="1"/>
    </xf>
    <xf numFmtId="0" fontId="37" fillId="15" borderId="24" xfId="0" applyFont="1" applyFill="1" applyBorder="1" applyAlignment="1">
      <alignment horizontal="center" vertical="center" wrapText="1" readingOrder="1"/>
    </xf>
    <xf numFmtId="0" fontId="37" fillId="15" borderId="25" xfId="0" applyFont="1" applyFill="1" applyBorder="1" applyAlignment="1">
      <alignment horizontal="center" vertical="center" wrapText="1" readingOrder="1"/>
    </xf>
    <xf numFmtId="0" fontId="37" fillId="15" borderId="36" xfId="0" applyFont="1" applyFill="1" applyBorder="1" applyAlignment="1">
      <alignment horizontal="center" vertical="center" wrapText="1" readingOrder="1"/>
    </xf>
    <xf numFmtId="0" fontId="32" fillId="3" borderId="0" xfId="0" applyFont="1" applyFill="1" applyAlignment="1">
      <alignment horizontal="justify" vertical="center" wrapText="1"/>
    </xf>
    <xf numFmtId="0" fontId="34" fillId="15" borderId="33" xfId="0" applyFont="1" applyFill="1" applyBorder="1" applyAlignment="1">
      <alignment horizontal="center" vertical="center" wrapText="1" readingOrder="1"/>
    </xf>
    <xf numFmtId="0" fontId="34" fillId="15" borderId="34" xfId="0" applyFont="1" applyFill="1" applyBorder="1" applyAlignment="1">
      <alignment horizontal="center" vertical="center" wrapText="1" readingOrder="1"/>
    </xf>
    <xf numFmtId="0" fontId="34" fillId="3" borderId="31"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2"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9" xfId="0" applyFont="1" applyFill="1" applyBorder="1" applyAlignment="1">
      <alignment horizontal="center" vertical="center" wrapText="1" readingOrder="1"/>
    </xf>
  </cellXfs>
  <cellStyles count="6">
    <cellStyle name="Moneda" xfId="5" builtinId="4"/>
    <cellStyle name="Normal" xfId="0" builtinId="0"/>
    <cellStyle name="Normal - Style1 2" xfId="2"/>
    <cellStyle name="Normal 2" xfId="4"/>
    <cellStyle name="Normal 2 2" xfId="3"/>
    <cellStyle name="Porcentaje" xfId="1" builtinId="5"/>
  </cellStyles>
  <dxfs count="239">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wrapText="1" readingOrder="0"/>
    </dxf>
    <dxf>
      <alignment vertical="center" readingOrder="0"/>
    </dxf>
    <dxf>
      <alignment wrapText="1" readingOrder="0"/>
    </dxf>
    <dxf>
      <alignment wrapText="1"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183928</xdr:colOff>
      <xdr:row>19</xdr:row>
      <xdr:rowOff>14287</xdr:rowOff>
    </xdr:from>
    <xdr:to>
      <xdr:col>5</xdr:col>
      <xdr:colOff>1119187</xdr:colOff>
      <xdr:row>31</xdr:row>
      <xdr:rowOff>265628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545878" y="28303537"/>
          <a:ext cx="18766059" cy="4385191"/>
        </a:xfrm>
        <a:prstGeom prst="rect">
          <a:avLst/>
        </a:prstGeom>
      </xdr:spPr>
    </xdr:pic>
    <xdr:clientData/>
  </xdr:twoCellAnchor>
  <xdr:oneCellAnchor>
    <xdr:from>
      <xdr:col>1</xdr:col>
      <xdr:colOff>301624</xdr:colOff>
      <xdr:row>1</xdr:row>
      <xdr:rowOff>66676</xdr:rowOff>
    </xdr:from>
    <xdr:ext cx="1460499" cy="1500186"/>
    <xdr:pic>
      <xdr:nvPicPr>
        <xdr:cNvPr id="3" name="Imagen 2" descr="escudo negr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574" y="333376"/>
          <a:ext cx="1460499" cy="150018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03" y="55034"/>
          <a:ext cx="1288747" cy="11070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12</xdr:col>
      <xdr:colOff>182273</xdr:colOff>
      <xdr:row>29</xdr:row>
      <xdr:rowOff>172245</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8575" y="0"/>
          <a:ext cx="9297698" cy="5696745"/>
        </a:xfrm>
        <a:prstGeom prst="rect">
          <a:avLst/>
        </a:prstGeom>
      </xdr:spPr>
    </xdr:pic>
    <xdr:clientData/>
  </xdr:twoCellAnchor>
  <xdr:twoCellAnchor editAs="oneCell">
    <xdr:from>
      <xdr:col>0</xdr:col>
      <xdr:colOff>0</xdr:colOff>
      <xdr:row>31</xdr:row>
      <xdr:rowOff>0</xdr:rowOff>
    </xdr:from>
    <xdr:to>
      <xdr:col>11</xdr:col>
      <xdr:colOff>534644</xdr:colOff>
      <xdr:row>57</xdr:row>
      <xdr:rowOff>19744</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0" y="5905500"/>
          <a:ext cx="8916644" cy="4972744"/>
        </a:xfrm>
        <a:prstGeom prst="rect">
          <a:avLst/>
        </a:prstGeom>
      </xdr:spPr>
    </xdr:pic>
    <xdr:clientData/>
  </xdr:twoCellAnchor>
  <xdr:twoCellAnchor editAs="oneCell">
    <xdr:from>
      <xdr:col>12</xdr:col>
      <xdr:colOff>733425</xdr:colOff>
      <xdr:row>0</xdr:row>
      <xdr:rowOff>28575</xdr:rowOff>
    </xdr:from>
    <xdr:to>
      <xdr:col>25</xdr:col>
      <xdr:colOff>210859</xdr:colOff>
      <xdr:row>28</xdr:row>
      <xdr:rowOff>181741</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a:stretch>
          <a:fillRect/>
        </a:stretch>
      </xdr:blipFill>
      <xdr:spPr>
        <a:xfrm>
          <a:off x="9877425" y="28575"/>
          <a:ext cx="9383434" cy="5487166"/>
        </a:xfrm>
        <a:prstGeom prst="rect">
          <a:avLst/>
        </a:prstGeom>
      </xdr:spPr>
    </xdr:pic>
    <xdr:clientData/>
  </xdr:twoCellAnchor>
  <xdr:twoCellAnchor editAs="oneCell">
    <xdr:from>
      <xdr:col>13</xdr:col>
      <xdr:colOff>0</xdr:colOff>
      <xdr:row>32</xdr:row>
      <xdr:rowOff>0</xdr:rowOff>
    </xdr:from>
    <xdr:to>
      <xdr:col>25</xdr:col>
      <xdr:colOff>429961</xdr:colOff>
      <xdr:row>62</xdr:row>
      <xdr:rowOff>38903</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4"/>
        <a:stretch>
          <a:fillRect/>
        </a:stretch>
      </xdr:blipFill>
      <xdr:spPr>
        <a:xfrm>
          <a:off x="9906000" y="6096000"/>
          <a:ext cx="9573961" cy="57539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natalia.norato/OneDrive%20-%20uaermv/NATA%20SIG/2018/12.%20DICIEMBRE/SIG-FM-007-V7%20Formato%20Mapa%20de%20Riesgos%20de%20Proces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cifuentes\Downloads\DESI-FM-018-V9_Formato_Mapa_de_Riesgos_de_Proc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2019"/>
      <sheetName val="FORMULA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ow r="4">
          <cell r="B4" t="str">
            <v>Direccionamiento estratégico e innovación</v>
          </cell>
          <cell r="C4" t="str">
            <v>Gestion</v>
          </cell>
          <cell r="E4" t="str">
            <v>Daño_fisico</v>
          </cell>
          <cell r="K4" t="str">
            <v>Aceptar el riesgo</v>
          </cell>
        </row>
        <row r="5">
          <cell r="C5" t="str">
            <v>Corrupcion</v>
          </cell>
          <cell r="E5" t="str">
            <v>Eventos_naturales</v>
          </cell>
          <cell r="K5" t="str">
            <v>Reducir el riesgo</v>
          </cell>
        </row>
        <row r="6">
          <cell r="C6" t="str">
            <v>Seguridad_de_la_informacion</v>
          </cell>
          <cell r="E6" t="str">
            <v>Perdidas_de_los_servicios_esenciales</v>
          </cell>
          <cell r="K6" t="str">
            <v>Evitar el riesgo</v>
          </cell>
        </row>
        <row r="7">
          <cell r="E7" t="str">
            <v>Perturbacion_debida_a_la_radiacion</v>
          </cell>
          <cell r="K7" t="str">
            <v>Compartir el riesgo</v>
          </cell>
        </row>
        <row r="8">
          <cell r="E8" t="str">
            <v>Compromiso_de_la_informacion</v>
          </cell>
        </row>
        <row r="9">
          <cell r="E9" t="str">
            <v>Fallas_tecnicas</v>
          </cell>
        </row>
        <row r="10">
          <cell r="E10" t="str">
            <v>Acciones_no_autorizadas</v>
          </cell>
        </row>
        <row r="11">
          <cell r="E11" t="str">
            <v>Compromiso_de_las_funciones</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sheetData>
      <sheetData sheetId="1"/>
      <sheetData sheetId="2"/>
      <sheetData sheetId="3"/>
      <sheetData sheetId="4"/>
      <sheetData sheetId="5"/>
      <sheetData sheetId="6"/>
      <sheetData sheetId="7"/>
      <sheetData sheetId="8"/>
      <sheetData sheetId="9"/>
      <sheetData sheetId="1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alia Norato Mora" refreshedDate="44522.492354513888"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5">
        <s v="Afectación menor a 130 SMLMV ."/>
        <s v="Entre 130 y 650 SMLMV "/>
        <s v="Entre 650 y 1300 SMLMV "/>
        <s v="Entre 1300 y 6500 SMLMV "/>
        <s v="Mayor a 6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 v="Entre 100 y 500 SMLMV " u="1"/>
        <s v="Mayor a 500 SMLMV " u="1"/>
        <s v="Entre 50 y 100 SMLMV " u="1"/>
        <s v="Entre 10 y 50 SMLMV " u="1"/>
        <s v="Afectación menor a 10 SMLMV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5">
        <item m="1" x="14"/>
        <item x="5"/>
        <item x="6"/>
        <item x="7"/>
        <item x="8"/>
        <item x="9"/>
        <item m="1" x="13"/>
        <item m="1" x="12"/>
        <item m="1" x="10"/>
        <item m="1" x="11"/>
        <item x="0"/>
        <item x="1"/>
        <item x="2"/>
        <item x="3"/>
        <item x="4"/>
      </items>
    </pivotField>
  </pivotFields>
  <rowFields count="2">
    <field x="0"/>
    <field x="1"/>
  </rowFields>
  <rowItems count="12">
    <i>
      <x/>
    </i>
    <i r="1">
      <x v="10"/>
    </i>
    <i r="1">
      <x v="11"/>
    </i>
    <i r="1">
      <x v="12"/>
    </i>
    <i r="1">
      <x v="13"/>
    </i>
    <i r="1">
      <x v="14"/>
    </i>
    <i>
      <x v="1"/>
    </i>
    <i r="1">
      <x v="1"/>
    </i>
    <i r="1">
      <x v="2"/>
    </i>
    <i r="1">
      <x v="3"/>
    </i>
    <i r="1">
      <x v="4"/>
    </i>
    <i r="1">
      <x v="5"/>
    </i>
  </rowItems>
  <colItems count="1">
    <i/>
  </colItems>
  <formats count="4">
    <format dxfId="7">
      <pivotArea dataOnly="0" labelOnly="1" outline="0" fieldPosition="0">
        <references count="1">
          <reference field="0" count="1">
            <x v="1"/>
          </reference>
        </references>
      </pivotArea>
    </format>
    <format dxfId="6">
      <pivotArea dataOnly="0" labelOnly="1" outline="0" fieldPosition="0">
        <references count="2">
          <reference field="0" count="1" selected="0">
            <x v="1"/>
          </reference>
          <reference field="1" count="5">
            <x v="1"/>
            <x v="2"/>
            <x v="3"/>
            <x v="4"/>
            <x v="5"/>
          </reference>
        </references>
      </pivotArea>
    </format>
    <format dxfId="5">
      <pivotArea dataOnly="0" labelOnly="1" outline="0" fieldPosition="0">
        <references count="2">
          <reference field="0" count="1" selected="0">
            <x v="1"/>
          </reference>
          <reference field="1" count="5">
            <x v="1"/>
            <x v="2"/>
            <x v="3"/>
            <x v="4"/>
            <x v="5"/>
          </reference>
        </references>
      </pivotArea>
    </format>
    <format dxfId="4">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6"/>
  <sheetViews>
    <sheetView zoomScale="110" zoomScaleNormal="110" workbookViewId="0">
      <selection activeCell="E306" sqref="E306"/>
    </sheetView>
  </sheetViews>
  <sheetFormatPr baseColWidth="10" defaultColWidth="11.42578125" defaultRowHeight="15" x14ac:dyDescent="0.25"/>
  <cols>
    <col min="1" max="1" width="2.85546875" style="66" customWidth="1"/>
    <col min="2" max="3" width="24.7109375" style="66" customWidth="1"/>
    <col min="4" max="4" width="16" style="66" customWidth="1"/>
    <col min="5" max="5" width="24.7109375" style="66" customWidth="1"/>
    <col min="6" max="6" width="27.7109375" style="66" customWidth="1"/>
    <col min="7" max="8" width="24.7109375" style="66" customWidth="1"/>
    <col min="9" max="16384" width="11.42578125" style="66"/>
  </cols>
  <sheetData>
    <row r="1" spans="2:8" ht="15.75" thickBot="1" x14ac:dyDescent="0.3"/>
    <row r="2" spans="2:8" ht="18" x14ac:dyDescent="0.25">
      <c r="B2" s="287" t="s">
        <v>0</v>
      </c>
      <c r="C2" s="288"/>
      <c r="D2" s="288"/>
      <c r="E2" s="288"/>
      <c r="F2" s="288"/>
      <c r="G2" s="288"/>
      <c r="H2" s="289"/>
    </row>
    <row r="3" spans="2:8" x14ac:dyDescent="0.25">
      <c r="B3" s="67"/>
      <c r="C3" s="68"/>
      <c r="D3" s="68"/>
      <c r="E3" s="68"/>
      <c r="F3" s="68"/>
      <c r="G3" s="68"/>
      <c r="H3" s="69"/>
    </row>
    <row r="4" spans="2:8" ht="63" customHeight="1" x14ac:dyDescent="0.25">
      <c r="B4" s="290" t="s">
        <v>1</v>
      </c>
      <c r="C4" s="291"/>
      <c r="D4" s="291"/>
      <c r="E4" s="291"/>
      <c r="F4" s="291"/>
      <c r="G4" s="291"/>
      <c r="H4" s="292"/>
    </row>
    <row r="5" spans="2:8" ht="63" customHeight="1" x14ac:dyDescent="0.25">
      <c r="B5" s="293"/>
      <c r="C5" s="294"/>
      <c r="D5" s="294"/>
      <c r="E5" s="294"/>
      <c r="F5" s="294"/>
      <c r="G5" s="294"/>
      <c r="H5" s="295"/>
    </row>
    <row r="6" spans="2:8" ht="16.5" x14ac:dyDescent="0.25">
      <c r="B6" s="296" t="s">
        <v>2</v>
      </c>
      <c r="C6" s="297"/>
      <c r="D6" s="297"/>
      <c r="E6" s="297"/>
      <c r="F6" s="297"/>
      <c r="G6" s="297"/>
      <c r="H6" s="298"/>
    </row>
    <row r="7" spans="2:8" ht="95.25" customHeight="1" x14ac:dyDescent="0.25">
      <c r="B7" s="306" t="s">
        <v>3</v>
      </c>
      <c r="C7" s="307"/>
      <c r="D7" s="307"/>
      <c r="E7" s="307"/>
      <c r="F7" s="307"/>
      <c r="G7" s="307"/>
      <c r="H7" s="308"/>
    </row>
    <row r="8" spans="2:8" ht="16.5" x14ac:dyDescent="0.25">
      <c r="B8" s="101"/>
      <c r="C8" s="102"/>
      <c r="D8" s="102"/>
      <c r="E8" s="102"/>
      <c r="F8" s="102"/>
      <c r="G8" s="102"/>
      <c r="H8" s="103"/>
    </row>
    <row r="9" spans="2:8" ht="16.5" customHeight="1" x14ac:dyDescent="0.25">
      <c r="B9" s="299" t="s">
        <v>4</v>
      </c>
      <c r="C9" s="300"/>
      <c r="D9" s="300"/>
      <c r="E9" s="300"/>
      <c r="F9" s="300"/>
      <c r="G9" s="300"/>
      <c r="H9" s="301"/>
    </row>
    <row r="10" spans="2:8" ht="44.25" customHeight="1" x14ac:dyDescent="0.25">
      <c r="B10" s="299"/>
      <c r="C10" s="300"/>
      <c r="D10" s="300"/>
      <c r="E10" s="300"/>
      <c r="F10" s="300"/>
      <c r="G10" s="300"/>
      <c r="H10" s="301"/>
    </row>
    <row r="11" spans="2:8" ht="15.75" thickBot="1" x14ac:dyDescent="0.3">
      <c r="B11" s="90"/>
      <c r="C11" s="93"/>
      <c r="D11" s="98"/>
      <c r="E11" s="99"/>
      <c r="F11" s="99"/>
      <c r="G11" s="100"/>
      <c r="H11" s="94"/>
    </row>
    <row r="12" spans="2:8" ht="15.75" thickTop="1" x14ac:dyDescent="0.25">
      <c r="B12" s="90"/>
      <c r="C12" s="302" t="s">
        <v>5</v>
      </c>
      <c r="D12" s="303"/>
      <c r="E12" s="304" t="s">
        <v>6</v>
      </c>
      <c r="F12" s="305"/>
      <c r="G12" s="93"/>
      <c r="H12" s="94"/>
    </row>
    <row r="13" spans="2:8" ht="35.25" customHeight="1" x14ac:dyDescent="0.25">
      <c r="B13" s="90"/>
      <c r="C13" s="274" t="s">
        <v>7</v>
      </c>
      <c r="D13" s="275"/>
      <c r="E13" s="276" t="s">
        <v>8</v>
      </c>
      <c r="F13" s="277"/>
      <c r="G13" s="93"/>
      <c r="H13" s="94"/>
    </row>
    <row r="14" spans="2:8" ht="17.25" customHeight="1" x14ac:dyDescent="0.25">
      <c r="B14" s="90"/>
      <c r="C14" s="274" t="s">
        <v>9</v>
      </c>
      <c r="D14" s="275"/>
      <c r="E14" s="276" t="s">
        <v>10</v>
      </c>
      <c r="F14" s="277"/>
      <c r="G14" s="93"/>
      <c r="H14" s="94"/>
    </row>
    <row r="15" spans="2:8" ht="19.5" customHeight="1" x14ac:dyDescent="0.25">
      <c r="B15" s="90"/>
      <c r="C15" s="274" t="s">
        <v>11</v>
      </c>
      <c r="D15" s="275"/>
      <c r="E15" s="276" t="s">
        <v>12</v>
      </c>
      <c r="F15" s="277"/>
      <c r="G15" s="93"/>
      <c r="H15" s="94"/>
    </row>
    <row r="16" spans="2:8" ht="69.75" customHeight="1" x14ac:dyDescent="0.25">
      <c r="B16" s="90"/>
      <c r="C16" s="274" t="s">
        <v>13</v>
      </c>
      <c r="D16" s="275"/>
      <c r="E16" s="276" t="s">
        <v>14</v>
      </c>
      <c r="F16" s="277"/>
      <c r="G16" s="93"/>
      <c r="H16" s="94"/>
    </row>
    <row r="17" spans="2:8" ht="34.5" customHeight="1" x14ac:dyDescent="0.25">
      <c r="B17" s="90"/>
      <c r="C17" s="278" t="s">
        <v>15</v>
      </c>
      <c r="D17" s="279"/>
      <c r="E17" s="270" t="s">
        <v>16</v>
      </c>
      <c r="F17" s="271"/>
      <c r="G17" s="93"/>
      <c r="H17" s="94"/>
    </row>
    <row r="18" spans="2:8" ht="27.75" customHeight="1" x14ac:dyDescent="0.25">
      <c r="B18" s="90"/>
      <c r="C18" s="278" t="s">
        <v>17</v>
      </c>
      <c r="D18" s="279"/>
      <c r="E18" s="270" t="s">
        <v>18</v>
      </c>
      <c r="F18" s="271"/>
      <c r="G18" s="93"/>
      <c r="H18" s="94"/>
    </row>
    <row r="19" spans="2:8" ht="28.5" customHeight="1" x14ac:dyDescent="0.25">
      <c r="B19" s="90"/>
      <c r="C19" s="278" t="s">
        <v>19</v>
      </c>
      <c r="D19" s="279"/>
      <c r="E19" s="270" t="s">
        <v>20</v>
      </c>
      <c r="F19" s="271"/>
      <c r="G19" s="93"/>
      <c r="H19" s="94"/>
    </row>
    <row r="20" spans="2:8" ht="72.75" customHeight="1" x14ac:dyDescent="0.25">
      <c r="B20" s="90"/>
      <c r="C20" s="278" t="s">
        <v>21</v>
      </c>
      <c r="D20" s="279"/>
      <c r="E20" s="270" t="s">
        <v>22</v>
      </c>
      <c r="F20" s="271"/>
      <c r="G20" s="93"/>
      <c r="H20" s="94"/>
    </row>
    <row r="21" spans="2:8" ht="64.5" customHeight="1" x14ac:dyDescent="0.25">
      <c r="B21" s="90"/>
      <c r="C21" s="278" t="s">
        <v>23</v>
      </c>
      <c r="D21" s="279"/>
      <c r="E21" s="270" t="s">
        <v>24</v>
      </c>
      <c r="F21" s="271"/>
      <c r="G21" s="93"/>
      <c r="H21" s="94"/>
    </row>
    <row r="22" spans="2:8" ht="71.25" customHeight="1" x14ac:dyDescent="0.25">
      <c r="B22" s="90"/>
      <c r="C22" s="278" t="s">
        <v>25</v>
      </c>
      <c r="D22" s="279"/>
      <c r="E22" s="270" t="s">
        <v>26</v>
      </c>
      <c r="F22" s="271"/>
      <c r="G22" s="93"/>
      <c r="H22" s="94"/>
    </row>
    <row r="23" spans="2:8" ht="55.5" customHeight="1" x14ac:dyDescent="0.25">
      <c r="B23" s="90"/>
      <c r="C23" s="272" t="s">
        <v>27</v>
      </c>
      <c r="D23" s="273"/>
      <c r="E23" s="270" t="s">
        <v>28</v>
      </c>
      <c r="F23" s="271"/>
      <c r="G23" s="93"/>
      <c r="H23" s="94"/>
    </row>
    <row r="24" spans="2:8" ht="42" customHeight="1" x14ac:dyDescent="0.25">
      <c r="B24" s="90"/>
      <c r="C24" s="272" t="s">
        <v>29</v>
      </c>
      <c r="D24" s="273"/>
      <c r="E24" s="270" t="s">
        <v>30</v>
      </c>
      <c r="F24" s="271"/>
      <c r="G24" s="93"/>
      <c r="H24" s="94"/>
    </row>
    <row r="25" spans="2:8" ht="59.25" customHeight="1" x14ac:dyDescent="0.25">
      <c r="B25" s="90"/>
      <c r="C25" s="272" t="s">
        <v>31</v>
      </c>
      <c r="D25" s="273"/>
      <c r="E25" s="270" t="s">
        <v>32</v>
      </c>
      <c r="F25" s="271"/>
      <c r="G25" s="93"/>
      <c r="H25" s="94"/>
    </row>
    <row r="26" spans="2:8" ht="23.25" customHeight="1" x14ac:dyDescent="0.25">
      <c r="B26" s="90"/>
      <c r="C26" s="272" t="s">
        <v>33</v>
      </c>
      <c r="D26" s="273"/>
      <c r="E26" s="270" t="s">
        <v>34</v>
      </c>
      <c r="F26" s="271"/>
      <c r="G26" s="93"/>
      <c r="H26" s="94"/>
    </row>
    <row r="27" spans="2:8" ht="30.75" customHeight="1" x14ac:dyDescent="0.25">
      <c r="B27" s="90"/>
      <c r="C27" s="272" t="s">
        <v>35</v>
      </c>
      <c r="D27" s="273"/>
      <c r="E27" s="270" t="s">
        <v>36</v>
      </c>
      <c r="F27" s="271"/>
      <c r="G27" s="93"/>
      <c r="H27" s="94"/>
    </row>
    <row r="28" spans="2:8" ht="35.25" customHeight="1" x14ac:dyDescent="0.25">
      <c r="B28" s="90"/>
      <c r="C28" s="272" t="s">
        <v>37</v>
      </c>
      <c r="D28" s="273"/>
      <c r="E28" s="270" t="s">
        <v>38</v>
      </c>
      <c r="F28" s="271"/>
      <c r="G28" s="93"/>
      <c r="H28" s="94"/>
    </row>
    <row r="29" spans="2:8" ht="33" customHeight="1" x14ac:dyDescent="0.25">
      <c r="B29" s="90"/>
      <c r="C29" s="272" t="s">
        <v>37</v>
      </c>
      <c r="D29" s="273"/>
      <c r="E29" s="270" t="s">
        <v>38</v>
      </c>
      <c r="F29" s="271"/>
      <c r="G29" s="93"/>
      <c r="H29" s="94"/>
    </row>
    <row r="30" spans="2:8" ht="30" customHeight="1" x14ac:dyDescent="0.25">
      <c r="B30" s="90"/>
      <c r="C30" s="272" t="s">
        <v>39</v>
      </c>
      <c r="D30" s="273"/>
      <c r="E30" s="270" t="s">
        <v>40</v>
      </c>
      <c r="F30" s="271"/>
      <c r="G30" s="93"/>
      <c r="H30" s="94"/>
    </row>
    <row r="31" spans="2:8" ht="35.25" customHeight="1" x14ac:dyDescent="0.25">
      <c r="B31" s="90"/>
      <c r="C31" s="272" t="s">
        <v>41</v>
      </c>
      <c r="D31" s="273"/>
      <c r="E31" s="270" t="s">
        <v>42</v>
      </c>
      <c r="F31" s="271"/>
      <c r="G31" s="93"/>
      <c r="H31" s="94"/>
    </row>
    <row r="32" spans="2:8" ht="31.5" customHeight="1" x14ac:dyDescent="0.25">
      <c r="B32" s="90"/>
      <c r="C32" s="272" t="s">
        <v>43</v>
      </c>
      <c r="D32" s="273"/>
      <c r="E32" s="270" t="s">
        <v>44</v>
      </c>
      <c r="F32" s="271"/>
      <c r="G32" s="93"/>
      <c r="H32" s="94"/>
    </row>
    <row r="33" spans="2:8" ht="35.25" customHeight="1" x14ac:dyDescent="0.25">
      <c r="B33" s="90"/>
      <c r="C33" s="272" t="s">
        <v>45</v>
      </c>
      <c r="D33" s="273"/>
      <c r="E33" s="270" t="s">
        <v>46</v>
      </c>
      <c r="F33" s="271"/>
      <c r="G33" s="93"/>
      <c r="H33" s="94"/>
    </row>
    <row r="34" spans="2:8" ht="59.25" customHeight="1" x14ac:dyDescent="0.25">
      <c r="B34" s="90"/>
      <c r="C34" s="272" t="s">
        <v>47</v>
      </c>
      <c r="D34" s="273"/>
      <c r="E34" s="270" t="s">
        <v>48</v>
      </c>
      <c r="F34" s="271"/>
      <c r="G34" s="93"/>
      <c r="H34" s="94"/>
    </row>
    <row r="35" spans="2:8" ht="29.25" customHeight="1" x14ac:dyDescent="0.25">
      <c r="B35" s="90"/>
      <c r="C35" s="272" t="s">
        <v>49</v>
      </c>
      <c r="D35" s="273"/>
      <c r="E35" s="270" t="s">
        <v>50</v>
      </c>
      <c r="F35" s="271"/>
      <c r="G35" s="93"/>
      <c r="H35" s="94"/>
    </row>
    <row r="36" spans="2:8" ht="82.5" customHeight="1" x14ac:dyDescent="0.25">
      <c r="B36" s="90"/>
      <c r="C36" s="272" t="s">
        <v>51</v>
      </c>
      <c r="D36" s="273"/>
      <c r="E36" s="270" t="s">
        <v>52</v>
      </c>
      <c r="F36" s="271"/>
      <c r="G36" s="93"/>
      <c r="H36" s="94"/>
    </row>
    <row r="37" spans="2:8" ht="46.5" customHeight="1" x14ac:dyDescent="0.25">
      <c r="B37" s="90"/>
      <c r="C37" s="272" t="s">
        <v>53</v>
      </c>
      <c r="D37" s="273"/>
      <c r="E37" s="270" t="s">
        <v>54</v>
      </c>
      <c r="F37" s="271"/>
      <c r="G37" s="93"/>
      <c r="H37" s="94"/>
    </row>
    <row r="38" spans="2:8" ht="6.75" customHeight="1" thickBot="1" x14ac:dyDescent="0.3">
      <c r="B38" s="90"/>
      <c r="C38" s="283"/>
      <c r="D38" s="284"/>
      <c r="E38" s="285"/>
      <c r="F38" s="286"/>
      <c r="G38" s="93"/>
      <c r="H38" s="94"/>
    </row>
    <row r="39" spans="2:8" ht="15.75" thickTop="1" x14ac:dyDescent="0.25">
      <c r="B39" s="90"/>
      <c r="C39" s="91"/>
      <c r="D39" s="91"/>
      <c r="E39" s="92"/>
      <c r="F39" s="92"/>
      <c r="G39" s="93"/>
      <c r="H39" s="94"/>
    </row>
    <row r="40" spans="2:8" ht="21" customHeight="1" x14ac:dyDescent="0.25">
      <c r="B40" s="280" t="s">
        <v>55</v>
      </c>
      <c r="C40" s="281"/>
      <c r="D40" s="281"/>
      <c r="E40" s="281"/>
      <c r="F40" s="281"/>
      <c r="G40" s="281"/>
      <c r="H40" s="282"/>
    </row>
    <row r="41" spans="2:8" ht="20.25" customHeight="1" x14ac:dyDescent="0.25">
      <c r="B41" s="280" t="s">
        <v>56</v>
      </c>
      <c r="C41" s="281"/>
      <c r="D41" s="281"/>
      <c r="E41" s="281"/>
      <c r="F41" s="281"/>
      <c r="G41" s="281"/>
      <c r="H41" s="282"/>
    </row>
    <row r="42" spans="2:8" ht="20.25" customHeight="1" x14ac:dyDescent="0.25">
      <c r="B42" s="280" t="s">
        <v>57</v>
      </c>
      <c r="C42" s="281"/>
      <c r="D42" s="281"/>
      <c r="E42" s="281"/>
      <c r="F42" s="281"/>
      <c r="G42" s="281"/>
      <c r="H42" s="282"/>
    </row>
    <row r="43" spans="2:8" ht="20.25" customHeight="1" x14ac:dyDescent="0.25">
      <c r="B43" s="280" t="s">
        <v>58</v>
      </c>
      <c r="C43" s="281"/>
      <c r="D43" s="281"/>
      <c r="E43" s="281"/>
      <c r="F43" s="281"/>
      <c r="G43" s="281"/>
      <c r="H43" s="282"/>
    </row>
    <row r="44" spans="2:8" x14ac:dyDescent="0.25">
      <c r="B44" s="280" t="s">
        <v>59</v>
      </c>
      <c r="C44" s="281"/>
      <c r="D44" s="281"/>
      <c r="E44" s="281"/>
      <c r="F44" s="281"/>
      <c r="G44" s="281"/>
      <c r="H44" s="282"/>
    </row>
    <row r="45" spans="2:8" ht="15.75" thickBot="1" x14ac:dyDescent="0.3">
      <c r="B45" s="95"/>
      <c r="C45" s="96"/>
      <c r="D45" s="96"/>
      <c r="E45" s="96"/>
      <c r="F45" s="96"/>
      <c r="G45" s="96"/>
      <c r="H45" s="97"/>
    </row>
    <row r="300" spans="3:3" ht="31.5" x14ac:dyDescent="0.25">
      <c r="C300" s="170" t="s">
        <v>60</v>
      </c>
    </row>
    <row r="301" spans="3:3" ht="47.25" x14ac:dyDescent="0.25">
      <c r="C301" s="170" t="s">
        <v>61</v>
      </c>
    </row>
    <row r="302" spans="3:3" ht="31.5" x14ac:dyDescent="0.25">
      <c r="C302" s="171" t="s">
        <v>62</v>
      </c>
    </row>
    <row r="303" spans="3:3" ht="31.5" x14ac:dyDescent="0.25">
      <c r="C303" s="170" t="s">
        <v>63</v>
      </c>
    </row>
    <row r="304" spans="3:3" ht="47.25" x14ac:dyDescent="0.25">
      <c r="C304" s="170" t="s">
        <v>396</v>
      </c>
    </row>
    <row r="305" spans="3:3" ht="31.5" x14ac:dyDescent="0.25">
      <c r="C305" s="170" t="s">
        <v>64</v>
      </c>
    </row>
    <row r="306" spans="3:3" ht="47.25" x14ac:dyDescent="0.25">
      <c r="C306" s="171" t="s">
        <v>65</v>
      </c>
    </row>
    <row r="307" spans="3:3" ht="31.5" x14ac:dyDescent="0.25">
      <c r="C307" s="170" t="s">
        <v>66</v>
      </c>
    </row>
    <row r="308" spans="3:3" ht="15.75" x14ac:dyDescent="0.25">
      <c r="C308" s="170" t="s">
        <v>67</v>
      </c>
    </row>
    <row r="309" spans="3:3" ht="15.75" x14ac:dyDescent="0.25">
      <c r="C309" s="170" t="s">
        <v>68</v>
      </c>
    </row>
    <row r="310" spans="3:3" ht="31.5" x14ac:dyDescent="0.25">
      <c r="C310" s="170" t="s">
        <v>69</v>
      </c>
    </row>
    <row r="311" spans="3:3" ht="31.5" x14ac:dyDescent="0.25">
      <c r="C311" s="170" t="s">
        <v>70</v>
      </c>
    </row>
    <row r="312" spans="3:3" ht="15.75" x14ac:dyDescent="0.25">
      <c r="C312" s="170" t="s">
        <v>71</v>
      </c>
    </row>
    <row r="313" spans="3:3" ht="15.75" x14ac:dyDescent="0.25">
      <c r="C313" s="170" t="s">
        <v>72</v>
      </c>
    </row>
    <row r="314" spans="3:3" ht="15.75" x14ac:dyDescent="0.25">
      <c r="C314" s="170" t="s">
        <v>73</v>
      </c>
    </row>
    <row r="315" spans="3:3" ht="31.5" x14ac:dyDescent="0.25">
      <c r="C315" s="170" t="s">
        <v>74</v>
      </c>
    </row>
    <row r="316" spans="3:3" ht="31.5" x14ac:dyDescent="0.25">
      <c r="C316" s="170" t="s">
        <v>75</v>
      </c>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18"/>
  <sheetViews>
    <sheetView zoomScale="140" zoomScaleNormal="140" workbookViewId="0">
      <pane xSplit="4" ySplit="2" topLeftCell="E14" activePane="bottomRight" state="frozen"/>
      <selection pane="topRight" activeCell="E1" sqref="E1"/>
      <selection pane="bottomLeft" activeCell="A3" sqref="A3"/>
      <selection pane="bottomRight" activeCell="B20" sqref="B20"/>
    </sheetView>
  </sheetViews>
  <sheetFormatPr baseColWidth="10" defaultColWidth="11.42578125" defaultRowHeight="15" x14ac:dyDescent="0.25"/>
  <cols>
    <col min="2" max="2" width="18" customWidth="1"/>
    <col min="3" max="3" width="26.5703125" customWidth="1"/>
    <col min="4" max="4" width="41.85546875" customWidth="1"/>
    <col min="50" max="50" width="15.42578125" customWidth="1"/>
  </cols>
  <sheetData>
    <row r="2" spans="2:50" ht="15.75" thickBot="1" x14ac:dyDescent="0.3"/>
    <row r="3" spans="2:50" ht="33.75" customHeight="1" thickBot="1" x14ac:dyDescent="0.3">
      <c r="B3" s="575" t="s">
        <v>153</v>
      </c>
      <c r="C3" s="155" t="s">
        <v>272</v>
      </c>
      <c r="D3" s="153" t="s">
        <v>273</v>
      </c>
      <c r="AX3" t="s">
        <v>153</v>
      </c>
    </row>
    <row r="4" spans="2:50" ht="48.75" thickBot="1" x14ac:dyDescent="0.3">
      <c r="B4" s="576"/>
      <c r="C4" s="156" t="s">
        <v>274</v>
      </c>
      <c r="D4" s="154" t="s">
        <v>275</v>
      </c>
      <c r="AX4" t="s">
        <v>164</v>
      </c>
    </row>
    <row r="5" spans="2:50" ht="48.75" thickBot="1" x14ac:dyDescent="0.3">
      <c r="B5" s="576"/>
      <c r="C5" s="156" t="s">
        <v>276</v>
      </c>
      <c r="D5" s="154" t="s">
        <v>277</v>
      </c>
      <c r="AX5" t="s">
        <v>166</v>
      </c>
    </row>
    <row r="6" spans="2:50" ht="36.75" thickBot="1" x14ac:dyDescent="0.3">
      <c r="B6" s="577"/>
      <c r="C6" s="156" t="s">
        <v>278</v>
      </c>
      <c r="D6" s="154" t="s">
        <v>279</v>
      </c>
    </row>
    <row r="7" spans="2:50" ht="36.75" thickBot="1" x14ac:dyDescent="0.3">
      <c r="B7" s="575" t="s">
        <v>164</v>
      </c>
      <c r="C7" s="156" t="s">
        <v>280</v>
      </c>
      <c r="D7" s="154" t="s">
        <v>281</v>
      </c>
    </row>
    <row r="8" spans="2:50" ht="96.75" thickBot="1" x14ac:dyDescent="0.3">
      <c r="B8" s="576"/>
      <c r="C8" s="156" t="s">
        <v>282</v>
      </c>
      <c r="D8" s="154" t="s">
        <v>283</v>
      </c>
    </row>
    <row r="9" spans="2:50" ht="48.75" thickBot="1" x14ac:dyDescent="0.3">
      <c r="B9" s="577"/>
      <c r="C9" s="156" t="s">
        <v>284</v>
      </c>
      <c r="D9" s="154" t="s">
        <v>285</v>
      </c>
    </row>
    <row r="10" spans="2:50" x14ac:dyDescent="0.25">
      <c r="B10" s="575" t="s">
        <v>166</v>
      </c>
      <c r="C10" s="157"/>
      <c r="D10" s="578" t="s">
        <v>286</v>
      </c>
    </row>
    <row r="11" spans="2:50" x14ac:dyDescent="0.25">
      <c r="B11" s="576"/>
      <c r="C11" s="157" t="s">
        <v>167</v>
      </c>
      <c r="D11" s="579"/>
    </row>
    <row r="12" spans="2:50" ht="15.75" thickBot="1" x14ac:dyDescent="0.3">
      <c r="B12" s="576"/>
      <c r="C12" s="156"/>
      <c r="D12" s="580"/>
    </row>
    <row r="13" spans="2:50" ht="22.5" customHeight="1" x14ac:dyDescent="0.25">
      <c r="B13" s="576"/>
      <c r="C13" s="157"/>
      <c r="D13" s="578" t="s">
        <v>287</v>
      </c>
    </row>
    <row r="14" spans="2:50" ht="22.5" customHeight="1" x14ac:dyDescent="0.25">
      <c r="B14" s="576"/>
      <c r="C14" s="157" t="s">
        <v>288</v>
      </c>
      <c r="D14" s="579"/>
    </row>
    <row r="15" spans="2:50" ht="22.5" customHeight="1" thickBot="1" x14ac:dyDescent="0.3">
      <c r="B15" s="576"/>
      <c r="C15" s="156"/>
      <c r="D15" s="580"/>
    </row>
    <row r="16" spans="2:50" ht="25.5" customHeight="1" x14ac:dyDescent="0.25">
      <c r="B16" s="576"/>
      <c r="C16" s="157"/>
      <c r="D16" s="578" t="s">
        <v>289</v>
      </c>
    </row>
    <row r="17" spans="2:4" ht="25.5" customHeight="1" x14ac:dyDescent="0.25">
      <c r="B17" s="576"/>
      <c r="C17" s="157" t="s">
        <v>171</v>
      </c>
      <c r="D17" s="579"/>
    </row>
    <row r="18" spans="2:4" ht="25.5" customHeight="1" thickBot="1" x14ac:dyDescent="0.3">
      <c r="B18" s="577"/>
      <c r="C18" s="156"/>
      <c r="D18" s="580"/>
    </row>
  </sheetData>
  <mergeCells count="6">
    <mergeCell ref="B3:B6"/>
    <mergeCell ref="B7:B9"/>
    <mergeCell ref="B10:B18"/>
    <mergeCell ref="D10:D12"/>
    <mergeCell ref="D13:D15"/>
    <mergeCell ref="D16:D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48"/>
  <sheetViews>
    <sheetView zoomScale="110" zoomScaleNormal="110" workbookViewId="0">
      <selection activeCell="H8" sqref="H8:H9"/>
    </sheetView>
  </sheetViews>
  <sheetFormatPr baseColWidth="10" defaultColWidth="11.42578125" defaultRowHeight="15" x14ac:dyDescent="0.25"/>
  <cols>
    <col min="1" max="1" width="3.7109375" customWidth="1"/>
    <col min="2" max="2" width="8.28515625" customWidth="1"/>
    <col min="3" max="3" width="27" customWidth="1"/>
    <col min="5" max="5" width="15" customWidth="1"/>
    <col min="6" max="6" width="33.42578125" customWidth="1"/>
  </cols>
  <sheetData>
    <row r="1" spans="3:6" ht="15.75" thickBot="1" x14ac:dyDescent="0.3">
      <c r="C1" s="180" t="s">
        <v>290</v>
      </c>
    </row>
    <row r="2" spans="3:6" ht="15.75" thickBot="1" x14ac:dyDescent="0.3">
      <c r="C2" s="177" t="s">
        <v>291</v>
      </c>
      <c r="E2" s="181" t="s">
        <v>292</v>
      </c>
      <c r="F2" s="182" t="s">
        <v>293</v>
      </c>
    </row>
    <row r="3" spans="3:6" ht="15.75" thickBot="1" x14ac:dyDescent="0.3">
      <c r="C3" s="178" t="s">
        <v>294</v>
      </c>
      <c r="E3" s="584" t="s">
        <v>295</v>
      </c>
      <c r="F3" s="162" t="s">
        <v>296</v>
      </c>
    </row>
    <row r="4" spans="3:6" ht="15.75" thickBot="1" x14ac:dyDescent="0.3">
      <c r="C4" s="178" t="s">
        <v>168</v>
      </c>
      <c r="E4" s="582"/>
      <c r="F4" s="162" t="s">
        <v>297</v>
      </c>
    </row>
    <row r="5" spans="3:6" ht="15.75" thickBot="1" x14ac:dyDescent="0.3">
      <c r="C5" s="178" t="s">
        <v>298</v>
      </c>
      <c r="E5" s="582"/>
      <c r="F5" s="162" t="s">
        <v>299</v>
      </c>
    </row>
    <row r="6" spans="3:6" ht="15.75" thickBot="1" x14ac:dyDescent="0.3">
      <c r="C6" s="178" t="s">
        <v>300</v>
      </c>
      <c r="E6" s="582"/>
      <c r="F6" s="162" t="s">
        <v>301</v>
      </c>
    </row>
    <row r="7" spans="3:6" ht="15.75" thickBot="1" x14ac:dyDescent="0.3">
      <c r="C7" s="179" t="s">
        <v>302</v>
      </c>
      <c r="E7" s="582"/>
      <c r="F7" s="162" t="s">
        <v>303</v>
      </c>
    </row>
    <row r="8" spans="3:6" ht="15.75" thickBot="1" x14ac:dyDescent="0.3">
      <c r="C8" s="178" t="s">
        <v>304</v>
      </c>
      <c r="E8" s="583"/>
      <c r="F8" s="162" t="s">
        <v>305</v>
      </c>
    </row>
    <row r="9" spans="3:6" ht="15.75" thickBot="1" x14ac:dyDescent="0.3">
      <c r="C9" s="178" t="s">
        <v>306</v>
      </c>
      <c r="E9" s="581" t="s">
        <v>307</v>
      </c>
      <c r="F9" s="162" t="s">
        <v>308</v>
      </c>
    </row>
    <row r="10" spans="3:6" ht="15.75" thickBot="1" x14ac:dyDescent="0.3">
      <c r="C10" s="178" t="s">
        <v>309</v>
      </c>
      <c r="E10" s="582"/>
      <c r="F10" s="162" t="s">
        <v>310</v>
      </c>
    </row>
    <row r="11" spans="3:6" ht="15.75" thickBot="1" x14ac:dyDescent="0.3">
      <c r="E11" s="582"/>
      <c r="F11" s="162" t="s">
        <v>311</v>
      </c>
    </row>
    <row r="12" spans="3:6" ht="15.75" thickBot="1" x14ac:dyDescent="0.3">
      <c r="E12" s="582"/>
      <c r="F12" s="162" t="s">
        <v>312</v>
      </c>
    </row>
    <row r="13" spans="3:6" ht="15.75" thickBot="1" x14ac:dyDescent="0.3">
      <c r="E13" s="583"/>
      <c r="F13" s="162" t="s">
        <v>313</v>
      </c>
    </row>
    <row r="14" spans="3:6" ht="24.75" thickBot="1" x14ac:dyDescent="0.3">
      <c r="E14" s="581" t="s">
        <v>314</v>
      </c>
      <c r="F14" s="162" t="s">
        <v>315</v>
      </c>
    </row>
    <row r="15" spans="3:6" ht="15.75" thickBot="1" x14ac:dyDescent="0.3">
      <c r="E15" s="582"/>
      <c r="F15" s="162" t="s">
        <v>316</v>
      </c>
    </row>
    <row r="16" spans="3:6" ht="15.75" thickBot="1" x14ac:dyDescent="0.3">
      <c r="E16" s="583"/>
      <c r="F16" s="162" t="s">
        <v>317</v>
      </c>
    </row>
    <row r="17" spans="5:6" ht="15.75" thickBot="1" x14ac:dyDescent="0.3">
      <c r="E17" s="581" t="s">
        <v>318</v>
      </c>
      <c r="F17" s="162" t="s">
        <v>319</v>
      </c>
    </row>
    <row r="18" spans="5:6" ht="15.75" thickBot="1" x14ac:dyDescent="0.3">
      <c r="E18" s="582"/>
      <c r="F18" s="162" t="s">
        <v>320</v>
      </c>
    </row>
    <row r="19" spans="5:6" ht="15.75" thickBot="1" x14ac:dyDescent="0.3">
      <c r="E19" s="583"/>
      <c r="F19" s="162" t="s">
        <v>321</v>
      </c>
    </row>
    <row r="20" spans="5:6" ht="24.75" thickBot="1" x14ac:dyDescent="0.3">
      <c r="E20" s="581" t="s">
        <v>322</v>
      </c>
      <c r="F20" s="162" t="s">
        <v>323</v>
      </c>
    </row>
    <row r="21" spans="5:6" ht="15.75" thickBot="1" x14ac:dyDescent="0.3">
      <c r="E21" s="582"/>
      <c r="F21" s="162" t="s">
        <v>324</v>
      </c>
    </row>
    <row r="22" spans="5:6" ht="15.75" thickBot="1" x14ac:dyDescent="0.3">
      <c r="E22" s="582"/>
      <c r="F22" s="162" t="s">
        <v>325</v>
      </c>
    </row>
    <row r="23" spans="5:6" ht="15.75" thickBot="1" x14ac:dyDescent="0.3">
      <c r="E23" s="582"/>
      <c r="F23" s="162" t="s">
        <v>326</v>
      </c>
    </row>
    <row r="24" spans="5:6" ht="15.75" thickBot="1" x14ac:dyDescent="0.3">
      <c r="E24" s="582"/>
      <c r="F24" s="162" t="s">
        <v>327</v>
      </c>
    </row>
    <row r="25" spans="5:6" ht="24.75" thickBot="1" x14ac:dyDescent="0.3">
      <c r="E25" s="582"/>
      <c r="F25" s="162" t="s">
        <v>328</v>
      </c>
    </row>
    <row r="26" spans="5:6" ht="15.75" thickBot="1" x14ac:dyDescent="0.3">
      <c r="E26" s="582"/>
      <c r="F26" s="162" t="s">
        <v>329</v>
      </c>
    </row>
    <row r="27" spans="5:6" ht="24.75" thickBot="1" x14ac:dyDescent="0.3">
      <c r="E27" s="582"/>
      <c r="F27" s="162" t="s">
        <v>330</v>
      </c>
    </row>
    <row r="28" spans="5:6" ht="15.75" thickBot="1" x14ac:dyDescent="0.3">
      <c r="E28" s="582"/>
      <c r="F28" s="162" t="s">
        <v>331</v>
      </c>
    </row>
    <row r="29" spans="5:6" ht="15.75" thickBot="1" x14ac:dyDescent="0.3">
      <c r="E29" s="582"/>
      <c r="F29" s="162" t="s">
        <v>332</v>
      </c>
    </row>
    <row r="30" spans="5:6" ht="15.75" thickBot="1" x14ac:dyDescent="0.3">
      <c r="E30" s="583"/>
      <c r="F30" s="162" t="s">
        <v>333</v>
      </c>
    </row>
    <row r="31" spans="5:6" ht="15.75" thickBot="1" x14ac:dyDescent="0.3">
      <c r="E31" s="581" t="s">
        <v>172</v>
      </c>
      <c r="F31" s="162" t="s">
        <v>334</v>
      </c>
    </row>
    <row r="32" spans="5:6" ht="15.75" thickBot="1" x14ac:dyDescent="0.3">
      <c r="E32" s="582"/>
      <c r="F32" s="162" t="s">
        <v>335</v>
      </c>
    </row>
    <row r="33" spans="5:6" ht="15.75" thickBot="1" x14ac:dyDescent="0.3">
      <c r="E33" s="582"/>
      <c r="F33" s="162" t="s">
        <v>336</v>
      </c>
    </row>
    <row r="34" spans="5:6" ht="15.75" thickBot="1" x14ac:dyDescent="0.3">
      <c r="E34" s="582"/>
      <c r="F34" s="162" t="s">
        <v>337</v>
      </c>
    </row>
    <row r="35" spans="5:6" ht="24.75" thickBot="1" x14ac:dyDescent="0.3">
      <c r="E35" s="583"/>
      <c r="F35" s="162" t="s">
        <v>338</v>
      </c>
    </row>
    <row r="36" spans="5:6" ht="15.75" thickBot="1" x14ac:dyDescent="0.3">
      <c r="E36" s="581" t="s">
        <v>169</v>
      </c>
      <c r="F36" s="162" t="s">
        <v>170</v>
      </c>
    </row>
    <row r="37" spans="5:6" ht="15.75" thickBot="1" x14ac:dyDescent="0.3">
      <c r="E37" s="582"/>
      <c r="F37" s="162" t="s">
        <v>339</v>
      </c>
    </row>
    <row r="38" spans="5:6" ht="15.75" thickBot="1" x14ac:dyDescent="0.3">
      <c r="E38" s="582"/>
      <c r="F38" s="162" t="s">
        <v>340</v>
      </c>
    </row>
    <row r="39" spans="5:6" ht="15.75" thickBot="1" x14ac:dyDescent="0.3">
      <c r="E39" s="582"/>
      <c r="F39" s="162" t="s">
        <v>341</v>
      </c>
    </row>
    <row r="40" spans="5:6" ht="15.75" thickBot="1" x14ac:dyDescent="0.3">
      <c r="E40" s="583"/>
      <c r="F40" s="162" t="s">
        <v>342</v>
      </c>
    </row>
    <row r="41" spans="5:6" ht="15.75" thickBot="1" x14ac:dyDescent="0.3">
      <c r="E41" s="581" t="s">
        <v>343</v>
      </c>
      <c r="F41" s="162" t="s">
        <v>344</v>
      </c>
    </row>
    <row r="42" spans="5:6" ht="15.75" thickBot="1" x14ac:dyDescent="0.3">
      <c r="E42" s="582"/>
      <c r="F42" s="162" t="s">
        <v>345</v>
      </c>
    </row>
    <row r="43" spans="5:6" ht="15.75" thickBot="1" x14ac:dyDescent="0.3">
      <c r="E43" s="582"/>
      <c r="F43" s="162" t="s">
        <v>346</v>
      </c>
    </row>
    <row r="44" spans="5:6" ht="15.75" thickBot="1" x14ac:dyDescent="0.3">
      <c r="E44" s="582"/>
      <c r="F44" s="162" t="s">
        <v>347</v>
      </c>
    </row>
    <row r="45" spans="5:6" ht="24.75" thickBot="1" x14ac:dyDescent="0.3">
      <c r="E45" s="583"/>
      <c r="F45" s="162" t="s">
        <v>348</v>
      </c>
    </row>
    <row r="48" spans="5:6" ht="15" customHeight="1" x14ac:dyDescent="0.25"/>
  </sheetData>
  <mergeCells count="8">
    <mergeCell ref="E36:E40"/>
    <mergeCell ref="E41:E45"/>
    <mergeCell ref="E3:E8"/>
    <mergeCell ref="E9:E13"/>
    <mergeCell ref="E14:E16"/>
    <mergeCell ref="E17:E19"/>
    <mergeCell ref="E20:E30"/>
    <mergeCell ref="E31:E3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2" workbookViewId="0">
      <selection activeCell="AA44" sqref="AA44"/>
    </sheetView>
  </sheetViews>
  <sheetFormatPr baseColWidth="10" defaultColWidth="11.42578125" defaultRowHeight="15" x14ac:dyDescent="0.25"/>
  <cols>
    <col min="27" max="27" width="36" customWidth="1"/>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election activeCell="E5" sqref="E5"/>
    </sheetView>
  </sheetViews>
  <sheetFormatPr baseColWidth="10" defaultColWidth="14.28515625" defaultRowHeight="12.75" x14ac:dyDescent="0.2"/>
  <cols>
    <col min="1" max="2" width="14.28515625" style="71"/>
    <col min="3" max="3" width="17" style="71" customWidth="1"/>
    <col min="4" max="4" width="14.28515625" style="71"/>
    <col min="5" max="5" width="46" style="71" customWidth="1"/>
    <col min="6" max="16384" width="14.28515625" style="71"/>
  </cols>
  <sheetData>
    <row r="1" spans="2:6" ht="24" customHeight="1" thickBot="1" x14ac:dyDescent="0.25">
      <c r="B1" s="585" t="s">
        <v>349</v>
      </c>
      <c r="C1" s="586"/>
      <c r="D1" s="586"/>
      <c r="E1" s="586"/>
      <c r="F1" s="587"/>
    </row>
    <row r="2" spans="2:6" ht="16.5" thickBot="1" x14ac:dyDescent="0.3">
      <c r="B2" s="72"/>
      <c r="C2" s="72"/>
      <c r="D2" s="72"/>
      <c r="E2" s="72"/>
      <c r="F2" s="72"/>
    </row>
    <row r="3" spans="2:6" ht="16.5" thickBot="1" x14ac:dyDescent="0.25">
      <c r="B3" s="589" t="s">
        <v>350</v>
      </c>
      <c r="C3" s="590"/>
      <c r="D3" s="590"/>
      <c r="E3" s="84" t="s">
        <v>351</v>
      </c>
      <c r="F3" s="85" t="s">
        <v>352</v>
      </c>
    </row>
    <row r="4" spans="2:6" ht="31.5" x14ac:dyDescent="0.2">
      <c r="B4" s="591" t="s">
        <v>353</v>
      </c>
      <c r="C4" s="593" t="s">
        <v>146</v>
      </c>
      <c r="D4" s="73" t="s">
        <v>156</v>
      </c>
      <c r="E4" s="74" t="s">
        <v>354</v>
      </c>
      <c r="F4" s="75">
        <v>0.25</v>
      </c>
    </row>
    <row r="5" spans="2:6" ht="47.25" x14ac:dyDescent="0.2">
      <c r="B5" s="592"/>
      <c r="C5" s="594"/>
      <c r="D5" s="76" t="s">
        <v>158</v>
      </c>
      <c r="E5" s="77" t="s">
        <v>355</v>
      </c>
      <c r="F5" s="78">
        <v>0.15</v>
      </c>
    </row>
    <row r="6" spans="2:6" ht="47.25" x14ac:dyDescent="0.2">
      <c r="B6" s="592"/>
      <c r="C6" s="594"/>
      <c r="D6" s="76" t="s">
        <v>356</v>
      </c>
      <c r="E6" s="77" t="s">
        <v>357</v>
      </c>
      <c r="F6" s="78">
        <v>0.1</v>
      </c>
    </row>
    <row r="7" spans="2:6" ht="63" x14ac:dyDescent="0.2">
      <c r="B7" s="592"/>
      <c r="C7" s="594" t="s">
        <v>147</v>
      </c>
      <c r="D7" s="76" t="s">
        <v>358</v>
      </c>
      <c r="E7" s="77" t="s">
        <v>359</v>
      </c>
      <c r="F7" s="78">
        <v>0.25</v>
      </c>
    </row>
    <row r="8" spans="2:6" ht="31.5" x14ac:dyDescent="0.2">
      <c r="B8" s="592"/>
      <c r="C8" s="594"/>
      <c r="D8" s="76" t="s">
        <v>157</v>
      </c>
      <c r="E8" s="77" t="s">
        <v>360</v>
      </c>
      <c r="F8" s="78">
        <v>0.15</v>
      </c>
    </row>
    <row r="9" spans="2:6" ht="47.25" x14ac:dyDescent="0.2">
      <c r="B9" s="592" t="s">
        <v>361</v>
      </c>
      <c r="C9" s="594" t="s">
        <v>149</v>
      </c>
      <c r="D9" s="76" t="s">
        <v>160</v>
      </c>
      <c r="E9" s="77" t="s">
        <v>362</v>
      </c>
      <c r="F9" s="79" t="s">
        <v>363</v>
      </c>
    </row>
    <row r="10" spans="2:6" ht="63" x14ac:dyDescent="0.2">
      <c r="B10" s="592"/>
      <c r="C10" s="594"/>
      <c r="D10" s="76" t="s">
        <v>364</v>
      </c>
      <c r="E10" s="77" t="s">
        <v>365</v>
      </c>
      <c r="F10" s="79" t="s">
        <v>363</v>
      </c>
    </row>
    <row r="11" spans="2:6" ht="47.25" x14ac:dyDescent="0.2">
      <c r="B11" s="592"/>
      <c r="C11" s="594" t="s">
        <v>150</v>
      </c>
      <c r="D11" s="76" t="s">
        <v>161</v>
      </c>
      <c r="E11" s="77" t="s">
        <v>366</v>
      </c>
      <c r="F11" s="79" t="s">
        <v>363</v>
      </c>
    </row>
    <row r="12" spans="2:6" ht="47.25" x14ac:dyDescent="0.2">
      <c r="B12" s="592"/>
      <c r="C12" s="594"/>
      <c r="D12" s="76" t="s">
        <v>367</v>
      </c>
      <c r="E12" s="77" t="s">
        <v>368</v>
      </c>
      <c r="F12" s="79" t="s">
        <v>363</v>
      </c>
    </row>
    <row r="13" spans="2:6" ht="31.5" x14ac:dyDescent="0.2">
      <c r="B13" s="592"/>
      <c r="C13" s="594" t="s">
        <v>151</v>
      </c>
      <c r="D13" s="76" t="s">
        <v>162</v>
      </c>
      <c r="E13" s="77" t="s">
        <v>369</v>
      </c>
      <c r="F13" s="79" t="s">
        <v>363</v>
      </c>
    </row>
    <row r="14" spans="2:6" ht="32.25" thickBot="1" x14ac:dyDescent="0.25">
      <c r="B14" s="595"/>
      <c r="C14" s="596"/>
      <c r="D14" s="80" t="s">
        <v>370</v>
      </c>
      <c r="E14" s="81" t="s">
        <v>371</v>
      </c>
      <c r="F14" s="82" t="s">
        <v>363</v>
      </c>
    </row>
    <row r="15" spans="2:6" ht="49.5" customHeight="1" x14ac:dyDescent="0.2">
      <c r="B15" s="588" t="s">
        <v>372</v>
      </c>
      <c r="C15" s="588"/>
      <c r="D15" s="588"/>
      <c r="E15" s="588"/>
      <c r="F15" s="588"/>
    </row>
    <row r="16" spans="2:6" ht="27" customHeight="1" x14ac:dyDescent="0.25">
      <c r="B16" s="8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1"/>
  <sheetViews>
    <sheetView topLeftCell="A61" workbookViewId="0">
      <selection activeCell="F28" sqref="F28:G71"/>
    </sheetView>
  </sheetViews>
  <sheetFormatPr baseColWidth="10" defaultColWidth="11.42578125" defaultRowHeight="15" x14ac:dyDescent="0.25"/>
  <cols>
    <col min="6" max="6" width="17.140625" customWidth="1"/>
    <col min="7" max="7" width="29.28515625" customWidth="1"/>
  </cols>
  <sheetData>
    <row r="2" spans="2:5" x14ac:dyDescent="0.25">
      <c r="B2" t="s">
        <v>373</v>
      </c>
      <c r="E2" t="s">
        <v>173</v>
      </c>
    </row>
    <row r="3" spans="2:5" x14ac:dyDescent="0.25">
      <c r="B3" t="s">
        <v>374</v>
      </c>
      <c r="E3" t="s">
        <v>163</v>
      </c>
    </row>
    <row r="4" spans="2:5" x14ac:dyDescent="0.25">
      <c r="B4" t="s">
        <v>375</v>
      </c>
      <c r="E4" t="s">
        <v>152</v>
      </c>
    </row>
    <row r="5" spans="2:5" x14ac:dyDescent="0.25">
      <c r="B5" t="s">
        <v>159</v>
      </c>
    </row>
    <row r="8" spans="2:5" x14ac:dyDescent="0.25">
      <c r="B8" t="s">
        <v>376</v>
      </c>
    </row>
    <row r="9" spans="2:5" x14ac:dyDescent="0.25">
      <c r="B9" t="s">
        <v>377</v>
      </c>
    </row>
    <row r="10" spans="2:5" x14ac:dyDescent="0.25">
      <c r="B10" t="s">
        <v>378</v>
      </c>
    </row>
    <row r="13" spans="2:5" x14ac:dyDescent="0.25">
      <c r="B13" t="s">
        <v>379</v>
      </c>
    </row>
    <row r="14" spans="2:5" x14ac:dyDescent="0.25">
      <c r="B14" t="s">
        <v>154</v>
      </c>
    </row>
    <row r="15" spans="2:5" x14ac:dyDescent="0.25">
      <c r="B15" t="s">
        <v>380</v>
      </c>
    </row>
    <row r="16" spans="2:5" x14ac:dyDescent="0.25">
      <c r="B16" t="s">
        <v>381</v>
      </c>
    </row>
    <row r="17" spans="2:7" x14ac:dyDescent="0.25">
      <c r="B17" t="s">
        <v>165</v>
      </c>
    </row>
    <row r="18" spans="2:7" x14ac:dyDescent="0.25">
      <c r="B18" t="s">
        <v>284</v>
      </c>
    </row>
    <row r="19" spans="2:7" x14ac:dyDescent="0.25">
      <c r="B19" t="s">
        <v>382</v>
      </c>
    </row>
    <row r="20" spans="2:7" x14ac:dyDescent="0.25">
      <c r="B20" t="s">
        <v>383</v>
      </c>
    </row>
    <row r="21" spans="2:7" x14ac:dyDescent="0.25">
      <c r="B21" t="s">
        <v>288</v>
      </c>
    </row>
    <row r="22" spans="2:7" x14ac:dyDescent="0.25">
      <c r="B22" t="s">
        <v>167</v>
      </c>
    </row>
    <row r="23" spans="2:7" x14ac:dyDescent="0.25">
      <c r="B23" t="s">
        <v>171</v>
      </c>
    </row>
    <row r="27" spans="2:7" ht="15.75" thickBot="1" x14ac:dyDescent="0.3"/>
    <row r="28" spans="2:7" ht="15.75" thickBot="1" x14ac:dyDescent="0.3">
      <c r="B28" t="s">
        <v>295</v>
      </c>
      <c r="F28" s="160" t="s">
        <v>292</v>
      </c>
      <c r="G28" s="161" t="s">
        <v>293</v>
      </c>
    </row>
    <row r="29" spans="2:7" ht="15.75" thickBot="1" x14ac:dyDescent="0.3">
      <c r="B29" t="s">
        <v>307</v>
      </c>
      <c r="F29" s="584" t="s">
        <v>295</v>
      </c>
      <c r="G29" s="162" t="s">
        <v>296</v>
      </c>
    </row>
    <row r="30" spans="2:7" ht="15.75" thickBot="1" x14ac:dyDescent="0.3">
      <c r="B30" t="s">
        <v>314</v>
      </c>
      <c r="F30" s="582"/>
      <c r="G30" s="162" t="s">
        <v>297</v>
      </c>
    </row>
    <row r="31" spans="2:7" ht="15.75" thickBot="1" x14ac:dyDescent="0.3">
      <c r="B31" t="s">
        <v>318</v>
      </c>
      <c r="F31" s="582"/>
      <c r="G31" s="162" t="s">
        <v>299</v>
      </c>
    </row>
    <row r="32" spans="2:7" ht="15.75" thickBot="1" x14ac:dyDescent="0.3">
      <c r="B32" t="s">
        <v>322</v>
      </c>
      <c r="F32" s="582"/>
      <c r="G32" s="162" t="s">
        <v>301</v>
      </c>
    </row>
    <row r="33" spans="2:7" ht="15.75" thickBot="1" x14ac:dyDescent="0.3">
      <c r="B33" t="s">
        <v>172</v>
      </c>
      <c r="F33" s="582"/>
      <c r="G33" s="162" t="s">
        <v>303</v>
      </c>
    </row>
    <row r="34" spans="2:7" ht="15.75" thickBot="1" x14ac:dyDescent="0.3">
      <c r="B34" t="s">
        <v>169</v>
      </c>
      <c r="F34" s="583"/>
      <c r="G34" s="162" t="s">
        <v>305</v>
      </c>
    </row>
    <row r="35" spans="2:7" ht="15.75" thickBot="1" x14ac:dyDescent="0.3">
      <c r="B35" t="s">
        <v>343</v>
      </c>
      <c r="F35" s="581" t="s">
        <v>307</v>
      </c>
      <c r="G35" s="162" t="s">
        <v>308</v>
      </c>
    </row>
    <row r="36" spans="2:7" ht="15.75" thickBot="1" x14ac:dyDescent="0.3">
      <c r="F36" s="582"/>
      <c r="G36" s="162" t="s">
        <v>310</v>
      </c>
    </row>
    <row r="37" spans="2:7" ht="15.75" thickBot="1" x14ac:dyDescent="0.3">
      <c r="F37" s="582"/>
      <c r="G37" s="162" t="s">
        <v>311</v>
      </c>
    </row>
    <row r="38" spans="2:7" ht="21.75" customHeight="1" thickBot="1" x14ac:dyDescent="0.3">
      <c r="F38" s="582"/>
      <c r="G38" s="162" t="s">
        <v>312</v>
      </c>
    </row>
    <row r="39" spans="2:7" ht="15.75" thickBot="1" x14ac:dyDescent="0.3">
      <c r="F39" s="583"/>
      <c r="G39" s="162" t="s">
        <v>313</v>
      </c>
    </row>
    <row r="40" spans="2:7" ht="45.75" customHeight="1" thickBot="1" x14ac:dyDescent="0.3">
      <c r="F40" s="581" t="s">
        <v>314</v>
      </c>
      <c r="G40" s="162" t="s">
        <v>315</v>
      </c>
    </row>
    <row r="41" spans="2:7" ht="15.75" thickBot="1" x14ac:dyDescent="0.3">
      <c r="F41" s="582"/>
      <c r="G41" s="162" t="s">
        <v>316</v>
      </c>
    </row>
    <row r="42" spans="2:7" ht="30" customHeight="1" thickBot="1" x14ac:dyDescent="0.3">
      <c r="F42" s="583"/>
      <c r="G42" s="162" t="s">
        <v>317</v>
      </c>
    </row>
    <row r="43" spans="2:7" ht="15.75" thickBot="1" x14ac:dyDescent="0.3">
      <c r="F43" s="581" t="s">
        <v>318</v>
      </c>
      <c r="G43" s="162" t="s">
        <v>319</v>
      </c>
    </row>
    <row r="44" spans="2:7" ht="15.75" thickBot="1" x14ac:dyDescent="0.3">
      <c r="F44" s="582"/>
      <c r="G44" s="162" t="s">
        <v>320</v>
      </c>
    </row>
    <row r="45" spans="2:7" ht="15.75" thickBot="1" x14ac:dyDescent="0.3">
      <c r="F45" s="583"/>
      <c r="G45" s="162" t="s">
        <v>321</v>
      </c>
    </row>
    <row r="46" spans="2:7" ht="24.75" thickBot="1" x14ac:dyDescent="0.3">
      <c r="F46" s="581" t="s">
        <v>322</v>
      </c>
      <c r="G46" s="162" t="s">
        <v>323</v>
      </c>
    </row>
    <row r="47" spans="2:7" ht="15.75" thickBot="1" x14ac:dyDescent="0.3">
      <c r="F47" s="582"/>
      <c r="G47" s="162" t="s">
        <v>324</v>
      </c>
    </row>
    <row r="48" spans="2:7" ht="15.75" thickBot="1" x14ac:dyDescent="0.3">
      <c r="F48" s="582"/>
      <c r="G48" s="162" t="s">
        <v>325</v>
      </c>
    </row>
    <row r="49" spans="6:7" ht="15.75" thickBot="1" x14ac:dyDescent="0.3">
      <c r="F49" s="582"/>
      <c r="G49" s="162" t="s">
        <v>326</v>
      </c>
    </row>
    <row r="50" spans="6:7" ht="15.75" thickBot="1" x14ac:dyDescent="0.3">
      <c r="F50" s="582"/>
      <c r="G50" s="162" t="s">
        <v>327</v>
      </c>
    </row>
    <row r="51" spans="6:7" ht="24.75" thickBot="1" x14ac:dyDescent="0.3">
      <c r="F51" s="582"/>
      <c r="G51" s="162" t="s">
        <v>328</v>
      </c>
    </row>
    <row r="52" spans="6:7" ht="15.75" thickBot="1" x14ac:dyDescent="0.3">
      <c r="F52" s="582"/>
      <c r="G52" s="162" t="s">
        <v>329</v>
      </c>
    </row>
    <row r="53" spans="6:7" ht="24.75" thickBot="1" x14ac:dyDescent="0.3">
      <c r="F53" s="582"/>
      <c r="G53" s="162" t="s">
        <v>330</v>
      </c>
    </row>
    <row r="54" spans="6:7" ht="15.75" thickBot="1" x14ac:dyDescent="0.3">
      <c r="F54" s="582"/>
      <c r="G54" s="162" t="s">
        <v>331</v>
      </c>
    </row>
    <row r="55" spans="6:7" ht="15.75" thickBot="1" x14ac:dyDescent="0.3">
      <c r="F55" s="582"/>
      <c r="G55" s="162" t="s">
        <v>332</v>
      </c>
    </row>
    <row r="56" spans="6:7" ht="15.75" thickBot="1" x14ac:dyDescent="0.3">
      <c r="F56" s="583"/>
      <c r="G56" s="162" t="s">
        <v>333</v>
      </c>
    </row>
    <row r="57" spans="6:7" ht="15.75" thickBot="1" x14ac:dyDescent="0.3">
      <c r="F57" s="581" t="s">
        <v>172</v>
      </c>
      <c r="G57" s="162" t="s">
        <v>334</v>
      </c>
    </row>
    <row r="58" spans="6:7" ht="15.75" thickBot="1" x14ac:dyDescent="0.3">
      <c r="F58" s="582"/>
      <c r="G58" s="162" t="s">
        <v>335</v>
      </c>
    </row>
    <row r="59" spans="6:7" ht="24.75" thickBot="1" x14ac:dyDescent="0.3">
      <c r="F59" s="582"/>
      <c r="G59" s="162" t="s">
        <v>336</v>
      </c>
    </row>
    <row r="60" spans="6:7" ht="15.75" thickBot="1" x14ac:dyDescent="0.3">
      <c r="F60" s="582"/>
      <c r="G60" s="162" t="s">
        <v>337</v>
      </c>
    </row>
    <row r="61" spans="6:7" ht="36.75" thickBot="1" x14ac:dyDescent="0.3">
      <c r="F61" s="583"/>
      <c r="G61" s="162" t="s">
        <v>338</v>
      </c>
    </row>
    <row r="62" spans="6:7" ht="15.75" thickBot="1" x14ac:dyDescent="0.3">
      <c r="F62" s="581" t="s">
        <v>169</v>
      </c>
      <c r="G62" s="162" t="s">
        <v>170</v>
      </c>
    </row>
    <row r="63" spans="6:7" ht="15.75" thickBot="1" x14ac:dyDescent="0.3">
      <c r="F63" s="582"/>
      <c r="G63" s="162" t="s">
        <v>339</v>
      </c>
    </row>
    <row r="64" spans="6:7" ht="15.75" thickBot="1" x14ac:dyDescent="0.3">
      <c r="F64" s="582"/>
      <c r="G64" s="162" t="s">
        <v>340</v>
      </c>
    </row>
    <row r="65" spans="6:7" ht="15.75" thickBot="1" x14ac:dyDescent="0.3">
      <c r="F65" s="582"/>
      <c r="G65" s="162" t="s">
        <v>341</v>
      </c>
    </row>
    <row r="66" spans="6:7" ht="15.75" thickBot="1" x14ac:dyDescent="0.3">
      <c r="F66" s="583"/>
      <c r="G66" s="162" t="s">
        <v>342</v>
      </c>
    </row>
    <row r="67" spans="6:7" ht="15.75" thickBot="1" x14ac:dyDescent="0.3">
      <c r="F67" s="581" t="s">
        <v>343</v>
      </c>
      <c r="G67" s="162" t="s">
        <v>344</v>
      </c>
    </row>
    <row r="68" spans="6:7" ht="15.75" thickBot="1" x14ac:dyDescent="0.3">
      <c r="F68" s="582"/>
      <c r="G68" s="162" t="s">
        <v>345</v>
      </c>
    </row>
    <row r="69" spans="6:7" ht="15.75" thickBot="1" x14ac:dyDescent="0.3">
      <c r="F69" s="582"/>
      <c r="G69" s="162" t="s">
        <v>346</v>
      </c>
    </row>
    <row r="70" spans="6:7" ht="15.75" thickBot="1" x14ac:dyDescent="0.3">
      <c r="F70" s="582"/>
      <c r="G70" s="162" t="s">
        <v>347</v>
      </c>
    </row>
    <row r="71" spans="6:7" ht="24.75" thickBot="1" x14ac:dyDescent="0.3">
      <c r="F71" s="583"/>
      <c r="G71" s="162" t="s">
        <v>348</v>
      </c>
    </row>
  </sheetData>
  <sortState ref="B2:B5">
    <sortCondition ref="B2:B5"/>
  </sortState>
  <mergeCells count="8">
    <mergeCell ref="F62:F66"/>
    <mergeCell ref="F67:F71"/>
    <mergeCell ref="F29:F34"/>
    <mergeCell ref="F35:F39"/>
    <mergeCell ref="F40:F42"/>
    <mergeCell ref="F43:F45"/>
    <mergeCell ref="F46:F56"/>
    <mergeCell ref="F57:F6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156</v>
      </c>
    </row>
    <row r="4" spans="1:1" x14ac:dyDescent="0.2">
      <c r="A4" s="2" t="s">
        <v>158</v>
      </c>
    </row>
    <row r="5" spans="1:1" x14ac:dyDescent="0.2">
      <c r="A5" s="2" t="s">
        <v>356</v>
      </c>
    </row>
    <row r="6" spans="1:1" x14ac:dyDescent="0.2">
      <c r="A6" s="2" t="s">
        <v>358</v>
      </c>
    </row>
    <row r="7" spans="1:1" x14ac:dyDescent="0.2">
      <c r="A7" s="2" t="s">
        <v>157</v>
      </c>
    </row>
    <row r="8" spans="1:1" x14ac:dyDescent="0.2">
      <c r="A8" s="2" t="s">
        <v>160</v>
      </c>
    </row>
    <row r="9" spans="1:1" x14ac:dyDescent="0.2">
      <c r="A9" s="2" t="s">
        <v>364</v>
      </c>
    </row>
    <row r="10" spans="1:1" x14ac:dyDescent="0.2">
      <c r="A10" s="2" t="s">
        <v>161</v>
      </c>
    </row>
    <row r="11" spans="1:1" x14ac:dyDescent="0.2">
      <c r="A11" s="2" t="s">
        <v>367</v>
      </c>
    </row>
    <row r="12" spans="1:1" x14ac:dyDescent="0.2">
      <c r="A12" s="2" t="s">
        <v>384</v>
      </c>
    </row>
    <row r="13" spans="1:1" x14ac:dyDescent="0.2">
      <c r="A13" s="2" t="s">
        <v>385</v>
      </c>
    </row>
    <row r="14" spans="1:1" x14ac:dyDescent="0.2">
      <c r="A14" s="2" t="s">
        <v>386</v>
      </c>
    </row>
    <row r="16" spans="1:1" x14ac:dyDescent="0.2">
      <c r="A16" s="2" t="s">
        <v>387</v>
      </c>
    </row>
    <row r="17" spans="1:1" x14ac:dyDescent="0.2">
      <c r="A17" s="2" t="s">
        <v>373</v>
      </c>
    </row>
    <row r="18" spans="1:1" x14ac:dyDescent="0.2">
      <c r="A18" s="2" t="s">
        <v>374</v>
      </c>
    </row>
    <row r="20" spans="1:1" x14ac:dyDescent="0.2">
      <c r="A20" s="2" t="s">
        <v>377</v>
      </c>
    </row>
    <row r="21" spans="1:1" x14ac:dyDescent="0.2">
      <c r="A21" s="2"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zoomScale="40" zoomScaleNormal="40" zoomScaleSheetLayoutView="30" zoomScalePageLayoutView="60" workbookViewId="0">
      <selection activeCell="F13" sqref="F13"/>
    </sheetView>
  </sheetViews>
  <sheetFormatPr baseColWidth="10" defaultColWidth="11.42578125" defaultRowHeight="26.25" x14ac:dyDescent="0.35"/>
  <cols>
    <col min="1" max="1" width="5.28515625" style="119" customWidth="1"/>
    <col min="2" max="2" width="7.42578125" style="120" customWidth="1"/>
    <col min="3" max="3" width="25.7109375" style="121" customWidth="1"/>
    <col min="4" max="4" width="104.42578125" style="147" customWidth="1"/>
    <col min="5" max="5" width="129.7109375" style="121" customWidth="1"/>
    <col min="6" max="6" width="64.5703125" style="119" customWidth="1"/>
    <col min="7" max="16384" width="11.42578125" style="119"/>
  </cols>
  <sheetData>
    <row r="1" spans="1:13" ht="20.25" customHeight="1" x14ac:dyDescent="0.35"/>
    <row r="2" spans="1:13" ht="63.75" customHeight="1" x14ac:dyDescent="0.35">
      <c r="B2" s="319"/>
      <c r="C2" s="319"/>
      <c r="D2" s="320" t="s">
        <v>76</v>
      </c>
      <c r="E2" s="320"/>
      <c r="F2" s="320"/>
      <c r="G2" s="129"/>
      <c r="H2" s="129"/>
      <c r="I2" s="129"/>
      <c r="J2" s="129"/>
      <c r="K2" s="129"/>
      <c r="L2" s="129"/>
      <c r="M2" s="129"/>
    </row>
    <row r="3" spans="1:13" ht="30.75" customHeight="1" x14ac:dyDescent="0.35">
      <c r="B3" s="319"/>
      <c r="C3" s="319"/>
      <c r="D3" s="172" t="s">
        <v>77</v>
      </c>
      <c r="E3" s="322" t="s">
        <v>391</v>
      </c>
      <c r="F3" s="322"/>
      <c r="G3" s="129"/>
      <c r="H3" s="129"/>
      <c r="I3" s="129"/>
      <c r="J3" s="129"/>
      <c r="K3" s="129"/>
      <c r="L3" s="129"/>
    </row>
    <row r="4" spans="1:13" ht="30.75" customHeight="1" x14ac:dyDescent="0.35">
      <c r="B4" s="319"/>
      <c r="C4" s="319"/>
      <c r="D4" s="321" t="s">
        <v>392</v>
      </c>
      <c r="E4" s="321"/>
      <c r="F4" s="321"/>
      <c r="G4" s="129"/>
      <c r="H4" s="129"/>
      <c r="I4" s="129"/>
      <c r="J4" s="129"/>
      <c r="K4" s="129"/>
      <c r="L4" s="129"/>
    </row>
    <row r="5" spans="1:13" ht="10.5" customHeight="1" x14ac:dyDescent="0.35">
      <c r="B5" s="129"/>
      <c r="C5" s="129"/>
      <c r="D5" s="129"/>
      <c r="E5" s="129"/>
      <c r="F5" s="129"/>
      <c r="G5" s="129"/>
      <c r="H5" s="129"/>
      <c r="I5" s="129"/>
      <c r="J5" s="129"/>
      <c r="K5" s="129"/>
      <c r="L5" s="129"/>
    </row>
    <row r="6" spans="1:13" ht="24" customHeight="1" x14ac:dyDescent="0.35">
      <c r="B6" s="318" t="s">
        <v>78</v>
      </c>
      <c r="C6" s="318"/>
      <c r="D6" s="323"/>
      <c r="E6" s="324"/>
      <c r="F6" s="324"/>
      <c r="G6" s="129"/>
      <c r="H6" s="129"/>
      <c r="I6" s="129"/>
      <c r="J6" s="129"/>
      <c r="K6" s="129"/>
      <c r="L6" s="129"/>
    </row>
    <row r="7" spans="1:13" ht="24" customHeight="1" x14ac:dyDescent="0.35">
      <c r="B7" s="318" t="s">
        <v>79</v>
      </c>
      <c r="C7" s="318"/>
      <c r="D7" s="325"/>
      <c r="E7" s="326"/>
      <c r="F7" s="326"/>
      <c r="G7" s="129"/>
      <c r="H7" s="129"/>
      <c r="I7" s="129"/>
      <c r="J7" s="129"/>
      <c r="K7" s="129"/>
      <c r="L7" s="129"/>
    </row>
    <row r="8" spans="1:13" ht="10.5" customHeight="1" thickBot="1" x14ac:dyDescent="0.4">
      <c r="D8" s="122"/>
      <c r="E8" s="123"/>
      <c r="F8" s="129"/>
      <c r="G8" s="129"/>
      <c r="H8" s="129"/>
      <c r="I8" s="129"/>
      <c r="J8" s="129"/>
      <c r="K8" s="129"/>
      <c r="L8" s="129"/>
    </row>
    <row r="9" spans="1:13" ht="69.75" customHeight="1" thickBot="1" x14ac:dyDescent="0.4">
      <c r="A9" s="124"/>
      <c r="B9" s="313" t="s">
        <v>389</v>
      </c>
      <c r="C9" s="314"/>
      <c r="D9" s="314"/>
      <c r="E9" s="315"/>
      <c r="F9" s="311" t="s">
        <v>388</v>
      </c>
      <c r="G9" s="129"/>
      <c r="H9" s="129"/>
      <c r="I9" s="129"/>
      <c r="J9" s="129"/>
      <c r="K9" s="129"/>
      <c r="L9" s="129"/>
    </row>
    <row r="10" spans="1:13" s="129" customFormat="1" ht="50.25" customHeight="1" thickBot="1" x14ac:dyDescent="0.4">
      <c r="A10" s="125"/>
      <c r="B10" s="316" t="s">
        <v>81</v>
      </c>
      <c r="C10" s="191" t="s">
        <v>82</v>
      </c>
      <c r="D10" s="192" t="s">
        <v>83</v>
      </c>
      <c r="E10" s="193" t="s">
        <v>84</v>
      </c>
      <c r="F10" s="312"/>
    </row>
    <row r="11" spans="1:13" s="129" customFormat="1" ht="213.75" customHeight="1" thickBot="1" x14ac:dyDescent="0.4">
      <c r="A11" s="125"/>
      <c r="B11" s="317"/>
      <c r="C11" s="130" t="s">
        <v>85</v>
      </c>
      <c r="D11" s="210" t="s">
        <v>400</v>
      </c>
      <c r="E11" s="211" t="s">
        <v>401</v>
      </c>
      <c r="F11" s="266" t="s">
        <v>473</v>
      </c>
    </row>
    <row r="12" spans="1:13" s="129" customFormat="1" ht="234.75" customHeight="1" thickBot="1" x14ac:dyDescent="0.4">
      <c r="A12" s="125"/>
      <c r="B12" s="317"/>
      <c r="C12" s="173" t="s">
        <v>86</v>
      </c>
      <c r="D12" s="133" t="s">
        <v>402</v>
      </c>
      <c r="E12" s="133" t="s">
        <v>469</v>
      </c>
      <c r="F12" s="267" t="s">
        <v>479</v>
      </c>
    </row>
    <row r="13" spans="1:13" s="129" customFormat="1" ht="214.5" customHeight="1" thickBot="1" x14ac:dyDescent="0.4">
      <c r="A13" s="125"/>
      <c r="B13" s="317"/>
      <c r="C13" s="174" t="s">
        <v>87</v>
      </c>
      <c r="D13" s="135" t="s">
        <v>403</v>
      </c>
      <c r="E13" s="133" t="s">
        <v>404</v>
      </c>
      <c r="F13" s="267" t="s">
        <v>474</v>
      </c>
    </row>
    <row r="14" spans="1:13" s="129" customFormat="1" ht="240" customHeight="1" thickBot="1" x14ac:dyDescent="0.4">
      <c r="A14" s="125"/>
      <c r="B14" s="317"/>
      <c r="C14" s="175" t="s">
        <v>88</v>
      </c>
      <c r="D14" s="133" t="s">
        <v>405</v>
      </c>
      <c r="E14" s="133" t="s">
        <v>406</v>
      </c>
      <c r="F14" s="267" t="s">
        <v>475</v>
      </c>
    </row>
    <row r="15" spans="1:13" s="129" customFormat="1" ht="242.25" customHeight="1" thickBot="1" x14ac:dyDescent="0.4">
      <c r="A15" s="125"/>
      <c r="B15" s="317"/>
      <c r="C15" s="176" t="s">
        <v>89</v>
      </c>
      <c r="D15" s="135" t="s">
        <v>407</v>
      </c>
      <c r="E15" s="211" t="s">
        <v>470</v>
      </c>
      <c r="F15" s="268" t="s">
        <v>476</v>
      </c>
    </row>
    <row r="16" spans="1:13" s="129" customFormat="1" ht="264" thickBot="1" x14ac:dyDescent="0.4">
      <c r="A16" s="125"/>
      <c r="B16" s="317"/>
      <c r="C16" s="175" t="s">
        <v>90</v>
      </c>
      <c r="D16" s="133" t="s">
        <v>408</v>
      </c>
      <c r="E16" s="194" t="s">
        <v>471</v>
      </c>
      <c r="F16" s="269" t="s">
        <v>477</v>
      </c>
      <c r="I16" s="265"/>
    </row>
    <row r="17" spans="1:6" s="141" customFormat="1" ht="386.25" customHeight="1" thickBot="1" x14ac:dyDescent="0.4">
      <c r="A17" s="139"/>
      <c r="B17" s="317"/>
      <c r="C17" s="205" t="s">
        <v>91</v>
      </c>
      <c r="D17" s="133" t="s">
        <v>409</v>
      </c>
      <c r="E17" s="135" t="s">
        <v>472</v>
      </c>
      <c r="F17" s="269" t="s">
        <v>478</v>
      </c>
    </row>
    <row r="18" spans="1:6" ht="168" customHeight="1" thickBot="1" x14ac:dyDescent="0.3">
      <c r="B18" s="317"/>
      <c r="C18" s="206" t="s">
        <v>390</v>
      </c>
      <c r="D18" s="207"/>
      <c r="E18" s="208"/>
      <c r="F18" s="209"/>
    </row>
    <row r="19" spans="1:6" x14ac:dyDescent="0.35">
      <c r="B19" s="195"/>
      <c r="C19" s="196"/>
      <c r="D19" s="197"/>
      <c r="E19" s="196"/>
    </row>
    <row r="20" spans="1:6" x14ac:dyDescent="0.25">
      <c r="B20" s="309"/>
      <c r="C20" s="309"/>
      <c r="D20" s="309"/>
      <c r="E20" s="309"/>
    </row>
    <row r="21" spans="1:6" ht="27" x14ac:dyDescent="0.25">
      <c r="B21" s="310"/>
      <c r="C21" s="198"/>
      <c r="D21" s="198"/>
      <c r="E21" s="198"/>
    </row>
    <row r="22" spans="1:6" x14ac:dyDescent="0.25">
      <c r="B22" s="310"/>
      <c r="C22" s="199"/>
      <c r="D22" s="200"/>
      <c r="E22" s="200"/>
    </row>
    <row r="23" spans="1:6" x14ac:dyDescent="0.25">
      <c r="B23" s="310"/>
      <c r="C23" s="199"/>
      <c r="D23" s="201"/>
      <c r="E23" s="201"/>
    </row>
    <row r="24" spans="1:6" x14ac:dyDescent="0.25">
      <c r="B24" s="310"/>
      <c r="C24" s="199"/>
      <c r="D24" s="201"/>
      <c r="E24" s="201"/>
    </row>
    <row r="25" spans="1:6" x14ac:dyDescent="0.25">
      <c r="B25" s="310"/>
      <c r="C25" s="199"/>
      <c r="D25" s="201"/>
      <c r="E25" s="201"/>
    </row>
    <row r="26" spans="1:6" x14ac:dyDescent="0.25">
      <c r="B26" s="310"/>
      <c r="C26" s="199"/>
      <c r="D26" s="201"/>
      <c r="E26" s="200"/>
    </row>
    <row r="27" spans="1:6" x14ac:dyDescent="0.25">
      <c r="B27" s="310"/>
      <c r="C27" s="199"/>
      <c r="D27" s="201"/>
      <c r="E27" s="200"/>
    </row>
    <row r="28" spans="1:6" x14ac:dyDescent="0.25">
      <c r="B28" s="310"/>
      <c r="C28" s="202"/>
      <c r="D28" s="201"/>
      <c r="E28" s="201"/>
    </row>
    <row r="29" spans="1:6" ht="27.75" x14ac:dyDescent="0.35">
      <c r="B29" s="310"/>
      <c r="C29" s="203"/>
      <c r="D29" s="204"/>
      <c r="E29" s="204"/>
    </row>
    <row r="30" spans="1:6" x14ac:dyDescent="0.35">
      <c r="B30" s="195"/>
      <c r="C30" s="196"/>
      <c r="D30" s="197"/>
      <c r="E30" s="196"/>
    </row>
    <row r="31" spans="1:6" x14ac:dyDescent="0.35">
      <c r="B31" s="195"/>
      <c r="C31" s="196"/>
      <c r="D31" s="197"/>
      <c r="E31" s="196"/>
    </row>
  </sheetData>
  <mergeCells count="13">
    <mergeCell ref="B7:C7"/>
    <mergeCell ref="B2:C4"/>
    <mergeCell ref="B6:C6"/>
    <mergeCell ref="D2:F2"/>
    <mergeCell ref="D4:F4"/>
    <mergeCell ref="E3:F3"/>
    <mergeCell ref="D6:F6"/>
    <mergeCell ref="D7:F7"/>
    <mergeCell ref="B20:E20"/>
    <mergeCell ref="B21:B29"/>
    <mergeCell ref="F9:F10"/>
    <mergeCell ref="B9:E9"/>
    <mergeCell ref="B10:B18"/>
  </mergeCells>
  <pageMargins left="0.70866141732283472" right="0.70866141732283472" top="0.74803149606299213" bottom="0.74803149606299213" header="0.31496062992125984" footer="0.31496062992125984"/>
  <pageSetup scale="32" orientation="landscape" r:id="rId1"/>
  <headerFooter>
    <oddFooter>&amp;LAvenida Calle 26 No. 57-83 Torre 8, Piso 8 CEMSA - C.P. 111321 
PBX:(+57) 601-3779555 - Información: Línea 195 
Sede Operativa - Atención al Ciudadano: Calle 22D No. 120-40 
www.umv.gov.co&amp;CDESI-FM-029
Página &amp;P de &amp;N</oddFooter>
  </headerFooter>
  <rowBreaks count="1" manualBreakCount="1">
    <brk id="9" min="1" max="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Intructivo!$C$300:$C$316</xm:f>
          </x14:formula1>
          <xm:sqref>D6:F6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B1" zoomScale="50" zoomScaleNormal="50" workbookViewId="0">
      <selection activeCell="I4" sqref="I4"/>
    </sheetView>
  </sheetViews>
  <sheetFormatPr baseColWidth="10" defaultColWidth="11.42578125" defaultRowHeight="26.25" x14ac:dyDescent="0.35"/>
  <cols>
    <col min="1" max="1" width="11.85546875" style="119" customWidth="1"/>
    <col min="2" max="2" width="7.42578125" style="120" customWidth="1"/>
    <col min="3" max="3" width="36.85546875" style="121" customWidth="1"/>
    <col min="4" max="4" width="150" style="147" customWidth="1"/>
    <col min="5" max="5" width="168" style="121" customWidth="1"/>
    <col min="6" max="6" width="51.7109375" style="119" customWidth="1"/>
    <col min="7" max="16384" width="11.42578125" style="119"/>
  </cols>
  <sheetData>
    <row r="1" spans="1:6" x14ac:dyDescent="0.35">
      <c r="D1" s="122"/>
      <c r="E1" s="123"/>
    </row>
    <row r="2" spans="1:6" ht="40.5" customHeight="1" thickBot="1" x14ac:dyDescent="0.3">
      <c r="A2" s="124"/>
      <c r="B2" s="327" t="s">
        <v>80</v>
      </c>
      <c r="C2" s="327"/>
      <c r="D2" s="327"/>
      <c r="E2" s="328"/>
      <c r="F2" s="332" t="s">
        <v>92</v>
      </c>
    </row>
    <row r="3" spans="1:6" s="129" customFormat="1" ht="40.5" customHeight="1" thickBot="1" x14ac:dyDescent="0.4">
      <c r="A3" s="125"/>
      <c r="B3" s="329" t="s">
        <v>93</v>
      </c>
      <c r="C3" s="126" t="s">
        <v>82</v>
      </c>
      <c r="D3" s="127" t="s">
        <v>83</v>
      </c>
      <c r="E3" s="128" t="s">
        <v>84</v>
      </c>
      <c r="F3" s="333"/>
    </row>
    <row r="4" spans="1:6" s="129" customFormat="1" ht="228.75" customHeight="1" thickBot="1" x14ac:dyDescent="0.4">
      <c r="A4" s="125"/>
      <c r="B4" s="330"/>
      <c r="C4" s="130" t="s">
        <v>85</v>
      </c>
      <c r="D4" s="131" t="s">
        <v>94</v>
      </c>
      <c r="E4" s="163" t="s">
        <v>95</v>
      </c>
      <c r="F4" s="168" t="s">
        <v>96</v>
      </c>
    </row>
    <row r="5" spans="1:6" s="129" customFormat="1" ht="289.5" thickBot="1" x14ac:dyDescent="0.4">
      <c r="A5" s="125"/>
      <c r="B5" s="330"/>
      <c r="C5" s="132" t="s">
        <v>86</v>
      </c>
      <c r="D5" s="133" t="s">
        <v>97</v>
      </c>
      <c r="E5" s="164" t="s">
        <v>98</v>
      </c>
      <c r="F5" s="167" t="s">
        <v>99</v>
      </c>
    </row>
    <row r="6" spans="1:6" s="129" customFormat="1" ht="237" thickBot="1" x14ac:dyDescent="0.4">
      <c r="A6" s="125"/>
      <c r="B6" s="330"/>
      <c r="C6" s="134" t="s">
        <v>87</v>
      </c>
      <c r="D6" s="135" t="s">
        <v>100</v>
      </c>
      <c r="E6" s="165" t="s">
        <v>101</v>
      </c>
      <c r="F6" s="167"/>
    </row>
    <row r="7" spans="1:6" s="129" customFormat="1" ht="154.5" customHeight="1" thickBot="1" x14ac:dyDescent="0.4">
      <c r="A7" s="125"/>
      <c r="B7" s="330"/>
      <c r="C7" s="136" t="s">
        <v>88</v>
      </c>
      <c r="D7" s="137"/>
      <c r="E7" s="164"/>
      <c r="F7" s="167"/>
    </row>
    <row r="8" spans="1:6" s="129" customFormat="1" ht="172.5" thickBot="1" x14ac:dyDescent="0.4">
      <c r="A8" s="125"/>
      <c r="B8" s="330"/>
      <c r="C8" s="138" t="s">
        <v>89</v>
      </c>
      <c r="D8" s="135" t="s">
        <v>102</v>
      </c>
      <c r="E8" s="166" t="s">
        <v>103</v>
      </c>
      <c r="F8" s="167"/>
    </row>
    <row r="9" spans="1:6" s="129" customFormat="1" ht="166.5" thickBot="1" x14ac:dyDescent="0.4">
      <c r="A9" s="125"/>
      <c r="B9" s="330"/>
      <c r="C9" s="136" t="s">
        <v>90</v>
      </c>
      <c r="D9" s="133" t="s">
        <v>104</v>
      </c>
      <c r="E9" s="166" t="s">
        <v>105</v>
      </c>
      <c r="F9" s="167"/>
    </row>
    <row r="10" spans="1:6" s="141" customFormat="1" ht="263.25" thickBot="1" x14ac:dyDescent="0.4">
      <c r="A10" s="139"/>
      <c r="B10" s="330"/>
      <c r="C10" s="140" t="s">
        <v>91</v>
      </c>
      <c r="D10" s="133" t="s">
        <v>106</v>
      </c>
      <c r="E10" s="165" t="s">
        <v>107</v>
      </c>
      <c r="F10" s="169"/>
    </row>
    <row r="11" spans="1:6" s="141" customFormat="1" ht="28.5" thickBot="1" x14ac:dyDescent="0.4">
      <c r="A11" s="139"/>
      <c r="B11" s="331"/>
      <c r="C11" s="142"/>
      <c r="D11" s="143"/>
      <c r="E11" s="144"/>
    </row>
    <row r="12" spans="1:6" ht="27" x14ac:dyDescent="0.35">
      <c r="D12" s="145"/>
      <c r="E12" s="146"/>
    </row>
    <row r="17" spans="4:4" x14ac:dyDescent="0.35">
      <c r="D17" s="122"/>
    </row>
    <row r="18" spans="4:4" x14ac:dyDescent="0.35">
      <c r="D18" s="122"/>
    </row>
    <row r="19" spans="4:4" x14ac:dyDescent="0.35">
      <c r="D19" s="122"/>
    </row>
  </sheetData>
  <mergeCells count="3">
    <mergeCell ref="B2:E2"/>
    <mergeCell ref="B3:B11"/>
    <mergeCell ref="F2:F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M75"/>
  <sheetViews>
    <sheetView zoomScale="50" zoomScaleNormal="50" zoomScaleSheetLayoutView="30" zoomScalePageLayoutView="60" workbookViewId="0">
      <pane ySplit="12" topLeftCell="A13" activePane="bottomLeft" state="frozen"/>
      <selection activeCell="E1" sqref="E1"/>
      <selection pane="bottomLeft" activeCell="A37" sqref="A37:A42"/>
    </sheetView>
  </sheetViews>
  <sheetFormatPr baseColWidth="10" defaultColWidth="11.42578125" defaultRowHeight="15" x14ac:dyDescent="0.2"/>
  <cols>
    <col min="1" max="1" width="6.5703125" style="255" customWidth="1"/>
    <col min="2" max="2" width="16" style="255" customWidth="1"/>
    <col min="3" max="3" width="19.140625" style="255" customWidth="1"/>
    <col min="4" max="4" width="54.7109375" style="255" customWidth="1"/>
    <col min="5" max="5" width="70.85546875" style="236" customWidth="1"/>
    <col min="6" max="6" width="15.140625" style="236" customWidth="1"/>
    <col min="7" max="8" width="16.7109375" style="256" customWidth="1"/>
    <col min="9" max="9" width="19.28515625" style="256" customWidth="1"/>
    <col min="10" max="11" width="16.7109375" style="256" customWidth="1"/>
    <col min="12" max="12" width="16.7109375" style="236" customWidth="1"/>
    <col min="13" max="13" width="20.42578125" style="236" customWidth="1"/>
    <col min="14" max="14" width="10" style="236" customWidth="1"/>
    <col min="15" max="15" width="35.85546875" style="236" customWidth="1"/>
    <col min="16" max="16" width="30.5703125" style="236" hidden="1" customWidth="1"/>
    <col min="17" max="17" width="17.5703125" style="236" customWidth="1"/>
    <col min="18" max="18" width="8.42578125" style="236" customWidth="1"/>
    <col min="19" max="19" width="16" style="236" customWidth="1"/>
    <col min="20" max="20" width="11.28515625" style="236" customWidth="1"/>
    <col min="21" max="21" width="73.42578125" style="236" customWidth="1"/>
    <col min="22" max="22" width="19" style="236" hidden="1" customWidth="1"/>
    <col min="23" max="23" width="6.85546875" style="236" customWidth="1"/>
    <col min="24" max="24" width="5" style="236" customWidth="1"/>
    <col min="25" max="25" width="5.5703125" style="236" hidden="1" customWidth="1"/>
    <col min="26" max="26" width="7.140625" style="236" customWidth="1"/>
    <col min="27" max="27" width="6.7109375" style="236" customWidth="1"/>
    <col min="28" max="28" width="7.5703125" style="236" customWidth="1"/>
    <col min="29" max="29" width="38.28515625" style="236" hidden="1" customWidth="1"/>
    <col min="30" max="34" width="10.85546875" style="236" customWidth="1"/>
    <col min="35" max="35" width="10.85546875" style="254" customWidth="1"/>
    <col min="36" max="36" width="37.140625" style="236" customWidth="1"/>
    <col min="37" max="38" width="18.85546875" style="236" customWidth="1"/>
    <col min="39" max="39" width="22.42578125" style="236" customWidth="1"/>
    <col min="40" max="41" width="16.42578125" style="236" customWidth="1"/>
    <col min="42" max="42" width="26.140625" style="236" customWidth="1"/>
    <col min="43" max="16384" width="11.42578125" style="236"/>
  </cols>
  <sheetData>
    <row r="1" spans="1:273" s="228" customFormat="1" ht="24" customHeight="1" x14ac:dyDescent="0.3">
      <c r="A1" s="336"/>
      <c r="B1" s="337"/>
      <c r="C1" s="338"/>
      <c r="D1" s="345" t="s">
        <v>108</v>
      </c>
      <c r="E1" s="346"/>
      <c r="F1" s="346"/>
      <c r="G1" s="346"/>
      <c r="H1" s="346"/>
      <c r="I1" s="346"/>
      <c r="J1" s="346"/>
      <c r="K1" s="346"/>
      <c r="L1" s="346"/>
      <c r="M1" s="346"/>
      <c r="N1" s="346"/>
      <c r="O1" s="346"/>
      <c r="P1" s="346"/>
      <c r="Q1" s="346"/>
      <c r="R1" s="346"/>
      <c r="S1" s="347"/>
      <c r="T1" s="226"/>
      <c r="U1" s="366" t="s">
        <v>108</v>
      </c>
      <c r="V1" s="346"/>
      <c r="W1" s="346"/>
      <c r="X1" s="346"/>
      <c r="Y1" s="346"/>
      <c r="Z1" s="346"/>
      <c r="AA1" s="346"/>
      <c r="AB1" s="346"/>
      <c r="AC1" s="346"/>
      <c r="AD1" s="346"/>
      <c r="AE1" s="346"/>
      <c r="AF1" s="346"/>
      <c r="AG1" s="346"/>
      <c r="AH1" s="346"/>
      <c r="AI1" s="346"/>
      <c r="AJ1" s="346"/>
      <c r="AK1" s="346"/>
      <c r="AL1" s="346"/>
      <c r="AM1" s="346"/>
      <c r="AN1" s="346"/>
      <c r="AO1" s="346"/>
      <c r="AP1" s="34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row>
    <row r="2" spans="1:273" s="228" customFormat="1" ht="24" customHeight="1" thickBot="1" x14ac:dyDescent="0.35">
      <c r="A2" s="339"/>
      <c r="B2" s="340"/>
      <c r="C2" s="341"/>
      <c r="D2" s="348"/>
      <c r="E2" s="349"/>
      <c r="F2" s="349"/>
      <c r="G2" s="349"/>
      <c r="H2" s="349"/>
      <c r="I2" s="349"/>
      <c r="J2" s="349"/>
      <c r="K2" s="349"/>
      <c r="L2" s="349"/>
      <c r="M2" s="349"/>
      <c r="N2" s="349"/>
      <c r="O2" s="349"/>
      <c r="P2" s="349"/>
      <c r="Q2" s="349"/>
      <c r="R2" s="349"/>
      <c r="S2" s="350"/>
      <c r="T2" s="226"/>
      <c r="U2" s="367"/>
      <c r="V2" s="349"/>
      <c r="W2" s="349"/>
      <c r="X2" s="349"/>
      <c r="Y2" s="349"/>
      <c r="Z2" s="349"/>
      <c r="AA2" s="349"/>
      <c r="AB2" s="349"/>
      <c r="AC2" s="349"/>
      <c r="AD2" s="349"/>
      <c r="AE2" s="349"/>
      <c r="AF2" s="349"/>
      <c r="AG2" s="349"/>
      <c r="AH2" s="349"/>
      <c r="AI2" s="349"/>
      <c r="AJ2" s="349"/>
      <c r="AK2" s="349"/>
      <c r="AL2" s="349"/>
      <c r="AM2" s="349"/>
      <c r="AN2" s="349"/>
      <c r="AO2" s="349"/>
      <c r="AP2" s="350"/>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row>
    <row r="3" spans="1:273" s="228" customFormat="1" ht="24" customHeight="1" x14ac:dyDescent="0.3">
      <c r="A3" s="339"/>
      <c r="B3" s="340"/>
      <c r="C3" s="341"/>
      <c r="D3" s="351" t="s">
        <v>109</v>
      </c>
      <c r="E3" s="352"/>
      <c r="F3" s="352"/>
      <c r="G3" s="352"/>
      <c r="H3" s="352"/>
      <c r="I3" s="352"/>
      <c r="J3" s="352"/>
      <c r="K3" s="352"/>
      <c r="L3" s="352" t="s">
        <v>110</v>
      </c>
      <c r="M3" s="352"/>
      <c r="N3" s="352"/>
      <c r="O3" s="352"/>
      <c r="P3" s="352"/>
      <c r="Q3" s="352"/>
      <c r="R3" s="352"/>
      <c r="S3" s="353"/>
      <c r="T3" s="226"/>
      <c r="U3" s="368" t="s">
        <v>111</v>
      </c>
      <c r="V3" s="369"/>
      <c r="W3" s="369"/>
      <c r="X3" s="369"/>
      <c r="Y3" s="369"/>
      <c r="Z3" s="369"/>
      <c r="AA3" s="369"/>
      <c r="AB3" s="369"/>
      <c r="AC3" s="369"/>
      <c r="AD3" s="369"/>
      <c r="AE3" s="369"/>
      <c r="AF3" s="369"/>
      <c r="AG3" s="369"/>
      <c r="AH3" s="369"/>
      <c r="AI3" s="369"/>
      <c r="AJ3" s="369" t="s">
        <v>110</v>
      </c>
      <c r="AK3" s="369"/>
      <c r="AL3" s="369"/>
      <c r="AM3" s="369"/>
      <c r="AN3" s="369"/>
      <c r="AO3" s="369"/>
      <c r="AP3" s="371"/>
      <c r="AQ3" s="229"/>
      <c r="AR3" s="230"/>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row>
    <row r="4" spans="1:273" s="228" customFormat="1" ht="24" customHeight="1" thickBot="1" x14ac:dyDescent="0.35">
      <c r="A4" s="342"/>
      <c r="B4" s="343"/>
      <c r="C4" s="344"/>
      <c r="D4" s="354" t="s">
        <v>392</v>
      </c>
      <c r="E4" s="355"/>
      <c r="F4" s="355"/>
      <c r="G4" s="355"/>
      <c r="H4" s="355"/>
      <c r="I4" s="355"/>
      <c r="J4" s="355"/>
      <c r="K4" s="355"/>
      <c r="L4" s="355"/>
      <c r="M4" s="355"/>
      <c r="N4" s="355"/>
      <c r="O4" s="355"/>
      <c r="P4" s="355"/>
      <c r="Q4" s="355"/>
      <c r="R4" s="355"/>
      <c r="S4" s="356"/>
      <c r="T4" s="226"/>
      <c r="U4" s="370" t="s">
        <v>395</v>
      </c>
      <c r="V4" s="355"/>
      <c r="W4" s="355"/>
      <c r="X4" s="355"/>
      <c r="Y4" s="355"/>
      <c r="Z4" s="355"/>
      <c r="AA4" s="355"/>
      <c r="AB4" s="355"/>
      <c r="AC4" s="355"/>
      <c r="AD4" s="355"/>
      <c r="AE4" s="355"/>
      <c r="AF4" s="355"/>
      <c r="AG4" s="355"/>
      <c r="AH4" s="355"/>
      <c r="AI4" s="355"/>
      <c r="AJ4" s="355"/>
      <c r="AK4" s="355"/>
      <c r="AL4" s="355"/>
      <c r="AM4" s="355"/>
      <c r="AN4" s="355"/>
      <c r="AO4" s="355"/>
      <c r="AP4" s="356"/>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row>
    <row r="5" spans="1:273" ht="15.75" thickBot="1" x14ac:dyDescent="0.25">
      <c r="A5" s="231"/>
      <c r="B5" s="232"/>
      <c r="C5" s="231"/>
      <c r="D5" s="231"/>
      <c r="E5" s="233"/>
      <c r="F5" s="233"/>
      <c r="G5" s="234"/>
      <c r="H5" s="234"/>
      <c r="I5" s="234"/>
      <c r="J5" s="234"/>
      <c r="K5" s="234"/>
      <c r="L5" s="233"/>
      <c r="M5" s="233"/>
      <c r="N5" s="233"/>
      <c r="O5" s="233"/>
      <c r="P5" s="233"/>
      <c r="Q5" s="233"/>
      <c r="R5" s="233"/>
      <c r="S5" s="233"/>
      <c r="T5" s="233"/>
      <c r="U5" s="233"/>
      <c r="V5" s="233"/>
      <c r="W5" s="233"/>
      <c r="X5" s="233"/>
      <c r="Y5" s="233"/>
      <c r="Z5" s="233"/>
      <c r="AA5" s="233"/>
      <c r="AB5" s="233"/>
      <c r="AC5" s="233"/>
      <c r="AD5" s="233"/>
      <c r="AE5" s="233"/>
      <c r="AF5" s="233"/>
      <c r="AG5" s="233"/>
      <c r="AH5" s="233"/>
      <c r="AI5" s="235"/>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row>
    <row r="6" spans="1:273" ht="27.75" customHeight="1" x14ac:dyDescent="0.2">
      <c r="A6" s="372" t="s">
        <v>112</v>
      </c>
      <c r="B6" s="373"/>
      <c r="C6" s="383" t="s">
        <v>68</v>
      </c>
      <c r="D6" s="384"/>
      <c r="E6" s="384"/>
      <c r="F6" s="384"/>
      <c r="G6" s="384"/>
      <c r="H6" s="384"/>
      <c r="I6" s="384"/>
      <c r="J6" s="384"/>
      <c r="K6" s="384"/>
      <c r="L6" s="384"/>
      <c r="M6" s="384"/>
      <c r="N6" s="384"/>
      <c r="O6" s="384"/>
      <c r="P6" s="384"/>
      <c r="Q6" s="384"/>
      <c r="R6" s="384"/>
      <c r="S6" s="385"/>
      <c r="T6" s="386" t="s">
        <v>112</v>
      </c>
      <c r="U6" s="387"/>
      <c r="V6" s="388"/>
      <c r="W6" s="357" t="str">
        <f>C6</f>
        <v>10. Gestión financiera</v>
      </c>
      <c r="X6" s="358"/>
      <c r="Y6" s="358"/>
      <c r="Z6" s="358"/>
      <c r="AA6" s="358"/>
      <c r="AB6" s="358"/>
      <c r="AC6" s="358"/>
      <c r="AD6" s="358"/>
      <c r="AE6" s="358"/>
      <c r="AF6" s="358"/>
      <c r="AG6" s="358"/>
      <c r="AH6" s="358"/>
      <c r="AI6" s="358"/>
      <c r="AJ6" s="358"/>
      <c r="AK6" s="358"/>
      <c r="AL6" s="358"/>
      <c r="AM6" s="358"/>
      <c r="AN6" s="358"/>
      <c r="AO6" s="358"/>
      <c r="AP6" s="359"/>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row>
    <row r="7" spans="1:273" ht="36.75" customHeight="1" x14ac:dyDescent="0.25">
      <c r="A7" s="374" t="s">
        <v>113</v>
      </c>
      <c r="B7" s="375"/>
      <c r="C7" s="396" t="s">
        <v>397</v>
      </c>
      <c r="D7" s="397"/>
      <c r="E7" s="397"/>
      <c r="F7" s="397"/>
      <c r="G7" s="397"/>
      <c r="H7" s="397"/>
      <c r="I7" s="397"/>
      <c r="J7" s="397"/>
      <c r="K7" s="397"/>
      <c r="L7" s="397"/>
      <c r="M7" s="397"/>
      <c r="N7" s="397"/>
      <c r="O7" s="397"/>
      <c r="P7" s="397"/>
      <c r="Q7" s="397"/>
      <c r="R7" s="397"/>
      <c r="S7" s="398"/>
      <c r="T7" s="237" t="s">
        <v>113</v>
      </c>
      <c r="U7" s="238"/>
      <c r="V7" s="239"/>
      <c r="W7" s="360" t="str">
        <f>C7</f>
        <v>Liderar la programación anual del 100% de los recursos presupuestales de funcionamiento para la elaboración del Anteproyecto de Presupuesto y apoyar la programación de los recursos presupuestales de inversión, efectuando el seguimiento, registro, contabilización y pago del 100% de las obligaciones económicas adquiridas por la Entidad, previo cumplimiento de los requisitos, obteniendo como resultado la presentación y confiabilidad de los estados financieros.</v>
      </c>
      <c r="X7" s="361"/>
      <c r="Y7" s="361"/>
      <c r="Z7" s="361"/>
      <c r="AA7" s="361"/>
      <c r="AB7" s="361"/>
      <c r="AC7" s="361"/>
      <c r="AD7" s="361"/>
      <c r="AE7" s="361"/>
      <c r="AF7" s="361"/>
      <c r="AG7" s="361"/>
      <c r="AH7" s="361"/>
      <c r="AI7" s="361"/>
      <c r="AJ7" s="361"/>
      <c r="AK7" s="361"/>
      <c r="AL7" s="361"/>
      <c r="AM7" s="361"/>
      <c r="AN7" s="361"/>
      <c r="AO7" s="361"/>
      <c r="AP7" s="362"/>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row>
    <row r="8" spans="1:273" ht="30" customHeight="1" thickBot="1" x14ac:dyDescent="0.3">
      <c r="A8" s="376" t="s">
        <v>114</v>
      </c>
      <c r="B8" s="377"/>
      <c r="C8" s="399" t="s">
        <v>398</v>
      </c>
      <c r="D8" s="400"/>
      <c r="E8" s="400"/>
      <c r="F8" s="400"/>
      <c r="G8" s="400"/>
      <c r="H8" s="400"/>
      <c r="I8" s="400"/>
      <c r="J8" s="400"/>
      <c r="K8" s="400"/>
      <c r="L8" s="400"/>
      <c r="M8" s="400"/>
      <c r="N8" s="400"/>
      <c r="O8" s="400"/>
      <c r="P8" s="400"/>
      <c r="Q8" s="400"/>
      <c r="R8" s="400"/>
      <c r="S8" s="401"/>
      <c r="T8" s="240" t="s">
        <v>114</v>
      </c>
      <c r="U8" s="241"/>
      <c r="V8" s="242"/>
      <c r="W8" s="363" t="str">
        <f>C8</f>
        <v xml:space="preserve">Inicia con las etapas de aprobación, ejecución y modificaciones presupuestales, realizando la identificación de los hechos económicos financieros y finalizando con el pago de los compromisos u obligaciones, como el registro y la elaboración de los estados e informes contables, en dónde se realiza el respectivo análisis e interpretación de la información contable para la toma de decisiones por parte de los directivos de la UAERMV. </v>
      </c>
      <c r="X8" s="364"/>
      <c r="Y8" s="364"/>
      <c r="Z8" s="364"/>
      <c r="AA8" s="364"/>
      <c r="AB8" s="364"/>
      <c r="AC8" s="364"/>
      <c r="AD8" s="364"/>
      <c r="AE8" s="364"/>
      <c r="AF8" s="364"/>
      <c r="AG8" s="364"/>
      <c r="AH8" s="364"/>
      <c r="AI8" s="364"/>
      <c r="AJ8" s="364"/>
      <c r="AK8" s="364"/>
      <c r="AL8" s="364"/>
      <c r="AM8" s="364"/>
      <c r="AN8" s="364"/>
      <c r="AO8" s="364"/>
      <c r="AP8" s="365"/>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row>
    <row r="9" spans="1:273" ht="12" customHeight="1" x14ac:dyDescent="0.25">
      <c r="A9" s="243"/>
      <c r="B9" s="243"/>
      <c r="C9" s="244"/>
      <c r="D9" s="244"/>
      <c r="E9" s="244"/>
      <c r="F9" s="244"/>
      <c r="G9" s="244"/>
      <c r="H9" s="244"/>
      <c r="I9" s="244"/>
      <c r="J9" s="244"/>
      <c r="K9" s="244"/>
      <c r="L9" s="244"/>
      <c r="M9" s="244"/>
      <c r="N9" s="244"/>
      <c r="O9" s="244"/>
      <c r="P9" s="244"/>
      <c r="Q9" s="244"/>
      <c r="R9" s="244"/>
      <c r="S9" s="244"/>
      <c r="T9" s="245"/>
      <c r="U9" s="245"/>
      <c r="V9" s="245"/>
      <c r="W9" s="246"/>
      <c r="X9" s="246"/>
      <c r="Y9" s="246"/>
      <c r="Z9" s="246"/>
      <c r="AA9" s="246"/>
      <c r="AB9" s="246"/>
      <c r="AC9" s="246"/>
      <c r="AD9" s="246"/>
      <c r="AE9" s="246"/>
      <c r="AF9" s="246"/>
      <c r="AG9" s="246"/>
      <c r="AH9" s="246"/>
      <c r="AI9" s="246"/>
      <c r="AJ9" s="246"/>
      <c r="AK9" s="246"/>
      <c r="AL9" s="246"/>
      <c r="AM9" s="246"/>
      <c r="AN9" s="246"/>
      <c r="AO9" s="246"/>
      <c r="AP9" s="246"/>
    </row>
    <row r="10" spans="1:273" ht="39" customHeight="1" x14ac:dyDescent="0.2">
      <c r="A10" s="389" t="s">
        <v>115</v>
      </c>
      <c r="B10" s="389"/>
      <c r="C10" s="389"/>
      <c r="D10" s="389"/>
      <c r="E10" s="389"/>
      <c r="F10" s="389"/>
      <c r="G10" s="389"/>
      <c r="H10" s="389"/>
      <c r="I10" s="389"/>
      <c r="J10" s="389"/>
      <c r="K10" s="389"/>
      <c r="L10" s="389"/>
      <c r="M10" s="389" t="s">
        <v>116</v>
      </c>
      <c r="N10" s="389"/>
      <c r="O10" s="389"/>
      <c r="P10" s="389"/>
      <c r="Q10" s="389"/>
      <c r="R10" s="389"/>
      <c r="S10" s="389"/>
      <c r="T10" s="389" t="s">
        <v>117</v>
      </c>
      <c r="U10" s="389"/>
      <c r="V10" s="389"/>
      <c r="W10" s="389"/>
      <c r="X10" s="389"/>
      <c r="Y10" s="389"/>
      <c r="Z10" s="389"/>
      <c r="AA10" s="389"/>
      <c r="AB10" s="389"/>
      <c r="AC10" s="389" t="s">
        <v>118</v>
      </c>
      <c r="AD10" s="389"/>
      <c r="AE10" s="389"/>
      <c r="AF10" s="389"/>
      <c r="AG10" s="389"/>
      <c r="AH10" s="389"/>
      <c r="AI10" s="389"/>
      <c r="AJ10" s="389" t="s">
        <v>119</v>
      </c>
      <c r="AK10" s="389"/>
      <c r="AL10" s="389"/>
      <c r="AM10" s="389"/>
      <c r="AN10" s="389" t="s">
        <v>120</v>
      </c>
      <c r="AO10" s="389"/>
      <c r="AP10" s="389"/>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row>
    <row r="11" spans="1:273" ht="26.25" customHeight="1" x14ac:dyDescent="0.2">
      <c r="A11" s="403" t="s">
        <v>121</v>
      </c>
      <c r="B11" s="405" t="s">
        <v>15</v>
      </c>
      <c r="C11" s="402" t="s">
        <v>17</v>
      </c>
      <c r="D11" s="402" t="s">
        <v>19</v>
      </c>
      <c r="E11" s="405" t="s">
        <v>21</v>
      </c>
      <c r="F11" s="402" t="s">
        <v>122</v>
      </c>
      <c r="G11" s="404" t="s">
        <v>23</v>
      </c>
      <c r="H11" s="409" t="s">
        <v>123</v>
      </c>
      <c r="I11" s="404" t="s">
        <v>124</v>
      </c>
      <c r="J11" s="404" t="s">
        <v>125</v>
      </c>
      <c r="K11" s="404" t="s">
        <v>126</v>
      </c>
      <c r="L11" s="402" t="s">
        <v>127</v>
      </c>
      <c r="M11" s="402" t="s">
        <v>128</v>
      </c>
      <c r="N11" s="405" t="s">
        <v>129</v>
      </c>
      <c r="O11" s="402" t="s">
        <v>130</v>
      </c>
      <c r="P11" s="402" t="s">
        <v>131</v>
      </c>
      <c r="Q11" s="402" t="s">
        <v>132</v>
      </c>
      <c r="R11" s="405" t="s">
        <v>129</v>
      </c>
      <c r="S11" s="402" t="s">
        <v>29</v>
      </c>
      <c r="T11" s="406" t="s">
        <v>133</v>
      </c>
      <c r="U11" s="402" t="s">
        <v>31</v>
      </c>
      <c r="V11" s="402" t="s">
        <v>33</v>
      </c>
      <c r="W11" s="402" t="s">
        <v>134</v>
      </c>
      <c r="X11" s="402"/>
      <c r="Y11" s="402"/>
      <c r="Z11" s="402"/>
      <c r="AA11" s="402"/>
      <c r="AB11" s="402"/>
      <c r="AC11" s="406" t="s">
        <v>135</v>
      </c>
      <c r="AD11" s="406" t="s">
        <v>136</v>
      </c>
      <c r="AE11" s="406" t="s">
        <v>129</v>
      </c>
      <c r="AF11" s="406" t="s">
        <v>137</v>
      </c>
      <c r="AG11" s="406" t="s">
        <v>129</v>
      </c>
      <c r="AH11" s="406" t="s">
        <v>138</v>
      </c>
      <c r="AI11" s="406" t="s">
        <v>49</v>
      </c>
      <c r="AJ11" s="402" t="s">
        <v>139</v>
      </c>
      <c r="AK11" s="402" t="s">
        <v>140</v>
      </c>
      <c r="AL11" s="402" t="s">
        <v>141</v>
      </c>
      <c r="AM11" s="402" t="s">
        <v>142</v>
      </c>
      <c r="AN11" s="402" t="s">
        <v>143</v>
      </c>
      <c r="AO11" s="402" t="s">
        <v>144</v>
      </c>
      <c r="AP11" s="402" t="s">
        <v>145</v>
      </c>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row>
    <row r="12" spans="1:273" s="250" customFormat="1" ht="51" customHeight="1" x14ac:dyDescent="0.25">
      <c r="A12" s="403"/>
      <c r="B12" s="405"/>
      <c r="C12" s="402"/>
      <c r="D12" s="402"/>
      <c r="E12" s="405"/>
      <c r="F12" s="402"/>
      <c r="G12" s="404"/>
      <c r="H12" s="410"/>
      <c r="I12" s="404"/>
      <c r="J12" s="404"/>
      <c r="K12" s="404"/>
      <c r="L12" s="402"/>
      <c r="M12" s="402"/>
      <c r="N12" s="405"/>
      <c r="O12" s="402"/>
      <c r="P12" s="402"/>
      <c r="Q12" s="405"/>
      <c r="R12" s="405"/>
      <c r="S12" s="402"/>
      <c r="T12" s="406"/>
      <c r="U12" s="402"/>
      <c r="V12" s="402"/>
      <c r="W12" s="247" t="s">
        <v>146</v>
      </c>
      <c r="X12" s="247" t="s">
        <v>147</v>
      </c>
      <c r="Y12" s="247" t="s">
        <v>148</v>
      </c>
      <c r="Z12" s="247" t="s">
        <v>149</v>
      </c>
      <c r="AA12" s="247" t="s">
        <v>150</v>
      </c>
      <c r="AB12" s="247" t="s">
        <v>151</v>
      </c>
      <c r="AC12" s="406"/>
      <c r="AD12" s="406"/>
      <c r="AE12" s="406"/>
      <c r="AF12" s="406"/>
      <c r="AG12" s="406"/>
      <c r="AH12" s="406"/>
      <c r="AI12" s="406"/>
      <c r="AJ12" s="402"/>
      <c r="AK12" s="402"/>
      <c r="AL12" s="402"/>
      <c r="AM12" s="402"/>
      <c r="AN12" s="402"/>
      <c r="AO12" s="402"/>
      <c r="AP12" s="402"/>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49"/>
      <c r="DW12" s="249"/>
      <c r="DX12" s="249"/>
      <c r="DY12" s="249"/>
      <c r="DZ12" s="249"/>
      <c r="EA12" s="249"/>
      <c r="EB12" s="249"/>
      <c r="EC12" s="249"/>
      <c r="ED12" s="249"/>
      <c r="EE12" s="249"/>
      <c r="EF12" s="249"/>
      <c r="EG12" s="249"/>
      <c r="EH12" s="249"/>
      <c r="EI12" s="249"/>
      <c r="EJ12" s="249"/>
      <c r="EK12" s="249"/>
      <c r="EL12" s="249"/>
      <c r="EM12" s="249"/>
      <c r="EN12" s="249"/>
      <c r="EO12" s="249"/>
      <c r="EP12" s="249"/>
      <c r="EQ12" s="249"/>
      <c r="ER12" s="249"/>
      <c r="ES12" s="249"/>
      <c r="ET12" s="249"/>
      <c r="EU12" s="249"/>
      <c r="EV12" s="249"/>
      <c r="EW12" s="249"/>
      <c r="EX12" s="249"/>
      <c r="EY12" s="249"/>
      <c r="EZ12" s="249"/>
      <c r="FA12" s="249"/>
      <c r="FB12" s="249"/>
      <c r="FC12" s="249"/>
      <c r="FD12" s="249"/>
      <c r="FE12" s="249"/>
      <c r="FF12" s="249"/>
      <c r="FG12" s="249"/>
      <c r="FH12" s="249"/>
      <c r="FI12" s="249"/>
      <c r="FJ12" s="249"/>
      <c r="FK12" s="249"/>
      <c r="FL12" s="249"/>
      <c r="FM12" s="249"/>
      <c r="FN12" s="249"/>
      <c r="FO12" s="249"/>
      <c r="FP12" s="249"/>
      <c r="FQ12" s="249"/>
      <c r="FR12" s="249"/>
      <c r="FS12" s="249"/>
      <c r="FT12" s="249"/>
      <c r="FU12" s="249"/>
      <c r="FV12" s="249"/>
      <c r="FW12" s="249"/>
      <c r="FX12" s="249"/>
      <c r="FY12" s="249"/>
      <c r="FZ12" s="249"/>
      <c r="GA12" s="249"/>
      <c r="GB12" s="249"/>
      <c r="GC12" s="249"/>
      <c r="GD12" s="249"/>
      <c r="GE12" s="249"/>
      <c r="GF12" s="249"/>
      <c r="GG12" s="249"/>
      <c r="GH12" s="249"/>
      <c r="GI12" s="249"/>
      <c r="GJ12" s="249"/>
      <c r="GK12" s="249"/>
      <c r="GL12" s="249"/>
      <c r="GM12" s="249"/>
      <c r="GN12" s="249"/>
      <c r="GO12" s="249"/>
      <c r="GP12" s="249"/>
      <c r="GQ12" s="249"/>
      <c r="GR12" s="249"/>
      <c r="GS12" s="249"/>
      <c r="GT12" s="249"/>
      <c r="GU12" s="249"/>
      <c r="GV12" s="249"/>
      <c r="GW12" s="249"/>
      <c r="GX12" s="249"/>
      <c r="GY12" s="249"/>
      <c r="GZ12" s="249"/>
      <c r="HA12" s="249"/>
      <c r="HB12" s="249"/>
      <c r="HC12" s="249"/>
      <c r="HD12" s="249"/>
      <c r="HE12" s="249"/>
      <c r="HF12" s="249"/>
      <c r="HG12" s="249"/>
      <c r="HH12" s="249"/>
      <c r="HI12" s="249"/>
      <c r="HJ12" s="249"/>
      <c r="HK12" s="249"/>
      <c r="HL12" s="249"/>
      <c r="HM12" s="249"/>
      <c r="HN12" s="249"/>
      <c r="HO12" s="249"/>
      <c r="HP12" s="249"/>
      <c r="HQ12" s="249"/>
      <c r="HR12" s="249"/>
      <c r="HS12" s="249"/>
      <c r="HT12" s="249"/>
      <c r="HU12" s="249"/>
      <c r="HV12" s="249"/>
      <c r="HW12" s="249"/>
      <c r="HX12" s="249"/>
      <c r="HY12" s="249"/>
      <c r="HZ12" s="249"/>
      <c r="IA12" s="249"/>
      <c r="IB12" s="249"/>
      <c r="IC12" s="249"/>
      <c r="ID12" s="249"/>
      <c r="IE12" s="249"/>
      <c r="IF12" s="249"/>
      <c r="IG12" s="249"/>
      <c r="IH12" s="249"/>
      <c r="II12" s="249"/>
      <c r="IJ12" s="249"/>
      <c r="IK12" s="249"/>
      <c r="IL12" s="249"/>
      <c r="IM12" s="249"/>
      <c r="IN12" s="249"/>
      <c r="IO12" s="249"/>
      <c r="IP12" s="249"/>
      <c r="IQ12" s="249"/>
      <c r="IR12" s="249"/>
      <c r="IS12" s="249"/>
      <c r="IT12" s="249"/>
      <c r="IU12" s="249"/>
      <c r="IV12" s="249"/>
      <c r="IW12" s="249"/>
      <c r="IX12" s="249"/>
      <c r="IY12" s="249"/>
      <c r="IZ12" s="249"/>
      <c r="JA12" s="249"/>
      <c r="JB12" s="249"/>
      <c r="JC12" s="249"/>
      <c r="JD12" s="249"/>
      <c r="JE12" s="249"/>
      <c r="JF12" s="249"/>
      <c r="JG12" s="249"/>
      <c r="JH12" s="249"/>
      <c r="JI12" s="249"/>
      <c r="JJ12" s="249"/>
      <c r="JK12" s="249"/>
      <c r="JL12" s="249"/>
      <c r="JM12" s="249"/>
    </row>
    <row r="13" spans="1:273" s="252" customFormat="1" ht="147" customHeight="1" x14ac:dyDescent="0.25">
      <c r="A13" s="380">
        <v>1</v>
      </c>
      <c r="B13" s="381" t="s">
        <v>163</v>
      </c>
      <c r="C13" s="381" t="s">
        <v>399</v>
      </c>
      <c r="D13" s="381" t="s">
        <v>483</v>
      </c>
      <c r="E13" s="381" t="s">
        <v>482</v>
      </c>
      <c r="F13" s="381" t="s">
        <v>153</v>
      </c>
      <c r="G13" s="381" t="s">
        <v>154</v>
      </c>
      <c r="H13" s="381"/>
      <c r="I13" s="381"/>
      <c r="J13" s="381"/>
      <c r="K13" s="381"/>
      <c r="L13" s="382">
        <v>5000</v>
      </c>
      <c r="M13" s="379" t="str">
        <f>IF(L13&lt;=0,"",IF(L13&lt;=2,"Muy Baja",IF(L13&lt;=24,"Baja",IF(L13&lt;=500,"Media",IF(L13&lt;=5000,"Alta","Muy Alta")))))</f>
        <v>Alta</v>
      </c>
      <c r="N13" s="334">
        <f>IF(M13="","",IF(M13="Muy Baja",0.2,IF(M13="Baja",0.4,IF(M13="Media",0.6,IF(M13="Alta",0.8,IF(M13="Muy Alta",1,))))))</f>
        <v>0.8</v>
      </c>
      <c r="O13" s="378" t="s">
        <v>227</v>
      </c>
      <c r="P13" s="334" t="str">
        <f>IF(NOT(ISERROR(MATCH(O13,'Tabla Impacto'!$B$222:$B$224,0))),'Tabla Impacto'!$F$224&amp;"Por favor no seleccionar los criterios de impacto(Afectación Económica o presupuestal y Pérdida Reputacional)",O13)</f>
        <v xml:space="preserve">     Afectación menor a 130 SMLMV .</v>
      </c>
      <c r="Q13" s="379" t="str">
        <f>IF(OR(P13='Tabla Impacto'!$C$12,P13='Tabla Impacto'!$D$12),"Leve",IF(OR(P13='Tabla Impacto'!$C$13,P13='Tabla Impacto'!$D$13),"Menor",IF(OR(P13='Tabla Impacto'!$C$14,P13='Tabla Impacto'!$D$14),"Moderado",IF(OR(P13='Tabla Impacto'!$C$15,P13='Tabla Impacto'!$D$15),"Mayor",IF(OR(P13='Tabla Impacto'!$C$16,P13='Tabla Impacto'!$D$16),"Catastrófico","")))))</f>
        <v>Leve</v>
      </c>
      <c r="R13" s="334">
        <f>IF(Q13="","",IF(Q13="Leve",0.2,IF(Q13="Menor",0.4,IF(Q13="Moderado",0.6,IF(Q13="Mayor",0.8,IF(Q13="Catastrófico",1,))))))</f>
        <v>0.2</v>
      </c>
      <c r="S13" s="335" t="str">
        <f>IF(OR(AND(M13="Muy Baja",Q13="Leve"),AND(M13="Muy Baja",Q13="Menor"),AND(M13="Baja",Q13="Leve")),"Bajo",IF(OR(AND(M13="Muy baja",Q13="Moderado"),AND(M13="Baja",Q13="Menor"),AND(M13="Baja",Q13="Moderado"),AND(M13="Media",Q13="Leve"),AND(M13="Media",Q13="Menor"),AND(M13="Media",Q13="Moderado"),AND(M13="Alta",Q13="Leve"),AND(M13="Alta",Q13="Menor")),"Moderado",IF(OR(AND(M13="Muy Baja",Q13="Mayor"),AND(M13="Baja",Q13="Mayor"),AND(M13="Media",Q13="Mayor"),AND(M13="Alta",Q13="Moderado"),AND(M13="Alta",Q13="Mayor"),AND(M13="Muy Alta",Q13="Leve"),AND(M13="Muy Alta",Q13="Menor"),AND(M13="Muy Alta",Q13="Moderado"),AND(M13="Muy Alta",Q13="Mayor")),"Alto",IF(OR(AND(M13="Muy Baja",Q13="Catastrófico"),AND(M13="Baja",Q13="Catastrófico"),AND(M13="Media",Q13="Catastrófico"),AND(M13="Alta",Q13="Catastrófico"),AND(M13="Muy Alta",Q13="Catastrófico")),"Extremo",""))))</f>
        <v>Moderado</v>
      </c>
      <c r="T13" s="251">
        <v>1</v>
      </c>
      <c r="U13" s="213" t="s">
        <v>410</v>
      </c>
      <c r="V13" s="215" t="str">
        <f t="shared" ref="V13:V16" si="0">IF(OR(W13="Preventivo",W13="Detectivo"),"Probabilidad",IF(W13="Correctivo","Impacto",""))</f>
        <v>Probabilidad</v>
      </c>
      <c r="W13" s="216" t="s">
        <v>158</v>
      </c>
      <c r="X13" s="216" t="s">
        <v>157</v>
      </c>
      <c r="Y13" s="217" t="str">
        <f>IF(AND(W13="Preventivo",X13="Automático"),"50%",IF(AND(W13="Preventivo",X13="Manual"),"40%",IF(AND(W13="Detectivo",X13="Automático"),"40%",IF(AND(W13="Detectivo",X13="Manual"),"30%",IF(AND(W13="Correctivo",X13="Automático"),"35%",IF(AND(W13="Correctivo",X13="Manual"),"25%",""))))))</f>
        <v>30%</v>
      </c>
      <c r="Z13" s="216" t="s">
        <v>160</v>
      </c>
      <c r="AA13" s="216" t="s">
        <v>161</v>
      </c>
      <c r="AB13" s="216" t="s">
        <v>162</v>
      </c>
      <c r="AC13" s="218">
        <f>IFERROR(IF(V13="Probabilidad",(N13-(+N13*Y13)),IF(V13="Impacto",N13,"")),"")</f>
        <v>0.56000000000000005</v>
      </c>
      <c r="AD13" s="219" t="str">
        <f>IFERROR(IF(AC13="","",IF(AC13&lt;=0.2,"Muy Baja",IF(AC13&lt;=0.4,"Baja",IF(AC13&lt;=0.6,"Media",IF(AC13&lt;=0.8,"Alta","Muy Alta"))))),"")</f>
        <v>Media</v>
      </c>
      <c r="AE13" s="217">
        <f>+AC13</f>
        <v>0.56000000000000005</v>
      </c>
      <c r="AF13" s="219" t="str">
        <f>IFERROR(IF(AG13="","",IF(AG13&lt;=0.2,"Leve",IF(AG13&lt;=0.4,"Menor",IF(AG13&lt;=0.6,"Moderado",IF(AG13&lt;=0.8,"Mayor","Catastrófico"))))),"")</f>
        <v>Leve</v>
      </c>
      <c r="AG13" s="217">
        <f>IFERROR(IF(V13="Impacto",(R13-(+R13*Y13)),IF(V13="Probabilidad",R13,"")),"")</f>
        <v>0.2</v>
      </c>
      <c r="AH13" s="220"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221" t="s">
        <v>159</v>
      </c>
      <c r="AJ13" s="212" t="s">
        <v>411</v>
      </c>
      <c r="AK13" s="258" t="s">
        <v>412</v>
      </c>
      <c r="AL13" s="258" t="s">
        <v>413</v>
      </c>
      <c r="AM13" s="223" t="s">
        <v>414</v>
      </c>
      <c r="AN13" s="420" t="s">
        <v>415</v>
      </c>
      <c r="AO13" s="407" t="s">
        <v>416</v>
      </c>
      <c r="AP13" s="407" t="s">
        <v>412</v>
      </c>
    </row>
    <row r="14" spans="1:273" s="224" customFormat="1" ht="147" customHeight="1" x14ac:dyDescent="0.2">
      <c r="A14" s="380"/>
      <c r="B14" s="381"/>
      <c r="C14" s="381"/>
      <c r="D14" s="381"/>
      <c r="E14" s="381"/>
      <c r="F14" s="381"/>
      <c r="G14" s="381"/>
      <c r="H14" s="381"/>
      <c r="I14" s="381"/>
      <c r="J14" s="381"/>
      <c r="K14" s="381"/>
      <c r="L14" s="382"/>
      <c r="M14" s="379"/>
      <c r="N14" s="334"/>
      <c r="O14" s="378"/>
      <c r="P14" s="334">
        <f ca="1">IF(NOT(ISERROR(MATCH(O14,_xlfn.ANCHORARRAY(E25),0))),N27&amp;"Por favor no seleccionar los criterios de impacto",O14)</f>
        <v>0</v>
      </c>
      <c r="Q14" s="379"/>
      <c r="R14" s="334"/>
      <c r="S14" s="335"/>
      <c r="T14" s="251">
        <v>2</v>
      </c>
      <c r="U14" s="213" t="s">
        <v>417</v>
      </c>
      <c r="V14" s="215" t="str">
        <f t="shared" si="0"/>
        <v>Probabilidad</v>
      </c>
      <c r="W14" s="216" t="s">
        <v>158</v>
      </c>
      <c r="X14" s="216" t="s">
        <v>157</v>
      </c>
      <c r="Y14" s="217" t="str">
        <f t="shared" ref="Y14:Y18" si="1">IF(AND(W14="Preventivo",X14="Automático"),"50%",IF(AND(W14="Preventivo",X14="Manual"),"40%",IF(AND(W14="Detectivo",X14="Automático"),"40%",IF(AND(W14="Detectivo",X14="Manual"),"30%",IF(AND(W14="Correctivo",X14="Automático"),"35%",IF(AND(W14="Correctivo",X14="Manual"),"25%",""))))))</f>
        <v>30%</v>
      </c>
      <c r="Z14" s="216" t="s">
        <v>160</v>
      </c>
      <c r="AA14" s="216" t="s">
        <v>367</v>
      </c>
      <c r="AB14" s="216" t="s">
        <v>162</v>
      </c>
      <c r="AC14" s="218">
        <f>IFERROR(IF(AND(V13="Probabilidad",V14="Probabilidad"),(AE13-(+AE13*Y14)),IF(V14="Probabilidad",(N13-(+N13*Y14)),IF(V14="Impacto",AE13,""))),"")</f>
        <v>0.39200000000000002</v>
      </c>
      <c r="AD14" s="219" t="str">
        <f t="shared" ref="AD14:AD72" si="2">IFERROR(IF(AC14="","",IF(AC14&lt;=0.2,"Muy Baja",IF(AC14&lt;=0.4,"Baja",IF(AC14&lt;=0.6,"Media",IF(AC14&lt;=0.8,"Alta","Muy Alta"))))),"")</f>
        <v>Baja</v>
      </c>
      <c r="AE14" s="217">
        <f t="shared" ref="AE14:AE18" si="3">+AC14</f>
        <v>0.39200000000000002</v>
      </c>
      <c r="AF14" s="219" t="str">
        <f t="shared" ref="AF14:AF72" si="4">IFERROR(IF(AG14="","",IF(AG14&lt;=0.2,"Leve",IF(AG14&lt;=0.4,"Menor",IF(AG14&lt;=0.6,"Moderado",IF(AG14&lt;=0.8,"Mayor","Catastrófico"))))),"")</f>
        <v>Leve</v>
      </c>
      <c r="AG14" s="217">
        <f>IFERROR(IF(AND(V13="Impacto",V14="Impacto"),(AG13-(+AG13*Y14)),IF(V14="Impacto",($R$13-(+$R$13*Y14)),IF(V14="Probabilidad",AG13,""))),"")</f>
        <v>0.2</v>
      </c>
      <c r="AH14" s="220" t="str">
        <f t="shared" ref="AH14:AH18" si="5">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Bajo</v>
      </c>
      <c r="AI14" s="221" t="s">
        <v>373</v>
      </c>
      <c r="AJ14" s="212" t="s">
        <v>418</v>
      </c>
      <c r="AK14" s="258" t="s">
        <v>412</v>
      </c>
      <c r="AL14" s="212" t="s">
        <v>419</v>
      </c>
      <c r="AM14" s="263" t="s">
        <v>420</v>
      </c>
      <c r="AN14" s="421"/>
      <c r="AO14" s="415"/>
      <c r="AP14" s="415"/>
    </row>
    <row r="15" spans="1:273" s="224" customFormat="1" ht="15" customHeight="1" x14ac:dyDescent="0.2">
      <c r="A15" s="380"/>
      <c r="B15" s="381"/>
      <c r="C15" s="381"/>
      <c r="D15" s="381"/>
      <c r="E15" s="381"/>
      <c r="F15" s="381"/>
      <c r="G15" s="381"/>
      <c r="H15" s="381"/>
      <c r="I15" s="381"/>
      <c r="J15" s="381"/>
      <c r="K15" s="381"/>
      <c r="L15" s="382"/>
      <c r="M15" s="379"/>
      <c r="N15" s="334"/>
      <c r="O15" s="378"/>
      <c r="P15" s="334">
        <f ca="1">IF(NOT(ISERROR(MATCH(O15,_xlfn.ANCHORARRAY(E26),0))),N28&amp;"Por favor no seleccionar los criterios de impacto",O15)</f>
        <v>0</v>
      </c>
      <c r="Q15" s="379"/>
      <c r="R15" s="334"/>
      <c r="S15" s="335"/>
      <c r="T15" s="251">
        <v>3</v>
      </c>
      <c r="U15" s="214"/>
      <c r="V15" s="215" t="str">
        <f t="shared" si="0"/>
        <v/>
      </c>
      <c r="W15" s="216"/>
      <c r="X15" s="216"/>
      <c r="Y15" s="217" t="str">
        <f t="shared" si="1"/>
        <v/>
      </c>
      <c r="Z15" s="216"/>
      <c r="AA15" s="216"/>
      <c r="AB15" s="216"/>
      <c r="AC15" s="218" t="str">
        <f>IFERROR(IF(AND(V14="Probabilidad",V15="Probabilidad"),(AE14-(+AE14*Y15)),IF(AND(V14="Impacto",V15="Probabilidad"),(AE13-(+AE13*Y15)),IF(V15="Impacto",AE14,""))),"")</f>
        <v/>
      </c>
      <c r="AD15" s="219" t="str">
        <f t="shared" si="2"/>
        <v/>
      </c>
      <c r="AE15" s="217" t="str">
        <f t="shared" si="3"/>
        <v/>
      </c>
      <c r="AF15" s="219" t="str">
        <f t="shared" si="4"/>
        <v/>
      </c>
      <c r="AG15" s="217" t="str">
        <f>IFERROR(IF(AND(V14="Impacto",V15="Impacto"),(AG14-(+AG14*Y15)),IF(AND(V14="Probabilidad",V15="Impacto"),(AG13-(+AG13*Y15)),IF(V15="Probabilidad",AG14,""))),"")</f>
        <v/>
      </c>
      <c r="AH15" s="220" t="str">
        <f t="shared" si="5"/>
        <v/>
      </c>
      <c r="AI15" s="221"/>
      <c r="AJ15" s="212"/>
      <c r="AK15" s="222"/>
      <c r="AL15" s="222"/>
      <c r="AM15" s="223"/>
      <c r="AN15" s="259"/>
      <c r="AO15" s="260"/>
      <c r="AP15" s="260"/>
    </row>
    <row r="16" spans="1:273" s="224" customFormat="1" ht="15" customHeight="1" x14ac:dyDescent="0.2">
      <c r="A16" s="380"/>
      <c r="B16" s="381"/>
      <c r="C16" s="381"/>
      <c r="D16" s="381"/>
      <c r="E16" s="381"/>
      <c r="F16" s="381"/>
      <c r="G16" s="381"/>
      <c r="H16" s="381"/>
      <c r="I16" s="381"/>
      <c r="J16" s="381"/>
      <c r="K16" s="381"/>
      <c r="L16" s="382"/>
      <c r="M16" s="379"/>
      <c r="N16" s="334"/>
      <c r="O16" s="378"/>
      <c r="P16" s="334">
        <f ca="1">IF(NOT(ISERROR(MATCH(O16,_xlfn.ANCHORARRAY(E27),0))),N29&amp;"Por favor no seleccionar los criterios de impacto",O16)</f>
        <v>0</v>
      </c>
      <c r="Q16" s="379"/>
      <c r="R16" s="334"/>
      <c r="S16" s="335"/>
      <c r="T16" s="251">
        <v>4</v>
      </c>
      <c r="U16" s="213"/>
      <c r="V16" s="215" t="str">
        <f t="shared" si="0"/>
        <v/>
      </c>
      <c r="W16" s="216"/>
      <c r="X16" s="216"/>
      <c r="Y16" s="217" t="str">
        <f t="shared" si="1"/>
        <v/>
      </c>
      <c r="Z16" s="216"/>
      <c r="AA16" s="216"/>
      <c r="AB16" s="216"/>
      <c r="AC16" s="218" t="str">
        <f t="shared" ref="AC16:AC18" si="6">IFERROR(IF(AND(V15="Probabilidad",V16="Probabilidad"),(AE15-(+AE15*Y16)),IF(AND(V15="Impacto",V16="Probabilidad"),(AE14-(+AE14*Y16)),IF(V16="Impacto",AE15,""))),"")</f>
        <v/>
      </c>
      <c r="AD16" s="219" t="str">
        <f t="shared" si="2"/>
        <v/>
      </c>
      <c r="AE16" s="217" t="str">
        <f t="shared" si="3"/>
        <v/>
      </c>
      <c r="AF16" s="219" t="str">
        <f t="shared" si="4"/>
        <v/>
      </c>
      <c r="AG16" s="217" t="str">
        <f t="shared" ref="AG16:AG18" si="7">IFERROR(IF(AND(V15="Impacto",V16="Impacto"),(AG15-(+AG15*Y16)),IF(AND(V15="Probabilidad",V16="Impacto"),(AG14-(+AG14*Y16)),IF(V16="Probabilidad",AG15,""))),"")</f>
        <v/>
      </c>
      <c r="AH16" s="220" t="str">
        <f>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
      </c>
      <c r="AI16" s="221"/>
      <c r="AJ16" s="212"/>
      <c r="AK16" s="222"/>
      <c r="AL16" s="222"/>
      <c r="AM16" s="223"/>
      <c r="AN16" s="259"/>
      <c r="AO16" s="260"/>
      <c r="AP16" s="260"/>
    </row>
    <row r="17" spans="1:42" s="224" customFormat="1" ht="15" customHeight="1" x14ac:dyDescent="0.2">
      <c r="A17" s="380"/>
      <c r="B17" s="381"/>
      <c r="C17" s="381"/>
      <c r="D17" s="381"/>
      <c r="E17" s="381"/>
      <c r="F17" s="381"/>
      <c r="G17" s="381"/>
      <c r="H17" s="381"/>
      <c r="I17" s="381"/>
      <c r="J17" s="381"/>
      <c r="K17" s="381"/>
      <c r="L17" s="382"/>
      <c r="M17" s="379"/>
      <c r="N17" s="334"/>
      <c r="O17" s="378"/>
      <c r="P17" s="334">
        <f ca="1">IF(NOT(ISERROR(MATCH(O17,_xlfn.ANCHORARRAY(E28),0))),N30&amp;"Por favor no seleccionar los criterios de impacto",O17)</f>
        <v>0</v>
      </c>
      <c r="Q17" s="379"/>
      <c r="R17" s="334"/>
      <c r="S17" s="335"/>
      <c r="T17" s="251">
        <v>5</v>
      </c>
      <c r="U17" s="213"/>
      <c r="V17" s="215" t="str">
        <f t="shared" ref="V17:V18" si="8">IF(OR(W17="Preventivo",W17="Detectivo"),"Probabilidad",IF(W17="Correctivo","Impacto",""))</f>
        <v/>
      </c>
      <c r="W17" s="216"/>
      <c r="X17" s="216"/>
      <c r="Y17" s="217" t="str">
        <f t="shared" si="1"/>
        <v/>
      </c>
      <c r="Z17" s="216"/>
      <c r="AA17" s="216"/>
      <c r="AB17" s="216"/>
      <c r="AC17" s="218" t="str">
        <f t="shared" si="6"/>
        <v/>
      </c>
      <c r="AD17" s="219" t="str">
        <f t="shared" si="2"/>
        <v/>
      </c>
      <c r="AE17" s="217" t="str">
        <f t="shared" si="3"/>
        <v/>
      </c>
      <c r="AF17" s="219" t="str">
        <f t="shared" si="4"/>
        <v/>
      </c>
      <c r="AG17" s="217" t="str">
        <f t="shared" si="7"/>
        <v/>
      </c>
      <c r="AH17" s="220" t="str">
        <f t="shared" si="5"/>
        <v/>
      </c>
      <c r="AI17" s="221"/>
      <c r="AJ17" s="212"/>
      <c r="AK17" s="222"/>
      <c r="AL17" s="222"/>
      <c r="AM17" s="223"/>
      <c r="AN17" s="259"/>
      <c r="AO17" s="260"/>
      <c r="AP17" s="260"/>
    </row>
    <row r="18" spans="1:42" s="224" customFormat="1" ht="15" customHeight="1" x14ac:dyDescent="0.2">
      <c r="A18" s="380"/>
      <c r="B18" s="381"/>
      <c r="C18" s="381"/>
      <c r="D18" s="381"/>
      <c r="E18" s="381"/>
      <c r="F18" s="381"/>
      <c r="G18" s="381"/>
      <c r="H18" s="381"/>
      <c r="I18" s="381"/>
      <c r="J18" s="381"/>
      <c r="K18" s="381"/>
      <c r="L18" s="382"/>
      <c r="M18" s="379"/>
      <c r="N18" s="334"/>
      <c r="O18" s="378"/>
      <c r="P18" s="334">
        <f ca="1">IF(NOT(ISERROR(MATCH(O18,_xlfn.ANCHORARRAY(E29),0))),N31&amp;"Por favor no seleccionar los criterios de impacto",O18)</f>
        <v>0</v>
      </c>
      <c r="Q18" s="379"/>
      <c r="R18" s="334"/>
      <c r="S18" s="335"/>
      <c r="T18" s="251">
        <v>6</v>
      </c>
      <c r="U18" s="213"/>
      <c r="V18" s="215" t="str">
        <f t="shared" si="8"/>
        <v/>
      </c>
      <c r="W18" s="216"/>
      <c r="X18" s="216"/>
      <c r="Y18" s="217" t="str">
        <f t="shared" si="1"/>
        <v/>
      </c>
      <c r="Z18" s="216"/>
      <c r="AA18" s="216"/>
      <c r="AB18" s="216"/>
      <c r="AC18" s="218" t="str">
        <f t="shared" si="6"/>
        <v/>
      </c>
      <c r="AD18" s="219" t="str">
        <f t="shared" si="2"/>
        <v/>
      </c>
      <c r="AE18" s="217" t="str">
        <f t="shared" si="3"/>
        <v/>
      </c>
      <c r="AF18" s="219" t="str">
        <f t="shared" si="4"/>
        <v/>
      </c>
      <c r="AG18" s="217" t="str">
        <f t="shared" si="7"/>
        <v/>
      </c>
      <c r="AH18" s="220" t="str">
        <f t="shared" si="5"/>
        <v/>
      </c>
      <c r="AI18" s="221"/>
      <c r="AJ18" s="212"/>
      <c r="AK18" s="222"/>
      <c r="AL18" s="222"/>
      <c r="AM18" s="223"/>
      <c r="AN18" s="259"/>
      <c r="AO18" s="261"/>
      <c r="AP18" s="261"/>
    </row>
    <row r="19" spans="1:42" s="224" customFormat="1" ht="171" customHeight="1" x14ac:dyDescent="0.2">
      <c r="A19" s="380">
        <v>2</v>
      </c>
      <c r="B19" s="381" t="s">
        <v>163</v>
      </c>
      <c r="C19" s="381" t="s">
        <v>421</v>
      </c>
      <c r="D19" s="381" t="s">
        <v>422</v>
      </c>
      <c r="E19" s="381" t="s">
        <v>423</v>
      </c>
      <c r="F19" s="381" t="s">
        <v>166</v>
      </c>
      <c r="G19" s="381" t="s">
        <v>288</v>
      </c>
      <c r="H19" s="381" t="s">
        <v>309</v>
      </c>
      <c r="I19" s="381" t="s">
        <v>424</v>
      </c>
      <c r="J19" s="381" t="s">
        <v>322</v>
      </c>
      <c r="K19" s="381" t="s">
        <v>425</v>
      </c>
      <c r="L19" s="382">
        <v>500</v>
      </c>
      <c r="M19" s="379" t="str">
        <f>IF(L19&lt;=0,"",IF(L19&lt;=2,"Muy Baja",IF(L19&lt;=24,"Baja",IF(L19&lt;=500,"Media",IF(L19&lt;=5000,"Alta","Muy Alta")))))</f>
        <v>Media</v>
      </c>
      <c r="N19" s="334">
        <f>IF(M19="","",IF(M19="Muy Baja",0.2,IF(M19="Baja",0.4,IF(M19="Media",0.6,IF(M19="Alta",0.8,IF(M19="Muy Alta",1,))))))</f>
        <v>0.6</v>
      </c>
      <c r="O19" s="378" t="s">
        <v>227</v>
      </c>
      <c r="P19" s="334" t="str">
        <f>IF(NOT(ISERROR(MATCH(O19,'Tabla Impacto'!$B$222:$B$224,0))),'Tabla Impacto'!$F$224&amp;"Por favor no seleccionar los criterios de impacto(Afectación Económica o presupuestal y Pérdida Reputacional)",O19)</f>
        <v xml:space="preserve">     Afectación menor a 130 SMLMV .</v>
      </c>
      <c r="Q19" s="379" t="str">
        <f>IF(OR(P19='Tabla Impacto'!$C$12,P19='Tabla Impacto'!$D$12),"Leve",IF(OR(P19='Tabla Impacto'!$C$13,P19='Tabla Impacto'!$D$13),"Menor",IF(OR(P19='Tabla Impacto'!$C$14,P19='Tabla Impacto'!$D$14),"Moderado",IF(OR(P19='Tabla Impacto'!$C$15,P19='Tabla Impacto'!$D$15),"Mayor",IF(OR(P19='Tabla Impacto'!$C$16,P19='Tabla Impacto'!$D$16),"Catastrófico","")))))</f>
        <v>Leve</v>
      </c>
      <c r="R19" s="334">
        <f>IF(Q19="","",IF(Q19="Leve",0.2,IF(Q19="Menor",0.4,IF(Q19="Moderado",0.6,IF(Q19="Mayor",0.8,IF(Q19="Catastrófico",1,))))))</f>
        <v>0.2</v>
      </c>
      <c r="S19" s="335" t="str">
        <f>IF(OR(AND(M19="Muy Baja",Q19="Leve"),AND(M19="Muy Baja",Q19="Menor"),AND(M19="Baja",Q19="Leve")),"Bajo",IF(OR(AND(M19="Muy baja",Q19="Moderado"),AND(M19="Baja",Q19="Menor"),AND(M19="Baja",Q19="Moderado"),AND(M19="Media",Q19="Leve"),AND(M19="Media",Q19="Menor"),AND(M19="Media",Q19="Moderado"),AND(M19="Alta",Q19="Leve"),AND(M19="Alta",Q19="Menor")),"Moderado",IF(OR(AND(M19="Muy Baja",Q19="Mayor"),AND(M19="Baja",Q19="Mayor"),AND(M19="Media",Q19="Mayor"),AND(M19="Alta",Q19="Moderado"),AND(M19="Alta",Q19="Mayor"),AND(M19="Muy Alta",Q19="Leve"),AND(M19="Muy Alta",Q19="Menor"),AND(M19="Muy Alta",Q19="Moderado"),AND(M19="Muy Alta",Q19="Mayor")),"Alto",IF(OR(AND(M19="Muy Baja",Q19="Catastrófico"),AND(M19="Baja",Q19="Catastrófico"),AND(M19="Media",Q19="Catastrófico"),AND(M19="Alta",Q19="Catastrófico"),AND(M19="Muy Alta",Q19="Catastrófico")),"Extremo",""))))</f>
        <v>Moderado</v>
      </c>
      <c r="T19" s="251">
        <v>1</v>
      </c>
      <c r="U19" s="225" t="s">
        <v>426</v>
      </c>
      <c r="V19" s="215" t="str">
        <f>IF(OR(W19="Preventivo",W19="Detectivo"),"Probabilidad",IF(W19="Correctivo","Impacto",""))</f>
        <v>Probabilidad</v>
      </c>
      <c r="W19" s="216" t="s">
        <v>156</v>
      </c>
      <c r="X19" s="216" t="s">
        <v>157</v>
      </c>
      <c r="Y19" s="217" t="str">
        <f>IF(AND(W19="Preventivo",X19="Automático"),"50%",IF(AND(W19="Preventivo",X19="Manual"),"40%",IF(AND(W19="Detectivo",X19="Automático"),"40%",IF(AND(W19="Detectivo",X19="Manual"),"30%",IF(AND(W19="Correctivo",X19="Automático"),"35%",IF(AND(W19="Correctivo",X19="Manual"),"25%",""))))))</f>
        <v>40%</v>
      </c>
      <c r="Z19" s="216" t="s">
        <v>160</v>
      </c>
      <c r="AA19" s="216" t="s">
        <v>161</v>
      </c>
      <c r="AB19" s="216" t="s">
        <v>162</v>
      </c>
      <c r="AC19" s="218">
        <f>IFERROR(IF(V19="Probabilidad",(N19-(+N19*Y19)),IF(V19="Impacto",N19,"")),"")</f>
        <v>0.36</v>
      </c>
      <c r="AD19" s="219" t="str">
        <f>IFERROR(IF(AC19="","",IF(AC19&lt;=0.2,"Muy Baja",IF(AC19&lt;=0.4,"Baja",IF(AC19&lt;=0.6,"Media",IF(AC19&lt;=0.8,"Alta","Muy Alta"))))),"")</f>
        <v>Baja</v>
      </c>
      <c r="AE19" s="217">
        <f>+AC19</f>
        <v>0.36</v>
      </c>
      <c r="AF19" s="219" t="str">
        <f>IFERROR(IF(AG19="","",IF(AG19&lt;=0.2,"Leve",IF(AG19&lt;=0.4,"Menor",IF(AG19&lt;=0.6,"Moderado",IF(AG19&lt;=0.8,"Mayor","Catastrófico"))))),"")</f>
        <v>Leve</v>
      </c>
      <c r="AG19" s="217">
        <f t="shared" ref="AG19" si="9">IFERROR(IF(V19="Impacto",(R19-(+R19*Y19)),IF(V19="Probabilidad",R19,"")),"")</f>
        <v>0.2</v>
      </c>
      <c r="AH19" s="220" t="str">
        <f>IFERROR(IF(OR(AND(AD19="Muy Baja",AF19="Leve"),AND(AD19="Muy Baja",AF19="Menor"),AND(AD19="Baja",AF19="Leve")),"Bajo",IF(OR(AND(AD19="Muy baja",AF19="Moderado"),AND(AD19="Baja",AF19="Menor"),AND(AD19="Baja",AF19="Moderado"),AND(AD19="Media",AF19="Leve"),AND(AD19="Media",AF19="Menor"),AND(AD19="Media",AF19="Moderado"),AND(AD19="Alta",AF19="Leve"),AND(AD19="Alta",AF19="Menor")),"Moderado",IF(OR(AND(AD19="Muy Baja",AF19="Mayor"),AND(AD19="Baja",AF19="Mayor"),AND(AD19="Media",AF19="Mayor"),AND(AD19="Alta",AF19="Moderado"),AND(AD19="Alta",AF19="Mayor"),AND(AD19="Muy Alta",AF19="Leve"),AND(AD19="Muy Alta",AF19="Menor"),AND(AD19="Muy Alta",AF19="Moderado"),AND(AD19="Muy Alta",AF19="Mayor")),"Alto",IF(OR(AND(AD19="Muy Baja",AF19="Catastrófico"),AND(AD19="Baja",AF19="Catastrófico"),AND(AD19="Media",AF19="Catastrófico"),AND(AD19="Alta",AF19="Catastrófico"),AND(AD19="Muy Alta",AF19="Catastrófico")),"Extremo","")))),"")</f>
        <v>Bajo</v>
      </c>
      <c r="AI19" s="221" t="s">
        <v>375</v>
      </c>
      <c r="AJ19" s="262" t="s">
        <v>427</v>
      </c>
      <c r="AK19" s="258" t="s">
        <v>428</v>
      </c>
      <c r="AL19" s="262" t="s">
        <v>429</v>
      </c>
      <c r="AM19" s="263" t="s">
        <v>430</v>
      </c>
      <c r="AN19" s="393" t="s">
        <v>431</v>
      </c>
      <c r="AO19" s="413" t="s">
        <v>432</v>
      </c>
      <c r="AP19" s="407" t="s">
        <v>433</v>
      </c>
    </row>
    <row r="20" spans="1:42" s="224" customFormat="1" ht="171" customHeight="1" x14ac:dyDescent="0.2">
      <c r="A20" s="380"/>
      <c r="B20" s="381"/>
      <c r="C20" s="381"/>
      <c r="D20" s="381"/>
      <c r="E20" s="381"/>
      <c r="F20" s="381"/>
      <c r="G20" s="381"/>
      <c r="H20" s="381"/>
      <c r="I20" s="381"/>
      <c r="J20" s="381"/>
      <c r="K20" s="381"/>
      <c r="L20" s="382"/>
      <c r="M20" s="379"/>
      <c r="N20" s="334"/>
      <c r="O20" s="378"/>
      <c r="P20" s="334">
        <f ca="1">IF(NOT(ISERROR(MATCH(O20,_xlfn.ANCHORARRAY(E31),0))),N33&amp;"Por favor no seleccionar los criterios de impacto",O20)</f>
        <v>0</v>
      </c>
      <c r="Q20" s="379"/>
      <c r="R20" s="334"/>
      <c r="S20" s="335"/>
      <c r="T20" s="251">
        <v>2</v>
      </c>
      <c r="U20" s="213" t="s">
        <v>434</v>
      </c>
      <c r="V20" s="215" t="str">
        <f>IF(OR(W20="Preventivo",W20="Detectivo"),"Probabilidad",IF(W20="Correctivo","Impacto",""))</f>
        <v>Probabilidad</v>
      </c>
      <c r="W20" s="216" t="s">
        <v>158</v>
      </c>
      <c r="X20" s="216" t="s">
        <v>157</v>
      </c>
      <c r="Y20" s="217" t="str">
        <f t="shared" ref="Y20:Y24" si="10">IF(AND(W20="Preventivo",X20="Automático"),"50%",IF(AND(W20="Preventivo",X20="Manual"),"40%",IF(AND(W20="Detectivo",X20="Automático"),"40%",IF(AND(W20="Detectivo",X20="Manual"),"30%",IF(AND(W20="Correctivo",X20="Automático"),"35%",IF(AND(W20="Correctivo",X20="Manual"),"25%",""))))))</f>
        <v>30%</v>
      </c>
      <c r="Z20" s="216" t="s">
        <v>160</v>
      </c>
      <c r="AA20" s="216" t="s">
        <v>367</v>
      </c>
      <c r="AB20" s="216" t="s">
        <v>162</v>
      </c>
      <c r="AC20" s="218">
        <f>IFERROR(IF(AND(V19="Probabilidad",V20="Probabilidad"),(AE19-(+AE19*Y20)),IF(V20="Probabilidad",(N19-(+N19*Y20)),IF(V20="Impacto",AE19,""))),"")</f>
        <v>0.252</v>
      </c>
      <c r="AD20" s="219" t="str">
        <f t="shared" si="2"/>
        <v>Baja</v>
      </c>
      <c r="AE20" s="217">
        <f t="shared" ref="AE20:AE24" si="11">+AC20</f>
        <v>0.252</v>
      </c>
      <c r="AF20" s="219" t="str">
        <f t="shared" si="4"/>
        <v>Leve</v>
      </c>
      <c r="AG20" s="217">
        <f t="shared" ref="AG20" si="12">IFERROR(IF(AND(V19="Impacto",V20="Impacto"),(AG19-(+AG19*Y20)),IF(V20="Impacto",($R$13-(+$R$13*Y20)),IF(V20="Probabilidad",AG19,""))),"")</f>
        <v>0.2</v>
      </c>
      <c r="AH20" s="220" t="str">
        <f t="shared" ref="AH20:AH21" si="13">IFERROR(IF(OR(AND(AD20="Muy Baja",AF20="Leve"),AND(AD20="Muy Baja",AF20="Menor"),AND(AD20="Baja",AF20="Leve")),"Bajo",IF(OR(AND(AD20="Muy baja",AF20="Moderado"),AND(AD20="Baja",AF20="Menor"),AND(AD20="Baja",AF20="Moderado"),AND(AD20="Media",AF20="Leve"),AND(AD20="Media",AF20="Menor"),AND(AD20="Media",AF20="Moderado"),AND(AD20="Alta",AF20="Leve"),AND(AD20="Alta",AF20="Menor")),"Moderado",IF(OR(AND(AD20="Muy Baja",AF20="Mayor"),AND(AD20="Baja",AF20="Mayor"),AND(AD20="Media",AF20="Mayor"),AND(AD20="Alta",AF20="Moderado"),AND(AD20="Alta",AF20="Mayor"),AND(AD20="Muy Alta",AF20="Leve"),AND(AD20="Muy Alta",AF20="Menor"),AND(AD20="Muy Alta",AF20="Moderado"),AND(AD20="Muy Alta",AF20="Mayor")),"Alto",IF(OR(AND(AD20="Muy Baja",AF20="Catastrófico"),AND(AD20="Baja",AF20="Catastrófico"),AND(AD20="Media",AF20="Catastrófico"),AND(AD20="Alta",AF20="Catastrófico"),AND(AD20="Muy Alta",AF20="Catastrófico")),"Extremo","")))),"")</f>
        <v>Bajo</v>
      </c>
      <c r="AI20" s="221" t="s">
        <v>159</v>
      </c>
      <c r="AJ20" s="262" t="s">
        <v>435</v>
      </c>
      <c r="AK20" s="258" t="s">
        <v>436</v>
      </c>
      <c r="AL20" s="262" t="s">
        <v>437</v>
      </c>
      <c r="AM20" s="263" t="s">
        <v>430</v>
      </c>
      <c r="AN20" s="395"/>
      <c r="AO20" s="414"/>
      <c r="AP20" s="408"/>
    </row>
    <row r="21" spans="1:42" s="224" customFormat="1" ht="17.25" customHeight="1" x14ac:dyDescent="0.2">
      <c r="A21" s="380"/>
      <c r="B21" s="381"/>
      <c r="C21" s="381"/>
      <c r="D21" s="381"/>
      <c r="E21" s="381"/>
      <c r="F21" s="381"/>
      <c r="G21" s="381"/>
      <c r="H21" s="381"/>
      <c r="I21" s="381"/>
      <c r="J21" s="381"/>
      <c r="K21" s="381"/>
      <c r="L21" s="382"/>
      <c r="M21" s="379"/>
      <c r="N21" s="334"/>
      <c r="O21" s="378"/>
      <c r="P21" s="334">
        <f ca="1">IF(NOT(ISERROR(MATCH(O21,_xlfn.ANCHORARRAY(E32),0))),N34&amp;"Por favor no seleccionar los criterios de impacto",O21)</f>
        <v>0</v>
      </c>
      <c r="Q21" s="379"/>
      <c r="R21" s="334"/>
      <c r="S21" s="335"/>
      <c r="T21" s="251">
        <v>3</v>
      </c>
      <c r="U21" s="214"/>
      <c r="V21" s="215" t="str">
        <f>IF(OR(W21="Preventivo",W21="Detectivo"),"Probabilidad",IF(W21="Correctivo","Impacto",""))</f>
        <v/>
      </c>
      <c r="W21" s="216"/>
      <c r="X21" s="216"/>
      <c r="Y21" s="217" t="str">
        <f t="shared" si="10"/>
        <v/>
      </c>
      <c r="Z21" s="216"/>
      <c r="AA21" s="216"/>
      <c r="AB21" s="216"/>
      <c r="AC21" s="218" t="str">
        <f>IFERROR(IF(AND(V20="Probabilidad",V21="Probabilidad"),(AE20-(+AE20*Y21)),IF(AND(V20="Impacto",V21="Probabilidad"),(AE19-(+AE19*Y21)),IF(V21="Impacto",AE20,""))),"")</f>
        <v/>
      </c>
      <c r="AD21" s="219" t="str">
        <f t="shared" si="2"/>
        <v/>
      </c>
      <c r="AE21" s="217" t="str">
        <f t="shared" si="11"/>
        <v/>
      </c>
      <c r="AF21" s="219" t="str">
        <f t="shared" si="4"/>
        <v/>
      </c>
      <c r="AG21" s="217" t="str">
        <f t="shared" ref="AG21:AG72" si="14">IFERROR(IF(AND(V20="Impacto",V21="Impacto"),(AG20-(+AG20*Y21)),IF(AND(V20="Probabilidad",V21="Impacto"),(AG19-(+AG19*Y21)),IF(V21="Probabilidad",AG20,""))),"")</f>
        <v/>
      </c>
      <c r="AH21" s="220" t="str">
        <f t="shared" si="13"/>
        <v/>
      </c>
      <c r="AI21" s="221"/>
      <c r="AJ21" s="212"/>
      <c r="AK21" s="222"/>
      <c r="AL21" s="222"/>
      <c r="AM21" s="223"/>
      <c r="AN21" s="264"/>
      <c r="AO21" s="264"/>
      <c r="AP21" s="264"/>
    </row>
    <row r="22" spans="1:42" s="224" customFormat="1" ht="17.25" customHeight="1" x14ac:dyDescent="0.2">
      <c r="A22" s="380"/>
      <c r="B22" s="381"/>
      <c r="C22" s="381"/>
      <c r="D22" s="381"/>
      <c r="E22" s="381"/>
      <c r="F22" s="381"/>
      <c r="G22" s="381"/>
      <c r="H22" s="381"/>
      <c r="I22" s="381"/>
      <c r="J22" s="381"/>
      <c r="K22" s="381"/>
      <c r="L22" s="382"/>
      <c r="M22" s="379"/>
      <c r="N22" s="334"/>
      <c r="O22" s="378"/>
      <c r="P22" s="334">
        <f ca="1">IF(NOT(ISERROR(MATCH(O22,_xlfn.ANCHORARRAY(E33),0))),N35&amp;"Por favor no seleccionar los criterios de impacto",O22)</f>
        <v>0</v>
      </c>
      <c r="Q22" s="379"/>
      <c r="R22" s="334"/>
      <c r="S22" s="335"/>
      <c r="T22" s="251">
        <v>4</v>
      </c>
      <c r="U22" s="213"/>
      <c r="V22" s="215" t="str">
        <f t="shared" ref="V22:V24" si="15">IF(OR(W22="Preventivo",W22="Detectivo"),"Probabilidad",IF(W22="Correctivo","Impacto",""))</f>
        <v/>
      </c>
      <c r="W22" s="216"/>
      <c r="X22" s="216"/>
      <c r="Y22" s="217" t="str">
        <f t="shared" si="10"/>
        <v/>
      </c>
      <c r="Z22" s="216"/>
      <c r="AA22" s="216"/>
      <c r="AB22" s="216"/>
      <c r="AC22" s="218" t="str">
        <f t="shared" ref="AC22:AC24" si="16">IFERROR(IF(AND(V21="Probabilidad",V22="Probabilidad"),(AE21-(+AE21*Y22)),IF(AND(V21="Impacto",V22="Probabilidad"),(AE20-(+AE20*Y22)),IF(V22="Impacto",AE21,""))),"")</f>
        <v/>
      </c>
      <c r="AD22" s="219" t="str">
        <f t="shared" si="2"/>
        <v/>
      </c>
      <c r="AE22" s="217" t="str">
        <f t="shared" si="11"/>
        <v/>
      </c>
      <c r="AF22" s="219" t="str">
        <f t="shared" si="4"/>
        <v/>
      </c>
      <c r="AG22" s="217" t="str">
        <f t="shared" si="14"/>
        <v/>
      </c>
      <c r="AH22" s="220" t="str">
        <f>IFERROR(IF(OR(AND(AD22="Muy Baja",AF22="Leve"),AND(AD22="Muy Baja",AF22="Menor"),AND(AD22="Baja",AF22="Leve")),"Bajo",IF(OR(AND(AD22="Muy baja",AF22="Moderado"),AND(AD22="Baja",AF22="Menor"),AND(AD22="Baja",AF22="Moderado"),AND(AD22="Media",AF22="Leve"),AND(AD22="Media",AF22="Menor"),AND(AD22="Media",AF22="Moderado"),AND(AD22="Alta",AF22="Leve"),AND(AD22="Alta",AF22="Menor")),"Moderado",IF(OR(AND(AD22="Muy Baja",AF22="Mayor"),AND(AD22="Baja",AF22="Mayor"),AND(AD22="Media",AF22="Mayor"),AND(AD22="Alta",AF22="Moderado"),AND(AD22="Alta",AF22="Mayor"),AND(AD22="Muy Alta",AF22="Leve"),AND(AD22="Muy Alta",AF22="Menor"),AND(AD22="Muy Alta",AF22="Moderado"),AND(AD22="Muy Alta",AF22="Mayor")),"Alto",IF(OR(AND(AD22="Muy Baja",AF22="Catastrófico"),AND(AD22="Baja",AF22="Catastrófico"),AND(AD22="Media",AF22="Catastrófico"),AND(AD22="Alta",AF22="Catastrófico"),AND(AD22="Muy Alta",AF22="Catastrófico")),"Extremo","")))),"")</f>
        <v/>
      </c>
      <c r="AI22" s="221"/>
      <c r="AJ22" s="212"/>
      <c r="AK22" s="222"/>
      <c r="AL22" s="222"/>
      <c r="AM22" s="223"/>
      <c r="AN22" s="264"/>
      <c r="AO22" s="264"/>
      <c r="AP22" s="264"/>
    </row>
    <row r="23" spans="1:42" s="224" customFormat="1" ht="17.25" customHeight="1" x14ac:dyDescent="0.2">
      <c r="A23" s="380"/>
      <c r="B23" s="381"/>
      <c r="C23" s="381"/>
      <c r="D23" s="381"/>
      <c r="E23" s="381"/>
      <c r="F23" s="381"/>
      <c r="G23" s="381"/>
      <c r="H23" s="381"/>
      <c r="I23" s="381"/>
      <c r="J23" s="381"/>
      <c r="K23" s="381"/>
      <c r="L23" s="382"/>
      <c r="M23" s="379"/>
      <c r="N23" s="334"/>
      <c r="O23" s="378"/>
      <c r="P23" s="334">
        <f ca="1">IF(NOT(ISERROR(MATCH(O23,_xlfn.ANCHORARRAY(E34),0))),N36&amp;"Por favor no seleccionar los criterios de impacto",O23)</f>
        <v>0</v>
      </c>
      <c r="Q23" s="379"/>
      <c r="R23" s="334"/>
      <c r="S23" s="335"/>
      <c r="T23" s="251">
        <v>5</v>
      </c>
      <c r="U23" s="213"/>
      <c r="V23" s="215" t="str">
        <f t="shared" si="15"/>
        <v/>
      </c>
      <c r="W23" s="216"/>
      <c r="X23" s="216"/>
      <c r="Y23" s="217" t="str">
        <f t="shared" si="10"/>
        <v/>
      </c>
      <c r="Z23" s="216"/>
      <c r="AA23" s="216"/>
      <c r="AB23" s="216"/>
      <c r="AC23" s="218" t="str">
        <f t="shared" si="16"/>
        <v/>
      </c>
      <c r="AD23" s="219" t="str">
        <f t="shared" si="2"/>
        <v/>
      </c>
      <c r="AE23" s="217" t="str">
        <f t="shared" si="11"/>
        <v/>
      </c>
      <c r="AF23" s="219" t="str">
        <f t="shared" si="4"/>
        <v/>
      </c>
      <c r="AG23" s="217" t="str">
        <f t="shared" si="14"/>
        <v/>
      </c>
      <c r="AH23" s="220" t="str">
        <f t="shared" ref="AH23:AH24" si="17">IFERROR(IF(OR(AND(AD23="Muy Baja",AF23="Leve"),AND(AD23="Muy Baja",AF23="Menor"),AND(AD23="Baja",AF23="Leve")),"Bajo",IF(OR(AND(AD23="Muy baja",AF23="Moderado"),AND(AD23="Baja",AF23="Menor"),AND(AD23="Baja",AF23="Moderado"),AND(AD23="Media",AF23="Leve"),AND(AD23="Media",AF23="Menor"),AND(AD23="Media",AF23="Moderado"),AND(AD23="Alta",AF23="Leve"),AND(AD23="Alta",AF23="Menor")),"Moderado",IF(OR(AND(AD23="Muy Baja",AF23="Mayor"),AND(AD23="Baja",AF23="Mayor"),AND(AD23="Media",AF23="Mayor"),AND(AD23="Alta",AF23="Moderado"),AND(AD23="Alta",AF23="Mayor"),AND(AD23="Muy Alta",AF23="Leve"),AND(AD23="Muy Alta",AF23="Menor"),AND(AD23="Muy Alta",AF23="Moderado"),AND(AD23="Muy Alta",AF23="Mayor")),"Alto",IF(OR(AND(AD23="Muy Baja",AF23="Catastrófico"),AND(AD23="Baja",AF23="Catastrófico"),AND(AD23="Media",AF23="Catastrófico"),AND(AD23="Alta",AF23="Catastrófico"),AND(AD23="Muy Alta",AF23="Catastrófico")),"Extremo","")))),"")</f>
        <v/>
      </c>
      <c r="AI23" s="221"/>
      <c r="AJ23" s="212"/>
      <c r="AK23" s="222"/>
      <c r="AL23" s="222"/>
      <c r="AM23" s="223"/>
      <c r="AN23" s="264"/>
      <c r="AO23" s="264"/>
      <c r="AP23" s="264"/>
    </row>
    <row r="24" spans="1:42" s="224" customFormat="1" ht="17.25" customHeight="1" x14ac:dyDescent="0.2">
      <c r="A24" s="380"/>
      <c r="B24" s="381"/>
      <c r="C24" s="381"/>
      <c r="D24" s="381"/>
      <c r="E24" s="381"/>
      <c r="F24" s="381"/>
      <c r="G24" s="381"/>
      <c r="H24" s="381"/>
      <c r="I24" s="381"/>
      <c r="J24" s="381"/>
      <c r="K24" s="381"/>
      <c r="L24" s="382"/>
      <c r="M24" s="379"/>
      <c r="N24" s="334"/>
      <c r="O24" s="378"/>
      <c r="P24" s="334">
        <f ca="1">IF(NOT(ISERROR(MATCH(O24,_xlfn.ANCHORARRAY(E35),0))),N37&amp;"Por favor no seleccionar los criterios de impacto",O24)</f>
        <v>0</v>
      </c>
      <c r="Q24" s="379"/>
      <c r="R24" s="334"/>
      <c r="S24" s="335"/>
      <c r="T24" s="251">
        <v>6</v>
      </c>
      <c r="U24" s="213"/>
      <c r="V24" s="215" t="str">
        <f t="shared" si="15"/>
        <v/>
      </c>
      <c r="W24" s="216"/>
      <c r="X24" s="216"/>
      <c r="Y24" s="217" t="str">
        <f t="shared" si="10"/>
        <v/>
      </c>
      <c r="Z24" s="216"/>
      <c r="AA24" s="216"/>
      <c r="AB24" s="216"/>
      <c r="AC24" s="218" t="str">
        <f t="shared" si="16"/>
        <v/>
      </c>
      <c r="AD24" s="219" t="str">
        <f t="shared" si="2"/>
        <v/>
      </c>
      <c r="AE24" s="217" t="str">
        <f t="shared" si="11"/>
        <v/>
      </c>
      <c r="AF24" s="219" t="str">
        <f t="shared" si="4"/>
        <v/>
      </c>
      <c r="AG24" s="217" t="str">
        <f t="shared" si="14"/>
        <v/>
      </c>
      <c r="AH24" s="220" t="str">
        <f t="shared" si="17"/>
        <v/>
      </c>
      <c r="AI24" s="221"/>
      <c r="AJ24" s="212"/>
      <c r="AK24" s="222"/>
      <c r="AL24" s="222"/>
      <c r="AM24" s="223"/>
      <c r="AN24" s="264"/>
      <c r="AO24" s="264"/>
      <c r="AP24" s="264"/>
    </row>
    <row r="25" spans="1:42" s="224" customFormat="1" ht="178.5" customHeight="1" x14ac:dyDescent="0.2">
      <c r="A25" s="380">
        <v>3</v>
      </c>
      <c r="B25" s="381" t="s">
        <v>163</v>
      </c>
      <c r="C25" s="381" t="s">
        <v>438</v>
      </c>
      <c r="D25" s="381" t="s">
        <v>439</v>
      </c>
      <c r="E25" s="381" t="s">
        <v>440</v>
      </c>
      <c r="F25" s="381" t="s">
        <v>164</v>
      </c>
      <c r="G25" s="381" t="s">
        <v>165</v>
      </c>
      <c r="H25" s="381"/>
      <c r="I25" s="381"/>
      <c r="J25" s="381"/>
      <c r="K25" s="381"/>
      <c r="L25" s="382">
        <v>5000</v>
      </c>
      <c r="M25" s="379" t="str">
        <f>IF(L25&lt;=0,"",IF(L25&lt;=2,"Muy Baja",IF(L25&lt;=24,"Baja",IF(L25&lt;=500,"Media",IF(L25&lt;=5000,"Alta","Muy Alta")))))</f>
        <v>Alta</v>
      </c>
      <c r="N25" s="334">
        <f>IF(M25="","",IF(M25="Muy Baja",0.2,IF(M25="Baja",0.4,IF(M25="Media",0.6,IF(M25="Alta",0.8,IF(M25="Muy Alta",1,))))))</f>
        <v>0.8</v>
      </c>
      <c r="O25" s="378" t="s">
        <v>233</v>
      </c>
      <c r="P25" s="334" t="str">
        <f>IF(NOT(ISERROR(MATCH(O25,'Tabla Impacto'!$B$222:$B$224,0))),'Tabla Impacto'!$F$224&amp;"Por favor no seleccionar los criterios de impacto(Afectación Económica o presupuestal y Pérdida Reputacional)",O25)</f>
        <v xml:space="preserve">     Entre 1300 y 6500 SMLMV </v>
      </c>
      <c r="Q25" s="379" t="str">
        <f>IF(OR(P25='Tabla Impacto'!$C$12,P25='Tabla Impacto'!$D$12),"Leve",IF(OR(P25='Tabla Impacto'!$C$13,P25='Tabla Impacto'!$D$13),"Menor",IF(OR(P25='Tabla Impacto'!$C$14,P25='Tabla Impacto'!$D$14),"Moderado",IF(OR(P25='Tabla Impacto'!$C$15,P25='Tabla Impacto'!$D$15),"Mayor",IF(OR(P25='Tabla Impacto'!$C$16,P25='Tabla Impacto'!$D$16),"Catastrófico","")))))</f>
        <v>Mayor</v>
      </c>
      <c r="R25" s="334">
        <f>IF(Q25="","",IF(Q25="Leve",0.2,IF(Q25="Menor",0.4,IF(Q25="Moderado",0.6,IF(Q25="Mayor",0.8,IF(Q25="Catastrófico",1,))))))</f>
        <v>0.8</v>
      </c>
      <c r="S25" s="335" t="str">
        <f>IF(OR(AND(M25="Muy Baja",Q25="Leve"),AND(M25="Muy Baja",Q25="Menor"),AND(M25="Baja",Q25="Leve")),"Bajo",IF(OR(AND(M25="Muy baja",Q25="Moderado"),AND(M25="Baja",Q25="Menor"),AND(M25="Baja",Q25="Moderado"),AND(M25="Media",Q25="Leve"),AND(M25="Media",Q25="Menor"),AND(M25="Media",Q25="Moderado"),AND(M25="Alta",Q25="Leve"),AND(M25="Alta",Q25="Menor")),"Moderado",IF(OR(AND(M25="Muy Baja",Q25="Mayor"),AND(M25="Baja",Q25="Mayor"),AND(M25="Media",Q25="Mayor"),AND(M25="Alta",Q25="Moderado"),AND(M25="Alta",Q25="Mayor"),AND(M25="Muy Alta",Q25="Leve"),AND(M25="Muy Alta",Q25="Menor"),AND(M25="Muy Alta",Q25="Moderado"),AND(M25="Muy Alta",Q25="Mayor")),"Alto",IF(OR(AND(M25="Muy Baja",Q25="Catastrófico"),AND(M25="Baja",Q25="Catastrófico"),AND(M25="Media",Q25="Catastrófico"),AND(M25="Alta",Q25="Catastrófico"),AND(M25="Muy Alta",Q25="Catastrófico")),"Extremo",""))))</f>
        <v>Alto</v>
      </c>
      <c r="T25" s="251">
        <v>1</v>
      </c>
      <c r="U25" s="213" t="s">
        <v>441</v>
      </c>
      <c r="V25" s="215" t="str">
        <f>IF(OR(W25="Preventivo",W25="Detectivo"),"Probabilidad",IF(W25="Correctivo","Impacto",""))</f>
        <v>Probabilidad</v>
      </c>
      <c r="W25" s="216" t="s">
        <v>156</v>
      </c>
      <c r="X25" s="216" t="s">
        <v>157</v>
      </c>
      <c r="Y25" s="217" t="str">
        <f>IF(AND(W25="Preventivo",X25="Automático"),"50%",IF(AND(W25="Preventivo",X25="Manual"),"40%",IF(AND(W25="Detectivo",X25="Automático"),"40%",IF(AND(W25="Detectivo",X25="Manual"),"30%",IF(AND(W25="Correctivo",X25="Automático"),"35%",IF(AND(W25="Correctivo",X25="Manual"),"25%",""))))))</f>
        <v>40%</v>
      </c>
      <c r="Z25" s="216" t="s">
        <v>160</v>
      </c>
      <c r="AA25" s="216" t="s">
        <v>161</v>
      </c>
      <c r="AB25" s="216" t="s">
        <v>162</v>
      </c>
      <c r="AC25" s="218">
        <f>IFERROR(IF(V25="Probabilidad",(N25-(+N25*Y25)),IF(V25="Impacto",N25,"")),"")</f>
        <v>0.48</v>
      </c>
      <c r="AD25" s="219" t="str">
        <f>IFERROR(IF(AC25="","",IF(AC25&lt;=0.2,"Muy Baja",IF(AC25&lt;=0.4,"Baja",IF(AC25&lt;=0.6,"Media",IF(AC25&lt;=0.8,"Alta","Muy Alta"))))),"")</f>
        <v>Media</v>
      </c>
      <c r="AE25" s="217">
        <f>+AC25</f>
        <v>0.48</v>
      </c>
      <c r="AF25" s="219" t="str">
        <f>IFERROR(IF(AG25="","",IF(AG25&lt;=0.2,"Leve",IF(AG25&lt;=0.4,"Menor",IF(AG25&lt;=0.6,"Moderado",IF(AG25&lt;=0.8,"Mayor","Catastrófico"))))),"")</f>
        <v>Mayor</v>
      </c>
      <c r="AG25" s="217">
        <f t="shared" ref="AG25" si="18">IFERROR(IF(V25="Impacto",(R25-(+R25*Y25)),IF(V25="Probabilidad",R25,"")),"")</f>
        <v>0.8</v>
      </c>
      <c r="AH25" s="220" t="str">
        <f>IFERROR(IF(OR(AND(AD25="Muy Baja",AF25="Leve"),AND(AD25="Muy Baja",AF25="Menor"),AND(AD25="Baja",AF25="Leve")),"Bajo",IF(OR(AND(AD25="Muy baja",AF25="Moderado"),AND(AD25="Baja",AF25="Menor"),AND(AD25="Baja",AF25="Moderado"),AND(AD25="Media",AF25="Leve"),AND(AD25="Media",AF25="Menor"),AND(AD25="Media",AF25="Moderado"),AND(AD25="Alta",AF25="Leve"),AND(AD25="Alta",AF25="Menor")),"Moderado",IF(OR(AND(AD25="Muy Baja",AF25="Mayor"),AND(AD25="Baja",AF25="Mayor"),AND(AD25="Media",AF25="Mayor"),AND(AD25="Alta",AF25="Moderado"),AND(AD25="Alta",AF25="Mayor"),AND(AD25="Muy Alta",AF25="Leve"),AND(AD25="Muy Alta",AF25="Menor"),AND(AD25="Muy Alta",AF25="Moderado"),AND(AD25="Muy Alta",AF25="Mayor")),"Alto",IF(OR(AND(AD25="Muy Baja",AF25="Catastrófico"),AND(AD25="Baja",AF25="Catastrófico"),AND(AD25="Media",AF25="Catastrófico"),AND(AD25="Alta",AF25="Catastrófico"),AND(AD25="Muy Alta",AF25="Catastrófico")),"Extremo","")))),"")</f>
        <v>Alto</v>
      </c>
      <c r="AI25" s="221" t="s">
        <v>373</v>
      </c>
      <c r="AJ25" s="393" t="s">
        <v>443</v>
      </c>
      <c r="AK25" s="393" t="s">
        <v>412</v>
      </c>
      <c r="AL25" s="416" t="s">
        <v>444</v>
      </c>
      <c r="AM25" s="411" t="s">
        <v>445</v>
      </c>
      <c r="AN25" s="418" t="s">
        <v>446</v>
      </c>
      <c r="AO25" s="393" t="s">
        <v>447</v>
      </c>
      <c r="AP25" s="393" t="s">
        <v>412</v>
      </c>
    </row>
    <row r="26" spans="1:42" s="224" customFormat="1" ht="178.5" customHeight="1" x14ac:dyDescent="0.2">
      <c r="A26" s="380"/>
      <c r="B26" s="381"/>
      <c r="C26" s="381"/>
      <c r="D26" s="381"/>
      <c r="E26" s="381"/>
      <c r="F26" s="381"/>
      <c r="G26" s="381"/>
      <c r="H26" s="381"/>
      <c r="I26" s="381"/>
      <c r="J26" s="381"/>
      <c r="K26" s="381"/>
      <c r="L26" s="382"/>
      <c r="M26" s="379"/>
      <c r="N26" s="334"/>
      <c r="O26" s="378"/>
      <c r="P26" s="334">
        <f t="shared" ref="P26:P30" ca="1" si="19">IF(NOT(ISERROR(MATCH(O26,_xlfn.ANCHORARRAY(E37),0))),N39&amp;"Por favor no seleccionar los criterios de impacto",O26)</f>
        <v>0</v>
      </c>
      <c r="Q26" s="379"/>
      <c r="R26" s="334"/>
      <c r="S26" s="335"/>
      <c r="T26" s="251">
        <v>2</v>
      </c>
      <c r="U26" s="213" t="s">
        <v>442</v>
      </c>
      <c r="V26" s="215" t="str">
        <f>IF(OR(W26="Preventivo",W26="Detectivo"),"Probabilidad",IF(W26="Correctivo","Impacto",""))</f>
        <v>Probabilidad</v>
      </c>
      <c r="W26" s="216" t="s">
        <v>156</v>
      </c>
      <c r="X26" s="216" t="s">
        <v>157</v>
      </c>
      <c r="Y26" s="217" t="str">
        <f t="shared" ref="Y26:Y30" si="20">IF(AND(W26="Preventivo",X26="Automático"),"50%",IF(AND(W26="Preventivo",X26="Manual"),"40%",IF(AND(W26="Detectivo",X26="Automático"),"40%",IF(AND(W26="Detectivo",X26="Manual"),"30%",IF(AND(W26="Correctivo",X26="Automático"),"35%",IF(AND(W26="Correctivo",X26="Manual"),"25%",""))))))</f>
        <v>40%</v>
      </c>
      <c r="Z26" s="216" t="s">
        <v>160</v>
      </c>
      <c r="AA26" s="216" t="s">
        <v>161</v>
      </c>
      <c r="AB26" s="216" t="s">
        <v>162</v>
      </c>
      <c r="AC26" s="218">
        <f>IFERROR(IF(AND(V25="Probabilidad",V26="Probabilidad"),(AE25-(+AE25*Y26)),IF(V26="Probabilidad",(N25-(+N25*Y26)),IF(V26="Impacto",AE25,""))),"")</f>
        <v>0.28799999999999998</v>
      </c>
      <c r="AD26" s="219" t="str">
        <f t="shared" si="2"/>
        <v>Baja</v>
      </c>
      <c r="AE26" s="217">
        <f t="shared" ref="AE26:AE30" si="21">+AC26</f>
        <v>0.28799999999999998</v>
      </c>
      <c r="AF26" s="219" t="str">
        <f t="shared" si="4"/>
        <v>Mayor</v>
      </c>
      <c r="AG26" s="217">
        <f t="shared" ref="AG26" si="22">IFERROR(IF(AND(V25="Impacto",V26="Impacto"),(AG25-(+AG25*Y26)),IF(V26="Impacto",($R$13-(+$R$13*Y26)),IF(V26="Probabilidad",AG25,""))),"")</f>
        <v>0.8</v>
      </c>
      <c r="AH26" s="220" t="str">
        <f t="shared" ref="AH26:AH27" si="23">IFERROR(IF(OR(AND(AD26="Muy Baja",AF26="Leve"),AND(AD26="Muy Baja",AF26="Menor"),AND(AD26="Baja",AF26="Leve")),"Bajo",IF(OR(AND(AD26="Muy baja",AF26="Moderado"),AND(AD26="Baja",AF26="Menor"),AND(AD26="Baja",AF26="Moderado"),AND(AD26="Media",AF26="Leve"),AND(AD26="Media",AF26="Menor"),AND(AD26="Media",AF26="Moderado"),AND(AD26="Alta",AF26="Leve"),AND(AD26="Alta",AF26="Menor")),"Moderado",IF(OR(AND(AD26="Muy Baja",AF26="Mayor"),AND(AD26="Baja",AF26="Mayor"),AND(AD26="Media",AF26="Mayor"),AND(AD26="Alta",AF26="Moderado"),AND(AD26="Alta",AF26="Mayor"),AND(AD26="Muy Alta",AF26="Leve"),AND(AD26="Muy Alta",AF26="Menor"),AND(AD26="Muy Alta",AF26="Moderado"),AND(AD26="Muy Alta",AF26="Mayor")),"Alto",IF(OR(AND(AD26="Muy Baja",AF26="Catastrófico"),AND(AD26="Baja",AF26="Catastrófico"),AND(AD26="Media",AF26="Catastrófico"),AND(AD26="Alta",AF26="Catastrófico"),AND(AD26="Muy Alta",AF26="Catastrófico")),"Extremo","")))),"")</f>
        <v>Alto</v>
      </c>
      <c r="AI26" s="221" t="s">
        <v>159</v>
      </c>
      <c r="AJ26" s="395"/>
      <c r="AK26" s="395"/>
      <c r="AL26" s="417"/>
      <c r="AM26" s="412"/>
      <c r="AN26" s="419"/>
      <c r="AO26" s="395"/>
      <c r="AP26" s="395"/>
    </row>
    <row r="27" spans="1:42" s="224" customFormat="1" ht="13.5" customHeight="1" x14ac:dyDescent="0.2">
      <c r="A27" s="380"/>
      <c r="B27" s="381"/>
      <c r="C27" s="381"/>
      <c r="D27" s="381"/>
      <c r="E27" s="381"/>
      <c r="F27" s="381"/>
      <c r="G27" s="381"/>
      <c r="H27" s="381"/>
      <c r="I27" s="381"/>
      <c r="J27" s="381"/>
      <c r="K27" s="381"/>
      <c r="L27" s="382"/>
      <c r="M27" s="379"/>
      <c r="N27" s="334"/>
      <c r="O27" s="378"/>
      <c r="P27" s="334">
        <f t="shared" ca="1" si="19"/>
        <v>0</v>
      </c>
      <c r="Q27" s="379"/>
      <c r="R27" s="334"/>
      <c r="S27" s="335"/>
      <c r="T27" s="251">
        <v>3</v>
      </c>
      <c r="U27" s="213"/>
      <c r="V27" s="215" t="str">
        <f>IF(OR(W27="Preventivo",W27="Detectivo"),"Probabilidad",IF(W27="Correctivo","Impacto",""))</f>
        <v/>
      </c>
      <c r="W27" s="216"/>
      <c r="X27" s="216"/>
      <c r="Y27" s="217" t="str">
        <f t="shared" si="20"/>
        <v/>
      </c>
      <c r="Z27" s="216"/>
      <c r="AA27" s="216"/>
      <c r="AB27" s="216"/>
      <c r="AC27" s="218" t="str">
        <f>IFERROR(IF(AND(V26="Probabilidad",V27="Probabilidad"),(AE26-(+AE26*Y27)),IF(AND(V26="Impacto",V27="Probabilidad"),(AE25-(+AE25*Y27)),IF(V27="Impacto",AE26,""))),"")</f>
        <v/>
      </c>
      <c r="AD27" s="219" t="str">
        <f t="shared" si="2"/>
        <v/>
      </c>
      <c r="AE27" s="217" t="str">
        <f t="shared" si="21"/>
        <v/>
      </c>
      <c r="AF27" s="219" t="str">
        <f t="shared" si="4"/>
        <v/>
      </c>
      <c r="AG27" s="217" t="str">
        <f t="shared" ref="AG27" si="24">IFERROR(IF(AND(V26="Impacto",V27="Impacto"),(AG26-(+AG26*Y27)),IF(AND(V26="Probabilidad",V27="Impacto"),(AG25-(+AG25*Y27)),IF(V27="Probabilidad",AG26,""))),"")</f>
        <v/>
      </c>
      <c r="AH27" s="220" t="str">
        <f t="shared" si="23"/>
        <v/>
      </c>
      <c r="AI27" s="221"/>
      <c r="AJ27" s="212"/>
      <c r="AK27" s="222"/>
      <c r="AL27" s="222"/>
      <c r="AM27" s="223"/>
      <c r="AN27" s="264"/>
      <c r="AO27" s="264"/>
      <c r="AP27" s="264"/>
    </row>
    <row r="28" spans="1:42" s="224" customFormat="1" ht="13.5" customHeight="1" x14ac:dyDescent="0.2">
      <c r="A28" s="380"/>
      <c r="B28" s="381"/>
      <c r="C28" s="381"/>
      <c r="D28" s="381"/>
      <c r="E28" s="381"/>
      <c r="F28" s="381"/>
      <c r="G28" s="381"/>
      <c r="H28" s="381"/>
      <c r="I28" s="381"/>
      <c r="J28" s="381"/>
      <c r="K28" s="381"/>
      <c r="L28" s="382"/>
      <c r="M28" s="379"/>
      <c r="N28" s="334"/>
      <c r="O28" s="378"/>
      <c r="P28" s="334">
        <f t="shared" ca="1" si="19"/>
        <v>0</v>
      </c>
      <c r="Q28" s="379"/>
      <c r="R28" s="334"/>
      <c r="S28" s="335"/>
      <c r="T28" s="251">
        <v>4</v>
      </c>
      <c r="U28" s="213"/>
      <c r="V28" s="215" t="str">
        <f t="shared" ref="V28:V30" si="25">IF(OR(W28="Preventivo",W28="Detectivo"),"Probabilidad",IF(W28="Correctivo","Impacto",""))</f>
        <v/>
      </c>
      <c r="W28" s="216"/>
      <c r="X28" s="216"/>
      <c r="Y28" s="217" t="str">
        <f t="shared" si="20"/>
        <v/>
      </c>
      <c r="Z28" s="216"/>
      <c r="AA28" s="216"/>
      <c r="AB28" s="216"/>
      <c r="AC28" s="218" t="str">
        <f t="shared" ref="AC28:AC30" si="26">IFERROR(IF(AND(V27="Probabilidad",V28="Probabilidad"),(AE27-(+AE27*Y28)),IF(AND(V27="Impacto",V28="Probabilidad"),(AE26-(+AE26*Y28)),IF(V28="Impacto",AE27,""))),"")</f>
        <v/>
      </c>
      <c r="AD28" s="219" t="str">
        <f t="shared" si="2"/>
        <v/>
      </c>
      <c r="AE28" s="217" t="str">
        <f t="shared" si="21"/>
        <v/>
      </c>
      <c r="AF28" s="219" t="str">
        <f t="shared" si="4"/>
        <v/>
      </c>
      <c r="AG28" s="217" t="str">
        <f t="shared" si="14"/>
        <v/>
      </c>
      <c r="AH28" s="220" t="str">
        <f>IFERROR(IF(OR(AND(AD28="Muy Baja",AF28="Leve"),AND(AD28="Muy Baja",AF28="Menor"),AND(AD28="Baja",AF28="Leve")),"Bajo",IF(OR(AND(AD28="Muy baja",AF28="Moderado"),AND(AD28="Baja",AF28="Menor"),AND(AD28="Baja",AF28="Moderado"),AND(AD28="Media",AF28="Leve"),AND(AD28="Media",AF28="Menor"),AND(AD28="Media",AF28="Moderado"),AND(AD28="Alta",AF28="Leve"),AND(AD28="Alta",AF28="Menor")),"Moderado",IF(OR(AND(AD28="Muy Baja",AF28="Mayor"),AND(AD28="Baja",AF28="Mayor"),AND(AD28="Media",AF28="Mayor"),AND(AD28="Alta",AF28="Moderado"),AND(AD28="Alta",AF28="Mayor"),AND(AD28="Muy Alta",AF28="Leve"),AND(AD28="Muy Alta",AF28="Menor"),AND(AD28="Muy Alta",AF28="Moderado"),AND(AD28="Muy Alta",AF28="Mayor")),"Alto",IF(OR(AND(AD28="Muy Baja",AF28="Catastrófico"),AND(AD28="Baja",AF28="Catastrófico"),AND(AD28="Media",AF28="Catastrófico"),AND(AD28="Alta",AF28="Catastrófico"),AND(AD28="Muy Alta",AF28="Catastrófico")),"Extremo","")))),"")</f>
        <v/>
      </c>
      <c r="AI28" s="221"/>
      <c r="AJ28" s="212"/>
      <c r="AK28" s="222"/>
      <c r="AL28" s="222"/>
      <c r="AM28" s="223"/>
      <c r="AN28" s="264"/>
      <c r="AO28" s="264"/>
      <c r="AP28" s="264"/>
    </row>
    <row r="29" spans="1:42" s="224" customFormat="1" ht="13.5" customHeight="1" x14ac:dyDescent="0.2">
      <c r="A29" s="380"/>
      <c r="B29" s="381"/>
      <c r="C29" s="381"/>
      <c r="D29" s="381"/>
      <c r="E29" s="381"/>
      <c r="F29" s="381"/>
      <c r="G29" s="381"/>
      <c r="H29" s="381"/>
      <c r="I29" s="381"/>
      <c r="J29" s="381"/>
      <c r="K29" s="381"/>
      <c r="L29" s="382"/>
      <c r="M29" s="379"/>
      <c r="N29" s="334"/>
      <c r="O29" s="378"/>
      <c r="P29" s="334">
        <f t="shared" ca="1" si="19"/>
        <v>0</v>
      </c>
      <c r="Q29" s="379"/>
      <c r="R29" s="334"/>
      <c r="S29" s="335"/>
      <c r="T29" s="251">
        <v>5</v>
      </c>
      <c r="U29" s="213"/>
      <c r="V29" s="215" t="str">
        <f t="shared" si="25"/>
        <v/>
      </c>
      <c r="W29" s="216"/>
      <c r="X29" s="216"/>
      <c r="Y29" s="217" t="str">
        <f t="shared" si="20"/>
        <v/>
      </c>
      <c r="Z29" s="216"/>
      <c r="AA29" s="216"/>
      <c r="AB29" s="216"/>
      <c r="AC29" s="218" t="str">
        <f t="shared" si="26"/>
        <v/>
      </c>
      <c r="AD29" s="219" t="str">
        <f t="shared" si="2"/>
        <v/>
      </c>
      <c r="AE29" s="217" t="str">
        <f t="shared" si="21"/>
        <v/>
      </c>
      <c r="AF29" s="219" t="str">
        <f t="shared" si="4"/>
        <v/>
      </c>
      <c r="AG29" s="217" t="str">
        <f t="shared" si="14"/>
        <v/>
      </c>
      <c r="AH29" s="220" t="str">
        <f t="shared" ref="AH29:AH30" si="27">IFERROR(IF(OR(AND(AD29="Muy Baja",AF29="Leve"),AND(AD29="Muy Baja",AF29="Menor"),AND(AD29="Baja",AF29="Leve")),"Bajo",IF(OR(AND(AD29="Muy baja",AF29="Moderado"),AND(AD29="Baja",AF29="Menor"),AND(AD29="Baja",AF29="Moderado"),AND(AD29="Media",AF29="Leve"),AND(AD29="Media",AF29="Menor"),AND(AD29="Media",AF29="Moderado"),AND(AD29="Alta",AF29="Leve"),AND(AD29="Alta",AF29="Menor")),"Moderado",IF(OR(AND(AD29="Muy Baja",AF29="Mayor"),AND(AD29="Baja",AF29="Mayor"),AND(AD29="Media",AF29="Mayor"),AND(AD29="Alta",AF29="Moderado"),AND(AD29="Alta",AF29="Mayor"),AND(AD29="Muy Alta",AF29="Leve"),AND(AD29="Muy Alta",AF29="Menor"),AND(AD29="Muy Alta",AF29="Moderado"),AND(AD29="Muy Alta",AF29="Mayor")),"Alto",IF(OR(AND(AD29="Muy Baja",AF29="Catastrófico"),AND(AD29="Baja",AF29="Catastrófico"),AND(AD29="Media",AF29="Catastrófico"),AND(AD29="Alta",AF29="Catastrófico"),AND(AD29="Muy Alta",AF29="Catastrófico")),"Extremo","")))),"")</f>
        <v/>
      </c>
      <c r="AI29" s="221"/>
      <c r="AJ29" s="212"/>
      <c r="AK29" s="222"/>
      <c r="AL29" s="222"/>
      <c r="AM29" s="223"/>
      <c r="AN29" s="264"/>
      <c r="AO29" s="264"/>
      <c r="AP29" s="264"/>
    </row>
    <row r="30" spans="1:42" s="224" customFormat="1" ht="13.5" customHeight="1" x14ac:dyDescent="0.2">
      <c r="A30" s="380"/>
      <c r="B30" s="381"/>
      <c r="C30" s="381"/>
      <c r="D30" s="381"/>
      <c r="E30" s="381"/>
      <c r="F30" s="381"/>
      <c r="G30" s="381"/>
      <c r="H30" s="381"/>
      <c r="I30" s="381"/>
      <c r="J30" s="381"/>
      <c r="K30" s="381"/>
      <c r="L30" s="382"/>
      <c r="M30" s="379"/>
      <c r="N30" s="334"/>
      <c r="O30" s="378"/>
      <c r="P30" s="334">
        <f t="shared" ca="1" si="19"/>
        <v>0</v>
      </c>
      <c r="Q30" s="379"/>
      <c r="R30" s="334"/>
      <c r="S30" s="335"/>
      <c r="T30" s="251">
        <v>6</v>
      </c>
      <c r="U30" s="213"/>
      <c r="V30" s="215" t="str">
        <f t="shared" si="25"/>
        <v/>
      </c>
      <c r="W30" s="216"/>
      <c r="X30" s="216"/>
      <c r="Y30" s="217" t="str">
        <f t="shared" si="20"/>
        <v/>
      </c>
      <c r="Z30" s="216"/>
      <c r="AA30" s="216"/>
      <c r="AB30" s="216"/>
      <c r="AC30" s="218" t="str">
        <f t="shared" si="26"/>
        <v/>
      </c>
      <c r="AD30" s="219" t="str">
        <f t="shared" si="2"/>
        <v/>
      </c>
      <c r="AE30" s="217" t="str">
        <f t="shared" si="21"/>
        <v/>
      </c>
      <c r="AF30" s="219" t="str">
        <f t="shared" si="4"/>
        <v/>
      </c>
      <c r="AG30" s="217" t="str">
        <f t="shared" si="14"/>
        <v/>
      </c>
      <c r="AH30" s="220" t="str">
        <f t="shared" si="27"/>
        <v/>
      </c>
      <c r="AI30" s="221"/>
      <c r="AJ30" s="212"/>
      <c r="AK30" s="222"/>
      <c r="AL30" s="222"/>
      <c r="AM30" s="223"/>
      <c r="AN30" s="264"/>
      <c r="AO30" s="264"/>
      <c r="AP30" s="264"/>
    </row>
    <row r="31" spans="1:42" s="224" customFormat="1" ht="204.75" customHeight="1" x14ac:dyDescent="0.2">
      <c r="A31" s="380">
        <v>4</v>
      </c>
      <c r="B31" s="381" t="s">
        <v>152</v>
      </c>
      <c r="C31" s="381" t="s">
        <v>448</v>
      </c>
      <c r="D31" s="381" t="s">
        <v>449</v>
      </c>
      <c r="E31" s="381" t="s">
        <v>484</v>
      </c>
      <c r="F31" s="381" t="s">
        <v>153</v>
      </c>
      <c r="G31" s="381" t="s">
        <v>154</v>
      </c>
      <c r="H31" s="381"/>
      <c r="I31" s="381"/>
      <c r="J31" s="381"/>
      <c r="K31" s="381"/>
      <c r="L31" s="382">
        <v>50</v>
      </c>
      <c r="M31" s="379" t="str">
        <f>IF(L31&lt;=0,"",IF(L31&lt;=2,"Muy Baja",IF(L31&lt;=24,"Baja",IF(L31&lt;=500,"Media",IF(L31&lt;=5000,"Alta","Muy Alta")))))</f>
        <v>Media</v>
      </c>
      <c r="N31" s="334">
        <f>IF(M31="","",IF(M31="Muy Baja",0.2,IF(M31="Baja",0.4,IF(M31="Media",0.6,IF(M31="Alta",0.8,IF(M31="Muy Alta",1,))))))</f>
        <v>0.6</v>
      </c>
      <c r="O31" s="378" t="s">
        <v>232</v>
      </c>
      <c r="P31" s="334" t="str">
        <f>IF(NOT(ISERROR(MATCH(O31,'Tabla Impacto'!$B$222:$B$224,0))),'Tabla Impacto'!$F$224&amp;"Por favor no seleccionar los criterios de impacto(Afectación Económica o presupuestal y Pérdida Reputacional)",O31)</f>
        <v xml:space="preserve">     Entre 650 y 1300 SMLMV </v>
      </c>
      <c r="Q31" s="379" t="str">
        <f>IF(OR(P31='Tabla Impacto'!$C$12,P31='Tabla Impacto'!$D$12),"Leve",IF(OR(P31='Tabla Impacto'!$C$13,P31='Tabla Impacto'!$D$13),"Menor",IF(OR(P31='Tabla Impacto'!$C$14,P31='Tabla Impacto'!$D$14),"Moderado",IF(OR(P31='Tabla Impacto'!$C$15,P31='Tabla Impacto'!$D$15),"Mayor",IF(OR(P31='Tabla Impacto'!$C$16,P31='Tabla Impacto'!$D$16),"Catastrófico","")))))</f>
        <v>Moderado</v>
      </c>
      <c r="R31" s="334">
        <f>IF(Q31="","",IF(Q31="Leve",0.2,IF(Q31="Menor",0.4,IF(Q31="Moderado",0.6,IF(Q31="Mayor",0.8,IF(Q31="Catastrófico",1,))))))</f>
        <v>0.6</v>
      </c>
      <c r="S31" s="335" t="str">
        <f>IF(OR(AND(M31="Muy Baja",Q31="Leve"),AND(M31="Muy Baja",Q31="Menor"),AND(M31="Baja",Q31="Leve")),"Bajo",IF(OR(AND(M31="Muy baja",Q31="Moderado"),AND(M31="Baja",Q31="Menor"),AND(M31="Baja",Q31="Moderado"),AND(M31="Media",Q31="Leve"),AND(M31="Media",Q31="Menor"),AND(M31="Media",Q31="Moderado"),AND(M31="Alta",Q31="Leve"),AND(M31="Alta",Q31="Menor")),"Moderado",IF(OR(AND(M31="Muy Baja",Q31="Mayor"),AND(M31="Baja",Q31="Mayor"),AND(M31="Media",Q31="Mayor"),AND(M31="Alta",Q31="Moderado"),AND(M31="Alta",Q31="Mayor"),AND(M31="Muy Alta",Q31="Leve"),AND(M31="Muy Alta",Q31="Menor"),AND(M31="Muy Alta",Q31="Moderado"),AND(M31="Muy Alta",Q31="Mayor")),"Alto",IF(OR(AND(M31="Muy Baja",Q31="Catastrófico"),AND(M31="Baja",Q31="Catastrófico"),AND(M31="Media",Q31="Catastrófico"),AND(M31="Alta",Q31="Catastrófico"),AND(M31="Muy Alta",Q31="Catastrófico")),"Extremo",""))))</f>
        <v>Moderado</v>
      </c>
      <c r="T31" s="251">
        <v>1</v>
      </c>
      <c r="U31" s="213" t="s">
        <v>450</v>
      </c>
      <c r="V31" s="215" t="str">
        <f>IF(OR(W31="Preventivo",W31="Detectivo"),"Probabilidad",IF(W31="Correctivo","Impacto",""))</f>
        <v>Probabilidad</v>
      </c>
      <c r="W31" s="216" t="s">
        <v>158</v>
      </c>
      <c r="X31" s="216" t="s">
        <v>157</v>
      </c>
      <c r="Y31" s="217" t="str">
        <f>IF(AND(W31="Preventivo",X31="Automático"),"50%",IF(AND(W31="Preventivo",X31="Manual"),"40%",IF(AND(W31="Detectivo",X31="Automático"),"40%",IF(AND(W31="Detectivo",X31="Manual"),"30%",IF(AND(W31="Correctivo",X31="Automático"),"35%",IF(AND(W31="Correctivo",X31="Manual"),"25%",""))))))</f>
        <v>30%</v>
      </c>
      <c r="Z31" s="216" t="s">
        <v>160</v>
      </c>
      <c r="AA31" s="216" t="s">
        <v>161</v>
      </c>
      <c r="AB31" s="216" t="s">
        <v>162</v>
      </c>
      <c r="AC31" s="218">
        <f>IFERROR(IF(V31="Probabilidad",(N31-(+N31*Y31)),IF(V31="Impacto",N31,"")),"")</f>
        <v>0.42</v>
      </c>
      <c r="AD31" s="219" t="str">
        <f>IFERROR(IF(AC31="","",IF(AC31&lt;=0.2,"Muy Baja",IF(AC31&lt;=0.4,"Baja",IF(AC31&lt;=0.6,"Media",IF(AC31&lt;=0.8,"Alta","Muy Alta"))))),"")</f>
        <v>Media</v>
      </c>
      <c r="AE31" s="217">
        <f>+AC31</f>
        <v>0.42</v>
      </c>
      <c r="AF31" s="219" t="str">
        <f>IFERROR(IF(AG31="","",IF(AG31&lt;=0.2,"Leve",IF(AG31&lt;=0.4,"Menor",IF(AG31&lt;=0.6,"Moderado",IF(AG31&lt;=0.8,"Mayor","Catastrófico"))))),"")</f>
        <v>Moderado</v>
      </c>
      <c r="AG31" s="217">
        <f t="shared" ref="AG31" si="28">IFERROR(IF(V31="Impacto",(R31-(+R31*Y31)),IF(V31="Probabilidad",R31,"")),"")</f>
        <v>0.6</v>
      </c>
      <c r="AH31" s="220" t="str">
        <f>IFERROR(IF(OR(AND(AD31="Muy Baja",AF31="Leve"),AND(AD31="Muy Baja",AF31="Menor"),AND(AD31="Baja",AF31="Leve")),"Bajo",IF(OR(AND(AD31="Muy baja",AF31="Moderado"),AND(AD31="Baja",AF31="Menor"),AND(AD31="Baja",AF31="Moderado"),AND(AD31="Media",AF31="Leve"),AND(AD31="Media",AF31="Menor"),AND(AD31="Media",AF31="Moderado"),AND(AD31="Alta",AF31="Leve"),AND(AD31="Alta",AF31="Menor")),"Moderado",IF(OR(AND(AD31="Muy Baja",AF31="Mayor"),AND(AD31="Baja",AF31="Mayor"),AND(AD31="Media",AF31="Mayor"),AND(AD31="Alta",AF31="Moderado"),AND(AD31="Alta",AF31="Mayor"),AND(AD31="Muy Alta",AF31="Leve"),AND(AD31="Muy Alta",AF31="Menor"),AND(AD31="Muy Alta",AF31="Moderado"),AND(AD31="Muy Alta",AF31="Mayor")),"Alto",IF(OR(AND(AD31="Muy Baja",AF31="Catastrófico"),AND(AD31="Baja",AF31="Catastrófico"),AND(AD31="Media",AF31="Catastrófico"),AND(AD31="Alta",AF31="Catastrófico"),AND(AD31="Muy Alta",AF31="Catastrófico")),"Extremo","")))),"")</f>
        <v>Moderado</v>
      </c>
      <c r="AI31" s="221" t="s">
        <v>159</v>
      </c>
      <c r="AJ31" s="393" t="s">
        <v>451</v>
      </c>
      <c r="AK31" s="393" t="s">
        <v>452</v>
      </c>
      <c r="AL31" s="393" t="s">
        <v>453</v>
      </c>
      <c r="AM31" s="411" t="s">
        <v>454</v>
      </c>
      <c r="AN31" s="413" t="s">
        <v>455</v>
      </c>
      <c r="AO31" s="407" t="s">
        <v>456</v>
      </c>
      <c r="AP31" s="407" t="s">
        <v>452</v>
      </c>
    </row>
    <row r="32" spans="1:42" s="224" customFormat="1" ht="129" customHeight="1" x14ac:dyDescent="0.2">
      <c r="A32" s="380"/>
      <c r="B32" s="381"/>
      <c r="C32" s="381"/>
      <c r="D32" s="381"/>
      <c r="E32" s="381"/>
      <c r="F32" s="381"/>
      <c r="G32" s="381"/>
      <c r="H32" s="381"/>
      <c r="I32" s="381"/>
      <c r="J32" s="381"/>
      <c r="K32" s="381"/>
      <c r="L32" s="382"/>
      <c r="M32" s="379"/>
      <c r="N32" s="334"/>
      <c r="O32" s="378"/>
      <c r="P32" s="334">
        <f t="shared" ref="P32:P36" ca="1" si="29">IF(NOT(ISERROR(MATCH(O32,_xlfn.ANCHORARRAY(E43),0))),N45&amp;"Por favor no seleccionar los criterios de impacto",O32)</f>
        <v>0</v>
      </c>
      <c r="Q32" s="379"/>
      <c r="R32" s="334"/>
      <c r="S32" s="335"/>
      <c r="T32" s="251">
        <v>2</v>
      </c>
      <c r="U32" s="213" t="s">
        <v>457</v>
      </c>
      <c r="V32" s="215" t="str">
        <f>IF(OR(W32="Preventivo",W32="Detectivo"),"Probabilidad",IF(W32="Correctivo","Impacto",""))</f>
        <v>Impacto</v>
      </c>
      <c r="W32" s="216" t="s">
        <v>356</v>
      </c>
      <c r="X32" s="216" t="s">
        <v>157</v>
      </c>
      <c r="Y32" s="217" t="str">
        <f t="shared" ref="Y32:Y36" si="30">IF(AND(W32="Preventivo",X32="Automático"),"50%",IF(AND(W32="Preventivo",X32="Manual"),"40%",IF(AND(W32="Detectivo",X32="Automático"),"40%",IF(AND(W32="Detectivo",X32="Manual"),"30%",IF(AND(W32="Correctivo",X32="Automático"),"35%",IF(AND(W32="Correctivo",X32="Manual"),"25%",""))))))</f>
        <v>25%</v>
      </c>
      <c r="Z32" s="216" t="s">
        <v>160</v>
      </c>
      <c r="AA32" s="216" t="s">
        <v>367</v>
      </c>
      <c r="AB32" s="216" t="s">
        <v>162</v>
      </c>
      <c r="AC32" s="218">
        <f>IFERROR(IF(AND(V31="Probabilidad",V32="Probabilidad"),(AE31-(+AE31*Y32)),IF(V32="Probabilidad",(N31-(+N31*Y32)),IF(V32="Impacto",AE31,""))),"")</f>
        <v>0.42</v>
      </c>
      <c r="AD32" s="219" t="str">
        <f t="shared" si="2"/>
        <v>Media</v>
      </c>
      <c r="AE32" s="217">
        <f t="shared" ref="AE32:AE36" si="31">+AC32</f>
        <v>0.42</v>
      </c>
      <c r="AF32" s="219" t="str">
        <f t="shared" si="4"/>
        <v>Leve</v>
      </c>
      <c r="AG32" s="217">
        <f t="shared" ref="AG32" si="32">IFERROR(IF(AND(V31="Impacto",V32="Impacto"),(AG31-(+AG31*Y32)),IF(V32="Impacto",($R$13-(+$R$13*Y32)),IF(V32="Probabilidad",AG31,""))),"")</f>
        <v>0.15000000000000002</v>
      </c>
      <c r="AH32" s="220" t="str">
        <f t="shared" ref="AH32:AH33" si="33">IFERROR(IF(OR(AND(AD32="Muy Baja",AF32="Leve"),AND(AD32="Muy Baja",AF32="Menor"),AND(AD32="Baja",AF32="Leve")),"Bajo",IF(OR(AND(AD32="Muy baja",AF32="Moderado"),AND(AD32="Baja",AF32="Menor"),AND(AD32="Baja",AF32="Moderado"),AND(AD32="Media",AF32="Leve"),AND(AD32="Media",AF32="Menor"),AND(AD32="Media",AF32="Moderado"),AND(AD32="Alta",AF32="Leve"),AND(AD32="Alta",AF32="Menor")),"Moderado",IF(OR(AND(AD32="Muy Baja",AF32="Mayor"),AND(AD32="Baja",AF32="Mayor"),AND(AD32="Media",AF32="Mayor"),AND(AD32="Alta",AF32="Moderado"),AND(AD32="Alta",AF32="Mayor"),AND(AD32="Muy Alta",AF32="Leve"),AND(AD32="Muy Alta",AF32="Menor"),AND(AD32="Muy Alta",AF32="Moderado"),AND(AD32="Muy Alta",AF32="Mayor")),"Alto",IF(OR(AND(AD32="Muy Baja",AF32="Catastrófico"),AND(AD32="Baja",AF32="Catastrófico"),AND(AD32="Media",AF32="Catastrófico"),AND(AD32="Alta",AF32="Catastrófico"),AND(AD32="Muy Alta",AF32="Catastrófico")),"Extremo","")))),"")</f>
        <v>Moderado</v>
      </c>
      <c r="AI32" s="221" t="s">
        <v>373</v>
      </c>
      <c r="AJ32" s="395"/>
      <c r="AK32" s="395"/>
      <c r="AL32" s="395"/>
      <c r="AM32" s="412"/>
      <c r="AN32" s="414"/>
      <c r="AO32" s="408"/>
      <c r="AP32" s="408"/>
    </row>
    <row r="33" spans="1:42" s="224" customFormat="1" ht="11.25" customHeight="1" x14ac:dyDescent="0.2">
      <c r="A33" s="380"/>
      <c r="B33" s="381"/>
      <c r="C33" s="381"/>
      <c r="D33" s="381"/>
      <c r="E33" s="381"/>
      <c r="F33" s="381"/>
      <c r="G33" s="381"/>
      <c r="H33" s="381"/>
      <c r="I33" s="381"/>
      <c r="J33" s="381"/>
      <c r="K33" s="381"/>
      <c r="L33" s="382"/>
      <c r="M33" s="379"/>
      <c r="N33" s="334"/>
      <c r="O33" s="378"/>
      <c r="P33" s="334">
        <f t="shared" ca="1" si="29"/>
        <v>0</v>
      </c>
      <c r="Q33" s="379"/>
      <c r="R33" s="334"/>
      <c r="S33" s="335"/>
      <c r="T33" s="251">
        <v>3</v>
      </c>
      <c r="U33" s="214"/>
      <c r="V33" s="215" t="str">
        <f>IF(OR(W33="Preventivo",W33="Detectivo"),"Probabilidad",IF(W33="Correctivo","Impacto",""))</f>
        <v/>
      </c>
      <c r="W33" s="216"/>
      <c r="X33" s="216"/>
      <c r="Y33" s="217" t="str">
        <f t="shared" si="30"/>
        <v/>
      </c>
      <c r="Z33" s="216"/>
      <c r="AA33" s="216"/>
      <c r="AB33" s="216"/>
      <c r="AC33" s="218" t="str">
        <f>IFERROR(IF(AND(V32="Probabilidad",V33="Probabilidad"),(AE32-(+AE32*Y33)),IF(AND(V32="Impacto",V33="Probabilidad"),(AE31-(+AE31*Y33)),IF(V33="Impacto",AE32,""))),"")</f>
        <v/>
      </c>
      <c r="AD33" s="219" t="str">
        <f t="shared" si="2"/>
        <v/>
      </c>
      <c r="AE33" s="217" t="str">
        <f t="shared" si="31"/>
        <v/>
      </c>
      <c r="AF33" s="219" t="str">
        <f t="shared" si="4"/>
        <v/>
      </c>
      <c r="AG33" s="217" t="str">
        <f t="shared" ref="AG33" si="34">IFERROR(IF(AND(V32="Impacto",V33="Impacto"),(AG32-(+AG32*Y33)),IF(AND(V32="Probabilidad",V33="Impacto"),(AG31-(+AG31*Y33)),IF(V33="Probabilidad",AG32,""))),"")</f>
        <v/>
      </c>
      <c r="AH33" s="220" t="str">
        <f t="shared" si="33"/>
        <v/>
      </c>
      <c r="AI33" s="221"/>
      <c r="AJ33" s="212"/>
      <c r="AK33" s="222"/>
      <c r="AL33" s="222"/>
      <c r="AM33" s="223"/>
      <c r="AN33" s="264"/>
      <c r="AO33" s="264"/>
      <c r="AP33" s="264"/>
    </row>
    <row r="34" spans="1:42" s="224" customFormat="1" ht="11.25" customHeight="1" x14ac:dyDescent="0.2">
      <c r="A34" s="380"/>
      <c r="B34" s="381"/>
      <c r="C34" s="381"/>
      <c r="D34" s="381"/>
      <c r="E34" s="381"/>
      <c r="F34" s="381"/>
      <c r="G34" s="381"/>
      <c r="H34" s="381"/>
      <c r="I34" s="381"/>
      <c r="J34" s="381"/>
      <c r="K34" s="381"/>
      <c r="L34" s="382"/>
      <c r="M34" s="379"/>
      <c r="N34" s="334"/>
      <c r="O34" s="378"/>
      <c r="P34" s="334">
        <f t="shared" ca="1" si="29"/>
        <v>0</v>
      </c>
      <c r="Q34" s="379"/>
      <c r="R34" s="334"/>
      <c r="S34" s="335"/>
      <c r="T34" s="251">
        <v>4</v>
      </c>
      <c r="U34" s="213"/>
      <c r="V34" s="215" t="str">
        <f t="shared" ref="V34:V36" si="35">IF(OR(W34="Preventivo",W34="Detectivo"),"Probabilidad",IF(W34="Correctivo","Impacto",""))</f>
        <v/>
      </c>
      <c r="W34" s="216"/>
      <c r="X34" s="216"/>
      <c r="Y34" s="217" t="str">
        <f t="shared" si="30"/>
        <v/>
      </c>
      <c r="Z34" s="216"/>
      <c r="AA34" s="216"/>
      <c r="AB34" s="216"/>
      <c r="AC34" s="218" t="str">
        <f t="shared" ref="AC34:AC36" si="36">IFERROR(IF(AND(V33="Probabilidad",V34="Probabilidad"),(AE33-(+AE33*Y34)),IF(AND(V33="Impacto",V34="Probabilidad"),(AE32-(+AE32*Y34)),IF(V34="Impacto",AE33,""))),"")</f>
        <v/>
      </c>
      <c r="AD34" s="219" t="str">
        <f t="shared" si="2"/>
        <v/>
      </c>
      <c r="AE34" s="217" t="str">
        <f t="shared" si="31"/>
        <v/>
      </c>
      <c r="AF34" s="219" t="str">
        <f t="shared" si="4"/>
        <v/>
      </c>
      <c r="AG34" s="217" t="str">
        <f t="shared" si="14"/>
        <v/>
      </c>
      <c r="AH34" s="220" t="str">
        <f>IFERROR(IF(OR(AND(AD34="Muy Baja",AF34="Leve"),AND(AD34="Muy Baja",AF34="Menor"),AND(AD34="Baja",AF34="Leve")),"Bajo",IF(OR(AND(AD34="Muy baja",AF34="Moderado"),AND(AD34="Baja",AF34="Menor"),AND(AD34="Baja",AF34="Moderado"),AND(AD34="Media",AF34="Leve"),AND(AD34="Media",AF34="Menor"),AND(AD34="Media",AF34="Moderado"),AND(AD34="Alta",AF34="Leve"),AND(AD34="Alta",AF34="Menor")),"Moderado",IF(OR(AND(AD34="Muy Baja",AF34="Mayor"),AND(AD34="Baja",AF34="Mayor"),AND(AD34="Media",AF34="Mayor"),AND(AD34="Alta",AF34="Moderado"),AND(AD34="Alta",AF34="Mayor"),AND(AD34="Muy Alta",AF34="Leve"),AND(AD34="Muy Alta",AF34="Menor"),AND(AD34="Muy Alta",AF34="Moderado"),AND(AD34="Muy Alta",AF34="Mayor")),"Alto",IF(OR(AND(AD34="Muy Baja",AF34="Catastrófico"),AND(AD34="Baja",AF34="Catastrófico"),AND(AD34="Media",AF34="Catastrófico"),AND(AD34="Alta",AF34="Catastrófico"),AND(AD34="Muy Alta",AF34="Catastrófico")),"Extremo","")))),"")</f>
        <v/>
      </c>
      <c r="AI34" s="221"/>
      <c r="AJ34" s="212"/>
      <c r="AK34" s="222"/>
      <c r="AL34" s="222"/>
      <c r="AM34" s="223"/>
      <c r="AN34" s="264"/>
      <c r="AO34" s="264"/>
      <c r="AP34" s="264"/>
    </row>
    <row r="35" spans="1:42" s="224" customFormat="1" ht="11.25" customHeight="1" x14ac:dyDescent="0.2">
      <c r="A35" s="380"/>
      <c r="B35" s="381"/>
      <c r="C35" s="381"/>
      <c r="D35" s="381"/>
      <c r="E35" s="381"/>
      <c r="F35" s="381"/>
      <c r="G35" s="381"/>
      <c r="H35" s="381"/>
      <c r="I35" s="381"/>
      <c r="J35" s="381"/>
      <c r="K35" s="381"/>
      <c r="L35" s="382"/>
      <c r="M35" s="379"/>
      <c r="N35" s="334"/>
      <c r="O35" s="378"/>
      <c r="P35" s="334">
        <f t="shared" ca="1" si="29"/>
        <v>0</v>
      </c>
      <c r="Q35" s="379"/>
      <c r="R35" s="334"/>
      <c r="S35" s="335"/>
      <c r="T35" s="251">
        <v>5</v>
      </c>
      <c r="U35" s="213"/>
      <c r="V35" s="215" t="str">
        <f t="shared" si="35"/>
        <v/>
      </c>
      <c r="W35" s="216"/>
      <c r="X35" s="216"/>
      <c r="Y35" s="217" t="str">
        <f t="shared" si="30"/>
        <v/>
      </c>
      <c r="Z35" s="216"/>
      <c r="AA35" s="216"/>
      <c r="AB35" s="216"/>
      <c r="AC35" s="218" t="str">
        <f t="shared" si="36"/>
        <v/>
      </c>
      <c r="AD35" s="219" t="str">
        <f>IFERROR(IF(AC35="","",IF(AC35&lt;=0.2,"Muy Baja",IF(AC35&lt;=0.4,"Baja",IF(AC35&lt;=0.6,"Media",IF(AC35&lt;=0.8,"Alta","Muy Alta"))))),"")</f>
        <v/>
      </c>
      <c r="AE35" s="217" t="str">
        <f t="shared" si="31"/>
        <v/>
      </c>
      <c r="AF35" s="219" t="str">
        <f t="shared" si="4"/>
        <v/>
      </c>
      <c r="AG35" s="217" t="str">
        <f t="shared" si="14"/>
        <v/>
      </c>
      <c r="AH35" s="220" t="str">
        <f t="shared" ref="AH35:AH36" si="37">IFERROR(IF(OR(AND(AD35="Muy Baja",AF35="Leve"),AND(AD35="Muy Baja",AF35="Menor"),AND(AD35="Baja",AF35="Leve")),"Bajo",IF(OR(AND(AD35="Muy baja",AF35="Moderado"),AND(AD35="Baja",AF35="Menor"),AND(AD35="Baja",AF35="Moderado"),AND(AD35="Media",AF35="Leve"),AND(AD35="Media",AF35="Menor"),AND(AD35="Media",AF35="Moderado"),AND(AD35="Alta",AF35="Leve"),AND(AD35="Alta",AF35="Menor")),"Moderado",IF(OR(AND(AD35="Muy Baja",AF35="Mayor"),AND(AD35="Baja",AF35="Mayor"),AND(AD35="Media",AF35="Mayor"),AND(AD35="Alta",AF35="Moderado"),AND(AD35="Alta",AF35="Mayor"),AND(AD35="Muy Alta",AF35="Leve"),AND(AD35="Muy Alta",AF35="Menor"),AND(AD35="Muy Alta",AF35="Moderado"),AND(AD35="Muy Alta",AF35="Mayor")),"Alto",IF(OR(AND(AD35="Muy Baja",AF35="Catastrófico"),AND(AD35="Baja",AF35="Catastrófico"),AND(AD35="Media",AF35="Catastrófico"),AND(AD35="Alta",AF35="Catastrófico"),AND(AD35="Muy Alta",AF35="Catastrófico")),"Extremo","")))),"")</f>
        <v/>
      </c>
      <c r="AI35" s="221"/>
      <c r="AJ35" s="212"/>
      <c r="AK35" s="222"/>
      <c r="AL35" s="222"/>
      <c r="AM35" s="223"/>
      <c r="AN35" s="264"/>
      <c r="AO35" s="264"/>
      <c r="AP35" s="264"/>
    </row>
    <row r="36" spans="1:42" s="224" customFormat="1" ht="11.25" customHeight="1" x14ac:dyDescent="0.2">
      <c r="A36" s="380"/>
      <c r="B36" s="381"/>
      <c r="C36" s="381"/>
      <c r="D36" s="381"/>
      <c r="E36" s="381"/>
      <c r="F36" s="381"/>
      <c r="G36" s="381"/>
      <c r="H36" s="381"/>
      <c r="I36" s="381"/>
      <c r="J36" s="381"/>
      <c r="K36" s="381"/>
      <c r="L36" s="382"/>
      <c r="M36" s="379"/>
      <c r="N36" s="334"/>
      <c r="O36" s="378"/>
      <c r="P36" s="334">
        <f t="shared" ca="1" si="29"/>
        <v>0</v>
      </c>
      <c r="Q36" s="379"/>
      <c r="R36" s="334"/>
      <c r="S36" s="335"/>
      <c r="T36" s="251">
        <v>6</v>
      </c>
      <c r="U36" s="213"/>
      <c r="V36" s="215" t="str">
        <f t="shared" si="35"/>
        <v/>
      </c>
      <c r="W36" s="216"/>
      <c r="X36" s="216"/>
      <c r="Y36" s="217" t="str">
        <f t="shared" si="30"/>
        <v/>
      </c>
      <c r="Z36" s="216"/>
      <c r="AA36" s="216"/>
      <c r="AB36" s="216"/>
      <c r="AC36" s="218" t="str">
        <f t="shared" si="36"/>
        <v/>
      </c>
      <c r="AD36" s="219" t="str">
        <f t="shared" si="2"/>
        <v/>
      </c>
      <c r="AE36" s="217" t="str">
        <f t="shared" si="31"/>
        <v/>
      </c>
      <c r="AF36" s="219" t="str">
        <f t="shared" si="4"/>
        <v/>
      </c>
      <c r="AG36" s="217" t="str">
        <f t="shared" si="14"/>
        <v/>
      </c>
      <c r="AH36" s="220" t="str">
        <f t="shared" si="37"/>
        <v/>
      </c>
      <c r="AI36" s="221"/>
      <c r="AJ36" s="212"/>
      <c r="AK36" s="222"/>
      <c r="AL36" s="222"/>
      <c r="AM36" s="223"/>
      <c r="AN36" s="264"/>
      <c r="AO36" s="264"/>
      <c r="AP36" s="264"/>
    </row>
    <row r="37" spans="1:42" s="224" customFormat="1" ht="177" customHeight="1" x14ac:dyDescent="0.2">
      <c r="A37" s="380">
        <v>5</v>
      </c>
      <c r="B37" s="381" t="s">
        <v>152</v>
      </c>
      <c r="C37" s="381" t="s">
        <v>458</v>
      </c>
      <c r="D37" s="381" t="s">
        <v>459</v>
      </c>
      <c r="E37" s="381" t="s">
        <v>460</v>
      </c>
      <c r="F37" s="381" t="s">
        <v>153</v>
      </c>
      <c r="G37" s="381" t="s">
        <v>154</v>
      </c>
      <c r="H37" s="381"/>
      <c r="I37" s="381"/>
      <c r="J37" s="381"/>
      <c r="K37" s="381"/>
      <c r="L37" s="382">
        <v>5000</v>
      </c>
      <c r="M37" s="379" t="str">
        <f>IF(L37&lt;=0,"",IF(L37&lt;=2,"Muy Baja",IF(L37&lt;=24,"Baja",IF(L37&lt;=500,"Media",IF(L37&lt;=5000,"Alta","Muy Alta")))))</f>
        <v>Alta</v>
      </c>
      <c r="N37" s="334">
        <f>IF(M37="","",IF(M37="Muy Baja",0.2,IF(M37="Baja",0.4,IF(M37="Media",0.6,IF(M37="Alta",0.8,IF(M37="Muy Alta",1,))))))</f>
        <v>0.8</v>
      </c>
      <c r="O37" s="378" t="s">
        <v>233</v>
      </c>
      <c r="P37" s="334" t="str">
        <f>IF(NOT(ISERROR(MATCH(O37,'Tabla Impacto'!$B$222:$B$224,0))),'Tabla Impacto'!$F$224&amp;"Por favor no seleccionar los criterios de impacto(Afectación Económica o presupuestal y Pérdida Reputacional)",O37)</f>
        <v xml:space="preserve">     Entre 1300 y 6500 SMLMV </v>
      </c>
      <c r="Q37" s="379" t="str">
        <f>IF(OR(P37='Tabla Impacto'!$C$12,P37='Tabla Impacto'!$D$12),"Leve",IF(OR(P37='Tabla Impacto'!$C$13,P37='Tabla Impacto'!$D$13),"Menor",IF(OR(P37='Tabla Impacto'!$C$14,P37='Tabla Impacto'!$D$14),"Moderado",IF(OR(P37='Tabla Impacto'!$C$15,P37='Tabla Impacto'!$D$15),"Mayor",IF(OR(P37='Tabla Impacto'!$C$16,P37='Tabla Impacto'!$D$16),"Catastrófico","")))))</f>
        <v>Mayor</v>
      </c>
      <c r="R37" s="334">
        <f>IF(Q37="","",IF(Q37="Leve",0.2,IF(Q37="Menor",0.4,IF(Q37="Moderado",0.6,IF(Q37="Mayor",0.8,IF(Q37="Catastrófico",1,))))))</f>
        <v>0.8</v>
      </c>
      <c r="S37" s="335" t="str">
        <f>IF(OR(AND(M37="Muy Baja",Q37="Leve"),AND(M37="Muy Baja",Q37="Menor"),AND(M37="Baja",Q37="Leve")),"Bajo",IF(OR(AND(M37="Muy baja",Q37="Moderado"),AND(M37="Baja",Q37="Menor"),AND(M37="Baja",Q37="Moderado"),AND(M37="Media",Q37="Leve"),AND(M37="Media",Q37="Menor"),AND(M37="Media",Q37="Moderado"),AND(M37="Alta",Q37="Leve"),AND(M37="Alta",Q37="Menor")),"Moderado",IF(OR(AND(M37="Muy Baja",Q37="Mayor"),AND(M37="Baja",Q37="Mayor"),AND(M37="Media",Q37="Mayor"),AND(M37="Alta",Q37="Moderado"),AND(M37="Alta",Q37="Mayor"),AND(M37="Muy Alta",Q37="Leve"),AND(M37="Muy Alta",Q37="Menor"),AND(M37="Muy Alta",Q37="Moderado"),AND(M37="Muy Alta",Q37="Mayor")),"Alto",IF(OR(AND(M37="Muy Baja",Q37="Catastrófico"),AND(M37="Baja",Q37="Catastrófico"),AND(M37="Media",Q37="Catastrófico"),AND(M37="Alta",Q37="Catastrófico"),AND(M37="Muy Alta",Q37="Catastrófico")),"Extremo",""))))</f>
        <v>Alto</v>
      </c>
      <c r="T37" s="251">
        <v>1</v>
      </c>
      <c r="U37" s="213" t="s">
        <v>461</v>
      </c>
      <c r="V37" s="215" t="str">
        <f>IF(OR(W37="Preventivo",W37="Detectivo"),"Probabilidad",IF(W37="Correctivo","Impacto",""))</f>
        <v>Probabilidad</v>
      </c>
      <c r="W37" s="216" t="s">
        <v>158</v>
      </c>
      <c r="X37" s="216" t="s">
        <v>157</v>
      </c>
      <c r="Y37" s="217" t="str">
        <f>IF(AND(W37="Preventivo",X37="Automático"),"50%",IF(AND(W37="Preventivo",X37="Manual"),"40%",IF(AND(W37="Detectivo",X37="Automático"),"40%",IF(AND(W37="Detectivo",X37="Manual"),"30%",IF(AND(W37="Correctivo",X37="Automático"),"35%",IF(AND(W37="Correctivo",X37="Manual"),"25%",""))))))</f>
        <v>30%</v>
      </c>
      <c r="Z37" s="216" t="s">
        <v>160</v>
      </c>
      <c r="AA37" s="216" t="s">
        <v>161</v>
      </c>
      <c r="AB37" s="216" t="s">
        <v>162</v>
      </c>
      <c r="AC37" s="218">
        <f>IFERROR(IF(V37="Probabilidad",(N37-(+N37*Y37)),IF(V37="Impacto",N37,"")),"")</f>
        <v>0.56000000000000005</v>
      </c>
      <c r="AD37" s="219" t="str">
        <f>IFERROR(IF(AC37="","",IF(AC37&lt;=0.2,"Muy Baja",IF(AC37&lt;=0.4,"Baja",IF(AC37&lt;=0.6,"Media",IF(AC37&lt;=0.8,"Alta","Muy Alta"))))),"")</f>
        <v>Media</v>
      </c>
      <c r="AE37" s="217">
        <f>+AC37</f>
        <v>0.56000000000000005</v>
      </c>
      <c r="AF37" s="219" t="str">
        <f>IFERROR(IF(AG37="","",IF(AG37&lt;=0.2,"Leve",IF(AG37&lt;=0.4,"Menor",IF(AG37&lt;=0.6,"Moderado",IF(AG37&lt;=0.8,"Mayor","Catastrófico"))))),"")</f>
        <v>Mayor</v>
      </c>
      <c r="AG37" s="217">
        <f t="shared" ref="AG37" si="38">IFERROR(IF(V37="Impacto",(R37-(+R37*Y37)),IF(V37="Probabilidad",R37,"")),"")</f>
        <v>0.8</v>
      </c>
      <c r="AH37" s="220" t="str">
        <f>IFERROR(IF(OR(AND(AD37="Muy Baja",AF37="Leve"),AND(AD37="Muy Baja",AF37="Menor"),AND(AD37="Baja",AF37="Leve")),"Bajo",IF(OR(AND(AD37="Muy baja",AF37="Moderado"),AND(AD37="Baja",AF37="Menor"),AND(AD37="Baja",AF37="Moderado"),AND(AD37="Media",AF37="Leve"),AND(AD37="Media",AF37="Menor"),AND(AD37="Media",AF37="Moderado"),AND(AD37="Alta",AF37="Leve"),AND(AD37="Alta",AF37="Menor")),"Moderado",IF(OR(AND(AD37="Muy Baja",AF37="Mayor"),AND(AD37="Baja",AF37="Mayor"),AND(AD37="Media",AF37="Mayor"),AND(AD37="Alta",AF37="Moderado"),AND(AD37="Alta",AF37="Mayor"),AND(AD37="Muy Alta",AF37="Leve"),AND(AD37="Muy Alta",AF37="Menor"),AND(AD37="Muy Alta",AF37="Moderado"),AND(AD37="Muy Alta",AF37="Mayor")),"Alto",IF(OR(AND(AD37="Muy Baja",AF37="Catastrófico"),AND(AD37="Baja",AF37="Catastrófico"),AND(AD37="Media",AF37="Catastrófico"),AND(AD37="Alta",AF37="Catastrófico"),AND(AD37="Muy Alta",AF37="Catastrófico")),"Extremo","")))),"")</f>
        <v>Alto</v>
      </c>
      <c r="AI37" s="221" t="s">
        <v>159</v>
      </c>
      <c r="AJ37" s="212" t="s">
        <v>462</v>
      </c>
      <c r="AK37" s="258" t="s">
        <v>463</v>
      </c>
      <c r="AL37" s="222" t="s">
        <v>464</v>
      </c>
      <c r="AM37" s="223" t="s">
        <v>445</v>
      </c>
      <c r="AN37" s="413" t="s">
        <v>465</v>
      </c>
      <c r="AO37" s="407" t="s">
        <v>466</v>
      </c>
      <c r="AP37" s="407" t="s">
        <v>412</v>
      </c>
    </row>
    <row r="38" spans="1:42" s="224" customFormat="1" ht="207.75" customHeight="1" x14ac:dyDescent="0.2">
      <c r="A38" s="380"/>
      <c r="B38" s="381"/>
      <c r="C38" s="381"/>
      <c r="D38" s="381"/>
      <c r="E38" s="381"/>
      <c r="F38" s="381"/>
      <c r="G38" s="381"/>
      <c r="H38" s="381"/>
      <c r="I38" s="381"/>
      <c r="J38" s="381"/>
      <c r="K38" s="381"/>
      <c r="L38" s="382"/>
      <c r="M38" s="379"/>
      <c r="N38" s="334"/>
      <c r="O38" s="378"/>
      <c r="P38" s="334">
        <f t="shared" ref="P38:P42" ca="1" si="39">IF(NOT(ISERROR(MATCH(O38,_xlfn.ANCHORARRAY(E49),0))),N51&amp;"Por favor no seleccionar los criterios de impacto",O38)</f>
        <v>0</v>
      </c>
      <c r="Q38" s="379"/>
      <c r="R38" s="334"/>
      <c r="S38" s="335"/>
      <c r="T38" s="251">
        <v>2</v>
      </c>
      <c r="U38" s="213" t="s">
        <v>481</v>
      </c>
      <c r="V38" s="215" t="str">
        <f>IF(OR(W38="Preventivo",W38="Detectivo"),"Probabilidad",IF(W38="Correctivo","Impacto",""))</f>
        <v>Probabilidad</v>
      </c>
      <c r="W38" s="216" t="s">
        <v>156</v>
      </c>
      <c r="X38" s="216" t="s">
        <v>358</v>
      </c>
      <c r="Y38" s="217" t="str">
        <f t="shared" ref="Y38:Y42" si="40">IF(AND(W38="Preventivo",X38="Automático"),"50%",IF(AND(W38="Preventivo",X38="Manual"),"40%",IF(AND(W38="Detectivo",X38="Automático"),"40%",IF(AND(W38="Detectivo",X38="Manual"),"30%",IF(AND(W38="Correctivo",X38="Automático"),"35%",IF(AND(W38="Correctivo",X38="Manual"),"25%",""))))))</f>
        <v>50%</v>
      </c>
      <c r="Z38" s="216" t="s">
        <v>160</v>
      </c>
      <c r="AA38" s="216" t="s">
        <v>161</v>
      </c>
      <c r="AB38" s="216" t="s">
        <v>162</v>
      </c>
      <c r="AC38" s="218">
        <f>IFERROR(IF(AND(V37="Probabilidad",V38="Probabilidad"),(AE37-(+AE37*Y38)),IF(V38="Probabilidad",(N37-(+N37*Y38)),IF(V38="Impacto",AE37,""))),"")</f>
        <v>0.28000000000000003</v>
      </c>
      <c r="AD38" s="219" t="str">
        <f t="shared" si="2"/>
        <v>Baja</v>
      </c>
      <c r="AE38" s="217">
        <f t="shared" ref="AE38:AE42" si="41">+AC38</f>
        <v>0.28000000000000003</v>
      </c>
      <c r="AF38" s="219" t="str">
        <f t="shared" si="4"/>
        <v>Mayor</v>
      </c>
      <c r="AG38" s="217">
        <f t="shared" ref="AG38" si="42">IFERROR(IF(AND(V37="Impacto",V38="Impacto"),(AG37-(+AG37*Y38)),IF(V38="Impacto",($R$13-(+$R$13*Y38)),IF(V38="Probabilidad",AG37,""))),"")</f>
        <v>0.8</v>
      </c>
      <c r="AH38" s="220" t="str">
        <f t="shared" ref="AH38:AH39" si="43">IFERROR(IF(OR(AND(AD38="Muy Baja",AF38="Leve"),AND(AD38="Muy Baja",AF38="Menor"),AND(AD38="Baja",AF38="Leve")),"Bajo",IF(OR(AND(AD38="Muy baja",AF38="Moderado"),AND(AD38="Baja",AF38="Menor"),AND(AD38="Baja",AF38="Moderado"),AND(AD38="Media",AF38="Leve"),AND(AD38="Media",AF38="Menor"),AND(AD38="Media",AF38="Moderado"),AND(AD38="Alta",AF38="Leve"),AND(AD38="Alta",AF38="Menor")),"Moderado",IF(OR(AND(AD38="Muy Baja",AF38="Mayor"),AND(AD38="Baja",AF38="Mayor"),AND(AD38="Media",AF38="Mayor"),AND(AD38="Alta",AF38="Moderado"),AND(AD38="Alta",AF38="Mayor"),AND(AD38="Muy Alta",AF38="Leve"),AND(AD38="Muy Alta",AF38="Menor"),AND(AD38="Muy Alta",AF38="Moderado"),AND(AD38="Muy Alta",AF38="Mayor")),"Alto",IF(OR(AND(AD38="Muy Baja",AF38="Catastrófico"),AND(AD38="Baja",AF38="Catastrófico"),AND(AD38="Media",AF38="Catastrófico"),AND(AD38="Alta",AF38="Catastrófico"),AND(AD38="Muy Alta",AF38="Catastrófico")),"Extremo","")))),"")</f>
        <v>Alto</v>
      </c>
      <c r="AI38" s="221" t="s">
        <v>375</v>
      </c>
      <c r="AJ38" s="262" t="s">
        <v>467</v>
      </c>
      <c r="AK38" s="262" t="s">
        <v>463</v>
      </c>
      <c r="AL38" s="262" t="s">
        <v>468</v>
      </c>
      <c r="AM38" s="223" t="s">
        <v>445</v>
      </c>
      <c r="AN38" s="414"/>
      <c r="AO38" s="408"/>
      <c r="AP38" s="408"/>
    </row>
    <row r="39" spans="1:42" s="224" customFormat="1" ht="12.75" customHeight="1" x14ac:dyDescent="0.2">
      <c r="A39" s="380"/>
      <c r="B39" s="381"/>
      <c r="C39" s="381"/>
      <c r="D39" s="381"/>
      <c r="E39" s="381"/>
      <c r="F39" s="381"/>
      <c r="G39" s="381"/>
      <c r="H39" s="381"/>
      <c r="I39" s="381"/>
      <c r="J39" s="381"/>
      <c r="K39" s="381"/>
      <c r="L39" s="382"/>
      <c r="M39" s="379"/>
      <c r="N39" s="334"/>
      <c r="O39" s="378"/>
      <c r="P39" s="334">
        <f t="shared" ca="1" si="39"/>
        <v>0</v>
      </c>
      <c r="Q39" s="379"/>
      <c r="R39" s="334"/>
      <c r="S39" s="335"/>
      <c r="T39" s="251">
        <v>3</v>
      </c>
      <c r="U39" s="214"/>
      <c r="V39" s="215" t="str">
        <f>IF(OR(W39="Preventivo",W39="Detectivo"),"Probabilidad",IF(W39="Correctivo","Impacto",""))</f>
        <v/>
      </c>
      <c r="W39" s="216"/>
      <c r="X39" s="216"/>
      <c r="Y39" s="217" t="str">
        <f t="shared" si="40"/>
        <v/>
      </c>
      <c r="Z39" s="216"/>
      <c r="AA39" s="216"/>
      <c r="AB39" s="216"/>
      <c r="AC39" s="218" t="str">
        <f>IFERROR(IF(AND(V38="Probabilidad",V39="Probabilidad"),(AE38-(+AE38*Y39)),IF(AND(V38="Impacto",V39="Probabilidad"),(AE37-(+AE37*Y39)),IF(V39="Impacto",AE38,""))),"")</f>
        <v/>
      </c>
      <c r="AD39" s="219" t="str">
        <f t="shared" si="2"/>
        <v/>
      </c>
      <c r="AE39" s="217" t="str">
        <f t="shared" si="41"/>
        <v/>
      </c>
      <c r="AF39" s="219" t="str">
        <f t="shared" si="4"/>
        <v/>
      </c>
      <c r="AG39" s="217" t="str">
        <f t="shared" ref="AG39" si="44">IFERROR(IF(AND(V38="Impacto",V39="Impacto"),(AG38-(+AG38*Y39)),IF(AND(V38="Probabilidad",V39="Impacto"),(AG37-(+AG37*Y39)),IF(V39="Probabilidad",AG38,""))),"")</f>
        <v/>
      </c>
      <c r="AH39" s="220" t="str">
        <f t="shared" si="43"/>
        <v/>
      </c>
      <c r="AI39" s="221"/>
      <c r="AN39" s="264"/>
      <c r="AO39" s="264"/>
      <c r="AP39" s="264"/>
    </row>
    <row r="40" spans="1:42" s="224" customFormat="1" ht="12.75" customHeight="1" x14ac:dyDescent="0.2">
      <c r="A40" s="380"/>
      <c r="B40" s="381"/>
      <c r="C40" s="381"/>
      <c r="D40" s="381"/>
      <c r="E40" s="381"/>
      <c r="F40" s="381"/>
      <c r="G40" s="381"/>
      <c r="H40" s="381"/>
      <c r="I40" s="381"/>
      <c r="J40" s="381"/>
      <c r="K40" s="381"/>
      <c r="L40" s="382"/>
      <c r="M40" s="379"/>
      <c r="N40" s="334"/>
      <c r="O40" s="378"/>
      <c r="P40" s="334">
        <f t="shared" ca="1" si="39"/>
        <v>0</v>
      </c>
      <c r="Q40" s="379"/>
      <c r="R40" s="334"/>
      <c r="S40" s="335"/>
      <c r="T40" s="251">
        <v>4</v>
      </c>
      <c r="U40" s="213"/>
      <c r="V40" s="215" t="str">
        <f t="shared" ref="V40:V42" si="45">IF(OR(W40="Preventivo",W40="Detectivo"),"Probabilidad",IF(W40="Correctivo","Impacto",""))</f>
        <v/>
      </c>
      <c r="W40" s="216"/>
      <c r="X40" s="216"/>
      <c r="Y40" s="217" t="str">
        <f t="shared" si="40"/>
        <v/>
      </c>
      <c r="Z40" s="216"/>
      <c r="AA40" s="216"/>
      <c r="AB40" s="216"/>
      <c r="AC40" s="218" t="str">
        <f t="shared" ref="AC40:AC42" si="46">IFERROR(IF(AND(V39="Probabilidad",V40="Probabilidad"),(AE39-(+AE39*Y40)),IF(AND(V39="Impacto",V40="Probabilidad"),(AE38-(+AE38*Y40)),IF(V40="Impacto",AE39,""))),"")</f>
        <v/>
      </c>
      <c r="AD40" s="219" t="str">
        <f t="shared" si="2"/>
        <v/>
      </c>
      <c r="AE40" s="217" t="str">
        <f t="shared" si="41"/>
        <v/>
      </c>
      <c r="AF40" s="219" t="str">
        <f t="shared" si="4"/>
        <v/>
      </c>
      <c r="AG40" s="217" t="str">
        <f t="shared" si="14"/>
        <v/>
      </c>
      <c r="AH40" s="220" t="str">
        <f>IFERROR(IF(OR(AND(AD40="Muy Baja",AF40="Leve"),AND(AD40="Muy Baja",AF40="Menor"),AND(AD40="Baja",AF40="Leve")),"Bajo",IF(OR(AND(AD40="Muy baja",AF40="Moderado"),AND(AD40="Baja",AF40="Menor"),AND(AD40="Baja",AF40="Moderado"),AND(AD40="Media",AF40="Leve"),AND(AD40="Media",AF40="Menor"),AND(AD40="Media",AF40="Moderado"),AND(AD40="Alta",AF40="Leve"),AND(AD40="Alta",AF40="Menor")),"Moderado",IF(OR(AND(AD40="Muy Baja",AF40="Mayor"),AND(AD40="Baja",AF40="Mayor"),AND(AD40="Media",AF40="Mayor"),AND(AD40="Alta",AF40="Moderado"),AND(AD40="Alta",AF40="Mayor"),AND(AD40="Muy Alta",AF40="Leve"),AND(AD40="Muy Alta",AF40="Menor"),AND(AD40="Muy Alta",AF40="Moderado"),AND(AD40="Muy Alta",AF40="Mayor")),"Alto",IF(OR(AND(AD40="Muy Baja",AF40="Catastrófico"),AND(AD40="Baja",AF40="Catastrófico"),AND(AD40="Media",AF40="Catastrófico"),AND(AD40="Alta",AF40="Catastrófico"),AND(AD40="Muy Alta",AF40="Catastrófico")),"Extremo","")))),"")</f>
        <v/>
      </c>
      <c r="AI40" s="221"/>
      <c r="AJ40" s="212"/>
      <c r="AK40" s="222"/>
      <c r="AL40" s="222"/>
      <c r="AM40" s="223"/>
      <c r="AN40" s="264"/>
      <c r="AO40" s="264"/>
      <c r="AP40" s="264"/>
    </row>
    <row r="41" spans="1:42" s="224" customFormat="1" ht="12.75" customHeight="1" x14ac:dyDescent="0.2">
      <c r="A41" s="380"/>
      <c r="B41" s="381"/>
      <c r="C41" s="381"/>
      <c r="D41" s="381"/>
      <c r="E41" s="381"/>
      <c r="F41" s="381"/>
      <c r="G41" s="381"/>
      <c r="H41" s="381"/>
      <c r="I41" s="381"/>
      <c r="J41" s="381"/>
      <c r="K41" s="381"/>
      <c r="L41" s="382"/>
      <c r="M41" s="379"/>
      <c r="N41" s="334"/>
      <c r="O41" s="378"/>
      <c r="P41" s="334">
        <f t="shared" ca="1" si="39"/>
        <v>0</v>
      </c>
      <c r="Q41" s="379"/>
      <c r="R41" s="334"/>
      <c r="S41" s="335"/>
      <c r="T41" s="251">
        <v>5</v>
      </c>
      <c r="U41" s="213"/>
      <c r="V41" s="215" t="str">
        <f t="shared" si="45"/>
        <v/>
      </c>
      <c r="W41" s="216"/>
      <c r="X41" s="216"/>
      <c r="Y41" s="217" t="str">
        <f t="shared" si="40"/>
        <v/>
      </c>
      <c r="Z41" s="216"/>
      <c r="AA41" s="216"/>
      <c r="AB41" s="216"/>
      <c r="AC41" s="218" t="str">
        <f t="shared" si="46"/>
        <v/>
      </c>
      <c r="AD41" s="219" t="str">
        <f t="shared" si="2"/>
        <v/>
      </c>
      <c r="AE41" s="217" t="str">
        <f t="shared" si="41"/>
        <v/>
      </c>
      <c r="AF41" s="219" t="str">
        <f t="shared" si="4"/>
        <v/>
      </c>
      <c r="AG41" s="217" t="str">
        <f t="shared" si="14"/>
        <v/>
      </c>
      <c r="AH41" s="220" t="str">
        <f t="shared" ref="AH41:AH42" si="47">IFERROR(IF(OR(AND(AD41="Muy Baja",AF41="Leve"),AND(AD41="Muy Baja",AF41="Menor"),AND(AD41="Baja",AF41="Leve")),"Bajo",IF(OR(AND(AD41="Muy baja",AF41="Moderado"),AND(AD41="Baja",AF41="Menor"),AND(AD41="Baja",AF41="Moderado"),AND(AD41="Media",AF41="Leve"),AND(AD41="Media",AF41="Menor"),AND(AD41="Media",AF41="Moderado"),AND(AD41="Alta",AF41="Leve"),AND(AD41="Alta",AF41="Menor")),"Moderado",IF(OR(AND(AD41="Muy Baja",AF41="Mayor"),AND(AD41="Baja",AF41="Mayor"),AND(AD41="Media",AF41="Mayor"),AND(AD41="Alta",AF41="Moderado"),AND(AD41="Alta",AF41="Mayor"),AND(AD41="Muy Alta",AF41="Leve"),AND(AD41="Muy Alta",AF41="Menor"),AND(AD41="Muy Alta",AF41="Moderado"),AND(AD41="Muy Alta",AF41="Mayor")),"Alto",IF(OR(AND(AD41="Muy Baja",AF41="Catastrófico"),AND(AD41="Baja",AF41="Catastrófico"),AND(AD41="Media",AF41="Catastrófico"),AND(AD41="Alta",AF41="Catastrófico"),AND(AD41="Muy Alta",AF41="Catastrófico")),"Extremo","")))),"")</f>
        <v/>
      </c>
      <c r="AI41" s="221"/>
      <c r="AJ41" s="212"/>
      <c r="AK41" s="222"/>
      <c r="AL41" s="222"/>
      <c r="AM41" s="223"/>
      <c r="AN41" s="264"/>
      <c r="AO41" s="264"/>
      <c r="AP41" s="264"/>
    </row>
    <row r="42" spans="1:42" s="224" customFormat="1" ht="12.75" customHeight="1" x14ac:dyDescent="0.2">
      <c r="A42" s="380"/>
      <c r="B42" s="381"/>
      <c r="C42" s="381"/>
      <c r="D42" s="381"/>
      <c r="E42" s="381"/>
      <c r="F42" s="381"/>
      <c r="G42" s="381"/>
      <c r="H42" s="381"/>
      <c r="I42" s="381"/>
      <c r="J42" s="381"/>
      <c r="K42" s="381"/>
      <c r="L42" s="382"/>
      <c r="M42" s="379"/>
      <c r="N42" s="334"/>
      <c r="O42" s="378"/>
      <c r="P42" s="334">
        <f t="shared" ca="1" si="39"/>
        <v>0</v>
      </c>
      <c r="Q42" s="379"/>
      <c r="R42" s="334"/>
      <c r="S42" s="335"/>
      <c r="T42" s="251">
        <v>6</v>
      </c>
      <c r="U42" s="213"/>
      <c r="V42" s="215" t="str">
        <f t="shared" si="45"/>
        <v/>
      </c>
      <c r="W42" s="216"/>
      <c r="X42" s="216"/>
      <c r="Y42" s="217" t="str">
        <f t="shared" si="40"/>
        <v/>
      </c>
      <c r="Z42" s="216"/>
      <c r="AA42" s="216"/>
      <c r="AB42" s="216"/>
      <c r="AC42" s="218" t="str">
        <f t="shared" si="46"/>
        <v/>
      </c>
      <c r="AD42" s="219" t="str">
        <f t="shared" si="2"/>
        <v/>
      </c>
      <c r="AE42" s="217" t="str">
        <f t="shared" si="41"/>
        <v/>
      </c>
      <c r="AF42" s="219" t="str">
        <f t="shared" si="4"/>
        <v/>
      </c>
      <c r="AG42" s="217" t="str">
        <f t="shared" si="14"/>
        <v/>
      </c>
      <c r="AH42" s="220" t="str">
        <f t="shared" si="47"/>
        <v/>
      </c>
      <c r="AI42" s="221"/>
      <c r="AJ42" s="212"/>
      <c r="AK42" s="222"/>
      <c r="AL42" s="222"/>
      <c r="AM42" s="223"/>
      <c r="AN42" s="264"/>
      <c r="AO42" s="264"/>
      <c r="AP42" s="264"/>
    </row>
    <row r="43" spans="1:42" s="224" customFormat="1" ht="37.5" customHeight="1" x14ac:dyDescent="0.2">
      <c r="A43" s="380">
        <v>6</v>
      </c>
      <c r="B43" s="381"/>
      <c r="C43" s="381"/>
      <c r="D43" s="381"/>
      <c r="E43" s="393"/>
      <c r="F43" s="381"/>
      <c r="G43" s="381"/>
      <c r="H43" s="381"/>
      <c r="I43" s="381"/>
      <c r="J43" s="381"/>
      <c r="K43" s="381"/>
      <c r="L43" s="382"/>
      <c r="M43" s="379" t="str">
        <f>IF(L43&lt;=0,"",IF(L43&lt;=2,"Muy Baja",IF(L43&lt;=24,"Baja",IF(L43&lt;=500,"Media",IF(L43&lt;=5000,"Alta","Muy Alta")))))</f>
        <v/>
      </c>
      <c r="N43" s="334" t="str">
        <f>IF(M43="","",IF(M43="Muy Baja",0.2,IF(M43="Baja",0.4,IF(M43="Media",0.6,IF(M43="Alta",0.8,IF(M43="Muy Alta",1,))))))</f>
        <v/>
      </c>
      <c r="O43" s="378"/>
      <c r="P43" s="334">
        <f>IF(NOT(ISERROR(MATCH(O43,'Tabla Impacto'!$B$222:$B$224,0))),'Tabla Impacto'!$F$224&amp;"Por favor no seleccionar los criterios de impacto(Afectación Económica o presupuestal y Pérdida Reputacional)",O43)</f>
        <v>0</v>
      </c>
      <c r="Q43" s="379" t="str">
        <f>IF(OR(P43='Tabla Impacto'!$C$12,P43='Tabla Impacto'!$D$12),"Leve",IF(OR(P43='Tabla Impacto'!$C$13,P43='Tabla Impacto'!$D$13),"Menor",IF(OR(P43='Tabla Impacto'!$C$14,P43='Tabla Impacto'!$D$14),"Moderado",IF(OR(P43='Tabla Impacto'!$C$15,P43='Tabla Impacto'!$D$15),"Mayor",IF(OR(P43='Tabla Impacto'!$C$16,P43='Tabla Impacto'!$D$16),"Catastrófico","")))))</f>
        <v/>
      </c>
      <c r="R43" s="334" t="str">
        <f>IF(Q43="","",IF(Q43="Leve",0.2,IF(Q43="Menor",0.4,IF(Q43="Moderado",0.6,IF(Q43="Mayor",0.8,IF(Q43="Catastrófico",1,))))))</f>
        <v/>
      </c>
      <c r="S43" s="335" t="str">
        <f>IF(OR(AND(M43="Muy Baja",Q43="Leve"),AND(M43="Muy Baja",Q43="Menor"),AND(M43="Baja",Q43="Leve")),"Bajo",IF(OR(AND(M43="Muy baja",Q43="Moderado"),AND(M43="Baja",Q43="Menor"),AND(M43="Baja",Q43="Moderado"),AND(M43="Media",Q43="Leve"),AND(M43="Media",Q43="Menor"),AND(M43="Media",Q43="Moderado"),AND(M43="Alta",Q43="Leve"),AND(M43="Alta",Q43="Menor")),"Moderado",IF(OR(AND(M43="Muy Baja",Q43="Mayor"),AND(M43="Baja",Q43="Mayor"),AND(M43="Media",Q43="Mayor"),AND(M43="Alta",Q43="Moderado"),AND(M43="Alta",Q43="Mayor"),AND(M43="Muy Alta",Q43="Leve"),AND(M43="Muy Alta",Q43="Menor"),AND(M43="Muy Alta",Q43="Moderado"),AND(M43="Muy Alta",Q43="Mayor")),"Alto",IF(OR(AND(M43="Muy Baja",Q43="Catastrófico"),AND(M43="Baja",Q43="Catastrófico"),AND(M43="Media",Q43="Catastrófico"),AND(M43="Alta",Q43="Catastrófico"),AND(M43="Muy Alta",Q43="Catastrófico")),"Extremo",""))))</f>
        <v/>
      </c>
      <c r="T43" s="251">
        <v>1</v>
      </c>
      <c r="U43" s="213"/>
      <c r="V43" s="215" t="str">
        <f>IF(OR(W43="Preventivo",W43="Detectivo"),"Probabilidad",IF(W43="Correctivo","Impacto",""))</f>
        <v/>
      </c>
      <c r="W43" s="216"/>
      <c r="X43" s="216"/>
      <c r="Y43" s="217" t="str">
        <f>IF(AND(W43="Preventivo",X43="Automático"),"50%",IF(AND(W43="Preventivo",X43="Manual"),"40%",IF(AND(W43="Detectivo",X43="Automático"),"40%",IF(AND(W43="Detectivo",X43="Manual"),"30%",IF(AND(W43="Correctivo",X43="Automático"),"35%",IF(AND(W43="Correctivo",X43="Manual"),"25%",""))))))</f>
        <v/>
      </c>
      <c r="Z43" s="216"/>
      <c r="AA43" s="216"/>
      <c r="AB43" s="216"/>
      <c r="AC43" s="218" t="str">
        <f>IFERROR(IF(V43="Probabilidad",(N43-(+N43*Y43)),IF(V43="Impacto",N43,"")),"")</f>
        <v/>
      </c>
      <c r="AD43" s="219" t="str">
        <f>IFERROR(IF(AC43="","",IF(AC43&lt;=0.2,"Muy Baja",IF(AC43&lt;=0.4,"Baja",IF(AC43&lt;=0.6,"Media",IF(AC43&lt;=0.8,"Alta","Muy Alta"))))),"")</f>
        <v/>
      </c>
      <c r="AE43" s="217" t="str">
        <f>+AC43</f>
        <v/>
      </c>
      <c r="AF43" s="219" t="str">
        <f>IFERROR(IF(AG43="","",IF(AG43&lt;=0.2,"Leve",IF(AG43&lt;=0.4,"Menor",IF(AG43&lt;=0.6,"Moderado",IF(AG43&lt;=0.8,"Mayor","Catastrófico"))))),"")</f>
        <v/>
      </c>
      <c r="AG43" s="217" t="str">
        <f t="shared" ref="AG43" si="48">IFERROR(IF(V43="Impacto",(R43-(+R43*Y43)),IF(V43="Probabilidad",R43,"")),"")</f>
        <v/>
      </c>
      <c r="AH43" s="220" t="str">
        <f>IFERROR(IF(OR(AND(AD43="Muy Baja",AF43="Leve"),AND(AD43="Muy Baja",AF43="Menor"),AND(AD43="Baja",AF43="Leve")),"Bajo",IF(OR(AND(AD43="Muy baja",AF43="Moderado"),AND(AD43="Baja",AF43="Menor"),AND(AD43="Baja",AF43="Moderado"),AND(AD43="Media",AF43="Leve"),AND(AD43="Media",AF43="Menor"),AND(AD43="Media",AF43="Moderado"),AND(AD43="Alta",AF43="Leve"),AND(AD43="Alta",AF43="Menor")),"Moderado",IF(OR(AND(AD43="Muy Baja",AF43="Mayor"),AND(AD43="Baja",AF43="Mayor"),AND(AD43="Media",AF43="Mayor"),AND(AD43="Alta",AF43="Moderado"),AND(AD43="Alta",AF43="Mayor"),AND(AD43="Muy Alta",AF43="Leve"),AND(AD43="Muy Alta",AF43="Menor"),AND(AD43="Muy Alta",AF43="Moderado"),AND(AD43="Muy Alta",AF43="Mayor")),"Alto",IF(OR(AND(AD43="Muy Baja",AF43="Catastrófico"),AND(AD43="Baja",AF43="Catastrófico"),AND(AD43="Media",AF43="Catastrófico"),AND(AD43="Alta",AF43="Catastrófico"),AND(AD43="Muy Alta",AF43="Catastrófico")),"Extremo","")))),"")</f>
        <v/>
      </c>
      <c r="AI43" s="216"/>
      <c r="AJ43" s="212"/>
      <c r="AK43" s="222"/>
      <c r="AL43" s="222"/>
      <c r="AM43" s="223"/>
      <c r="AN43" s="382"/>
      <c r="AO43" s="382"/>
      <c r="AP43" s="382"/>
    </row>
    <row r="44" spans="1:42" s="224" customFormat="1" ht="37.5" customHeight="1" x14ac:dyDescent="0.2">
      <c r="A44" s="380"/>
      <c r="B44" s="381"/>
      <c r="C44" s="381"/>
      <c r="D44" s="381"/>
      <c r="E44" s="394"/>
      <c r="F44" s="381"/>
      <c r="G44" s="381"/>
      <c r="H44" s="381"/>
      <c r="I44" s="381"/>
      <c r="J44" s="381"/>
      <c r="K44" s="381"/>
      <c r="L44" s="382"/>
      <c r="M44" s="379"/>
      <c r="N44" s="334"/>
      <c r="O44" s="378"/>
      <c r="P44" s="334">
        <f t="shared" ref="P44:P48" ca="1" si="49">IF(NOT(ISERROR(MATCH(O44,_xlfn.ANCHORARRAY(E55),0))),N57&amp;"Por favor no seleccionar los criterios de impacto",O44)</f>
        <v>0</v>
      </c>
      <c r="Q44" s="379"/>
      <c r="R44" s="334"/>
      <c r="S44" s="335"/>
      <c r="T44" s="251">
        <v>2</v>
      </c>
      <c r="U44" s="213"/>
      <c r="V44" s="215" t="str">
        <f>IF(OR(W44="Preventivo",W44="Detectivo"),"Probabilidad",IF(W44="Correctivo","Impacto",""))</f>
        <v/>
      </c>
      <c r="W44" s="216"/>
      <c r="X44" s="216"/>
      <c r="Y44" s="217" t="str">
        <f t="shared" ref="Y44:Y48" si="50">IF(AND(W44="Preventivo",X44="Automático"),"50%",IF(AND(W44="Preventivo",X44="Manual"),"40%",IF(AND(W44="Detectivo",X44="Automático"),"40%",IF(AND(W44="Detectivo",X44="Manual"),"30%",IF(AND(W44="Correctivo",X44="Automático"),"35%",IF(AND(W44="Correctivo",X44="Manual"),"25%",""))))))</f>
        <v/>
      </c>
      <c r="Z44" s="216"/>
      <c r="AA44" s="216"/>
      <c r="AB44" s="216"/>
      <c r="AC44" s="218" t="str">
        <f>IFERROR(IF(AND(V43="Probabilidad",V44="Probabilidad"),(AE43-(+AE43*Y44)),IF(V44="Probabilidad",(N43-(+N43*Y44)),IF(V44="Impacto",AE43,""))),"")</f>
        <v/>
      </c>
      <c r="AD44" s="219" t="str">
        <f t="shared" si="2"/>
        <v/>
      </c>
      <c r="AE44" s="217" t="str">
        <f t="shared" ref="AE44:AE48" si="51">+AC44</f>
        <v/>
      </c>
      <c r="AF44" s="219" t="str">
        <f t="shared" si="4"/>
        <v/>
      </c>
      <c r="AG44" s="217" t="str">
        <f t="shared" ref="AG44" si="52">IFERROR(IF(AND(V43="Impacto",V44="Impacto"),(AG43-(+AG43*Y44)),IF(V44="Impacto",($R$13-(+$R$13*Y44)),IF(V44="Probabilidad",AG43,""))),"")</f>
        <v/>
      </c>
      <c r="AH44" s="220" t="str">
        <f t="shared" ref="AH44:AH45" si="53">IFERROR(IF(OR(AND(AD44="Muy Baja",AF44="Leve"),AND(AD44="Muy Baja",AF44="Menor"),AND(AD44="Baja",AF44="Leve")),"Bajo",IF(OR(AND(AD44="Muy baja",AF44="Moderado"),AND(AD44="Baja",AF44="Menor"),AND(AD44="Baja",AF44="Moderado"),AND(AD44="Media",AF44="Leve"),AND(AD44="Media",AF44="Menor"),AND(AD44="Media",AF44="Moderado"),AND(AD44="Alta",AF44="Leve"),AND(AD44="Alta",AF44="Menor")),"Moderado",IF(OR(AND(AD44="Muy Baja",AF44="Mayor"),AND(AD44="Baja",AF44="Mayor"),AND(AD44="Media",AF44="Mayor"),AND(AD44="Alta",AF44="Moderado"),AND(AD44="Alta",AF44="Mayor"),AND(AD44="Muy Alta",AF44="Leve"),AND(AD44="Muy Alta",AF44="Menor"),AND(AD44="Muy Alta",AF44="Moderado"),AND(AD44="Muy Alta",AF44="Mayor")),"Alto",IF(OR(AND(AD44="Muy Baja",AF44="Catastrófico"),AND(AD44="Baja",AF44="Catastrófico"),AND(AD44="Media",AF44="Catastrófico"),AND(AD44="Alta",AF44="Catastrófico"),AND(AD44="Muy Alta",AF44="Catastrófico")),"Extremo","")))),"")</f>
        <v/>
      </c>
      <c r="AI44" s="221"/>
      <c r="AJ44" s="212"/>
      <c r="AK44" s="222"/>
      <c r="AL44" s="222"/>
      <c r="AM44" s="223"/>
      <c r="AN44" s="382"/>
      <c r="AO44" s="382"/>
      <c r="AP44" s="382"/>
    </row>
    <row r="45" spans="1:42" s="224" customFormat="1" ht="37.5" customHeight="1" x14ac:dyDescent="0.2">
      <c r="A45" s="380"/>
      <c r="B45" s="381"/>
      <c r="C45" s="381"/>
      <c r="D45" s="381"/>
      <c r="E45" s="394"/>
      <c r="F45" s="381"/>
      <c r="G45" s="381"/>
      <c r="H45" s="381"/>
      <c r="I45" s="381"/>
      <c r="J45" s="381"/>
      <c r="K45" s="381"/>
      <c r="L45" s="382"/>
      <c r="M45" s="379"/>
      <c r="N45" s="334"/>
      <c r="O45" s="378"/>
      <c r="P45" s="334">
        <f t="shared" ca="1" si="49"/>
        <v>0</v>
      </c>
      <c r="Q45" s="379"/>
      <c r="R45" s="334"/>
      <c r="S45" s="335"/>
      <c r="T45" s="251">
        <v>3</v>
      </c>
      <c r="U45" s="214"/>
      <c r="V45" s="215" t="str">
        <f>IF(OR(W45="Preventivo",W45="Detectivo"),"Probabilidad",IF(W45="Correctivo","Impacto",""))</f>
        <v/>
      </c>
      <c r="W45" s="216"/>
      <c r="X45" s="216"/>
      <c r="Y45" s="217" t="str">
        <f t="shared" si="50"/>
        <v/>
      </c>
      <c r="Z45" s="216"/>
      <c r="AA45" s="216"/>
      <c r="AB45" s="216"/>
      <c r="AC45" s="218" t="str">
        <f>IFERROR(IF(AND(V44="Probabilidad",V45="Probabilidad"),(AE44-(+AE44*Y45)),IF(AND(V44="Impacto",V45="Probabilidad"),(AE43-(+AE43*Y45)),IF(V45="Impacto",AE44,""))),"")</f>
        <v/>
      </c>
      <c r="AD45" s="219" t="str">
        <f t="shared" si="2"/>
        <v/>
      </c>
      <c r="AE45" s="217" t="str">
        <f t="shared" si="51"/>
        <v/>
      </c>
      <c r="AF45" s="219" t="str">
        <f t="shared" si="4"/>
        <v/>
      </c>
      <c r="AG45" s="217" t="str">
        <f t="shared" ref="AG45" si="54">IFERROR(IF(AND(V44="Impacto",V45="Impacto"),(AG44-(+AG44*Y45)),IF(AND(V44="Probabilidad",V45="Impacto"),(AG43-(+AG43*Y45)),IF(V45="Probabilidad",AG44,""))),"")</f>
        <v/>
      </c>
      <c r="AH45" s="220" t="str">
        <f t="shared" si="53"/>
        <v/>
      </c>
      <c r="AI45" s="221"/>
      <c r="AJ45" s="212"/>
      <c r="AK45" s="222"/>
      <c r="AL45" s="222"/>
      <c r="AM45" s="223"/>
      <c r="AN45" s="382"/>
      <c r="AO45" s="382"/>
      <c r="AP45" s="382"/>
    </row>
    <row r="46" spans="1:42" s="224" customFormat="1" ht="37.5" customHeight="1" x14ac:dyDescent="0.2">
      <c r="A46" s="380"/>
      <c r="B46" s="381"/>
      <c r="C46" s="381"/>
      <c r="D46" s="381"/>
      <c r="E46" s="394"/>
      <c r="F46" s="381"/>
      <c r="G46" s="381"/>
      <c r="H46" s="381"/>
      <c r="I46" s="381"/>
      <c r="J46" s="381"/>
      <c r="K46" s="381"/>
      <c r="L46" s="382"/>
      <c r="M46" s="379"/>
      <c r="N46" s="334"/>
      <c r="O46" s="378"/>
      <c r="P46" s="334">
        <f t="shared" ca="1" si="49"/>
        <v>0</v>
      </c>
      <c r="Q46" s="379"/>
      <c r="R46" s="334"/>
      <c r="S46" s="335"/>
      <c r="T46" s="251">
        <v>4</v>
      </c>
      <c r="U46" s="213"/>
      <c r="V46" s="215" t="str">
        <f t="shared" ref="V46:V48" si="55">IF(OR(W46="Preventivo",W46="Detectivo"),"Probabilidad",IF(W46="Correctivo","Impacto",""))</f>
        <v/>
      </c>
      <c r="W46" s="216"/>
      <c r="X46" s="216"/>
      <c r="Y46" s="217" t="str">
        <f t="shared" si="50"/>
        <v/>
      </c>
      <c r="Z46" s="216"/>
      <c r="AA46" s="216"/>
      <c r="AB46" s="216"/>
      <c r="AC46" s="218" t="str">
        <f t="shared" ref="AC46:AC48" si="56">IFERROR(IF(AND(V45="Probabilidad",V46="Probabilidad"),(AE45-(+AE45*Y46)),IF(AND(V45="Impacto",V46="Probabilidad"),(AE44-(+AE44*Y46)),IF(V46="Impacto",AE45,""))),"")</f>
        <v/>
      </c>
      <c r="AD46" s="219" t="str">
        <f t="shared" si="2"/>
        <v/>
      </c>
      <c r="AE46" s="217" t="str">
        <f t="shared" si="51"/>
        <v/>
      </c>
      <c r="AF46" s="219" t="str">
        <f t="shared" si="4"/>
        <v/>
      </c>
      <c r="AG46" s="217" t="str">
        <f t="shared" si="14"/>
        <v/>
      </c>
      <c r="AH46" s="220" t="str">
        <f>IFERROR(IF(OR(AND(AD46="Muy Baja",AF46="Leve"),AND(AD46="Muy Baja",AF46="Menor"),AND(AD46="Baja",AF46="Leve")),"Bajo",IF(OR(AND(AD46="Muy baja",AF46="Moderado"),AND(AD46="Baja",AF46="Menor"),AND(AD46="Baja",AF46="Moderado"),AND(AD46="Media",AF46="Leve"),AND(AD46="Media",AF46="Menor"),AND(AD46="Media",AF46="Moderado"),AND(AD46="Alta",AF46="Leve"),AND(AD46="Alta",AF46="Menor")),"Moderado",IF(OR(AND(AD46="Muy Baja",AF46="Mayor"),AND(AD46="Baja",AF46="Mayor"),AND(AD46="Media",AF46="Mayor"),AND(AD46="Alta",AF46="Moderado"),AND(AD46="Alta",AF46="Mayor"),AND(AD46="Muy Alta",AF46="Leve"),AND(AD46="Muy Alta",AF46="Menor"),AND(AD46="Muy Alta",AF46="Moderado"),AND(AD46="Muy Alta",AF46="Mayor")),"Alto",IF(OR(AND(AD46="Muy Baja",AF46="Catastrófico"),AND(AD46="Baja",AF46="Catastrófico"),AND(AD46="Media",AF46="Catastrófico"),AND(AD46="Alta",AF46="Catastrófico"),AND(AD46="Muy Alta",AF46="Catastrófico")),"Extremo","")))),"")</f>
        <v/>
      </c>
      <c r="AI46" s="221"/>
      <c r="AJ46" s="212"/>
      <c r="AK46" s="222"/>
      <c r="AL46" s="222"/>
      <c r="AM46" s="223"/>
      <c r="AN46" s="382"/>
      <c r="AO46" s="382"/>
      <c r="AP46" s="382"/>
    </row>
    <row r="47" spans="1:42" s="224" customFormat="1" ht="37.5" customHeight="1" x14ac:dyDescent="0.2">
      <c r="A47" s="380"/>
      <c r="B47" s="381"/>
      <c r="C47" s="381"/>
      <c r="D47" s="381"/>
      <c r="E47" s="394"/>
      <c r="F47" s="381"/>
      <c r="G47" s="381"/>
      <c r="H47" s="381"/>
      <c r="I47" s="381"/>
      <c r="J47" s="381"/>
      <c r="K47" s="381"/>
      <c r="L47" s="382"/>
      <c r="M47" s="379"/>
      <c r="N47" s="334"/>
      <c r="O47" s="378"/>
      <c r="P47" s="334">
        <f t="shared" ca="1" si="49"/>
        <v>0</v>
      </c>
      <c r="Q47" s="379"/>
      <c r="R47" s="334"/>
      <c r="S47" s="335"/>
      <c r="T47" s="251">
        <v>5</v>
      </c>
      <c r="U47" s="213"/>
      <c r="V47" s="215" t="str">
        <f t="shared" si="55"/>
        <v/>
      </c>
      <c r="W47" s="216"/>
      <c r="X47" s="216"/>
      <c r="Y47" s="217" t="str">
        <f t="shared" si="50"/>
        <v/>
      </c>
      <c r="Z47" s="216"/>
      <c r="AA47" s="216"/>
      <c r="AB47" s="216"/>
      <c r="AC47" s="218" t="str">
        <f t="shared" si="56"/>
        <v/>
      </c>
      <c r="AD47" s="219" t="str">
        <f t="shared" si="2"/>
        <v/>
      </c>
      <c r="AE47" s="217" t="str">
        <f t="shared" si="51"/>
        <v/>
      </c>
      <c r="AF47" s="219" t="str">
        <f t="shared" si="4"/>
        <v/>
      </c>
      <c r="AG47" s="217" t="str">
        <f t="shared" si="14"/>
        <v/>
      </c>
      <c r="AH47" s="220" t="str">
        <f t="shared" ref="AH47" si="57">IFERROR(IF(OR(AND(AD47="Muy Baja",AF47="Leve"),AND(AD47="Muy Baja",AF47="Menor"),AND(AD47="Baja",AF47="Leve")),"Bajo",IF(OR(AND(AD47="Muy baja",AF47="Moderado"),AND(AD47="Baja",AF47="Menor"),AND(AD47="Baja",AF47="Moderado"),AND(AD47="Media",AF47="Leve"),AND(AD47="Media",AF47="Menor"),AND(AD47="Media",AF47="Moderado"),AND(AD47="Alta",AF47="Leve"),AND(AD47="Alta",AF47="Menor")),"Moderado",IF(OR(AND(AD47="Muy Baja",AF47="Mayor"),AND(AD47="Baja",AF47="Mayor"),AND(AD47="Media",AF47="Mayor"),AND(AD47="Alta",AF47="Moderado"),AND(AD47="Alta",AF47="Mayor"),AND(AD47="Muy Alta",AF47="Leve"),AND(AD47="Muy Alta",AF47="Menor"),AND(AD47="Muy Alta",AF47="Moderado"),AND(AD47="Muy Alta",AF47="Mayor")),"Alto",IF(OR(AND(AD47="Muy Baja",AF47="Catastrófico"),AND(AD47="Baja",AF47="Catastrófico"),AND(AD47="Media",AF47="Catastrófico"),AND(AD47="Alta",AF47="Catastrófico"),AND(AD47="Muy Alta",AF47="Catastrófico")),"Extremo","")))),"")</f>
        <v/>
      </c>
      <c r="AI47" s="221"/>
      <c r="AJ47" s="212"/>
      <c r="AK47" s="222"/>
      <c r="AL47" s="222"/>
      <c r="AM47" s="223"/>
      <c r="AN47" s="382"/>
      <c r="AO47" s="382"/>
      <c r="AP47" s="382"/>
    </row>
    <row r="48" spans="1:42" s="224" customFormat="1" ht="37.5" customHeight="1" x14ac:dyDescent="0.2">
      <c r="A48" s="380"/>
      <c r="B48" s="381"/>
      <c r="C48" s="381"/>
      <c r="D48" s="381"/>
      <c r="E48" s="395"/>
      <c r="F48" s="381"/>
      <c r="G48" s="381"/>
      <c r="H48" s="381"/>
      <c r="I48" s="381"/>
      <c r="J48" s="381"/>
      <c r="K48" s="381"/>
      <c r="L48" s="382"/>
      <c r="M48" s="379"/>
      <c r="N48" s="334"/>
      <c r="O48" s="378"/>
      <c r="P48" s="334">
        <f t="shared" ca="1" si="49"/>
        <v>0</v>
      </c>
      <c r="Q48" s="379"/>
      <c r="R48" s="334"/>
      <c r="S48" s="335"/>
      <c r="T48" s="251">
        <v>6</v>
      </c>
      <c r="U48" s="213"/>
      <c r="V48" s="215" t="str">
        <f t="shared" si="55"/>
        <v/>
      </c>
      <c r="W48" s="216"/>
      <c r="X48" s="216"/>
      <c r="Y48" s="217" t="str">
        <f t="shared" si="50"/>
        <v/>
      </c>
      <c r="Z48" s="216"/>
      <c r="AA48" s="216"/>
      <c r="AB48" s="216"/>
      <c r="AC48" s="218" t="str">
        <f t="shared" si="56"/>
        <v/>
      </c>
      <c r="AD48" s="219" t="str">
        <f t="shared" si="2"/>
        <v/>
      </c>
      <c r="AE48" s="217" t="str">
        <f t="shared" si="51"/>
        <v/>
      </c>
      <c r="AF48" s="219" t="str">
        <f>IFERROR(IF(AG48="","",IF(AG48&lt;=0.2,"Leve",IF(AG48&lt;=0.4,"Menor",IF(AG48&lt;=0.6,"Moderado",IF(AG48&lt;=0.8,"Mayor","Catastrófico"))))),"")</f>
        <v/>
      </c>
      <c r="AG48" s="217" t="str">
        <f t="shared" si="14"/>
        <v/>
      </c>
      <c r="AH48" s="220" t="str">
        <f>IFERROR(IF(OR(AND(AD48="Muy Baja",AF48="Leve"),AND(AD48="Muy Baja",AF48="Menor"),AND(AD48="Baja",AF48="Leve")),"Bajo",IF(OR(AND(AD48="Muy baja",AF48="Moderado"),AND(AD48="Baja",AF48="Menor"),AND(AD48="Baja",AF48="Moderado"),AND(AD48="Media",AF48="Leve"),AND(AD48="Media",AF48="Menor"),AND(AD48="Media",AF48="Moderado"),AND(AD48="Alta",AF48="Leve"),AND(AD48="Alta",AF48="Menor")),"Moderado",IF(OR(AND(AD48="Muy Baja",AF48="Mayor"),AND(AD48="Baja",AF48="Mayor"),AND(AD48="Media",AF48="Mayor"),AND(AD48="Alta",AF48="Moderado"),AND(AD48="Alta",AF48="Mayor"),AND(AD48="Muy Alta",AF48="Leve"),AND(AD48="Muy Alta",AF48="Menor"),AND(AD48="Muy Alta",AF48="Moderado"),AND(AD48="Muy Alta",AF48="Mayor")),"Alto",IF(OR(AND(AD48="Muy Baja",AF48="Catastrófico"),AND(AD48="Baja",AF48="Catastrófico"),AND(AD48="Media",AF48="Catastrófico"),AND(AD48="Alta",AF48="Catastrófico"),AND(AD48="Muy Alta",AF48="Catastrófico")),"Extremo","")))),"")</f>
        <v/>
      </c>
      <c r="AI48" s="221"/>
      <c r="AJ48" s="212"/>
      <c r="AK48" s="222"/>
      <c r="AL48" s="222"/>
      <c r="AM48" s="223"/>
      <c r="AN48" s="382"/>
      <c r="AO48" s="382"/>
      <c r="AP48" s="382"/>
    </row>
    <row r="49" spans="1:42" s="224" customFormat="1" ht="37.5" customHeight="1" x14ac:dyDescent="0.2">
      <c r="A49" s="380">
        <v>7</v>
      </c>
      <c r="B49" s="381"/>
      <c r="C49" s="381"/>
      <c r="D49" s="392"/>
      <c r="E49" s="381"/>
      <c r="F49" s="381"/>
      <c r="G49" s="381"/>
      <c r="H49" s="381"/>
      <c r="I49" s="381"/>
      <c r="J49" s="381"/>
      <c r="K49" s="381"/>
      <c r="L49" s="382"/>
      <c r="M49" s="379" t="str">
        <f>IF(L49&lt;=0,"",IF(L49&lt;=2,"Muy Baja",IF(L49&lt;=24,"Baja",IF(L49&lt;=500,"Media",IF(L49&lt;=5000,"Alta","Muy Alta")))))</f>
        <v/>
      </c>
      <c r="N49" s="334" t="str">
        <f>IF(M49="","",IF(M49="Muy Baja",0.2,IF(M49="Baja",0.4,IF(M49="Media",0.6,IF(M49="Alta",0.8,IF(M49="Muy Alta",1,))))))</f>
        <v/>
      </c>
      <c r="O49" s="378"/>
      <c r="P49" s="334">
        <f>IF(NOT(ISERROR(MATCH(O49,'Tabla Impacto'!$B$222:$B$224,0))),'Tabla Impacto'!$F$224&amp;"Por favor no seleccionar los criterios de impacto(Afectación Económica o presupuestal y Pérdida Reputacional)",O49)</f>
        <v>0</v>
      </c>
      <c r="Q49" s="379" t="str">
        <f>IF(OR(P49='Tabla Impacto'!$C$12,P49='Tabla Impacto'!$D$12),"Leve",IF(OR(P49='Tabla Impacto'!$C$13,P49='Tabla Impacto'!$D$13),"Menor",IF(OR(P49='Tabla Impacto'!$C$14,P49='Tabla Impacto'!$D$14),"Moderado",IF(OR(P49='Tabla Impacto'!$C$15,P49='Tabla Impacto'!$D$15),"Mayor",IF(OR(P49='Tabla Impacto'!$C$16,P49='Tabla Impacto'!$D$16),"Catastrófico","")))))</f>
        <v/>
      </c>
      <c r="R49" s="334" t="str">
        <f>IF(Q49="","",IF(Q49="Leve",0.2,IF(Q49="Menor",0.4,IF(Q49="Moderado",0.6,IF(Q49="Mayor",0.8,IF(Q49="Catastrófico",1,))))))</f>
        <v/>
      </c>
      <c r="S49" s="335" t="str">
        <f>IF(OR(AND(M49="Muy Baja",Q49="Leve"),AND(M49="Muy Baja",Q49="Menor"),AND(M49="Baja",Q49="Leve")),"Bajo",IF(OR(AND(M49="Muy baja",Q49="Moderado"),AND(M49="Baja",Q49="Menor"),AND(M49="Baja",Q49="Moderado"),AND(M49="Media",Q49="Leve"),AND(M49="Media",Q49="Menor"),AND(M49="Media",Q49="Moderado"),AND(M49="Alta",Q49="Leve"),AND(M49="Alta",Q49="Menor")),"Moderado",IF(OR(AND(M49="Muy Baja",Q49="Mayor"),AND(M49="Baja",Q49="Mayor"),AND(M49="Media",Q49="Mayor"),AND(M49="Alta",Q49="Moderado"),AND(M49="Alta",Q49="Mayor"),AND(M49="Muy Alta",Q49="Leve"),AND(M49="Muy Alta",Q49="Menor"),AND(M49="Muy Alta",Q49="Moderado"),AND(M49="Muy Alta",Q49="Mayor")),"Alto",IF(OR(AND(M49="Muy Baja",Q49="Catastrófico"),AND(M49="Baja",Q49="Catastrófico"),AND(M49="Media",Q49="Catastrófico"),AND(M49="Alta",Q49="Catastrófico"),AND(M49="Muy Alta",Q49="Catastrófico")),"Extremo",""))))</f>
        <v/>
      </c>
      <c r="T49" s="251">
        <v>1</v>
      </c>
      <c r="U49" s="225"/>
      <c r="V49" s="215" t="str">
        <f>IF(OR(W49="Preventivo",W49="Detectivo"),"Probabilidad",IF(W49="Correctivo","Impacto",""))</f>
        <v/>
      </c>
      <c r="W49" s="216"/>
      <c r="X49" s="216"/>
      <c r="Y49" s="217" t="str">
        <f>IF(AND(W49="Preventivo",X49="Automático"),"50%",IF(AND(W49="Preventivo",X49="Manual"),"40%",IF(AND(W49="Detectivo",X49="Automático"),"40%",IF(AND(W49="Detectivo",X49="Manual"),"30%",IF(AND(W49="Correctivo",X49="Automático"),"35%",IF(AND(W49="Correctivo",X49="Manual"),"25%",""))))))</f>
        <v/>
      </c>
      <c r="Z49" s="216"/>
      <c r="AA49" s="216"/>
      <c r="AB49" s="216"/>
      <c r="AC49" s="218" t="str">
        <f>IFERROR(IF(V49="Probabilidad",(N49-(+N49*Y49)),IF(V49="Impacto",N49,"")),"")</f>
        <v/>
      </c>
      <c r="AD49" s="219" t="str">
        <f>IFERROR(IF(AC49="","",IF(AC49&lt;=0.2,"Muy Baja",IF(AC49&lt;=0.4,"Baja",IF(AC49&lt;=0.6,"Media",IF(AC49&lt;=0.8,"Alta","Muy Alta"))))),"")</f>
        <v/>
      </c>
      <c r="AE49" s="217" t="str">
        <f>+AC49</f>
        <v/>
      </c>
      <c r="AF49" s="219" t="str">
        <f>IFERROR(IF(AG49="","",IF(AG49&lt;=0.2,"Leve",IF(AG49&lt;=0.4,"Menor",IF(AG49&lt;=0.6,"Moderado",IF(AG49&lt;=0.8,"Mayor","Catastrófico"))))),"")</f>
        <v/>
      </c>
      <c r="AG49" s="217" t="str">
        <f t="shared" ref="AG49" si="58">IFERROR(IF(V49="Impacto",(R49-(+R49*Y49)),IF(V49="Probabilidad",R49,"")),"")</f>
        <v/>
      </c>
      <c r="AH49" s="220" t="str">
        <f>IFERROR(IF(OR(AND(AD49="Muy Baja",AF49="Leve"),AND(AD49="Muy Baja",AF49="Menor"),AND(AD49="Baja",AF49="Leve")),"Bajo",IF(OR(AND(AD49="Muy baja",AF49="Moderado"),AND(AD49="Baja",AF49="Menor"),AND(AD49="Baja",AF49="Moderado"),AND(AD49="Media",AF49="Leve"),AND(AD49="Media",AF49="Menor"),AND(AD49="Media",AF49="Moderado"),AND(AD49="Alta",AF49="Leve"),AND(AD49="Alta",AF49="Menor")),"Moderado",IF(OR(AND(AD49="Muy Baja",AF49="Mayor"),AND(AD49="Baja",AF49="Mayor"),AND(AD49="Media",AF49="Mayor"),AND(AD49="Alta",AF49="Moderado"),AND(AD49="Alta",AF49="Mayor"),AND(AD49="Muy Alta",AF49="Leve"),AND(AD49="Muy Alta",AF49="Menor"),AND(AD49="Muy Alta",AF49="Moderado"),AND(AD49="Muy Alta",AF49="Mayor")),"Alto",IF(OR(AND(AD49="Muy Baja",AF49="Catastrófico"),AND(AD49="Baja",AF49="Catastrófico"),AND(AD49="Media",AF49="Catastrófico"),AND(AD49="Alta",AF49="Catastrófico"),AND(AD49="Muy Alta",AF49="Catastrófico")),"Extremo","")))),"")</f>
        <v/>
      </c>
      <c r="AI49" s="221"/>
      <c r="AJ49" s="212"/>
      <c r="AK49" s="222"/>
      <c r="AL49" s="222"/>
      <c r="AM49" s="223"/>
      <c r="AN49" s="382"/>
      <c r="AO49" s="382"/>
      <c r="AP49" s="382"/>
    </row>
    <row r="50" spans="1:42" s="224" customFormat="1" ht="37.5" customHeight="1" x14ac:dyDescent="0.2">
      <c r="A50" s="380"/>
      <c r="B50" s="381"/>
      <c r="C50" s="381"/>
      <c r="D50" s="392"/>
      <c r="E50" s="381"/>
      <c r="F50" s="381"/>
      <c r="G50" s="381"/>
      <c r="H50" s="381"/>
      <c r="I50" s="381"/>
      <c r="J50" s="381"/>
      <c r="K50" s="381"/>
      <c r="L50" s="382"/>
      <c r="M50" s="379"/>
      <c r="N50" s="334"/>
      <c r="O50" s="378"/>
      <c r="P50" s="334">
        <f t="shared" ref="P50:P54" ca="1" si="59">IF(NOT(ISERROR(MATCH(O50,_xlfn.ANCHORARRAY(E61),0))),N63&amp;"Por favor no seleccionar los criterios de impacto",O50)</f>
        <v>0</v>
      </c>
      <c r="Q50" s="379"/>
      <c r="R50" s="334"/>
      <c r="S50" s="335"/>
      <c r="T50" s="251">
        <v>2</v>
      </c>
      <c r="U50" s="213"/>
      <c r="V50" s="215" t="str">
        <f>IF(OR(W50="Preventivo",W50="Detectivo"),"Probabilidad",IF(W50="Correctivo","Impacto",""))</f>
        <v/>
      </c>
      <c r="W50" s="216"/>
      <c r="X50" s="216"/>
      <c r="Y50" s="217" t="str">
        <f t="shared" ref="Y50:Y54" si="60">IF(AND(W50="Preventivo",X50="Automático"),"50%",IF(AND(W50="Preventivo",X50="Manual"),"40%",IF(AND(W50="Detectivo",X50="Automático"),"40%",IF(AND(W50="Detectivo",X50="Manual"),"30%",IF(AND(W50="Correctivo",X50="Automático"),"35%",IF(AND(W50="Correctivo",X50="Manual"),"25%",""))))))</f>
        <v/>
      </c>
      <c r="Z50" s="216"/>
      <c r="AA50" s="216"/>
      <c r="AB50" s="216"/>
      <c r="AC50" s="218" t="str">
        <f>IFERROR(IF(AND(V49="Probabilidad",V50="Probabilidad"),(AE49-(+AE49*Y50)),IF(V50="Probabilidad",(N49-(+N49*Y50)),IF(V50="Impacto",AE49,""))),"")</f>
        <v/>
      </c>
      <c r="AD50" s="219" t="str">
        <f t="shared" si="2"/>
        <v/>
      </c>
      <c r="AE50" s="217" t="str">
        <f t="shared" ref="AE50:AE54" si="61">+AC50</f>
        <v/>
      </c>
      <c r="AF50" s="219" t="str">
        <f t="shared" si="4"/>
        <v/>
      </c>
      <c r="AG50" s="217" t="str">
        <f t="shared" ref="AG50" si="62">IFERROR(IF(AND(V49="Impacto",V50="Impacto"),(AG49-(+AG49*Y50)),IF(V50="Impacto",($R$13-(+$R$13*Y50)),IF(V50="Probabilidad",AG49,""))),"")</f>
        <v/>
      </c>
      <c r="AH50" s="220" t="str">
        <f t="shared" ref="AH50:AH51" si="63">IFERROR(IF(OR(AND(AD50="Muy Baja",AF50="Leve"),AND(AD50="Muy Baja",AF50="Menor"),AND(AD50="Baja",AF50="Leve")),"Bajo",IF(OR(AND(AD50="Muy baja",AF50="Moderado"),AND(AD50="Baja",AF50="Menor"),AND(AD50="Baja",AF50="Moderado"),AND(AD50="Media",AF50="Leve"),AND(AD50="Media",AF50="Menor"),AND(AD50="Media",AF50="Moderado"),AND(AD50="Alta",AF50="Leve"),AND(AD50="Alta",AF50="Menor")),"Moderado",IF(OR(AND(AD50="Muy Baja",AF50="Mayor"),AND(AD50="Baja",AF50="Mayor"),AND(AD50="Media",AF50="Mayor"),AND(AD50="Alta",AF50="Moderado"),AND(AD50="Alta",AF50="Mayor"),AND(AD50="Muy Alta",AF50="Leve"),AND(AD50="Muy Alta",AF50="Menor"),AND(AD50="Muy Alta",AF50="Moderado"),AND(AD50="Muy Alta",AF50="Mayor")),"Alto",IF(OR(AND(AD50="Muy Baja",AF50="Catastrófico"),AND(AD50="Baja",AF50="Catastrófico"),AND(AD50="Media",AF50="Catastrófico"),AND(AD50="Alta",AF50="Catastrófico"),AND(AD50="Muy Alta",AF50="Catastrófico")),"Extremo","")))),"")</f>
        <v/>
      </c>
      <c r="AI50" s="221"/>
      <c r="AJ50" s="212"/>
      <c r="AK50" s="222"/>
      <c r="AL50" s="222"/>
      <c r="AM50" s="223"/>
      <c r="AN50" s="382"/>
      <c r="AO50" s="382"/>
      <c r="AP50" s="382"/>
    </row>
    <row r="51" spans="1:42" s="224" customFormat="1" ht="37.5" customHeight="1" x14ac:dyDescent="0.2">
      <c r="A51" s="380"/>
      <c r="B51" s="381"/>
      <c r="C51" s="381"/>
      <c r="D51" s="392"/>
      <c r="E51" s="381"/>
      <c r="F51" s="381"/>
      <c r="G51" s="381"/>
      <c r="H51" s="381"/>
      <c r="I51" s="381"/>
      <c r="J51" s="381"/>
      <c r="K51" s="381"/>
      <c r="L51" s="382"/>
      <c r="M51" s="379"/>
      <c r="N51" s="334"/>
      <c r="O51" s="378"/>
      <c r="P51" s="334">
        <f t="shared" ca="1" si="59"/>
        <v>0</v>
      </c>
      <c r="Q51" s="379"/>
      <c r="R51" s="334"/>
      <c r="S51" s="335"/>
      <c r="T51" s="251">
        <v>3</v>
      </c>
      <c r="U51" s="214"/>
      <c r="V51" s="215" t="str">
        <f>IF(OR(W51="Preventivo",W51="Detectivo"),"Probabilidad",IF(W51="Correctivo","Impacto",""))</f>
        <v/>
      </c>
      <c r="W51" s="216"/>
      <c r="X51" s="216"/>
      <c r="Y51" s="217" t="str">
        <f t="shared" si="60"/>
        <v/>
      </c>
      <c r="Z51" s="216"/>
      <c r="AA51" s="216"/>
      <c r="AB51" s="216"/>
      <c r="AC51" s="218" t="str">
        <f>IFERROR(IF(AND(V50="Probabilidad",V51="Probabilidad"),(AE50-(+AE50*Y51)),IF(AND(V50="Impacto",V51="Probabilidad"),(AE49-(+AE49*Y51)),IF(V51="Impacto",AE50,""))),"")</f>
        <v/>
      </c>
      <c r="AD51" s="219" t="str">
        <f t="shared" si="2"/>
        <v/>
      </c>
      <c r="AE51" s="217" t="str">
        <f t="shared" si="61"/>
        <v/>
      </c>
      <c r="AF51" s="219" t="str">
        <f t="shared" si="4"/>
        <v/>
      </c>
      <c r="AG51" s="217" t="str">
        <f t="shared" ref="AG51" si="64">IFERROR(IF(AND(V50="Impacto",V51="Impacto"),(AG50-(+AG50*Y51)),IF(AND(V50="Probabilidad",V51="Impacto"),(AG49-(+AG49*Y51)),IF(V51="Probabilidad",AG50,""))),"")</f>
        <v/>
      </c>
      <c r="AH51" s="220" t="str">
        <f t="shared" si="63"/>
        <v/>
      </c>
      <c r="AI51" s="221"/>
      <c r="AJ51" s="212"/>
      <c r="AK51" s="222"/>
      <c r="AL51" s="222"/>
      <c r="AM51" s="223"/>
      <c r="AN51" s="382"/>
      <c r="AO51" s="382"/>
      <c r="AP51" s="382"/>
    </row>
    <row r="52" spans="1:42" s="224" customFormat="1" ht="37.5" customHeight="1" x14ac:dyDescent="0.2">
      <c r="A52" s="380"/>
      <c r="B52" s="381"/>
      <c r="C52" s="381"/>
      <c r="D52" s="392"/>
      <c r="E52" s="381"/>
      <c r="F52" s="381"/>
      <c r="G52" s="381"/>
      <c r="H52" s="381"/>
      <c r="I52" s="381"/>
      <c r="J52" s="381"/>
      <c r="K52" s="381"/>
      <c r="L52" s="382"/>
      <c r="M52" s="379"/>
      <c r="N52" s="334"/>
      <c r="O52" s="378"/>
      <c r="P52" s="334">
        <f t="shared" ca="1" si="59"/>
        <v>0</v>
      </c>
      <c r="Q52" s="379"/>
      <c r="R52" s="334"/>
      <c r="S52" s="335"/>
      <c r="T52" s="251">
        <v>4</v>
      </c>
      <c r="U52" s="213"/>
      <c r="V52" s="215" t="str">
        <f t="shared" ref="V52:V54" si="65">IF(OR(W52="Preventivo",W52="Detectivo"),"Probabilidad",IF(W52="Correctivo","Impacto",""))</f>
        <v/>
      </c>
      <c r="W52" s="216"/>
      <c r="X52" s="216"/>
      <c r="Y52" s="217" t="str">
        <f t="shared" si="60"/>
        <v/>
      </c>
      <c r="Z52" s="216"/>
      <c r="AA52" s="216"/>
      <c r="AB52" s="216"/>
      <c r="AC52" s="218" t="str">
        <f t="shared" ref="AC52:AC54" si="66">IFERROR(IF(AND(V51="Probabilidad",V52="Probabilidad"),(AE51-(+AE51*Y52)),IF(AND(V51="Impacto",V52="Probabilidad"),(AE50-(+AE50*Y52)),IF(V52="Impacto",AE51,""))),"")</f>
        <v/>
      </c>
      <c r="AD52" s="219" t="str">
        <f t="shared" si="2"/>
        <v/>
      </c>
      <c r="AE52" s="217" t="str">
        <f t="shared" si="61"/>
        <v/>
      </c>
      <c r="AF52" s="219" t="str">
        <f t="shared" si="4"/>
        <v/>
      </c>
      <c r="AG52" s="217" t="str">
        <f t="shared" si="14"/>
        <v/>
      </c>
      <c r="AH52" s="220" t="str">
        <f>IFERROR(IF(OR(AND(AD52="Muy Baja",AF52="Leve"),AND(AD52="Muy Baja",AF52="Menor"),AND(AD52="Baja",AF52="Leve")),"Bajo",IF(OR(AND(AD52="Muy baja",AF52="Moderado"),AND(AD52="Baja",AF52="Menor"),AND(AD52="Baja",AF52="Moderado"),AND(AD52="Media",AF52="Leve"),AND(AD52="Media",AF52="Menor"),AND(AD52="Media",AF52="Moderado"),AND(AD52="Alta",AF52="Leve"),AND(AD52="Alta",AF52="Menor")),"Moderado",IF(OR(AND(AD52="Muy Baja",AF52="Mayor"),AND(AD52="Baja",AF52="Mayor"),AND(AD52="Media",AF52="Mayor"),AND(AD52="Alta",AF52="Moderado"),AND(AD52="Alta",AF52="Mayor"),AND(AD52="Muy Alta",AF52="Leve"),AND(AD52="Muy Alta",AF52="Menor"),AND(AD52="Muy Alta",AF52="Moderado"),AND(AD52="Muy Alta",AF52="Mayor")),"Alto",IF(OR(AND(AD52="Muy Baja",AF52="Catastrófico"),AND(AD52="Baja",AF52="Catastrófico"),AND(AD52="Media",AF52="Catastrófico"),AND(AD52="Alta",AF52="Catastrófico"),AND(AD52="Muy Alta",AF52="Catastrófico")),"Extremo","")))),"")</f>
        <v/>
      </c>
      <c r="AI52" s="221"/>
      <c r="AJ52" s="212"/>
      <c r="AK52" s="222"/>
      <c r="AL52" s="222"/>
      <c r="AM52" s="223"/>
      <c r="AN52" s="382"/>
      <c r="AO52" s="382"/>
      <c r="AP52" s="382"/>
    </row>
    <row r="53" spans="1:42" s="224" customFormat="1" ht="37.5" customHeight="1" x14ac:dyDescent="0.2">
      <c r="A53" s="380"/>
      <c r="B53" s="381"/>
      <c r="C53" s="381"/>
      <c r="D53" s="392"/>
      <c r="E53" s="381"/>
      <c r="F53" s="381"/>
      <c r="G53" s="381"/>
      <c r="H53" s="381"/>
      <c r="I53" s="381"/>
      <c r="J53" s="381"/>
      <c r="K53" s="381"/>
      <c r="L53" s="382"/>
      <c r="M53" s="379"/>
      <c r="N53" s="334"/>
      <c r="O53" s="378"/>
      <c r="P53" s="334">
        <f t="shared" ca="1" si="59"/>
        <v>0</v>
      </c>
      <c r="Q53" s="379"/>
      <c r="R53" s="334"/>
      <c r="S53" s="335"/>
      <c r="T53" s="251">
        <v>5</v>
      </c>
      <c r="U53" s="213"/>
      <c r="V53" s="215" t="str">
        <f t="shared" si="65"/>
        <v/>
      </c>
      <c r="W53" s="216"/>
      <c r="X53" s="216"/>
      <c r="Y53" s="217" t="str">
        <f t="shared" si="60"/>
        <v/>
      </c>
      <c r="Z53" s="216"/>
      <c r="AA53" s="216"/>
      <c r="AB53" s="216"/>
      <c r="AC53" s="218" t="str">
        <f t="shared" si="66"/>
        <v/>
      </c>
      <c r="AD53" s="219" t="str">
        <f t="shared" si="2"/>
        <v/>
      </c>
      <c r="AE53" s="217" t="str">
        <f t="shared" si="61"/>
        <v/>
      </c>
      <c r="AF53" s="219" t="str">
        <f t="shared" si="4"/>
        <v/>
      </c>
      <c r="AG53" s="217" t="str">
        <f t="shared" si="14"/>
        <v/>
      </c>
      <c r="AH53" s="220" t="str">
        <f t="shared" ref="AH53:AH54" si="67">IFERROR(IF(OR(AND(AD53="Muy Baja",AF53="Leve"),AND(AD53="Muy Baja",AF53="Menor"),AND(AD53="Baja",AF53="Leve")),"Bajo",IF(OR(AND(AD53="Muy baja",AF53="Moderado"),AND(AD53="Baja",AF53="Menor"),AND(AD53="Baja",AF53="Moderado"),AND(AD53="Media",AF53="Leve"),AND(AD53="Media",AF53="Menor"),AND(AD53="Media",AF53="Moderado"),AND(AD53="Alta",AF53="Leve"),AND(AD53="Alta",AF53="Menor")),"Moderado",IF(OR(AND(AD53="Muy Baja",AF53="Mayor"),AND(AD53="Baja",AF53="Mayor"),AND(AD53="Media",AF53="Mayor"),AND(AD53="Alta",AF53="Moderado"),AND(AD53="Alta",AF53="Mayor"),AND(AD53="Muy Alta",AF53="Leve"),AND(AD53="Muy Alta",AF53="Menor"),AND(AD53="Muy Alta",AF53="Moderado"),AND(AD53="Muy Alta",AF53="Mayor")),"Alto",IF(OR(AND(AD53="Muy Baja",AF53="Catastrófico"),AND(AD53="Baja",AF53="Catastrófico"),AND(AD53="Media",AF53="Catastrófico"),AND(AD53="Alta",AF53="Catastrófico"),AND(AD53="Muy Alta",AF53="Catastrófico")),"Extremo","")))),"")</f>
        <v/>
      </c>
      <c r="AI53" s="221"/>
      <c r="AJ53" s="212"/>
      <c r="AK53" s="222"/>
      <c r="AL53" s="222"/>
      <c r="AM53" s="223"/>
      <c r="AN53" s="382"/>
      <c r="AO53" s="382"/>
      <c r="AP53" s="382"/>
    </row>
    <row r="54" spans="1:42" s="224" customFormat="1" ht="37.5" customHeight="1" x14ac:dyDescent="0.2">
      <c r="A54" s="380"/>
      <c r="B54" s="381"/>
      <c r="C54" s="381"/>
      <c r="D54" s="392"/>
      <c r="E54" s="381"/>
      <c r="F54" s="381"/>
      <c r="G54" s="381"/>
      <c r="H54" s="381"/>
      <c r="I54" s="381"/>
      <c r="J54" s="381"/>
      <c r="K54" s="381"/>
      <c r="L54" s="382"/>
      <c r="M54" s="379"/>
      <c r="N54" s="334"/>
      <c r="O54" s="378"/>
      <c r="P54" s="334">
        <f t="shared" ca="1" si="59"/>
        <v>0</v>
      </c>
      <c r="Q54" s="379"/>
      <c r="R54" s="334"/>
      <c r="S54" s="335"/>
      <c r="T54" s="251">
        <v>6</v>
      </c>
      <c r="U54" s="213"/>
      <c r="V54" s="215" t="str">
        <f t="shared" si="65"/>
        <v/>
      </c>
      <c r="W54" s="216"/>
      <c r="X54" s="216"/>
      <c r="Y54" s="217" t="str">
        <f t="shared" si="60"/>
        <v/>
      </c>
      <c r="Z54" s="216"/>
      <c r="AA54" s="216"/>
      <c r="AB54" s="216"/>
      <c r="AC54" s="218" t="str">
        <f t="shared" si="66"/>
        <v/>
      </c>
      <c r="AD54" s="219" t="str">
        <f t="shared" si="2"/>
        <v/>
      </c>
      <c r="AE54" s="217" t="str">
        <f t="shared" si="61"/>
        <v/>
      </c>
      <c r="AF54" s="219" t="str">
        <f t="shared" si="4"/>
        <v/>
      </c>
      <c r="AG54" s="217" t="str">
        <f t="shared" si="14"/>
        <v/>
      </c>
      <c r="AH54" s="220" t="str">
        <f t="shared" si="67"/>
        <v/>
      </c>
      <c r="AI54" s="221"/>
      <c r="AJ54" s="212"/>
      <c r="AK54" s="222"/>
      <c r="AL54" s="222"/>
      <c r="AM54" s="223"/>
      <c r="AN54" s="382"/>
      <c r="AO54" s="382"/>
      <c r="AP54" s="382"/>
    </row>
    <row r="55" spans="1:42" s="224" customFormat="1" ht="37.5" customHeight="1" x14ac:dyDescent="0.2">
      <c r="A55" s="380">
        <v>8</v>
      </c>
      <c r="B55" s="381"/>
      <c r="C55" s="381"/>
      <c r="D55" s="381"/>
      <c r="E55" s="381"/>
      <c r="F55" s="381"/>
      <c r="G55" s="381"/>
      <c r="H55" s="381"/>
      <c r="I55" s="381"/>
      <c r="J55" s="381"/>
      <c r="K55" s="381"/>
      <c r="L55" s="382"/>
      <c r="M55" s="379" t="str">
        <f>IF(L55&lt;=0,"",IF(L55&lt;=2,"Muy Baja",IF(L55&lt;=24,"Baja",IF(L55&lt;=500,"Media",IF(L55&lt;=5000,"Alta","Muy Alta")))))</f>
        <v/>
      </c>
      <c r="N55" s="334" t="str">
        <f>IF(M55="","",IF(M55="Muy Baja",0.2,IF(M55="Baja",0.4,IF(M55="Media",0.6,IF(M55="Alta",0.8,IF(M55="Muy Alta",1,))))))</f>
        <v/>
      </c>
      <c r="O55" s="378"/>
      <c r="P55" s="334">
        <f>IF(NOT(ISERROR(MATCH(O55,'Tabla Impacto'!$B$222:$B$224,0))),'Tabla Impacto'!$F$224&amp;"Por favor no seleccionar los criterios de impacto(Afectación Económica o presupuestal y Pérdida Reputacional)",O55)</f>
        <v>0</v>
      </c>
      <c r="Q55" s="379" t="str">
        <f>IF(OR(P55='Tabla Impacto'!$C$12,P55='Tabla Impacto'!$D$12),"Leve",IF(OR(P55='Tabla Impacto'!$C$13,P55='Tabla Impacto'!$D$13),"Menor",IF(OR(P55='Tabla Impacto'!$C$14,P55='Tabla Impacto'!$D$14),"Moderado",IF(OR(P55='Tabla Impacto'!$C$15,P55='Tabla Impacto'!$D$15),"Mayor",IF(OR(P55='Tabla Impacto'!$C$16,P55='Tabla Impacto'!$D$16),"Catastrófico","")))))</f>
        <v/>
      </c>
      <c r="R55" s="334" t="str">
        <f>IF(Q55="","",IF(Q55="Leve",0.2,IF(Q55="Menor",0.4,IF(Q55="Moderado",0.6,IF(Q55="Mayor",0.8,IF(Q55="Catastrófico",1,))))))</f>
        <v/>
      </c>
      <c r="S55" s="335" t="str">
        <f>IF(OR(AND(M55="Muy Baja",Q55="Leve"),AND(M55="Muy Baja",Q55="Menor"),AND(M55="Baja",Q55="Leve")),"Bajo",IF(OR(AND(M55="Muy baja",Q55="Moderado"),AND(M55="Baja",Q55="Menor"),AND(M55="Baja",Q55="Moderado"),AND(M55="Media",Q55="Leve"),AND(M55="Media",Q55="Menor"),AND(M55="Media",Q55="Moderado"),AND(M55="Alta",Q55="Leve"),AND(M55="Alta",Q55="Menor")),"Moderado",IF(OR(AND(M55="Muy Baja",Q55="Mayor"),AND(M55="Baja",Q55="Mayor"),AND(M55="Media",Q55="Mayor"),AND(M55="Alta",Q55="Moderado"),AND(M55="Alta",Q55="Mayor"),AND(M55="Muy Alta",Q55="Leve"),AND(M55="Muy Alta",Q55="Menor"),AND(M55="Muy Alta",Q55="Moderado"),AND(M55="Muy Alta",Q55="Mayor")),"Alto",IF(OR(AND(M55="Muy Baja",Q55="Catastrófico"),AND(M55="Baja",Q55="Catastrófico"),AND(M55="Media",Q55="Catastrófico"),AND(M55="Alta",Q55="Catastrófico"),AND(M55="Muy Alta",Q55="Catastrófico")),"Extremo",""))))</f>
        <v/>
      </c>
      <c r="T55" s="251">
        <v>1</v>
      </c>
      <c r="U55" s="213"/>
      <c r="V55" s="215" t="str">
        <f>IF(OR(W55="Preventivo",W55="Detectivo"),"Probabilidad",IF(W55="Correctivo","Impacto",""))</f>
        <v/>
      </c>
      <c r="W55" s="216"/>
      <c r="X55" s="216"/>
      <c r="Y55" s="217" t="str">
        <f>IF(AND(W55="Preventivo",X55="Automático"),"50%",IF(AND(W55="Preventivo",X55="Manual"),"40%",IF(AND(W55="Detectivo",X55="Automático"),"40%",IF(AND(W55="Detectivo",X55="Manual"),"30%",IF(AND(W55="Correctivo",X55="Automático"),"35%",IF(AND(W55="Correctivo",X55="Manual"),"25%",""))))))</f>
        <v/>
      </c>
      <c r="Z55" s="216"/>
      <c r="AA55" s="216"/>
      <c r="AB55" s="216"/>
      <c r="AC55" s="218" t="str">
        <f>IFERROR(IF(V55="Probabilidad",(N55-(+N55*Y55)),IF(V55="Impacto",N55,"")),"")</f>
        <v/>
      </c>
      <c r="AD55" s="219" t="str">
        <f>IFERROR(IF(AC55="","",IF(AC55&lt;=0.2,"Muy Baja",IF(AC55&lt;=0.4,"Baja",IF(AC55&lt;=0.6,"Media",IF(AC55&lt;=0.8,"Alta","Muy Alta"))))),"")</f>
        <v/>
      </c>
      <c r="AE55" s="217" t="str">
        <f>+AC55</f>
        <v/>
      </c>
      <c r="AF55" s="219" t="str">
        <f>IFERROR(IF(AG55="","",IF(AG55&lt;=0.2,"Leve",IF(AG55&lt;=0.4,"Menor",IF(AG55&lt;=0.6,"Moderado",IF(AG55&lt;=0.8,"Mayor","Catastrófico"))))),"")</f>
        <v/>
      </c>
      <c r="AG55" s="217" t="str">
        <f t="shared" ref="AG55" si="68">IFERROR(IF(V55="Impacto",(R55-(+R55*Y55)),IF(V55="Probabilidad",R55,"")),"")</f>
        <v/>
      </c>
      <c r="AH55" s="220" t="str">
        <f>IFERROR(IF(OR(AND(AD55="Muy Baja",AF55="Leve"),AND(AD55="Muy Baja",AF55="Menor"),AND(AD55="Baja",AF55="Leve")),"Bajo",IF(OR(AND(AD55="Muy baja",AF55="Moderado"),AND(AD55="Baja",AF55="Menor"),AND(AD55="Baja",AF55="Moderado"),AND(AD55="Media",AF55="Leve"),AND(AD55="Media",AF55="Menor"),AND(AD55="Media",AF55="Moderado"),AND(AD55="Alta",AF55="Leve"),AND(AD55="Alta",AF55="Menor")),"Moderado",IF(OR(AND(AD55="Muy Baja",AF55="Mayor"),AND(AD55="Baja",AF55="Mayor"),AND(AD55="Media",AF55="Mayor"),AND(AD55="Alta",AF55="Moderado"),AND(AD55="Alta",AF55="Mayor"),AND(AD55="Muy Alta",AF55="Leve"),AND(AD55="Muy Alta",AF55="Menor"),AND(AD55="Muy Alta",AF55="Moderado"),AND(AD55="Muy Alta",AF55="Mayor")),"Alto",IF(OR(AND(AD55="Muy Baja",AF55="Catastrófico"),AND(AD55="Baja",AF55="Catastrófico"),AND(AD55="Media",AF55="Catastrófico"),AND(AD55="Alta",AF55="Catastrófico"),AND(AD55="Muy Alta",AF55="Catastrófico")),"Extremo","")))),"")</f>
        <v/>
      </c>
      <c r="AI55" s="221"/>
      <c r="AJ55" s="212"/>
      <c r="AK55" s="222"/>
      <c r="AL55" s="222"/>
      <c r="AM55" s="223"/>
      <c r="AN55" s="382"/>
      <c r="AO55" s="382"/>
      <c r="AP55" s="382"/>
    </row>
    <row r="56" spans="1:42" s="224" customFormat="1" ht="37.5" customHeight="1" x14ac:dyDescent="0.2">
      <c r="A56" s="380"/>
      <c r="B56" s="381"/>
      <c r="C56" s="381"/>
      <c r="D56" s="381"/>
      <c r="E56" s="381"/>
      <c r="F56" s="381"/>
      <c r="G56" s="381"/>
      <c r="H56" s="381"/>
      <c r="I56" s="381"/>
      <c r="J56" s="381"/>
      <c r="K56" s="381"/>
      <c r="L56" s="382"/>
      <c r="M56" s="379"/>
      <c r="N56" s="334"/>
      <c r="O56" s="378"/>
      <c r="P56" s="334">
        <f ca="1">IF(NOT(ISERROR(MATCH(O56,_xlfn.ANCHORARRAY(E67),0))),N69&amp;"Por favor no seleccionar los criterios de impacto",O56)</f>
        <v>0</v>
      </c>
      <c r="Q56" s="379"/>
      <c r="R56" s="334"/>
      <c r="S56" s="335"/>
      <c r="T56" s="251">
        <v>2</v>
      </c>
      <c r="U56" s="213"/>
      <c r="V56" s="215" t="str">
        <f>IF(OR(W56="Preventivo",W56="Detectivo"),"Probabilidad",IF(W56="Correctivo","Impacto",""))</f>
        <v/>
      </c>
      <c r="W56" s="216"/>
      <c r="X56" s="216"/>
      <c r="Y56" s="217" t="str">
        <f t="shared" ref="Y56:Y60" si="69">IF(AND(W56="Preventivo",X56="Automático"),"50%",IF(AND(W56="Preventivo",X56="Manual"),"40%",IF(AND(W56="Detectivo",X56="Automático"),"40%",IF(AND(W56="Detectivo",X56="Manual"),"30%",IF(AND(W56="Correctivo",X56="Automático"),"35%",IF(AND(W56="Correctivo",X56="Manual"),"25%",""))))))</f>
        <v/>
      </c>
      <c r="Z56" s="216"/>
      <c r="AA56" s="216"/>
      <c r="AB56" s="216"/>
      <c r="AC56" s="218" t="str">
        <f>IFERROR(IF(AND(V55="Probabilidad",V56="Probabilidad"),(AE55-(+AE55*Y56)),IF(V56="Probabilidad",(N55-(+N55*Y56)),IF(V56="Impacto",AE55,""))),"")</f>
        <v/>
      </c>
      <c r="AD56" s="219" t="str">
        <f t="shared" si="2"/>
        <v/>
      </c>
      <c r="AE56" s="217" t="str">
        <f t="shared" ref="AE56:AE60" si="70">+AC56</f>
        <v/>
      </c>
      <c r="AF56" s="219" t="str">
        <f t="shared" si="4"/>
        <v/>
      </c>
      <c r="AG56" s="217" t="str">
        <f t="shared" ref="AG56" si="71">IFERROR(IF(AND(V55="Impacto",V56="Impacto"),(AG55-(+AG55*Y56)),IF(V56="Impacto",($R$13-(+$R$13*Y56)),IF(V56="Probabilidad",AG55,""))),"")</f>
        <v/>
      </c>
      <c r="AH56" s="220" t="str">
        <f t="shared" ref="AH56:AH57" si="72">IFERROR(IF(OR(AND(AD56="Muy Baja",AF56="Leve"),AND(AD56="Muy Baja",AF56="Menor"),AND(AD56="Baja",AF56="Leve")),"Bajo",IF(OR(AND(AD56="Muy baja",AF56="Moderado"),AND(AD56="Baja",AF56="Menor"),AND(AD56="Baja",AF56="Moderado"),AND(AD56="Media",AF56="Leve"),AND(AD56="Media",AF56="Menor"),AND(AD56="Media",AF56="Moderado"),AND(AD56="Alta",AF56="Leve"),AND(AD56="Alta",AF56="Menor")),"Moderado",IF(OR(AND(AD56="Muy Baja",AF56="Mayor"),AND(AD56="Baja",AF56="Mayor"),AND(AD56="Media",AF56="Mayor"),AND(AD56="Alta",AF56="Moderado"),AND(AD56="Alta",AF56="Mayor"),AND(AD56="Muy Alta",AF56="Leve"),AND(AD56="Muy Alta",AF56="Menor"),AND(AD56="Muy Alta",AF56="Moderado"),AND(AD56="Muy Alta",AF56="Mayor")),"Alto",IF(OR(AND(AD56="Muy Baja",AF56="Catastrófico"),AND(AD56="Baja",AF56="Catastrófico"),AND(AD56="Media",AF56="Catastrófico"),AND(AD56="Alta",AF56="Catastrófico"),AND(AD56="Muy Alta",AF56="Catastrófico")),"Extremo","")))),"")</f>
        <v/>
      </c>
      <c r="AI56" s="221"/>
      <c r="AJ56" s="212"/>
      <c r="AK56" s="222"/>
      <c r="AL56" s="222"/>
      <c r="AM56" s="223"/>
      <c r="AN56" s="382"/>
      <c r="AO56" s="382"/>
      <c r="AP56" s="382"/>
    </row>
    <row r="57" spans="1:42" s="224" customFormat="1" ht="37.5" customHeight="1" x14ac:dyDescent="0.2">
      <c r="A57" s="380"/>
      <c r="B57" s="381"/>
      <c r="C57" s="381"/>
      <c r="D57" s="381"/>
      <c r="E57" s="381"/>
      <c r="F57" s="381"/>
      <c r="G57" s="381"/>
      <c r="H57" s="381"/>
      <c r="I57" s="381"/>
      <c r="J57" s="381"/>
      <c r="K57" s="381"/>
      <c r="L57" s="382"/>
      <c r="M57" s="379"/>
      <c r="N57" s="334"/>
      <c r="O57" s="378"/>
      <c r="P57" s="334">
        <f ca="1">IF(NOT(ISERROR(MATCH(O57,_xlfn.ANCHORARRAY(E68),0))),N70&amp;"Por favor no seleccionar los criterios de impacto",O57)</f>
        <v>0</v>
      </c>
      <c r="Q57" s="379"/>
      <c r="R57" s="334"/>
      <c r="S57" s="335"/>
      <c r="T57" s="251">
        <v>3</v>
      </c>
      <c r="U57" s="214"/>
      <c r="V57" s="215" t="str">
        <f>IF(OR(W57="Preventivo",W57="Detectivo"),"Probabilidad",IF(W57="Correctivo","Impacto",""))</f>
        <v/>
      </c>
      <c r="W57" s="216"/>
      <c r="X57" s="216"/>
      <c r="Y57" s="217" t="str">
        <f t="shared" si="69"/>
        <v/>
      </c>
      <c r="Z57" s="216"/>
      <c r="AA57" s="216"/>
      <c r="AB57" s="216"/>
      <c r="AC57" s="218" t="str">
        <f>IFERROR(IF(AND(V56="Probabilidad",V57="Probabilidad"),(AE56-(+AE56*Y57)),IF(AND(V56="Impacto",V57="Probabilidad"),(AE55-(+AE55*Y57)),IF(V57="Impacto",AE56,""))),"")</f>
        <v/>
      </c>
      <c r="AD57" s="219" t="str">
        <f t="shared" si="2"/>
        <v/>
      </c>
      <c r="AE57" s="217" t="str">
        <f t="shared" si="70"/>
        <v/>
      </c>
      <c r="AF57" s="219" t="str">
        <f t="shared" si="4"/>
        <v/>
      </c>
      <c r="AG57" s="217" t="str">
        <f t="shared" ref="AG57" si="73">IFERROR(IF(AND(V56="Impacto",V57="Impacto"),(AG56-(+AG56*Y57)),IF(AND(V56="Probabilidad",V57="Impacto"),(AG55-(+AG55*Y57)),IF(V57="Probabilidad",AG56,""))),"")</f>
        <v/>
      </c>
      <c r="AH57" s="220" t="str">
        <f t="shared" si="72"/>
        <v/>
      </c>
      <c r="AI57" s="221"/>
      <c r="AJ57" s="212"/>
      <c r="AK57" s="222"/>
      <c r="AL57" s="222"/>
      <c r="AM57" s="223"/>
      <c r="AN57" s="382"/>
      <c r="AO57" s="382"/>
      <c r="AP57" s="382"/>
    </row>
    <row r="58" spans="1:42" s="224" customFormat="1" ht="37.5" customHeight="1" x14ac:dyDescent="0.2">
      <c r="A58" s="380"/>
      <c r="B58" s="381"/>
      <c r="C58" s="381"/>
      <c r="D58" s="381"/>
      <c r="E58" s="381"/>
      <c r="F58" s="381"/>
      <c r="G58" s="381"/>
      <c r="H58" s="381"/>
      <c r="I58" s="381"/>
      <c r="J58" s="381"/>
      <c r="K58" s="381"/>
      <c r="L58" s="382"/>
      <c r="M58" s="379"/>
      <c r="N58" s="334"/>
      <c r="O58" s="378"/>
      <c r="P58" s="334">
        <f ca="1">IF(NOT(ISERROR(MATCH(O58,_xlfn.ANCHORARRAY(E69),0))),N71&amp;"Por favor no seleccionar los criterios de impacto",O58)</f>
        <v>0</v>
      </c>
      <c r="Q58" s="379"/>
      <c r="R58" s="334"/>
      <c r="S58" s="335"/>
      <c r="T58" s="251">
        <v>4</v>
      </c>
      <c r="U58" s="213"/>
      <c r="V58" s="215" t="str">
        <f t="shared" ref="V58:V60" si="74">IF(OR(W58="Preventivo",W58="Detectivo"),"Probabilidad",IF(W58="Correctivo","Impacto",""))</f>
        <v/>
      </c>
      <c r="W58" s="216"/>
      <c r="X58" s="216"/>
      <c r="Y58" s="217" t="str">
        <f t="shared" si="69"/>
        <v/>
      </c>
      <c r="Z58" s="216"/>
      <c r="AA58" s="216"/>
      <c r="AB58" s="216"/>
      <c r="AC58" s="218" t="str">
        <f t="shared" ref="AC58:AC60" si="75">IFERROR(IF(AND(V57="Probabilidad",V58="Probabilidad"),(AE57-(+AE57*Y58)),IF(AND(V57="Impacto",V58="Probabilidad"),(AE56-(+AE56*Y58)),IF(V58="Impacto",AE57,""))),"")</f>
        <v/>
      </c>
      <c r="AD58" s="219" t="str">
        <f t="shared" si="2"/>
        <v/>
      </c>
      <c r="AE58" s="217" t="str">
        <f t="shared" si="70"/>
        <v/>
      </c>
      <c r="AF58" s="219" t="str">
        <f t="shared" si="4"/>
        <v/>
      </c>
      <c r="AG58" s="217" t="str">
        <f t="shared" si="14"/>
        <v/>
      </c>
      <c r="AH58" s="220" t="str">
        <f>IFERROR(IF(OR(AND(AD58="Muy Baja",AF58="Leve"),AND(AD58="Muy Baja",AF58="Menor"),AND(AD58="Baja",AF58="Leve")),"Bajo",IF(OR(AND(AD58="Muy baja",AF58="Moderado"),AND(AD58="Baja",AF58="Menor"),AND(AD58="Baja",AF58="Moderado"),AND(AD58="Media",AF58="Leve"),AND(AD58="Media",AF58="Menor"),AND(AD58="Media",AF58="Moderado"),AND(AD58="Alta",AF58="Leve"),AND(AD58="Alta",AF58="Menor")),"Moderado",IF(OR(AND(AD58="Muy Baja",AF58="Mayor"),AND(AD58="Baja",AF58="Mayor"),AND(AD58="Media",AF58="Mayor"),AND(AD58="Alta",AF58="Moderado"),AND(AD58="Alta",AF58="Mayor"),AND(AD58="Muy Alta",AF58="Leve"),AND(AD58="Muy Alta",AF58="Menor"),AND(AD58="Muy Alta",AF58="Moderado"),AND(AD58="Muy Alta",AF58="Mayor")),"Alto",IF(OR(AND(AD58="Muy Baja",AF58="Catastrófico"),AND(AD58="Baja",AF58="Catastrófico"),AND(AD58="Media",AF58="Catastrófico"),AND(AD58="Alta",AF58="Catastrófico"),AND(AD58="Muy Alta",AF58="Catastrófico")),"Extremo","")))),"")</f>
        <v/>
      </c>
      <c r="AI58" s="221"/>
      <c r="AJ58" s="212"/>
      <c r="AK58" s="222"/>
      <c r="AL58" s="222"/>
      <c r="AM58" s="223"/>
      <c r="AN58" s="382"/>
      <c r="AO58" s="382"/>
      <c r="AP58" s="382"/>
    </row>
    <row r="59" spans="1:42" s="224" customFormat="1" ht="37.5" customHeight="1" x14ac:dyDescent="0.2">
      <c r="A59" s="380"/>
      <c r="B59" s="381"/>
      <c r="C59" s="381"/>
      <c r="D59" s="381"/>
      <c r="E59" s="381"/>
      <c r="F59" s="381"/>
      <c r="G59" s="381"/>
      <c r="H59" s="381"/>
      <c r="I59" s="381"/>
      <c r="J59" s="381"/>
      <c r="K59" s="381"/>
      <c r="L59" s="382"/>
      <c r="M59" s="379"/>
      <c r="N59" s="334"/>
      <c r="O59" s="378"/>
      <c r="P59" s="334">
        <f ca="1">IF(NOT(ISERROR(MATCH(O59,_xlfn.ANCHORARRAY(E70),0))),N72&amp;"Por favor no seleccionar los criterios de impacto",O59)</f>
        <v>0</v>
      </c>
      <c r="Q59" s="379"/>
      <c r="R59" s="334"/>
      <c r="S59" s="335"/>
      <c r="T59" s="251">
        <v>5</v>
      </c>
      <c r="U59" s="213"/>
      <c r="V59" s="215" t="str">
        <f t="shared" si="74"/>
        <v/>
      </c>
      <c r="W59" s="216"/>
      <c r="X59" s="216"/>
      <c r="Y59" s="217" t="str">
        <f t="shared" si="69"/>
        <v/>
      </c>
      <c r="Z59" s="216"/>
      <c r="AA59" s="216"/>
      <c r="AB59" s="216"/>
      <c r="AC59" s="218" t="str">
        <f t="shared" si="75"/>
        <v/>
      </c>
      <c r="AD59" s="219" t="str">
        <f t="shared" si="2"/>
        <v/>
      </c>
      <c r="AE59" s="217" t="str">
        <f t="shared" si="70"/>
        <v/>
      </c>
      <c r="AF59" s="219" t="str">
        <f t="shared" si="4"/>
        <v/>
      </c>
      <c r="AG59" s="217" t="str">
        <f t="shared" si="14"/>
        <v/>
      </c>
      <c r="AH59" s="220" t="str">
        <f t="shared" ref="AH59:AH60" si="76">IFERROR(IF(OR(AND(AD59="Muy Baja",AF59="Leve"),AND(AD59="Muy Baja",AF59="Menor"),AND(AD59="Baja",AF59="Leve")),"Bajo",IF(OR(AND(AD59="Muy baja",AF59="Moderado"),AND(AD59="Baja",AF59="Menor"),AND(AD59="Baja",AF59="Moderado"),AND(AD59="Media",AF59="Leve"),AND(AD59="Media",AF59="Menor"),AND(AD59="Media",AF59="Moderado"),AND(AD59="Alta",AF59="Leve"),AND(AD59="Alta",AF59="Menor")),"Moderado",IF(OR(AND(AD59="Muy Baja",AF59="Mayor"),AND(AD59="Baja",AF59="Mayor"),AND(AD59="Media",AF59="Mayor"),AND(AD59="Alta",AF59="Moderado"),AND(AD59="Alta",AF59="Mayor"),AND(AD59="Muy Alta",AF59="Leve"),AND(AD59="Muy Alta",AF59="Menor"),AND(AD59="Muy Alta",AF59="Moderado"),AND(AD59="Muy Alta",AF59="Mayor")),"Alto",IF(OR(AND(AD59="Muy Baja",AF59="Catastrófico"),AND(AD59="Baja",AF59="Catastrófico"),AND(AD59="Media",AF59="Catastrófico"),AND(AD59="Alta",AF59="Catastrófico"),AND(AD59="Muy Alta",AF59="Catastrófico")),"Extremo","")))),"")</f>
        <v/>
      </c>
      <c r="AI59" s="221"/>
      <c r="AJ59" s="212"/>
      <c r="AK59" s="222"/>
      <c r="AL59" s="222"/>
      <c r="AM59" s="223"/>
      <c r="AN59" s="382"/>
      <c r="AO59" s="382"/>
      <c r="AP59" s="382"/>
    </row>
    <row r="60" spans="1:42" s="224" customFormat="1" ht="37.5" customHeight="1" x14ac:dyDescent="0.2">
      <c r="A60" s="380"/>
      <c r="B60" s="381"/>
      <c r="C60" s="381"/>
      <c r="D60" s="381"/>
      <c r="E60" s="381"/>
      <c r="F60" s="381"/>
      <c r="G60" s="381"/>
      <c r="H60" s="381"/>
      <c r="I60" s="381"/>
      <c r="J60" s="381"/>
      <c r="K60" s="381"/>
      <c r="L60" s="382"/>
      <c r="M60" s="379"/>
      <c r="N60" s="334"/>
      <c r="O60" s="378"/>
      <c r="P60" s="334">
        <f ca="1">IF(NOT(ISERROR(MATCH(O60,_xlfn.ANCHORARRAY(E71),0))),N73&amp;"Por favor no seleccionar los criterios de impacto",O60)</f>
        <v>0</v>
      </c>
      <c r="Q60" s="379"/>
      <c r="R60" s="334"/>
      <c r="S60" s="335"/>
      <c r="T60" s="251">
        <v>6</v>
      </c>
      <c r="U60" s="213"/>
      <c r="V60" s="215" t="str">
        <f t="shared" si="74"/>
        <v/>
      </c>
      <c r="W60" s="216"/>
      <c r="X60" s="216"/>
      <c r="Y60" s="217" t="str">
        <f t="shared" si="69"/>
        <v/>
      </c>
      <c r="Z60" s="216"/>
      <c r="AA60" s="216"/>
      <c r="AB60" s="216"/>
      <c r="AC60" s="218" t="str">
        <f t="shared" si="75"/>
        <v/>
      </c>
      <c r="AD60" s="219" t="str">
        <f t="shared" si="2"/>
        <v/>
      </c>
      <c r="AE60" s="217" t="str">
        <f t="shared" si="70"/>
        <v/>
      </c>
      <c r="AF60" s="219" t="str">
        <f t="shared" si="4"/>
        <v/>
      </c>
      <c r="AG60" s="217" t="str">
        <f t="shared" si="14"/>
        <v/>
      </c>
      <c r="AH60" s="220" t="str">
        <f t="shared" si="76"/>
        <v/>
      </c>
      <c r="AI60" s="221"/>
      <c r="AJ60" s="212"/>
      <c r="AK60" s="222"/>
      <c r="AL60" s="222"/>
      <c r="AM60" s="223"/>
      <c r="AN60" s="382"/>
      <c r="AO60" s="382"/>
      <c r="AP60" s="382"/>
    </row>
    <row r="61" spans="1:42" s="224" customFormat="1" ht="37.5" customHeight="1" x14ac:dyDescent="0.2">
      <c r="A61" s="380">
        <v>9</v>
      </c>
      <c r="B61" s="381"/>
      <c r="C61" s="381"/>
      <c r="D61" s="381"/>
      <c r="E61" s="381"/>
      <c r="F61" s="381"/>
      <c r="G61" s="381"/>
      <c r="H61" s="381"/>
      <c r="I61" s="381"/>
      <c r="J61" s="381"/>
      <c r="K61" s="381"/>
      <c r="L61" s="382"/>
      <c r="M61" s="379" t="str">
        <f>IF(L61&lt;=0,"",IF(L61&lt;=2,"Muy Baja",IF(L61&lt;=24,"Baja",IF(L61&lt;=500,"Media",IF(L61&lt;=5000,"Alta","Muy Alta")))))</f>
        <v/>
      </c>
      <c r="N61" s="334" t="str">
        <f>IF(M61="","",IF(M61="Muy Baja",0.2,IF(M61="Baja",0.4,IF(M61="Media",0.6,IF(M61="Alta",0.8,IF(M61="Muy Alta",1,))))))</f>
        <v/>
      </c>
      <c r="O61" s="378"/>
      <c r="P61" s="334">
        <f>IF(NOT(ISERROR(MATCH(O61,'Tabla Impacto'!$B$222:$B$224,0))),'Tabla Impacto'!$F$224&amp;"Por favor no seleccionar los criterios de impacto(Afectación Económica o presupuestal y Pérdida Reputacional)",O61)</f>
        <v>0</v>
      </c>
      <c r="Q61" s="379" t="str">
        <f>IF(OR(P61='Tabla Impacto'!$C$12,P61='Tabla Impacto'!$D$12),"Leve",IF(OR(P61='Tabla Impacto'!$C$13,P61='Tabla Impacto'!$D$13),"Menor",IF(OR(P61='Tabla Impacto'!$C$14,P61='Tabla Impacto'!$D$14),"Moderado",IF(OR(P61='Tabla Impacto'!$C$15,P61='Tabla Impacto'!$D$15),"Mayor",IF(OR(P61='Tabla Impacto'!$C$16,P61='Tabla Impacto'!$D$16),"Catastrófico","")))))</f>
        <v/>
      </c>
      <c r="R61" s="334" t="str">
        <f>IF(Q61="","",IF(Q61="Leve",0.2,IF(Q61="Menor",0.4,IF(Q61="Moderado",0.6,IF(Q61="Mayor",0.8,IF(Q61="Catastrófico",1,))))))</f>
        <v/>
      </c>
      <c r="S61" s="335" t="str">
        <f>IF(OR(AND(M61="Muy Baja",Q61="Leve"),AND(M61="Muy Baja",Q61="Menor"),AND(M61="Baja",Q61="Leve")),"Bajo",IF(OR(AND(M61="Muy baja",Q61="Moderado"),AND(M61="Baja",Q61="Menor"),AND(M61="Baja",Q61="Moderado"),AND(M61="Media",Q61="Leve"),AND(M61="Media",Q61="Menor"),AND(M61="Media",Q61="Moderado"),AND(M61="Alta",Q61="Leve"),AND(M61="Alta",Q61="Menor")),"Moderado",IF(OR(AND(M61="Muy Baja",Q61="Mayor"),AND(M61="Baja",Q61="Mayor"),AND(M61="Media",Q61="Mayor"),AND(M61="Alta",Q61="Moderado"),AND(M61="Alta",Q61="Mayor"),AND(M61="Muy Alta",Q61="Leve"),AND(M61="Muy Alta",Q61="Menor"),AND(M61="Muy Alta",Q61="Moderado"),AND(M61="Muy Alta",Q61="Mayor")),"Alto",IF(OR(AND(M61="Muy Baja",Q61="Catastrófico"),AND(M61="Baja",Q61="Catastrófico"),AND(M61="Media",Q61="Catastrófico"),AND(M61="Alta",Q61="Catastrófico"),AND(M61="Muy Alta",Q61="Catastrófico")),"Extremo",""))))</f>
        <v/>
      </c>
      <c r="T61" s="251">
        <v>1</v>
      </c>
      <c r="U61" s="213"/>
      <c r="V61" s="215" t="str">
        <f>IF(OR(W61="Preventivo",W61="Detectivo"),"Probabilidad",IF(W61="Correctivo","Impacto",""))</f>
        <v/>
      </c>
      <c r="W61" s="216"/>
      <c r="X61" s="216"/>
      <c r="Y61" s="217" t="str">
        <f>IF(AND(W61="Preventivo",X61="Automático"),"50%",IF(AND(W61="Preventivo",X61="Manual"),"40%",IF(AND(W61="Detectivo",X61="Automático"),"40%",IF(AND(W61="Detectivo",X61="Manual"),"30%",IF(AND(W61="Correctivo",X61="Automático"),"35%",IF(AND(W61="Correctivo",X61="Manual"),"25%",""))))))</f>
        <v/>
      </c>
      <c r="Z61" s="216"/>
      <c r="AA61" s="216"/>
      <c r="AB61" s="216"/>
      <c r="AC61" s="218" t="str">
        <f>IFERROR(IF(V61="Probabilidad",(N61-(+N61*Y61)),IF(V61="Impacto",N61,"")),"")</f>
        <v/>
      </c>
      <c r="AD61" s="219" t="str">
        <f>IFERROR(IF(AC61="","",IF(AC61&lt;=0.2,"Muy Baja",IF(AC61&lt;=0.4,"Baja",IF(AC61&lt;=0.6,"Media",IF(AC61&lt;=0.8,"Alta","Muy Alta"))))),"")</f>
        <v/>
      </c>
      <c r="AE61" s="217" t="str">
        <f>+AC61</f>
        <v/>
      </c>
      <c r="AF61" s="219" t="str">
        <f>IFERROR(IF(AG61="","",IF(AG61&lt;=0.2,"Leve",IF(AG61&lt;=0.4,"Menor",IF(AG61&lt;=0.6,"Moderado",IF(AG61&lt;=0.8,"Mayor","Catastrófico"))))),"")</f>
        <v/>
      </c>
      <c r="AG61" s="217" t="str">
        <f t="shared" ref="AG61" si="77">IFERROR(IF(V61="Impacto",(R61-(+R61*Y61)),IF(V61="Probabilidad",R61,"")),"")</f>
        <v/>
      </c>
      <c r="AH61" s="220" t="str">
        <f>IFERROR(IF(OR(AND(AD61="Muy Baja",AF61="Leve"),AND(AD61="Muy Baja",AF61="Menor"),AND(AD61="Baja",AF61="Leve")),"Bajo",IF(OR(AND(AD61="Muy baja",AF61="Moderado"),AND(AD61="Baja",AF61="Menor"),AND(AD61="Baja",AF61="Moderado"),AND(AD61="Media",AF61="Leve"),AND(AD61="Media",AF61="Menor"),AND(AD61="Media",AF61="Moderado"),AND(AD61="Alta",AF61="Leve"),AND(AD61="Alta",AF61="Menor")),"Moderado",IF(OR(AND(AD61="Muy Baja",AF61="Mayor"),AND(AD61="Baja",AF61="Mayor"),AND(AD61="Media",AF61="Mayor"),AND(AD61="Alta",AF61="Moderado"),AND(AD61="Alta",AF61="Mayor"),AND(AD61="Muy Alta",AF61="Leve"),AND(AD61="Muy Alta",AF61="Menor"),AND(AD61="Muy Alta",AF61="Moderado"),AND(AD61="Muy Alta",AF61="Mayor")),"Alto",IF(OR(AND(AD61="Muy Baja",AF61="Catastrófico"),AND(AD61="Baja",AF61="Catastrófico"),AND(AD61="Media",AF61="Catastrófico"),AND(AD61="Alta",AF61="Catastrófico"),AND(AD61="Muy Alta",AF61="Catastrófico")),"Extremo","")))),"")</f>
        <v/>
      </c>
      <c r="AI61" s="221"/>
      <c r="AJ61" s="212"/>
      <c r="AK61" s="222"/>
      <c r="AL61" s="222"/>
      <c r="AM61" s="223"/>
      <c r="AN61" s="382"/>
      <c r="AO61" s="382"/>
      <c r="AP61" s="382"/>
    </row>
    <row r="62" spans="1:42" s="224" customFormat="1" ht="37.5" customHeight="1" x14ac:dyDescent="0.2">
      <c r="A62" s="380"/>
      <c r="B62" s="381"/>
      <c r="C62" s="381"/>
      <c r="D62" s="381"/>
      <c r="E62" s="381"/>
      <c r="F62" s="381"/>
      <c r="G62" s="381"/>
      <c r="H62" s="381"/>
      <c r="I62" s="381"/>
      <c r="J62" s="381"/>
      <c r="K62" s="381"/>
      <c r="L62" s="382"/>
      <c r="M62" s="379"/>
      <c r="N62" s="334"/>
      <c r="O62" s="378"/>
      <c r="P62" s="334">
        <f ca="1">IF(NOT(ISERROR(MATCH(O62,_xlfn.ANCHORARRAY(E73),0))),N75&amp;"Por favor no seleccionar los criterios de impacto",O62)</f>
        <v>0</v>
      </c>
      <c r="Q62" s="379"/>
      <c r="R62" s="334"/>
      <c r="S62" s="335"/>
      <c r="T62" s="251">
        <v>2</v>
      </c>
      <c r="U62" s="213"/>
      <c r="V62" s="215" t="str">
        <f>IF(OR(W62="Preventivo",W62="Detectivo"),"Probabilidad",IF(W62="Correctivo","Impacto",""))</f>
        <v/>
      </c>
      <c r="W62" s="216"/>
      <c r="X62" s="216"/>
      <c r="Y62" s="217" t="str">
        <f t="shared" ref="Y62:Y66" si="78">IF(AND(W62="Preventivo",X62="Automático"),"50%",IF(AND(W62="Preventivo",X62="Manual"),"40%",IF(AND(W62="Detectivo",X62="Automático"),"40%",IF(AND(W62="Detectivo",X62="Manual"),"30%",IF(AND(W62="Correctivo",X62="Automático"),"35%",IF(AND(W62="Correctivo",X62="Manual"),"25%",""))))))</f>
        <v/>
      </c>
      <c r="Z62" s="216"/>
      <c r="AA62" s="216"/>
      <c r="AB62" s="216"/>
      <c r="AC62" s="218" t="str">
        <f>IFERROR(IF(AND(V61="Probabilidad",V62="Probabilidad"),(AE61-(+AE61*Y62)),IF(V62="Probabilidad",(N61-(+N61*Y62)),IF(V62="Impacto",AE61,""))),"")</f>
        <v/>
      </c>
      <c r="AD62" s="219" t="str">
        <f t="shared" si="2"/>
        <v/>
      </c>
      <c r="AE62" s="217" t="str">
        <f t="shared" ref="AE62:AE66" si="79">+AC62</f>
        <v/>
      </c>
      <c r="AF62" s="219" t="str">
        <f t="shared" si="4"/>
        <v/>
      </c>
      <c r="AG62" s="217" t="str">
        <f t="shared" ref="AG62" si="80">IFERROR(IF(AND(V61="Impacto",V62="Impacto"),(AG61-(+AG61*Y62)),IF(V62="Impacto",($R$13-(+$R$13*Y62)),IF(V62="Probabilidad",AG61,""))),"")</f>
        <v/>
      </c>
      <c r="AH62" s="220" t="str">
        <f t="shared" ref="AH62:AH63" si="81">IFERROR(IF(OR(AND(AD62="Muy Baja",AF62="Leve"),AND(AD62="Muy Baja",AF62="Menor"),AND(AD62="Baja",AF62="Leve")),"Bajo",IF(OR(AND(AD62="Muy baja",AF62="Moderado"),AND(AD62="Baja",AF62="Menor"),AND(AD62="Baja",AF62="Moderado"),AND(AD62="Media",AF62="Leve"),AND(AD62="Media",AF62="Menor"),AND(AD62="Media",AF62="Moderado"),AND(AD62="Alta",AF62="Leve"),AND(AD62="Alta",AF62="Menor")),"Moderado",IF(OR(AND(AD62="Muy Baja",AF62="Mayor"),AND(AD62="Baja",AF62="Mayor"),AND(AD62="Media",AF62="Mayor"),AND(AD62="Alta",AF62="Moderado"),AND(AD62="Alta",AF62="Mayor"),AND(AD62="Muy Alta",AF62="Leve"),AND(AD62="Muy Alta",AF62="Menor"),AND(AD62="Muy Alta",AF62="Moderado"),AND(AD62="Muy Alta",AF62="Mayor")),"Alto",IF(OR(AND(AD62="Muy Baja",AF62="Catastrófico"),AND(AD62="Baja",AF62="Catastrófico"),AND(AD62="Media",AF62="Catastrófico"),AND(AD62="Alta",AF62="Catastrófico"),AND(AD62="Muy Alta",AF62="Catastrófico")),"Extremo","")))),"")</f>
        <v/>
      </c>
      <c r="AI62" s="221"/>
      <c r="AJ62" s="212"/>
      <c r="AK62" s="222"/>
      <c r="AL62" s="222"/>
      <c r="AM62" s="223"/>
      <c r="AN62" s="382"/>
      <c r="AO62" s="382"/>
      <c r="AP62" s="382"/>
    </row>
    <row r="63" spans="1:42" s="224" customFormat="1" ht="37.5" customHeight="1" x14ac:dyDescent="0.2">
      <c r="A63" s="380"/>
      <c r="B63" s="381"/>
      <c r="C63" s="381"/>
      <c r="D63" s="381"/>
      <c r="E63" s="381"/>
      <c r="F63" s="381"/>
      <c r="G63" s="381"/>
      <c r="H63" s="381"/>
      <c r="I63" s="381"/>
      <c r="J63" s="381"/>
      <c r="K63" s="381"/>
      <c r="L63" s="382"/>
      <c r="M63" s="379"/>
      <c r="N63" s="334"/>
      <c r="O63" s="378"/>
      <c r="P63" s="334">
        <f ca="1">IF(NOT(ISERROR(MATCH(O63,_xlfn.ANCHORARRAY(E74),0))),N76&amp;"Por favor no seleccionar los criterios de impacto",O63)</f>
        <v>0</v>
      </c>
      <c r="Q63" s="379"/>
      <c r="R63" s="334"/>
      <c r="S63" s="335"/>
      <c r="T63" s="251">
        <v>3</v>
      </c>
      <c r="U63" s="213"/>
      <c r="V63" s="215" t="str">
        <f>IF(OR(W63="Preventivo",W63="Detectivo"),"Probabilidad",IF(W63="Correctivo","Impacto",""))</f>
        <v/>
      </c>
      <c r="W63" s="216"/>
      <c r="X63" s="216"/>
      <c r="Y63" s="217" t="str">
        <f t="shared" si="78"/>
        <v/>
      </c>
      <c r="Z63" s="216"/>
      <c r="AA63" s="216"/>
      <c r="AB63" s="216"/>
      <c r="AC63" s="218" t="str">
        <f>IFERROR(IF(AND(V62="Probabilidad",V63="Probabilidad"),(AE62-(+AE62*Y63)),IF(AND(V62="Impacto",V63="Probabilidad"),(AE61-(+AE61*Y63)),IF(V63="Impacto",AE62,""))),"")</f>
        <v/>
      </c>
      <c r="AD63" s="219" t="str">
        <f t="shared" si="2"/>
        <v/>
      </c>
      <c r="AE63" s="217" t="str">
        <f t="shared" si="79"/>
        <v/>
      </c>
      <c r="AF63" s="219" t="str">
        <f t="shared" si="4"/>
        <v/>
      </c>
      <c r="AG63" s="217" t="str">
        <f t="shared" ref="AG63" si="82">IFERROR(IF(AND(V62="Impacto",V63="Impacto"),(AG62-(+AG62*Y63)),IF(AND(V62="Probabilidad",V63="Impacto"),(AG61-(+AG61*Y63)),IF(V63="Probabilidad",AG62,""))),"")</f>
        <v/>
      </c>
      <c r="AH63" s="220" t="str">
        <f t="shared" si="81"/>
        <v/>
      </c>
      <c r="AI63" s="221"/>
      <c r="AJ63" s="212"/>
      <c r="AK63" s="222"/>
      <c r="AL63" s="222"/>
      <c r="AM63" s="223"/>
      <c r="AN63" s="382"/>
      <c r="AO63" s="382"/>
      <c r="AP63" s="382"/>
    </row>
    <row r="64" spans="1:42" s="224" customFormat="1" ht="37.5" customHeight="1" x14ac:dyDescent="0.2">
      <c r="A64" s="380"/>
      <c r="B64" s="381"/>
      <c r="C64" s="381"/>
      <c r="D64" s="381"/>
      <c r="E64" s="381"/>
      <c r="F64" s="381"/>
      <c r="G64" s="381"/>
      <c r="H64" s="381"/>
      <c r="I64" s="381"/>
      <c r="J64" s="381"/>
      <c r="K64" s="381"/>
      <c r="L64" s="382"/>
      <c r="M64" s="379"/>
      <c r="N64" s="334"/>
      <c r="O64" s="378"/>
      <c r="P64" s="334">
        <f ca="1">IF(NOT(ISERROR(MATCH(O64,_xlfn.ANCHORARRAY(E75),0))),N77&amp;"Por favor no seleccionar los criterios de impacto",O64)</f>
        <v>0</v>
      </c>
      <c r="Q64" s="379"/>
      <c r="R64" s="334"/>
      <c r="S64" s="335"/>
      <c r="T64" s="251">
        <v>4</v>
      </c>
      <c r="U64" s="213"/>
      <c r="V64" s="215" t="str">
        <f t="shared" ref="V64:V66" si="83">IF(OR(W64="Preventivo",W64="Detectivo"),"Probabilidad",IF(W64="Correctivo","Impacto",""))</f>
        <v/>
      </c>
      <c r="W64" s="216"/>
      <c r="X64" s="216"/>
      <c r="Y64" s="217" t="str">
        <f t="shared" si="78"/>
        <v/>
      </c>
      <c r="Z64" s="216"/>
      <c r="AA64" s="216"/>
      <c r="AB64" s="216"/>
      <c r="AC64" s="218" t="str">
        <f t="shared" ref="AC64:AC66" si="84">IFERROR(IF(AND(V63="Probabilidad",V64="Probabilidad"),(AE63-(+AE63*Y64)),IF(AND(V63="Impacto",V64="Probabilidad"),(AE62-(+AE62*Y64)),IF(V64="Impacto",AE63,""))),"")</f>
        <v/>
      </c>
      <c r="AD64" s="219" t="str">
        <f t="shared" si="2"/>
        <v/>
      </c>
      <c r="AE64" s="217" t="str">
        <f t="shared" si="79"/>
        <v/>
      </c>
      <c r="AF64" s="219" t="str">
        <f t="shared" si="4"/>
        <v/>
      </c>
      <c r="AG64" s="217" t="str">
        <f t="shared" si="14"/>
        <v/>
      </c>
      <c r="AH64" s="220" t="str">
        <f>IFERROR(IF(OR(AND(AD64="Muy Baja",AF64="Leve"),AND(AD64="Muy Baja",AF64="Menor"),AND(AD64="Baja",AF64="Leve")),"Bajo",IF(OR(AND(AD64="Muy baja",AF64="Moderado"),AND(AD64="Baja",AF64="Menor"),AND(AD64="Baja",AF64="Moderado"),AND(AD64="Media",AF64="Leve"),AND(AD64="Media",AF64="Menor"),AND(AD64="Media",AF64="Moderado"),AND(AD64="Alta",AF64="Leve"),AND(AD64="Alta",AF64="Menor")),"Moderado",IF(OR(AND(AD64="Muy Baja",AF64="Mayor"),AND(AD64="Baja",AF64="Mayor"),AND(AD64="Media",AF64="Mayor"),AND(AD64="Alta",AF64="Moderado"),AND(AD64="Alta",AF64="Mayor"),AND(AD64="Muy Alta",AF64="Leve"),AND(AD64="Muy Alta",AF64="Menor"),AND(AD64="Muy Alta",AF64="Moderado"),AND(AD64="Muy Alta",AF64="Mayor")),"Alto",IF(OR(AND(AD64="Muy Baja",AF64="Catastrófico"),AND(AD64="Baja",AF64="Catastrófico"),AND(AD64="Media",AF64="Catastrófico"),AND(AD64="Alta",AF64="Catastrófico"),AND(AD64="Muy Alta",AF64="Catastrófico")),"Extremo","")))),"")</f>
        <v/>
      </c>
      <c r="AI64" s="221"/>
      <c r="AJ64" s="212"/>
      <c r="AK64" s="222"/>
      <c r="AL64" s="222"/>
      <c r="AM64" s="223"/>
      <c r="AN64" s="382"/>
      <c r="AO64" s="382"/>
      <c r="AP64" s="382"/>
    </row>
    <row r="65" spans="1:42" s="224" customFormat="1" ht="37.5" customHeight="1" x14ac:dyDescent="0.2">
      <c r="A65" s="380"/>
      <c r="B65" s="381"/>
      <c r="C65" s="381"/>
      <c r="D65" s="381"/>
      <c r="E65" s="381"/>
      <c r="F65" s="381"/>
      <c r="G65" s="381"/>
      <c r="H65" s="381"/>
      <c r="I65" s="381"/>
      <c r="J65" s="381"/>
      <c r="K65" s="381"/>
      <c r="L65" s="382"/>
      <c r="M65" s="379"/>
      <c r="N65" s="334"/>
      <c r="O65" s="378"/>
      <c r="P65" s="334">
        <f ca="1">IF(NOT(ISERROR(MATCH(O65,_xlfn.ANCHORARRAY(E76),0))),N78&amp;"Por favor no seleccionar los criterios de impacto",O65)</f>
        <v>0</v>
      </c>
      <c r="Q65" s="379"/>
      <c r="R65" s="334"/>
      <c r="S65" s="335"/>
      <c r="T65" s="251">
        <v>5</v>
      </c>
      <c r="U65" s="213"/>
      <c r="V65" s="215" t="str">
        <f t="shared" si="83"/>
        <v/>
      </c>
      <c r="W65" s="216"/>
      <c r="X65" s="216"/>
      <c r="Y65" s="217" t="str">
        <f t="shared" si="78"/>
        <v/>
      </c>
      <c r="Z65" s="216"/>
      <c r="AA65" s="216"/>
      <c r="AB65" s="216"/>
      <c r="AC65" s="218" t="str">
        <f t="shared" si="84"/>
        <v/>
      </c>
      <c r="AD65" s="219" t="str">
        <f t="shared" si="2"/>
        <v/>
      </c>
      <c r="AE65" s="217" t="str">
        <f t="shared" si="79"/>
        <v/>
      </c>
      <c r="AF65" s="219" t="str">
        <f t="shared" si="4"/>
        <v/>
      </c>
      <c r="AG65" s="217" t="str">
        <f t="shared" si="14"/>
        <v/>
      </c>
      <c r="AH65" s="220" t="str">
        <f t="shared" ref="AH65:AH66" si="85">IFERROR(IF(OR(AND(AD65="Muy Baja",AF65="Leve"),AND(AD65="Muy Baja",AF65="Menor"),AND(AD65="Baja",AF65="Leve")),"Bajo",IF(OR(AND(AD65="Muy baja",AF65="Moderado"),AND(AD65="Baja",AF65="Menor"),AND(AD65="Baja",AF65="Moderado"),AND(AD65="Media",AF65="Leve"),AND(AD65="Media",AF65="Menor"),AND(AD65="Media",AF65="Moderado"),AND(AD65="Alta",AF65="Leve"),AND(AD65="Alta",AF65="Menor")),"Moderado",IF(OR(AND(AD65="Muy Baja",AF65="Mayor"),AND(AD65="Baja",AF65="Mayor"),AND(AD65="Media",AF65="Mayor"),AND(AD65="Alta",AF65="Moderado"),AND(AD65="Alta",AF65="Mayor"),AND(AD65="Muy Alta",AF65="Leve"),AND(AD65="Muy Alta",AF65="Menor"),AND(AD65="Muy Alta",AF65="Moderado"),AND(AD65="Muy Alta",AF65="Mayor")),"Alto",IF(OR(AND(AD65="Muy Baja",AF65="Catastrófico"),AND(AD65="Baja",AF65="Catastrófico"),AND(AD65="Media",AF65="Catastrófico"),AND(AD65="Alta",AF65="Catastrófico"),AND(AD65="Muy Alta",AF65="Catastrófico")),"Extremo","")))),"")</f>
        <v/>
      </c>
      <c r="AI65" s="221"/>
      <c r="AJ65" s="212"/>
      <c r="AK65" s="222"/>
      <c r="AL65" s="222"/>
      <c r="AM65" s="223"/>
      <c r="AN65" s="382"/>
      <c r="AO65" s="382"/>
      <c r="AP65" s="382"/>
    </row>
    <row r="66" spans="1:42" s="224" customFormat="1" ht="37.5" customHeight="1" x14ac:dyDescent="0.2">
      <c r="A66" s="380"/>
      <c r="B66" s="381"/>
      <c r="C66" s="381"/>
      <c r="D66" s="381"/>
      <c r="E66" s="381"/>
      <c r="F66" s="381"/>
      <c r="G66" s="381"/>
      <c r="H66" s="381"/>
      <c r="I66" s="381"/>
      <c r="J66" s="381"/>
      <c r="K66" s="381"/>
      <c r="L66" s="382"/>
      <c r="M66" s="379"/>
      <c r="N66" s="334"/>
      <c r="O66" s="378"/>
      <c r="P66" s="334">
        <f ca="1">IF(NOT(ISERROR(MATCH(O66,_xlfn.ANCHORARRAY(E77),0))),N79&amp;"Por favor no seleccionar los criterios de impacto",O66)</f>
        <v>0</v>
      </c>
      <c r="Q66" s="379"/>
      <c r="R66" s="334"/>
      <c r="S66" s="335"/>
      <c r="T66" s="251">
        <v>6</v>
      </c>
      <c r="U66" s="213"/>
      <c r="V66" s="215" t="str">
        <f t="shared" si="83"/>
        <v/>
      </c>
      <c r="W66" s="216"/>
      <c r="X66" s="216"/>
      <c r="Y66" s="217" t="str">
        <f t="shared" si="78"/>
        <v/>
      </c>
      <c r="Z66" s="216"/>
      <c r="AA66" s="216"/>
      <c r="AB66" s="216"/>
      <c r="AC66" s="218" t="str">
        <f t="shared" si="84"/>
        <v/>
      </c>
      <c r="AD66" s="219" t="str">
        <f t="shared" si="2"/>
        <v/>
      </c>
      <c r="AE66" s="217" t="str">
        <f t="shared" si="79"/>
        <v/>
      </c>
      <c r="AF66" s="219" t="str">
        <f t="shared" si="4"/>
        <v/>
      </c>
      <c r="AG66" s="217" t="str">
        <f t="shared" si="14"/>
        <v/>
      </c>
      <c r="AH66" s="220" t="str">
        <f t="shared" si="85"/>
        <v/>
      </c>
      <c r="AI66" s="221"/>
      <c r="AJ66" s="212"/>
      <c r="AK66" s="222"/>
      <c r="AL66" s="222"/>
      <c r="AM66" s="223"/>
      <c r="AN66" s="382"/>
      <c r="AO66" s="382"/>
      <c r="AP66" s="382"/>
    </row>
    <row r="67" spans="1:42" s="224" customFormat="1" ht="37.5" customHeight="1" x14ac:dyDescent="0.2">
      <c r="A67" s="380">
        <v>10</v>
      </c>
      <c r="B67" s="381"/>
      <c r="C67" s="381"/>
      <c r="D67" s="381"/>
      <c r="E67" s="381"/>
      <c r="F67" s="381"/>
      <c r="G67" s="381"/>
      <c r="H67" s="381"/>
      <c r="I67" s="381"/>
      <c r="J67" s="381"/>
      <c r="K67" s="381"/>
      <c r="L67" s="382"/>
      <c r="M67" s="379" t="str">
        <f>IF(L67&lt;=0,"",IF(L67&lt;=2,"Muy Baja",IF(L67&lt;=24,"Baja",IF(L67&lt;=500,"Media",IF(L67&lt;=5000,"Alta","Muy Alta")))))</f>
        <v/>
      </c>
      <c r="N67" s="334" t="str">
        <f>IF(M67="","",IF(M67="Muy Baja",0.2,IF(M67="Baja",0.4,IF(M67="Media",0.6,IF(M67="Alta",0.8,IF(M67="Muy Alta",1,))))))</f>
        <v/>
      </c>
      <c r="O67" s="378"/>
      <c r="P67" s="334">
        <f>IF(NOT(ISERROR(MATCH(O67,'Tabla Impacto'!$B$222:$B$224,0))),'Tabla Impacto'!$F$224&amp;"Por favor no seleccionar los criterios de impacto(Afectación Económica o presupuestal y Pérdida Reputacional)",O67)</f>
        <v>0</v>
      </c>
      <c r="Q67" s="379" t="str">
        <f>IF(OR(P67='Tabla Impacto'!$C$12,P67='Tabla Impacto'!$D$12),"Leve",IF(OR(P67='Tabla Impacto'!$C$13,P67='Tabla Impacto'!$D$13),"Menor",IF(OR(P67='Tabla Impacto'!$C$14,P67='Tabla Impacto'!$D$14),"Moderado",IF(OR(P67='Tabla Impacto'!$C$15,P67='Tabla Impacto'!$D$15),"Mayor",IF(OR(P67='Tabla Impacto'!$C$16,P67='Tabla Impacto'!$D$16),"Catastrófico","")))))</f>
        <v/>
      </c>
      <c r="R67" s="334" t="str">
        <f>IF(Q67="","",IF(Q67="Leve",0.2,IF(Q67="Menor",0.4,IF(Q67="Moderado",0.6,IF(Q67="Mayor",0.8,IF(Q67="Catastrófico",1,))))))</f>
        <v/>
      </c>
      <c r="S67" s="335" t="str">
        <f>IF(OR(AND(M67="Muy Baja",Q67="Leve"),AND(M67="Muy Baja",Q67="Menor"),AND(M67="Baja",Q67="Leve")),"Bajo",IF(OR(AND(M67="Muy baja",Q67="Moderado"),AND(M67="Baja",Q67="Menor"),AND(M67="Baja",Q67="Moderado"),AND(M67="Media",Q67="Leve"),AND(M67="Media",Q67="Menor"),AND(M67="Media",Q67="Moderado"),AND(M67="Alta",Q67="Leve"),AND(M67="Alta",Q67="Menor")),"Moderado",IF(OR(AND(M67="Muy Baja",Q67="Mayor"),AND(M67="Baja",Q67="Mayor"),AND(M67="Media",Q67="Mayor"),AND(M67="Alta",Q67="Moderado"),AND(M67="Alta",Q67="Mayor"),AND(M67="Muy Alta",Q67="Leve"),AND(M67="Muy Alta",Q67="Menor"),AND(M67="Muy Alta",Q67="Moderado"),AND(M67="Muy Alta",Q67="Mayor")),"Alto",IF(OR(AND(M67="Muy Baja",Q67="Catastrófico"),AND(M67="Baja",Q67="Catastrófico"),AND(M67="Media",Q67="Catastrófico"),AND(M67="Alta",Q67="Catastrófico"),AND(M67="Muy Alta",Q67="Catastrófico")),"Extremo",""))))</f>
        <v/>
      </c>
      <c r="T67" s="251">
        <v>1</v>
      </c>
      <c r="U67" s="213"/>
      <c r="V67" s="215" t="str">
        <f>IF(OR(W67="Preventivo",W67="Detectivo"),"Probabilidad",IF(W67="Correctivo","Impacto",""))</f>
        <v/>
      </c>
      <c r="W67" s="216"/>
      <c r="X67" s="216"/>
      <c r="Y67" s="217" t="str">
        <f>IF(AND(W67="Preventivo",X67="Automático"),"50%",IF(AND(W67="Preventivo",X67="Manual"),"40%",IF(AND(W67="Detectivo",X67="Automático"),"40%",IF(AND(W67="Detectivo",X67="Manual"),"30%",IF(AND(W67="Correctivo",X67="Automático"),"35%",IF(AND(W67="Correctivo",X67="Manual"),"25%",""))))))</f>
        <v/>
      </c>
      <c r="Z67" s="216"/>
      <c r="AA67" s="216"/>
      <c r="AB67" s="216"/>
      <c r="AC67" s="218" t="str">
        <f>IFERROR(IF(V67="Probabilidad",(N67-(+N67*Y67)),IF(V67="Impacto",N67,"")),"")</f>
        <v/>
      </c>
      <c r="AD67" s="219" t="str">
        <f>IFERROR(IF(AC67="","",IF(AC67&lt;=0.2,"Muy Baja",IF(AC67&lt;=0.4,"Baja",IF(AC67&lt;=0.6,"Media",IF(AC67&lt;=0.8,"Alta","Muy Alta"))))),"")</f>
        <v/>
      </c>
      <c r="AE67" s="217" t="str">
        <f>+AC67</f>
        <v/>
      </c>
      <c r="AF67" s="219" t="str">
        <f>IFERROR(IF(AG67="","",IF(AG67&lt;=0.2,"Leve",IF(AG67&lt;=0.4,"Menor",IF(AG67&lt;=0.6,"Moderado",IF(AG67&lt;=0.8,"Mayor","Catastrófico"))))),"")</f>
        <v/>
      </c>
      <c r="AG67" s="217" t="str">
        <f t="shared" ref="AG67" si="86">IFERROR(IF(V67="Impacto",(R67-(+R67*Y67)),IF(V67="Probabilidad",R67,"")),"")</f>
        <v/>
      </c>
      <c r="AH67" s="220" t="str">
        <f>IFERROR(IF(OR(AND(AD67="Muy Baja",AF67="Leve"),AND(AD67="Muy Baja",AF67="Menor"),AND(AD67="Baja",AF67="Leve")),"Bajo",IF(OR(AND(AD67="Muy baja",AF67="Moderado"),AND(AD67="Baja",AF67="Menor"),AND(AD67="Baja",AF67="Moderado"),AND(AD67="Media",AF67="Leve"),AND(AD67="Media",AF67="Menor"),AND(AD67="Media",AF67="Moderado"),AND(AD67="Alta",AF67="Leve"),AND(AD67="Alta",AF67="Menor")),"Moderado",IF(OR(AND(AD67="Muy Baja",AF67="Mayor"),AND(AD67="Baja",AF67="Mayor"),AND(AD67="Media",AF67="Mayor"),AND(AD67="Alta",AF67="Moderado"),AND(AD67="Alta",AF67="Mayor"),AND(AD67="Muy Alta",AF67="Leve"),AND(AD67="Muy Alta",AF67="Menor"),AND(AD67="Muy Alta",AF67="Moderado"),AND(AD67="Muy Alta",AF67="Mayor")),"Alto",IF(OR(AND(AD67="Muy Baja",AF67="Catastrófico"),AND(AD67="Baja",AF67="Catastrófico"),AND(AD67="Media",AF67="Catastrófico"),AND(AD67="Alta",AF67="Catastrófico"),AND(AD67="Muy Alta",AF67="Catastrófico")),"Extremo","")))),"")</f>
        <v/>
      </c>
      <c r="AI67" s="221"/>
      <c r="AJ67" s="212"/>
      <c r="AK67" s="222"/>
      <c r="AL67" s="222"/>
      <c r="AM67" s="223"/>
      <c r="AN67" s="382"/>
      <c r="AO67" s="382"/>
      <c r="AP67" s="382"/>
    </row>
    <row r="68" spans="1:42" s="224" customFormat="1" ht="37.5" customHeight="1" x14ac:dyDescent="0.2">
      <c r="A68" s="380"/>
      <c r="B68" s="381"/>
      <c r="C68" s="381"/>
      <c r="D68" s="381"/>
      <c r="E68" s="381"/>
      <c r="F68" s="381"/>
      <c r="G68" s="381"/>
      <c r="H68" s="381"/>
      <c r="I68" s="381"/>
      <c r="J68" s="381"/>
      <c r="K68" s="381"/>
      <c r="L68" s="382"/>
      <c r="M68" s="379"/>
      <c r="N68" s="334"/>
      <c r="O68" s="378"/>
      <c r="P68" s="334">
        <f ca="1">IF(NOT(ISERROR(MATCH(O68,_xlfn.ANCHORARRAY(E79),0))),N81&amp;"Por favor no seleccionar los criterios de impacto",O68)</f>
        <v>0</v>
      </c>
      <c r="Q68" s="379"/>
      <c r="R68" s="334"/>
      <c r="S68" s="335"/>
      <c r="T68" s="251">
        <v>2</v>
      </c>
      <c r="U68" s="213"/>
      <c r="V68" s="215" t="str">
        <f>IF(OR(W68="Preventivo",W68="Detectivo"),"Probabilidad",IF(W68="Correctivo","Impacto",""))</f>
        <v/>
      </c>
      <c r="W68" s="216"/>
      <c r="X68" s="216"/>
      <c r="Y68" s="217" t="str">
        <f t="shared" ref="Y68:Y72" si="87">IF(AND(W68="Preventivo",X68="Automático"),"50%",IF(AND(W68="Preventivo",X68="Manual"),"40%",IF(AND(W68="Detectivo",X68="Automático"),"40%",IF(AND(W68="Detectivo",X68="Manual"),"30%",IF(AND(W68="Correctivo",X68="Automático"),"35%",IF(AND(W68="Correctivo",X68="Manual"),"25%",""))))))</f>
        <v/>
      </c>
      <c r="Z68" s="216"/>
      <c r="AA68" s="216"/>
      <c r="AB68" s="216"/>
      <c r="AC68" s="218" t="str">
        <f>IFERROR(IF(AND(V67="Probabilidad",V68="Probabilidad"),(AE67-(+AE67*Y68)),IF(V68="Probabilidad",(N67-(+N67*Y68)),IF(V68="Impacto",AE67,""))),"")</f>
        <v/>
      </c>
      <c r="AD68" s="219" t="str">
        <f t="shared" si="2"/>
        <v/>
      </c>
      <c r="AE68" s="217" t="str">
        <f t="shared" ref="AE68:AE72" si="88">+AC68</f>
        <v/>
      </c>
      <c r="AF68" s="219" t="str">
        <f t="shared" si="4"/>
        <v/>
      </c>
      <c r="AG68" s="217" t="str">
        <f t="shared" ref="AG68" si="89">IFERROR(IF(AND(V67="Impacto",V68="Impacto"),(AG67-(+AG67*Y68)),IF(V68="Impacto",($R$13-(+$R$13*Y68)),IF(V68="Probabilidad",AG67,""))),"")</f>
        <v/>
      </c>
      <c r="AH68" s="220" t="str">
        <f t="shared" ref="AH68:AH69" si="90">IFERROR(IF(OR(AND(AD68="Muy Baja",AF68="Leve"),AND(AD68="Muy Baja",AF68="Menor"),AND(AD68="Baja",AF68="Leve")),"Bajo",IF(OR(AND(AD68="Muy baja",AF68="Moderado"),AND(AD68="Baja",AF68="Menor"),AND(AD68="Baja",AF68="Moderado"),AND(AD68="Media",AF68="Leve"),AND(AD68="Media",AF68="Menor"),AND(AD68="Media",AF68="Moderado"),AND(AD68="Alta",AF68="Leve"),AND(AD68="Alta",AF68="Menor")),"Moderado",IF(OR(AND(AD68="Muy Baja",AF68="Mayor"),AND(AD68="Baja",AF68="Mayor"),AND(AD68="Media",AF68="Mayor"),AND(AD68="Alta",AF68="Moderado"),AND(AD68="Alta",AF68="Mayor"),AND(AD68="Muy Alta",AF68="Leve"),AND(AD68="Muy Alta",AF68="Menor"),AND(AD68="Muy Alta",AF68="Moderado"),AND(AD68="Muy Alta",AF68="Mayor")),"Alto",IF(OR(AND(AD68="Muy Baja",AF68="Catastrófico"),AND(AD68="Baja",AF68="Catastrófico"),AND(AD68="Media",AF68="Catastrófico"),AND(AD68="Alta",AF68="Catastrófico"),AND(AD68="Muy Alta",AF68="Catastrófico")),"Extremo","")))),"")</f>
        <v/>
      </c>
      <c r="AI68" s="221"/>
      <c r="AJ68" s="212"/>
      <c r="AK68" s="222"/>
      <c r="AL68" s="222"/>
      <c r="AM68" s="223"/>
      <c r="AN68" s="382"/>
      <c r="AO68" s="382"/>
      <c r="AP68" s="382"/>
    </row>
    <row r="69" spans="1:42" s="224" customFormat="1" ht="37.5" customHeight="1" x14ac:dyDescent="0.2">
      <c r="A69" s="380"/>
      <c r="B69" s="381"/>
      <c r="C69" s="381"/>
      <c r="D69" s="381"/>
      <c r="E69" s="381"/>
      <c r="F69" s="381"/>
      <c r="G69" s="381"/>
      <c r="H69" s="381"/>
      <c r="I69" s="381"/>
      <c r="J69" s="381"/>
      <c r="K69" s="381"/>
      <c r="L69" s="382"/>
      <c r="M69" s="379"/>
      <c r="N69" s="334"/>
      <c r="O69" s="378"/>
      <c r="P69" s="334">
        <f ca="1">IF(NOT(ISERROR(MATCH(O69,_xlfn.ANCHORARRAY(E80),0))),N82&amp;"Por favor no seleccionar los criterios de impacto",O69)</f>
        <v>0</v>
      </c>
      <c r="Q69" s="379"/>
      <c r="R69" s="334"/>
      <c r="S69" s="335"/>
      <c r="T69" s="251">
        <v>3</v>
      </c>
      <c r="U69" s="213"/>
      <c r="V69" s="215" t="str">
        <f>IF(OR(W69="Preventivo",W69="Detectivo"),"Probabilidad",IF(W69="Correctivo","Impacto",""))</f>
        <v/>
      </c>
      <c r="W69" s="216"/>
      <c r="X69" s="216"/>
      <c r="Y69" s="217" t="str">
        <f t="shared" si="87"/>
        <v/>
      </c>
      <c r="Z69" s="216"/>
      <c r="AA69" s="216"/>
      <c r="AB69" s="216"/>
      <c r="AC69" s="218" t="str">
        <f>IFERROR(IF(AND(V68="Probabilidad",V69="Probabilidad"),(AE68-(+AE68*Y69)),IF(AND(V68="Impacto",V69="Probabilidad"),(AE67-(+AE67*Y69)),IF(V69="Impacto",AE68,""))),"")</f>
        <v/>
      </c>
      <c r="AD69" s="219" t="str">
        <f t="shared" si="2"/>
        <v/>
      </c>
      <c r="AE69" s="217" t="str">
        <f t="shared" si="88"/>
        <v/>
      </c>
      <c r="AF69" s="219" t="str">
        <f t="shared" si="4"/>
        <v/>
      </c>
      <c r="AG69" s="217" t="str">
        <f t="shared" ref="AG69" si="91">IFERROR(IF(AND(V68="Impacto",V69="Impacto"),(AG68-(+AG68*Y69)),IF(AND(V68="Probabilidad",V69="Impacto"),(AG67-(+AG67*Y69)),IF(V69="Probabilidad",AG68,""))),"")</f>
        <v/>
      </c>
      <c r="AH69" s="220" t="str">
        <f t="shared" si="90"/>
        <v/>
      </c>
      <c r="AI69" s="221"/>
      <c r="AJ69" s="212"/>
      <c r="AK69" s="222"/>
      <c r="AL69" s="222"/>
      <c r="AM69" s="223"/>
      <c r="AN69" s="382"/>
      <c r="AO69" s="382"/>
      <c r="AP69" s="382"/>
    </row>
    <row r="70" spans="1:42" s="224" customFormat="1" ht="37.5" customHeight="1" x14ac:dyDescent="0.2">
      <c r="A70" s="380"/>
      <c r="B70" s="381"/>
      <c r="C70" s="381"/>
      <c r="D70" s="381"/>
      <c r="E70" s="381"/>
      <c r="F70" s="381"/>
      <c r="G70" s="381"/>
      <c r="H70" s="381"/>
      <c r="I70" s="381"/>
      <c r="J70" s="381"/>
      <c r="K70" s="381"/>
      <c r="L70" s="382"/>
      <c r="M70" s="379"/>
      <c r="N70" s="334"/>
      <c r="O70" s="378"/>
      <c r="P70" s="334">
        <f ca="1">IF(NOT(ISERROR(MATCH(O70,_xlfn.ANCHORARRAY(E81),0))),N83&amp;"Por favor no seleccionar los criterios de impacto",O70)</f>
        <v>0</v>
      </c>
      <c r="Q70" s="379"/>
      <c r="R70" s="334"/>
      <c r="S70" s="335"/>
      <c r="T70" s="251">
        <v>4</v>
      </c>
      <c r="U70" s="213"/>
      <c r="V70" s="215" t="str">
        <f t="shared" ref="V70:V72" si="92">IF(OR(W70="Preventivo",W70="Detectivo"),"Probabilidad",IF(W70="Correctivo","Impacto",""))</f>
        <v/>
      </c>
      <c r="W70" s="216"/>
      <c r="X70" s="216"/>
      <c r="Y70" s="217" t="str">
        <f t="shared" si="87"/>
        <v/>
      </c>
      <c r="Z70" s="216"/>
      <c r="AA70" s="216"/>
      <c r="AB70" s="216"/>
      <c r="AC70" s="218" t="str">
        <f t="shared" ref="AC70:AC72" si="93">IFERROR(IF(AND(V69="Probabilidad",V70="Probabilidad"),(AE69-(+AE69*Y70)),IF(AND(V69="Impacto",V70="Probabilidad"),(AE68-(+AE68*Y70)),IF(V70="Impacto",AE69,""))),"")</f>
        <v/>
      </c>
      <c r="AD70" s="219" t="str">
        <f t="shared" si="2"/>
        <v/>
      </c>
      <c r="AE70" s="217" t="str">
        <f t="shared" si="88"/>
        <v/>
      </c>
      <c r="AF70" s="219" t="str">
        <f t="shared" si="4"/>
        <v/>
      </c>
      <c r="AG70" s="217" t="str">
        <f t="shared" si="14"/>
        <v/>
      </c>
      <c r="AH70" s="220" t="str">
        <f>IFERROR(IF(OR(AND(AD70="Muy Baja",AF70="Leve"),AND(AD70="Muy Baja",AF70="Menor"),AND(AD70="Baja",AF70="Leve")),"Bajo",IF(OR(AND(AD70="Muy baja",AF70="Moderado"),AND(AD70="Baja",AF70="Menor"),AND(AD70="Baja",AF70="Moderado"),AND(AD70="Media",AF70="Leve"),AND(AD70="Media",AF70="Menor"),AND(AD70="Media",AF70="Moderado"),AND(AD70="Alta",AF70="Leve"),AND(AD70="Alta",AF70="Menor")),"Moderado",IF(OR(AND(AD70="Muy Baja",AF70="Mayor"),AND(AD70="Baja",AF70="Mayor"),AND(AD70="Media",AF70="Mayor"),AND(AD70="Alta",AF70="Moderado"),AND(AD70="Alta",AF70="Mayor"),AND(AD70="Muy Alta",AF70="Leve"),AND(AD70="Muy Alta",AF70="Menor"),AND(AD70="Muy Alta",AF70="Moderado"),AND(AD70="Muy Alta",AF70="Mayor")),"Alto",IF(OR(AND(AD70="Muy Baja",AF70="Catastrófico"),AND(AD70="Baja",AF70="Catastrófico"),AND(AD70="Media",AF70="Catastrófico"),AND(AD70="Alta",AF70="Catastrófico"),AND(AD70="Muy Alta",AF70="Catastrófico")),"Extremo","")))),"")</f>
        <v/>
      </c>
      <c r="AI70" s="221"/>
      <c r="AJ70" s="212"/>
      <c r="AK70" s="222"/>
      <c r="AL70" s="222"/>
      <c r="AM70" s="223"/>
      <c r="AN70" s="382"/>
      <c r="AO70" s="382"/>
      <c r="AP70" s="382"/>
    </row>
    <row r="71" spans="1:42" s="224" customFormat="1" ht="37.5" customHeight="1" x14ac:dyDescent="0.2">
      <c r="A71" s="380"/>
      <c r="B71" s="381"/>
      <c r="C71" s="381"/>
      <c r="D71" s="381"/>
      <c r="E71" s="381"/>
      <c r="F71" s="381"/>
      <c r="G71" s="381"/>
      <c r="H71" s="381"/>
      <c r="I71" s="381"/>
      <c r="J71" s="381"/>
      <c r="K71" s="381"/>
      <c r="L71" s="382"/>
      <c r="M71" s="379"/>
      <c r="N71" s="334"/>
      <c r="O71" s="378"/>
      <c r="P71" s="334">
        <f ca="1">IF(NOT(ISERROR(MATCH(O71,_xlfn.ANCHORARRAY(E82),0))),N84&amp;"Por favor no seleccionar los criterios de impacto",O71)</f>
        <v>0</v>
      </c>
      <c r="Q71" s="379"/>
      <c r="R71" s="334"/>
      <c r="S71" s="335"/>
      <c r="T71" s="251">
        <v>5</v>
      </c>
      <c r="U71" s="213"/>
      <c r="V71" s="215" t="str">
        <f t="shared" si="92"/>
        <v/>
      </c>
      <c r="W71" s="216"/>
      <c r="X71" s="216"/>
      <c r="Y71" s="217" t="str">
        <f t="shared" si="87"/>
        <v/>
      </c>
      <c r="Z71" s="216"/>
      <c r="AA71" s="216"/>
      <c r="AB71" s="216"/>
      <c r="AC71" s="218" t="str">
        <f t="shared" si="93"/>
        <v/>
      </c>
      <c r="AD71" s="219" t="str">
        <f t="shared" si="2"/>
        <v/>
      </c>
      <c r="AE71" s="217" t="str">
        <f t="shared" si="88"/>
        <v/>
      </c>
      <c r="AF71" s="219" t="str">
        <f t="shared" si="4"/>
        <v/>
      </c>
      <c r="AG71" s="217" t="str">
        <f t="shared" si="14"/>
        <v/>
      </c>
      <c r="AH71" s="220" t="str">
        <f t="shared" ref="AH71:AH72" si="94">IFERROR(IF(OR(AND(AD71="Muy Baja",AF71="Leve"),AND(AD71="Muy Baja",AF71="Menor"),AND(AD71="Baja",AF71="Leve")),"Bajo",IF(OR(AND(AD71="Muy baja",AF71="Moderado"),AND(AD71="Baja",AF71="Menor"),AND(AD71="Baja",AF71="Moderado"),AND(AD71="Media",AF71="Leve"),AND(AD71="Media",AF71="Menor"),AND(AD71="Media",AF71="Moderado"),AND(AD71="Alta",AF71="Leve"),AND(AD71="Alta",AF71="Menor")),"Moderado",IF(OR(AND(AD71="Muy Baja",AF71="Mayor"),AND(AD71="Baja",AF71="Mayor"),AND(AD71="Media",AF71="Mayor"),AND(AD71="Alta",AF71="Moderado"),AND(AD71="Alta",AF71="Mayor"),AND(AD71="Muy Alta",AF71="Leve"),AND(AD71="Muy Alta",AF71="Menor"),AND(AD71="Muy Alta",AF71="Moderado"),AND(AD71="Muy Alta",AF71="Mayor")),"Alto",IF(OR(AND(AD71="Muy Baja",AF71="Catastrófico"),AND(AD71="Baja",AF71="Catastrófico"),AND(AD71="Media",AF71="Catastrófico"),AND(AD71="Alta",AF71="Catastrófico"),AND(AD71="Muy Alta",AF71="Catastrófico")),"Extremo","")))),"")</f>
        <v/>
      </c>
      <c r="AI71" s="221"/>
      <c r="AJ71" s="212"/>
      <c r="AK71" s="222"/>
      <c r="AL71" s="222"/>
      <c r="AM71" s="223"/>
      <c r="AN71" s="382"/>
      <c r="AO71" s="382"/>
      <c r="AP71" s="382"/>
    </row>
    <row r="72" spans="1:42" s="224" customFormat="1" ht="37.5" customHeight="1" x14ac:dyDescent="0.2">
      <c r="A72" s="380"/>
      <c r="B72" s="381"/>
      <c r="C72" s="381"/>
      <c r="D72" s="381"/>
      <c r="E72" s="381"/>
      <c r="F72" s="381"/>
      <c r="G72" s="381"/>
      <c r="H72" s="381"/>
      <c r="I72" s="381"/>
      <c r="J72" s="381"/>
      <c r="K72" s="381"/>
      <c r="L72" s="382"/>
      <c r="M72" s="379"/>
      <c r="N72" s="334"/>
      <c r="O72" s="378"/>
      <c r="P72" s="334">
        <f ca="1">IF(NOT(ISERROR(MATCH(O72,_xlfn.ANCHORARRAY(E83),0))),N85&amp;"Por favor no seleccionar los criterios de impacto",O72)</f>
        <v>0</v>
      </c>
      <c r="Q72" s="379"/>
      <c r="R72" s="334"/>
      <c r="S72" s="335"/>
      <c r="T72" s="251">
        <v>6</v>
      </c>
      <c r="U72" s="213"/>
      <c r="V72" s="215" t="str">
        <f t="shared" si="92"/>
        <v/>
      </c>
      <c r="W72" s="216"/>
      <c r="X72" s="216"/>
      <c r="Y72" s="217" t="str">
        <f t="shared" si="87"/>
        <v/>
      </c>
      <c r="Z72" s="216"/>
      <c r="AA72" s="216"/>
      <c r="AB72" s="216"/>
      <c r="AC72" s="218" t="str">
        <f t="shared" si="93"/>
        <v/>
      </c>
      <c r="AD72" s="219" t="str">
        <f t="shared" si="2"/>
        <v/>
      </c>
      <c r="AE72" s="217" t="str">
        <f t="shared" si="88"/>
        <v/>
      </c>
      <c r="AF72" s="219" t="str">
        <f t="shared" si="4"/>
        <v/>
      </c>
      <c r="AG72" s="217" t="str">
        <f t="shared" si="14"/>
        <v/>
      </c>
      <c r="AH72" s="220" t="str">
        <f t="shared" si="94"/>
        <v/>
      </c>
      <c r="AI72" s="221"/>
      <c r="AJ72" s="212"/>
      <c r="AK72" s="222"/>
      <c r="AL72" s="222"/>
      <c r="AM72" s="223"/>
      <c r="AN72" s="382"/>
      <c r="AO72" s="382"/>
      <c r="AP72" s="382"/>
    </row>
    <row r="73" spans="1:42" ht="49.5" customHeight="1" x14ac:dyDescent="0.2">
      <c r="A73" s="253"/>
      <c r="B73" s="390" t="s">
        <v>393</v>
      </c>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1"/>
    </row>
    <row r="75" spans="1:42" ht="15.75" x14ac:dyDescent="0.2">
      <c r="A75" s="236"/>
      <c r="B75" s="243" t="s">
        <v>174</v>
      </c>
      <c r="C75" s="236"/>
      <c r="D75" s="236"/>
      <c r="G75" s="236"/>
      <c r="H75" s="236"/>
      <c r="I75" s="236"/>
      <c r="J75" s="236"/>
      <c r="K75" s="236"/>
    </row>
  </sheetData>
  <dataConsolidate/>
  <mergeCells count="291">
    <mergeCell ref="AJ31:AJ32"/>
    <mergeCell ref="AK31:AK32"/>
    <mergeCell ref="AL31:AL32"/>
    <mergeCell ref="AM31:AM32"/>
    <mergeCell ref="AN37:AN38"/>
    <mergeCell ref="AO37:AO38"/>
    <mergeCell ref="AP37:AP38"/>
    <mergeCell ref="AP13:AP14"/>
    <mergeCell ref="AN19:AN20"/>
    <mergeCell ref="AO19:AO20"/>
    <mergeCell ref="AP19:AP20"/>
    <mergeCell ref="AJ25:AJ26"/>
    <mergeCell ref="AK25:AK26"/>
    <mergeCell ref="AL25:AL26"/>
    <mergeCell ref="AM25:AM26"/>
    <mergeCell ref="AN25:AN26"/>
    <mergeCell ref="AO25:AO26"/>
    <mergeCell ref="AP25:AP26"/>
    <mergeCell ref="AN13:AN14"/>
    <mergeCell ref="AO13:AO14"/>
    <mergeCell ref="H67:H72"/>
    <mergeCell ref="H61:H66"/>
    <mergeCell ref="H55:H60"/>
    <mergeCell ref="H49:H54"/>
    <mergeCell ref="H43:H48"/>
    <mergeCell ref="H37:H42"/>
    <mergeCell ref="H11:H12"/>
    <mergeCell ref="AN61:AN66"/>
    <mergeCell ref="AO61:AO66"/>
    <mergeCell ref="N11:N12"/>
    <mergeCell ref="Q11:Q12"/>
    <mergeCell ref="R11:R12"/>
    <mergeCell ref="AJ11:AJ12"/>
    <mergeCell ref="AM11:AM12"/>
    <mergeCell ref="AK11:AK12"/>
    <mergeCell ref="O31:O36"/>
    <mergeCell ref="P31:P36"/>
    <mergeCell ref="Q31:Q36"/>
    <mergeCell ref="R31:R36"/>
    <mergeCell ref="S31:S36"/>
    <mergeCell ref="P19:P24"/>
    <mergeCell ref="Q19:Q24"/>
    <mergeCell ref="R19:R24"/>
    <mergeCell ref="S19:S24"/>
    <mergeCell ref="AP61:AP66"/>
    <mergeCell ref="AN67:AN72"/>
    <mergeCell ref="AO67:AO72"/>
    <mergeCell ref="AP67:AP72"/>
    <mergeCell ref="K13:K18"/>
    <mergeCell ref="I13:I18"/>
    <mergeCell ref="J13:J18"/>
    <mergeCell ref="I19:I24"/>
    <mergeCell ref="J19:J24"/>
    <mergeCell ref="K19:K24"/>
    <mergeCell ref="I25:I30"/>
    <mergeCell ref="J25:J30"/>
    <mergeCell ref="K25:K30"/>
    <mergeCell ref="I31:I36"/>
    <mergeCell ref="J31:J36"/>
    <mergeCell ref="K31:K36"/>
    <mergeCell ref="I37:I42"/>
    <mergeCell ref="J37:J42"/>
    <mergeCell ref="K37:K42"/>
    <mergeCell ref="I43:I48"/>
    <mergeCell ref="J43:J48"/>
    <mergeCell ref="K43:K48"/>
    <mergeCell ref="AN43:AN48"/>
    <mergeCell ref="AO43:AO48"/>
    <mergeCell ref="AP43:AP48"/>
    <mergeCell ref="AN49:AN54"/>
    <mergeCell ref="AO49:AO54"/>
    <mergeCell ref="AP49:AP54"/>
    <mergeCell ref="AN55:AN60"/>
    <mergeCell ref="AO55:AO60"/>
    <mergeCell ref="AP55:AP60"/>
    <mergeCell ref="AN31:AN32"/>
    <mergeCell ref="AO31:AO32"/>
    <mergeCell ref="AP31:AP32"/>
    <mergeCell ref="AN10:AP10"/>
    <mergeCell ref="AN11:AN12"/>
    <mergeCell ref="AO11:AO12"/>
    <mergeCell ref="AP11:AP12"/>
    <mergeCell ref="I11:I12"/>
    <mergeCell ref="J11:J12"/>
    <mergeCell ref="K11:K12"/>
    <mergeCell ref="AI11:AI12"/>
    <mergeCell ref="AL11:AL12"/>
    <mergeCell ref="T11:T12"/>
    <mergeCell ref="AH11:AH12"/>
    <mergeCell ref="AG11:AG12"/>
    <mergeCell ref="AC11:AC12"/>
    <mergeCell ref="U11:U12"/>
    <mergeCell ref="AF11:AF12"/>
    <mergeCell ref="AD11:AD12"/>
    <mergeCell ref="AE11:AE12"/>
    <mergeCell ref="V11:V12"/>
    <mergeCell ref="W11:AB11"/>
    <mergeCell ref="B11:B12"/>
    <mergeCell ref="F13:F18"/>
    <mergeCell ref="S13:S18"/>
    <mergeCell ref="N13:N18"/>
    <mergeCell ref="O13:O18"/>
    <mergeCell ref="P13:P18"/>
    <mergeCell ref="Q13:Q18"/>
    <mergeCell ref="R13:R18"/>
    <mergeCell ref="H13:H18"/>
    <mergeCell ref="L11:L12"/>
    <mergeCell ref="M11:M12"/>
    <mergeCell ref="S11:S12"/>
    <mergeCell ref="O11:O12"/>
    <mergeCell ref="P11:P12"/>
    <mergeCell ref="O19:O24"/>
    <mergeCell ref="A19:A24"/>
    <mergeCell ref="B19:B24"/>
    <mergeCell ref="C19:C24"/>
    <mergeCell ref="D19:D24"/>
    <mergeCell ref="E19:E24"/>
    <mergeCell ref="H19:H24"/>
    <mergeCell ref="F19:F24"/>
    <mergeCell ref="C7:S7"/>
    <mergeCell ref="C8:S8"/>
    <mergeCell ref="F11:F12"/>
    <mergeCell ref="G13:G18"/>
    <mergeCell ref="L13:L18"/>
    <mergeCell ref="M13:M18"/>
    <mergeCell ref="A13:A18"/>
    <mergeCell ref="B13:B18"/>
    <mergeCell ref="C13:C18"/>
    <mergeCell ref="D13:D18"/>
    <mergeCell ref="E13:E18"/>
    <mergeCell ref="A11:A12"/>
    <mergeCell ref="G11:G12"/>
    <mergeCell ref="E11:E12"/>
    <mergeCell ref="D11:D12"/>
    <mergeCell ref="C11:C12"/>
    <mergeCell ref="E25:E30"/>
    <mergeCell ref="G25:G30"/>
    <mergeCell ref="L25:L30"/>
    <mergeCell ref="M25:M30"/>
    <mergeCell ref="N25:N30"/>
    <mergeCell ref="H25:H30"/>
    <mergeCell ref="F25:F30"/>
    <mergeCell ref="G19:G24"/>
    <mergeCell ref="L19:L24"/>
    <mergeCell ref="M19:M24"/>
    <mergeCell ref="N19:N24"/>
    <mergeCell ref="A31:A36"/>
    <mergeCell ref="B31:B36"/>
    <mergeCell ref="C31:C36"/>
    <mergeCell ref="D31:D36"/>
    <mergeCell ref="E31:E36"/>
    <mergeCell ref="G31:G36"/>
    <mergeCell ref="L31:L36"/>
    <mergeCell ref="M31:M36"/>
    <mergeCell ref="N31:N36"/>
    <mergeCell ref="H31:H36"/>
    <mergeCell ref="F31:F36"/>
    <mergeCell ref="A37:A42"/>
    <mergeCell ref="B37:B42"/>
    <mergeCell ref="C37:C42"/>
    <mergeCell ref="A43:A48"/>
    <mergeCell ref="B43:B48"/>
    <mergeCell ref="C43:C48"/>
    <mergeCell ref="D43:D48"/>
    <mergeCell ref="E43:E48"/>
    <mergeCell ref="G43:G48"/>
    <mergeCell ref="D37:D42"/>
    <mergeCell ref="E37:E42"/>
    <mergeCell ref="G37:G42"/>
    <mergeCell ref="F37:F42"/>
    <mergeCell ref="F43:F48"/>
    <mergeCell ref="B55:B60"/>
    <mergeCell ref="C55:C60"/>
    <mergeCell ref="D55:D60"/>
    <mergeCell ref="E55:E60"/>
    <mergeCell ref="A49:A54"/>
    <mergeCell ref="B49:B54"/>
    <mergeCell ref="C49:C54"/>
    <mergeCell ref="D49:D54"/>
    <mergeCell ref="E49:E54"/>
    <mergeCell ref="I67:I72"/>
    <mergeCell ref="J67:J72"/>
    <mergeCell ref="K67:K72"/>
    <mergeCell ref="F67:F72"/>
    <mergeCell ref="R49:R54"/>
    <mergeCell ref="S49:S54"/>
    <mergeCell ref="G55:G60"/>
    <mergeCell ref="L55:L60"/>
    <mergeCell ref="M55:M60"/>
    <mergeCell ref="N55:N60"/>
    <mergeCell ref="O55:O60"/>
    <mergeCell ref="G49:G54"/>
    <mergeCell ref="L49:L54"/>
    <mergeCell ref="M49:M54"/>
    <mergeCell ref="N49:N54"/>
    <mergeCell ref="P55:P60"/>
    <mergeCell ref="Q55:Q60"/>
    <mergeCell ref="R55:R60"/>
    <mergeCell ref="S55:S60"/>
    <mergeCell ref="I49:I54"/>
    <mergeCell ref="J49:J54"/>
    <mergeCell ref="K49:K54"/>
    <mergeCell ref="I55:I60"/>
    <mergeCell ref="J55:J60"/>
    <mergeCell ref="B73:AM73"/>
    <mergeCell ref="R61:R66"/>
    <mergeCell ref="S61:S66"/>
    <mergeCell ref="A67:A72"/>
    <mergeCell ref="B67:B72"/>
    <mergeCell ref="C67:C72"/>
    <mergeCell ref="D67:D72"/>
    <mergeCell ref="E67:E72"/>
    <mergeCell ref="G67:G72"/>
    <mergeCell ref="L67:L72"/>
    <mergeCell ref="M67:M72"/>
    <mergeCell ref="N67:N72"/>
    <mergeCell ref="O67:O72"/>
    <mergeCell ref="P67:P72"/>
    <mergeCell ref="Q67:Q72"/>
    <mergeCell ref="R67:R72"/>
    <mergeCell ref="S67:S72"/>
    <mergeCell ref="O61:O66"/>
    <mergeCell ref="P61:P66"/>
    <mergeCell ref="Q61:Q66"/>
    <mergeCell ref="A61:A66"/>
    <mergeCell ref="B61:B66"/>
    <mergeCell ref="C61:C66"/>
    <mergeCell ref="D61:D66"/>
    <mergeCell ref="F61:F66"/>
    <mergeCell ref="C6:S6"/>
    <mergeCell ref="T6:V6"/>
    <mergeCell ref="A10:L10"/>
    <mergeCell ref="M10:S10"/>
    <mergeCell ref="T10:AB10"/>
    <mergeCell ref="AC10:AI10"/>
    <mergeCell ref="AJ10:AM10"/>
    <mergeCell ref="E61:E66"/>
    <mergeCell ref="G61:G66"/>
    <mergeCell ref="L61:L66"/>
    <mergeCell ref="M61:M66"/>
    <mergeCell ref="N61:N66"/>
    <mergeCell ref="I61:I66"/>
    <mergeCell ref="J61:J66"/>
    <mergeCell ref="K61:K66"/>
    <mergeCell ref="N37:N42"/>
    <mergeCell ref="O37:O42"/>
    <mergeCell ref="L43:L48"/>
    <mergeCell ref="M43:M48"/>
    <mergeCell ref="N43:N48"/>
    <mergeCell ref="P37:P42"/>
    <mergeCell ref="Q37:Q42"/>
    <mergeCell ref="A55:A60"/>
    <mergeCell ref="F49:F54"/>
    <mergeCell ref="F55:F60"/>
    <mergeCell ref="K55:K60"/>
    <mergeCell ref="R37:R42"/>
    <mergeCell ref="S37:S42"/>
    <mergeCell ref="R43:R48"/>
    <mergeCell ref="S43:S48"/>
    <mergeCell ref="O49:O54"/>
    <mergeCell ref="P49:P54"/>
    <mergeCell ref="Q49:Q54"/>
    <mergeCell ref="O43:O48"/>
    <mergeCell ref="P43:P48"/>
    <mergeCell ref="Q43:Q48"/>
    <mergeCell ref="L37:L42"/>
    <mergeCell ref="M37:M42"/>
    <mergeCell ref="R25:R30"/>
    <mergeCell ref="S25:S30"/>
    <mergeCell ref="A1:C4"/>
    <mergeCell ref="D1:S2"/>
    <mergeCell ref="D3:K3"/>
    <mergeCell ref="L3:S3"/>
    <mergeCell ref="D4:S4"/>
    <mergeCell ref="W6:AP6"/>
    <mergeCell ref="W7:AP7"/>
    <mergeCell ref="W8:AP8"/>
    <mergeCell ref="U1:AP2"/>
    <mergeCell ref="U3:AI3"/>
    <mergeCell ref="U4:AP4"/>
    <mergeCell ref="AJ3:AP3"/>
    <mergeCell ref="A6:B6"/>
    <mergeCell ref="A7:B7"/>
    <mergeCell ref="A8:B8"/>
    <mergeCell ref="O25:O30"/>
    <mergeCell ref="P25:P30"/>
    <mergeCell ref="Q25:Q30"/>
    <mergeCell ref="A25:A30"/>
    <mergeCell ref="B25:B30"/>
    <mergeCell ref="C25:C30"/>
    <mergeCell ref="D25:D30"/>
  </mergeCells>
  <conditionalFormatting sqref="M13 M19">
    <cfRule type="cellIs" dxfId="238" priority="324" operator="equal">
      <formula>"Muy Alta"</formula>
    </cfRule>
    <cfRule type="cellIs" dxfId="237" priority="325" operator="equal">
      <formula>"Alta"</formula>
    </cfRule>
    <cfRule type="cellIs" dxfId="236" priority="326" operator="equal">
      <formula>"Media"</formula>
    </cfRule>
    <cfRule type="cellIs" dxfId="235" priority="327" operator="equal">
      <formula>"Baja"</formula>
    </cfRule>
    <cfRule type="cellIs" dxfId="234" priority="328" operator="equal">
      <formula>"Muy Baja"</formula>
    </cfRule>
  </conditionalFormatting>
  <conditionalFormatting sqref="Q13 Q19 Q25 Q31 Q37 Q43 Q49 Q55 Q61 Q67">
    <cfRule type="cellIs" dxfId="233" priority="319" operator="equal">
      <formula>"Catastrófico"</formula>
    </cfRule>
    <cfRule type="cellIs" dxfId="232" priority="320" operator="equal">
      <formula>"Mayor"</formula>
    </cfRule>
    <cfRule type="cellIs" dxfId="231" priority="321" operator="equal">
      <formula>"Moderado"</formula>
    </cfRule>
    <cfRule type="cellIs" dxfId="230" priority="322" operator="equal">
      <formula>"Menor"</formula>
    </cfRule>
    <cfRule type="cellIs" dxfId="229" priority="323" operator="equal">
      <formula>"Leve"</formula>
    </cfRule>
  </conditionalFormatting>
  <conditionalFormatting sqref="S13">
    <cfRule type="cellIs" dxfId="228" priority="315" operator="equal">
      <formula>"Extremo"</formula>
    </cfRule>
    <cfRule type="cellIs" dxfId="227" priority="316" operator="equal">
      <formula>"Alto"</formula>
    </cfRule>
    <cfRule type="cellIs" dxfId="226" priority="317" operator="equal">
      <formula>"Moderado"</formula>
    </cfRule>
    <cfRule type="cellIs" dxfId="225" priority="318" operator="equal">
      <formula>"Bajo"</formula>
    </cfRule>
  </conditionalFormatting>
  <conditionalFormatting sqref="AD13:AD18">
    <cfRule type="cellIs" dxfId="224" priority="310" operator="equal">
      <formula>"Muy Alta"</formula>
    </cfRule>
    <cfRule type="cellIs" dxfId="223" priority="311" operator="equal">
      <formula>"Alta"</formula>
    </cfRule>
    <cfRule type="cellIs" dxfId="222" priority="312" operator="equal">
      <formula>"Media"</formula>
    </cfRule>
    <cfRule type="cellIs" dxfId="221" priority="313" operator="equal">
      <formula>"Baja"</formula>
    </cfRule>
    <cfRule type="cellIs" dxfId="220" priority="314" operator="equal">
      <formula>"Muy Baja"</formula>
    </cfRule>
  </conditionalFormatting>
  <conditionalFormatting sqref="AF13:AF18">
    <cfRule type="cellIs" dxfId="219" priority="305" operator="equal">
      <formula>"Catastrófico"</formula>
    </cfRule>
    <cfRule type="cellIs" dxfId="218" priority="306" operator="equal">
      <formula>"Mayor"</formula>
    </cfRule>
    <cfRule type="cellIs" dxfId="217" priority="307" operator="equal">
      <formula>"Moderado"</formula>
    </cfRule>
    <cfRule type="cellIs" dxfId="216" priority="308" operator="equal">
      <formula>"Menor"</formula>
    </cfRule>
    <cfRule type="cellIs" dxfId="215" priority="309" operator="equal">
      <formula>"Leve"</formula>
    </cfRule>
  </conditionalFormatting>
  <conditionalFormatting sqref="AH13:AH18">
    <cfRule type="cellIs" dxfId="214" priority="301" operator="equal">
      <formula>"Extremo"</formula>
    </cfRule>
    <cfRule type="cellIs" dxfId="213" priority="302" operator="equal">
      <formula>"Alto"</formula>
    </cfRule>
    <cfRule type="cellIs" dxfId="212" priority="303" operator="equal">
      <formula>"Moderado"</formula>
    </cfRule>
    <cfRule type="cellIs" dxfId="211" priority="304" operator="equal">
      <formula>"Bajo"</formula>
    </cfRule>
  </conditionalFormatting>
  <conditionalFormatting sqref="M61">
    <cfRule type="cellIs" dxfId="210" priority="58" operator="equal">
      <formula>"Muy Alta"</formula>
    </cfRule>
    <cfRule type="cellIs" dxfId="209" priority="59" operator="equal">
      <formula>"Alta"</formula>
    </cfRule>
    <cfRule type="cellIs" dxfId="208" priority="60" operator="equal">
      <formula>"Media"</formula>
    </cfRule>
    <cfRule type="cellIs" dxfId="207" priority="61" operator="equal">
      <formula>"Baja"</formula>
    </cfRule>
    <cfRule type="cellIs" dxfId="206" priority="62" operator="equal">
      <formula>"Muy Baja"</formula>
    </cfRule>
  </conditionalFormatting>
  <conditionalFormatting sqref="S19">
    <cfRule type="cellIs" dxfId="205" priority="245" operator="equal">
      <formula>"Extremo"</formula>
    </cfRule>
    <cfRule type="cellIs" dxfId="204" priority="246" operator="equal">
      <formula>"Alto"</formula>
    </cfRule>
    <cfRule type="cellIs" dxfId="203" priority="247" operator="equal">
      <formula>"Moderado"</formula>
    </cfRule>
    <cfRule type="cellIs" dxfId="202" priority="248" operator="equal">
      <formula>"Bajo"</formula>
    </cfRule>
  </conditionalFormatting>
  <conditionalFormatting sqref="AD19:AD24">
    <cfRule type="cellIs" dxfId="201" priority="240" operator="equal">
      <formula>"Muy Alta"</formula>
    </cfRule>
    <cfRule type="cellIs" dxfId="200" priority="241" operator="equal">
      <formula>"Alta"</formula>
    </cfRule>
    <cfRule type="cellIs" dxfId="199" priority="242" operator="equal">
      <formula>"Media"</formula>
    </cfRule>
    <cfRule type="cellIs" dxfId="198" priority="243" operator="equal">
      <formula>"Baja"</formula>
    </cfRule>
    <cfRule type="cellIs" dxfId="197" priority="244" operator="equal">
      <formula>"Muy Baja"</formula>
    </cfRule>
  </conditionalFormatting>
  <conditionalFormatting sqref="AF19:AF24">
    <cfRule type="cellIs" dxfId="196" priority="235" operator="equal">
      <formula>"Catastrófico"</formula>
    </cfRule>
    <cfRule type="cellIs" dxfId="195" priority="236" operator="equal">
      <formula>"Mayor"</formula>
    </cfRule>
    <cfRule type="cellIs" dxfId="194" priority="237" operator="equal">
      <formula>"Moderado"</formula>
    </cfRule>
    <cfRule type="cellIs" dxfId="193" priority="238" operator="equal">
      <formula>"Menor"</formula>
    </cfRule>
    <cfRule type="cellIs" dxfId="192" priority="239" operator="equal">
      <formula>"Leve"</formula>
    </cfRule>
  </conditionalFormatting>
  <conditionalFormatting sqref="AH19:AH24">
    <cfRule type="cellIs" dxfId="191" priority="231" operator="equal">
      <formula>"Extremo"</formula>
    </cfRule>
    <cfRule type="cellIs" dxfId="190" priority="232" operator="equal">
      <formula>"Alto"</formula>
    </cfRule>
    <cfRule type="cellIs" dxfId="189" priority="233" operator="equal">
      <formula>"Moderado"</formula>
    </cfRule>
    <cfRule type="cellIs" dxfId="188" priority="234" operator="equal">
      <formula>"Bajo"</formula>
    </cfRule>
  </conditionalFormatting>
  <conditionalFormatting sqref="M25">
    <cfRule type="cellIs" dxfId="187" priority="226" operator="equal">
      <formula>"Muy Alta"</formula>
    </cfRule>
    <cfRule type="cellIs" dxfId="186" priority="227" operator="equal">
      <formula>"Alta"</formula>
    </cfRule>
    <cfRule type="cellIs" dxfId="185" priority="228" operator="equal">
      <formula>"Media"</formula>
    </cfRule>
    <cfRule type="cellIs" dxfId="184" priority="229" operator="equal">
      <formula>"Baja"</formula>
    </cfRule>
    <cfRule type="cellIs" dxfId="183" priority="230" operator="equal">
      <formula>"Muy Baja"</formula>
    </cfRule>
  </conditionalFormatting>
  <conditionalFormatting sqref="S25">
    <cfRule type="cellIs" dxfId="182" priority="217" operator="equal">
      <formula>"Extremo"</formula>
    </cfRule>
    <cfRule type="cellIs" dxfId="181" priority="218" operator="equal">
      <formula>"Alto"</formula>
    </cfRule>
    <cfRule type="cellIs" dxfId="180" priority="219" operator="equal">
      <formula>"Moderado"</formula>
    </cfRule>
    <cfRule type="cellIs" dxfId="179" priority="220" operator="equal">
      <formula>"Bajo"</formula>
    </cfRule>
  </conditionalFormatting>
  <conditionalFormatting sqref="AD25:AD30">
    <cfRule type="cellIs" dxfId="178" priority="212" operator="equal">
      <formula>"Muy Alta"</formula>
    </cfRule>
    <cfRule type="cellIs" dxfId="177" priority="213" operator="equal">
      <formula>"Alta"</formula>
    </cfRule>
    <cfRule type="cellIs" dxfId="176" priority="214" operator="equal">
      <formula>"Media"</formula>
    </cfRule>
    <cfRule type="cellIs" dxfId="175" priority="215" operator="equal">
      <formula>"Baja"</formula>
    </cfRule>
    <cfRule type="cellIs" dxfId="174" priority="216" operator="equal">
      <formula>"Muy Baja"</formula>
    </cfRule>
  </conditionalFormatting>
  <conditionalFormatting sqref="AF25:AF30">
    <cfRule type="cellIs" dxfId="173" priority="207" operator="equal">
      <formula>"Catastrófico"</formula>
    </cfRule>
    <cfRule type="cellIs" dxfId="172" priority="208" operator="equal">
      <formula>"Mayor"</formula>
    </cfRule>
    <cfRule type="cellIs" dxfId="171" priority="209" operator="equal">
      <formula>"Moderado"</formula>
    </cfRule>
    <cfRule type="cellIs" dxfId="170" priority="210" operator="equal">
      <formula>"Menor"</formula>
    </cfRule>
    <cfRule type="cellIs" dxfId="169" priority="211" operator="equal">
      <formula>"Leve"</formula>
    </cfRule>
  </conditionalFormatting>
  <conditionalFormatting sqref="AH25:AH30">
    <cfRule type="cellIs" dxfId="168" priority="203" operator="equal">
      <formula>"Extremo"</formula>
    </cfRule>
    <cfRule type="cellIs" dxfId="167" priority="204" operator="equal">
      <formula>"Alto"</formula>
    </cfRule>
    <cfRule type="cellIs" dxfId="166" priority="205" operator="equal">
      <formula>"Moderado"</formula>
    </cfRule>
    <cfRule type="cellIs" dxfId="165" priority="206" operator="equal">
      <formula>"Bajo"</formula>
    </cfRule>
  </conditionalFormatting>
  <conditionalFormatting sqref="M31">
    <cfRule type="cellIs" dxfId="164" priority="198" operator="equal">
      <formula>"Muy Alta"</formula>
    </cfRule>
    <cfRule type="cellIs" dxfId="163" priority="199" operator="equal">
      <formula>"Alta"</formula>
    </cfRule>
    <cfRule type="cellIs" dxfId="162" priority="200" operator="equal">
      <formula>"Media"</formula>
    </cfRule>
    <cfRule type="cellIs" dxfId="161" priority="201" operator="equal">
      <formula>"Baja"</formula>
    </cfRule>
    <cfRule type="cellIs" dxfId="160" priority="202" operator="equal">
      <formula>"Muy Baja"</formula>
    </cfRule>
  </conditionalFormatting>
  <conditionalFormatting sqref="S31">
    <cfRule type="cellIs" dxfId="159" priority="189" operator="equal">
      <formula>"Extremo"</formula>
    </cfRule>
    <cfRule type="cellIs" dxfId="158" priority="190" operator="equal">
      <formula>"Alto"</formula>
    </cfRule>
    <cfRule type="cellIs" dxfId="157" priority="191" operator="equal">
      <formula>"Moderado"</formula>
    </cfRule>
    <cfRule type="cellIs" dxfId="156" priority="192" operator="equal">
      <formula>"Bajo"</formula>
    </cfRule>
  </conditionalFormatting>
  <conditionalFormatting sqref="AD31:AD36">
    <cfRule type="cellIs" dxfId="155" priority="184" operator="equal">
      <formula>"Muy Alta"</formula>
    </cfRule>
    <cfRule type="cellIs" dxfId="154" priority="185" operator="equal">
      <formula>"Alta"</formula>
    </cfRule>
    <cfRule type="cellIs" dxfId="153" priority="186" operator="equal">
      <formula>"Media"</formula>
    </cfRule>
    <cfRule type="cellIs" dxfId="152" priority="187" operator="equal">
      <formula>"Baja"</formula>
    </cfRule>
    <cfRule type="cellIs" dxfId="151" priority="188" operator="equal">
      <formula>"Muy Baja"</formula>
    </cfRule>
  </conditionalFormatting>
  <conditionalFormatting sqref="AF31:AF36">
    <cfRule type="cellIs" dxfId="150" priority="179" operator="equal">
      <formula>"Catastrófico"</formula>
    </cfRule>
    <cfRule type="cellIs" dxfId="149" priority="180" operator="equal">
      <formula>"Mayor"</formula>
    </cfRule>
    <cfRule type="cellIs" dxfId="148" priority="181" operator="equal">
      <formula>"Moderado"</formula>
    </cfRule>
    <cfRule type="cellIs" dxfId="147" priority="182" operator="equal">
      <formula>"Menor"</formula>
    </cfRule>
    <cfRule type="cellIs" dxfId="146" priority="183" operator="equal">
      <formula>"Leve"</formula>
    </cfRule>
  </conditionalFormatting>
  <conditionalFormatting sqref="AH31:AH36">
    <cfRule type="cellIs" dxfId="145" priority="175" operator="equal">
      <formula>"Extremo"</formula>
    </cfRule>
    <cfRule type="cellIs" dxfId="144" priority="176" operator="equal">
      <formula>"Alto"</formula>
    </cfRule>
    <cfRule type="cellIs" dxfId="143" priority="177" operator="equal">
      <formula>"Moderado"</formula>
    </cfRule>
    <cfRule type="cellIs" dxfId="142" priority="178" operator="equal">
      <formula>"Bajo"</formula>
    </cfRule>
  </conditionalFormatting>
  <conditionalFormatting sqref="M37">
    <cfRule type="cellIs" dxfId="141" priority="170" operator="equal">
      <formula>"Muy Alta"</formula>
    </cfRule>
    <cfRule type="cellIs" dxfId="140" priority="171" operator="equal">
      <formula>"Alta"</formula>
    </cfRule>
    <cfRule type="cellIs" dxfId="139" priority="172" operator="equal">
      <formula>"Media"</formula>
    </cfRule>
    <cfRule type="cellIs" dxfId="138" priority="173" operator="equal">
      <formula>"Baja"</formula>
    </cfRule>
    <cfRule type="cellIs" dxfId="137" priority="174" operator="equal">
      <formula>"Muy Baja"</formula>
    </cfRule>
  </conditionalFormatting>
  <conditionalFormatting sqref="S37">
    <cfRule type="cellIs" dxfId="136" priority="161" operator="equal">
      <formula>"Extremo"</formula>
    </cfRule>
    <cfRule type="cellIs" dxfId="135" priority="162" operator="equal">
      <formula>"Alto"</formula>
    </cfRule>
    <cfRule type="cellIs" dxfId="134" priority="163" operator="equal">
      <formula>"Moderado"</formula>
    </cfRule>
    <cfRule type="cellIs" dxfId="133" priority="164" operator="equal">
      <formula>"Bajo"</formula>
    </cfRule>
  </conditionalFormatting>
  <conditionalFormatting sqref="AD37:AD42">
    <cfRule type="cellIs" dxfId="132" priority="156" operator="equal">
      <formula>"Muy Alta"</formula>
    </cfRule>
    <cfRule type="cellIs" dxfId="131" priority="157" operator="equal">
      <formula>"Alta"</formula>
    </cfRule>
    <cfRule type="cellIs" dxfId="130" priority="158" operator="equal">
      <formula>"Media"</formula>
    </cfRule>
    <cfRule type="cellIs" dxfId="129" priority="159" operator="equal">
      <formula>"Baja"</formula>
    </cfRule>
    <cfRule type="cellIs" dxfId="128" priority="160" operator="equal">
      <formula>"Muy Baja"</formula>
    </cfRule>
  </conditionalFormatting>
  <conditionalFormatting sqref="AF37:AF42">
    <cfRule type="cellIs" dxfId="127" priority="151" operator="equal">
      <formula>"Catastrófico"</formula>
    </cfRule>
    <cfRule type="cellIs" dxfId="126" priority="152" operator="equal">
      <formula>"Mayor"</formula>
    </cfRule>
    <cfRule type="cellIs" dxfId="125" priority="153" operator="equal">
      <formula>"Moderado"</formula>
    </cfRule>
    <cfRule type="cellIs" dxfId="124" priority="154" operator="equal">
      <formula>"Menor"</formula>
    </cfRule>
    <cfRule type="cellIs" dxfId="123" priority="155" operator="equal">
      <formula>"Leve"</formula>
    </cfRule>
  </conditionalFormatting>
  <conditionalFormatting sqref="AH37:AH42">
    <cfRule type="cellIs" dxfId="122" priority="147" operator="equal">
      <formula>"Extremo"</formula>
    </cfRule>
    <cfRule type="cellIs" dxfId="121" priority="148" operator="equal">
      <formula>"Alto"</formula>
    </cfRule>
    <cfRule type="cellIs" dxfId="120" priority="149" operator="equal">
      <formula>"Moderado"</formula>
    </cfRule>
    <cfRule type="cellIs" dxfId="119" priority="150" operator="equal">
      <formula>"Bajo"</formula>
    </cfRule>
  </conditionalFormatting>
  <conditionalFormatting sqref="M43">
    <cfRule type="cellIs" dxfId="118" priority="142" operator="equal">
      <formula>"Muy Alta"</formula>
    </cfRule>
    <cfRule type="cellIs" dxfId="117" priority="143" operator="equal">
      <formula>"Alta"</formula>
    </cfRule>
    <cfRule type="cellIs" dxfId="116" priority="144" operator="equal">
      <formula>"Media"</formula>
    </cfRule>
    <cfRule type="cellIs" dxfId="115" priority="145" operator="equal">
      <formula>"Baja"</formula>
    </cfRule>
    <cfRule type="cellIs" dxfId="114" priority="146" operator="equal">
      <formula>"Muy Baja"</formula>
    </cfRule>
  </conditionalFormatting>
  <conditionalFormatting sqref="S43">
    <cfRule type="cellIs" dxfId="113" priority="133" operator="equal">
      <formula>"Extremo"</formula>
    </cfRule>
    <cfRule type="cellIs" dxfId="112" priority="134" operator="equal">
      <formula>"Alto"</formula>
    </cfRule>
    <cfRule type="cellIs" dxfId="111" priority="135" operator="equal">
      <formula>"Moderado"</formula>
    </cfRule>
    <cfRule type="cellIs" dxfId="110" priority="136" operator="equal">
      <formula>"Bajo"</formula>
    </cfRule>
  </conditionalFormatting>
  <conditionalFormatting sqref="AD43:AD48">
    <cfRule type="cellIs" dxfId="109" priority="128" operator="equal">
      <formula>"Muy Alta"</formula>
    </cfRule>
    <cfRule type="cellIs" dxfId="108" priority="129" operator="equal">
      <formula>"Alta"</formula>
    </cfRule>
    <cfRule type="cellIs" dxfId="107" priority="130" operator="equal">
      <formula>"Media"</formula>
    </cfRule>
    <cfRule type="cellIs" dxfId="106" priority="131" operator="equal">
      <formula>"Baja"</formula>
    </cfRule>
    <cfRule type="cellIs" dxfId="105" priority="132" operator="equal">
      <formula>"Muy Baja"</formula>
    </cfRule>
  </conditionalFormatting>
  <conditionalFormatting sqref="AF43:AF48">
    <cfRule type="cellIs" dxfId="104" priority="123" operator="equal">
      <formula>"Catastrófico"</formula>
    </cfRule>
    <cfRule type="cellIs" dxfId="103" priority="124" operator="equal">
      <formula>"Mayor"</formula>
    </cfRule>
    <cfRule type="cellIs" dxfId="102" priority="125" operator="equal">
      <formula>"Moderado"</formula>
    </cfRule>
    <cfRule type="cellIs" dxfId="101" priority="126" operator="equal">
      <formula>"Menor"</formula>
    </cfRule>
    <cfRule type="cellIs" dxfId="100" priority="127" operator="equal">
      <formula>"Leve"</formula>
    </cfRule>
  </conditionalFormatting>
  <conditionalFormatting sqref="AH43:AH48">
    <cfRule type="cellIs" dxfId="99" priority="119" operator="equal">
      <formula>"Extremo"</formula>
    </cfRule>
    <cfRule type="cellIs" dxfId="98" priority="120" operator="equal">
      <formula>"Alto"</formula>
    </cfRule>
    <cfRule type="cellIs" dxfId="97" priority="121" operator="equal">
      <formula>"Moderado"</formula>
    </cfRule>
    <cfRule type="cellIs" dxfId="96" priority="122" operator="equal">
      <formula>"Bajo"</formula>
    </cfRule>
  </conditionalFormatting>
  <conditionalFormatting sqref="M49">
    <cfRule type="cellIs" dxfId="95" priority="114" operator="equal">
      <formula>"Muy Alta"</formula>
    </cfRule>
    <cfRule type="cellIs" dxfId="94" priority="115" operator="equal">
      <formula>"Alta"</formula>
    </cfRule>
    <cfRule type="cellIs" dxfId="93" priority="116" operator="equal">
      <formula>"Media"</formula>
    </cfRule>
    <cfRule type="cellIs" dxfId="92" priority="117" operator="equal">
      <formula>"Baja"</formula>
    </cfRule>
    <cfRule type="cellIs" dxfId="91" priority="118" operator="equal">
      <formula>"Muy Baja"</formula>
    </cfRule>
  </conditionalFormatting>
  <conditionalFormatting sqref="S49">
    <cfRule type="cellIs" dxfId="90" priority="105" operator="equal">
      <formula>"Extremo"</formula>
    </cfRule>
    <cfRule type="cellIs" dxfId="89" priority="106" operator="equal">
      <formula>"Alto"</formula>
    </cfRule>
    <cfRule type="cellIs" dxfId="88" priority="107" operator="equal">
      <formula>"Moderado"</formula>
    </cfRule>
    <cfRule type="cellIs" dxfId="87" priority="108" operator="equal">
      <formula>"Bajo"</formula>
    </cfRule>
  </conditionalFormatting>
  <conditionalFormatting sqref="AD49:AD54">
    <cfRule type="cellIs" dxfId="86" priority="100" operator="equal">
      <formula>"Muy Alta"</formula>
    </cfRule>
    <cfRule type="cellIs" dxfId="85" priority="101" operator="equal">
      <formula>"Alta"</formula>
    </cfRule>
    <cfRule type="cellIs" dxfId="84" priority="102" operator="equal">
      <formula>"Media"</formula>
    </cfRule>
    <cfRule type="cellIs" dxfId="83" priority="103" operator="equal">
      <formula>"Baja"</formula>
    </cfRule>
    <cfRule type="cellIs" dxfId="82" priority="104" operator="equal">
      <formula>"Muy Baja"</formula>
    </cfRule>
  </conditionalFormatting>
  <conditionalFormatting sqref="AF49:AF54">
    <cfRule type="cellIs" dxfId="81" priority="95" operator="equal">
      <formula>"Catastrófico"</formula>
    </cfRule>
    <cfRule type="cellIs" dxfId="80" priority="96" operator="equal">
      <formula>"Mayor"</formula>
    </cfRule>
    <cfRule type="cellIs" dxfId="79" priority="97" operator="equal">
      <formula>"Moderado"</formula>
    </cfRule>
    <cfRule type="cellIs" dxfId="78" priority="98" operator="equal">
      <formula>"Menor"</formula>
    </cfRule>
    <cfRule type="cellIs" dxfId="77" priority="99" operator="equal">
      <formula>"Leve"</formula>
    </cfRule>
  </conditionalFormatting>
  <conditionalFormatting sqref="AH49:AH54">
    <cfRule type="cellIs" dxfId="76" priority="91" operator="equal">
      <formula>"Extremo"</formula>
    </cfRule>
    <cfRule type="cellIs" dxfId="75" priority="92" operator="equal">
      <formula>"Alto"</formula>
    </cfRule>
    <cfRule type="cellIs" dxfId="74" priority="93" operator="equal">
      <formula>"Moderado"</formula>
    </cfRule>
    <cfRule type="cellIs" dxfId="73" priority="94" operator="equal">
      <formula>"Bajo"</formula>
    </cfRule>
  </conditionalFormatting>
  <conditionalFormatting sqref="S55">
    <cfRule type="cellIs" dxfId="72" priority="77" operator="equal">
      <formula>"Extremo"</formula>
    </cfRule>
    <cfRule type="cellIs" dxfId="71" priority="78" operator="equal">
      <formula>"Alto"</formula>
    </cfRule>
    <cfRule type="cellIs" dxfId="70" priority="79" operator="equal">
      <formula>"Moderado"</formula>
    </cfRule>
    <cfRule type="cellIs" dxfId="69" priority="80" operator="equal">
      <formula>"Bajo"</formula>
    </cfRule>
  </conditionalFormatting>
  <conditionalFormatting sqref="AD55:AD60">
    <cfRule type="cellIs" dxfId="68" priority="72" operator="equal">
      <formula>"Muy Alta"</formula>
    </cfRule>
    <cfRule type="cellIs" dxfId="67" priority="73" operator="equal">
      <formula>"Alta"</formula>
    </cfRule>
    <cfRule type="cellIs" dxfId="66" priority="74" operator="equal">
      <formula>"Media"</formula>
    </cfRule>
    <cfRule type="cellIs" dxfId="65" priority="75" operator="equal">
      <formula>"Baja"</formula>
    </cfRule>
    <cfRule type="cellIs" dxfId="64" priority="76" operator="equal">
      <formula>"Muy Baja"</formula>
    </cfRule>
  </conditionalFormatting>
  <conditionalFormatting sqref="AF55:AF60">
    <cfRule type="cellIs" dxfId="63" priority="67" operator="equal">
      <formula>"Catastrófico"</formula>
    </cfRule>
    <cfRule type="cellIs" dxfId="62" priority="68" operator="equal">
      <formula>"Mayor"</formula>
    </cfRule>
    <cfRule type="cellIs" dxfId="61" priority="69" operator="equal">
      <formula>"Moderado"</formula>
    </cfRule>
    <cfRule type="cellIs" dxfId="60" priority="70" operator="equal">
      <formula>"Menor"</formula>
    </cfRule>
    <cfRule type="cellIs" dxfId="59" priority="71" operator="equal">
      <formula>"Leve"</formula>
    </cfRule>
  </conditionalFormatting>
  <conditionalFormatting sqref="AH55:AH60">
    <cfRule type="cellIs" dxfId="58" priority="63" operator="equal">
      <formula>"Extremo"</formula>
    </cfRule>
    <cfRule type="cellIs" dxfId="57" priority="64" operator="equal">
      <formula>"Alto"</formula>
    </cfRule>
    <cfRule type="cellIs" dxfId="56" priority="65" operator="equal">
      <formula>"Moderado"</formula>
    </cfRule>
    <cfRule type="cellIs" dxfId="55" priority="66" operator="equal">
      <formula>"Bajo"</formula>
    </cfRule>
  </conditionalFormatting>
  <conditionalFormatting sqref="S61">
    <cfRule type="cellIs" dxfId="54" priority="49" operator="equal">
      <formula>"Extremo"</formula>
    </cfRule>
    <cfRule type="cellIs" dxfId="53" priority="50" operator="equal">
      <formula>"Alto"</formula>
    </cfRule>
    <cfRule type="cellIs" dxfId="52" priority="51" operator="equal">
      <formula>"Moderado"</formula>
    </cfRule>
    <cfRule type="cellIs" dxfId="51" priority="52" operator="equal">
      <formula>"Bajo"</formula>
    </cfRule>
  </conditionalFormatting>
  <conditionalFormatting sqref="AD61:AD66">
    <cfRule type="cellIs" dxfId="50" priority="44" operator="equal">
      <formula>"Muy Alta"</formula>
    </cfRule>
    <cfRule type="cellIs" dxfId="49" priority="45" operator="equal">
      <formula>"Alta"</formula>
    </cfRule>
    <cfRule type="cellIs" dxfId="48" priority="46" operator="equal">
      <formula>"Media"</formula>
    </cfRule>
    <cfRule type="cellIs" dxfId="47" priority="47" operator="equal">
      <formula>"Baja"</formula>
    </cfRule>
    <cfRule type="cellIs" dxfId="46" priority="48" operator="equal">
      <formula>"Muy Baja"</formula>
    </cfRule>
  </conditionalFormatting>
  <conditionalFormatting sqref="AF61:AF66">
    <cfRule type="cellIs" dxfId="45" priority="39" operator="equal">
      <formula>"Catastrófico"</formula>
    </cfRule>
    <cfRule type="cellIs" dxfId="44" priority="40" operator="equal">
      <formula>"Mayor"</formula>
    </cfRule>
    <cfRule type="cellIs" dxfId="43" priority="41" operator="equal">
      <formula>"Moderado"</formula>
    </cfRule>
    <cfRule type="cellIs" dxfId="42" priority="42" operator="equal">
      <formula>"Menor"</formula>
    </cfRule>
    <cfRule type="cellIs" dxfId="41" priority="43" operator="equal">
      <formula>"Leve"</formula>
    </cfRule>
  </conditionalFormatting>
  <conditionalFormatting sqref="AH61:AH66">
    <cfRule type="cellIs" dxfId="40" priority="35" operator="equal">
      <formula>"Extremo"</formula>
    </cfRule>
    <cfRule type="cellIs" dxfId="39" priority="36" operator="equal">
      <formula>"Alto"</formula>
    </cfRule>
    <cfRule type="cellIs" dxfId="38" priority="37" operator="equal">
      <formula>"Moderado"</formula>
    </cfRule>
    <cfRule type="cellIs" dxfId="37" priority="38" operator="equal">
      <formula>"Bajo"</formula>
    </cfRule>
  </conditionalFormatting>
  <conditionalFormatting sqref="M67">
    <cfRule type="cellIs" dxfId="36" priority="30" operator="equal">
      <formula>"Muy Alta"</formula>
    </cfRule>
    <cfRule type="cellIs" dxfId="35" priority="31" operator="equal">
      <formula>"Alta"</formula>
    </cfRule>
    <cfRule type="cellIs" dxfId="34" priority="32" operator="equal">
      <formula>"Media"</formula>
    </cfRule>
    <cfRule type="cellIs" dxfId="33" priority="33" operator="equal">
      <formula>"Baja"</formula>
    </cfRule>
    <cfRule type="cellIs" dxfId="32" priority="34" operator="equal">
      <formula>"Muy Baja"</formula>
    </cfRule>
  </conditionalFormatting>
  <conditionalFormatting sqref="S67">
    <cfRule type="cellIs" dxfId="31" priority="21" operator="equal">
      <formula>"Extremo"</formula>
    </cfRule>
    <cfRule type="cellIs" dxfId="30" priority="22" operator="equal">
      <formula>"Alto"</formula>
    </cfRule>
    <cfRule type="cellIs" dxfId="29" priority="23" operator="equal">
      <formula>"Moderado"</formula>
    </cfRule>
    <cfRule type="cellIs" dxfId="28" priority="24" operator="equal">
      <formula>"Bajo"</formula>
    </cfRule>
  </conditionalFormatting>
  <conditionalFormatting sqref="AD67:AD72">
    <cfRule type="cellIs" dxfId="27" priority="16" operator="equal">
      <formula>"Muy Alta"</formula>
    </cfRule>
    <cfRule type="cellIs" dxfId="26" priority="17" operator="equal">
      <formula>"Alta"</formula>
    </cfRule>
    <cfRule type="cellIs" dxfId="25" priority="18" operator="equal">
      <formula>"Media"</formula>
    </cfRule>
    <cfRule type="cellIs" dxfId="24" priority="19" operator="equal">
      <formula>"Baja"</formula>
    </cfRule>
    <cfRule type="cellIs" dxfId="23" priority="20" operator="equal">
      <formula>"Muy Baja"</formula>
    </cfRule>
  </conditionalFormatting>
  <conditionalFormatting sqref="AF67:AF72">
    <cfRule type="cellIs" dxfId="22" priority="11" operator="equal">
      <formula>"Catastrófico"</formula>
    </cfRule>
    <cfRule type="cellIs" dxfId="21" priority="12" operator="equal">
      <formula>"Mayor"</formula>
    </cfRule>
    <cfRule type="cellIs" dxfId="20" priority="13" operator="equal">
      <formula>"Moderado"</formula>
    </cfRule>
    <cfRule type="cellIs" dxfId="19" priority="14" operator="equal">
      <formula>"Menor"</formula>
    </cfRule>
    <cfRule type="cellIs" dxfId="18" priority="15" operator="equal">
      <formula>"Leve"</formula>
    </cfRule>
  </conditionalFormatting>
  <conditionalFormatting sqref="AH67:AH72">
    <cfRule type="cellIs" dxfId="17" priority="7" operator="equal">
      <formula>"Extremo"</formula>
    </cfRule>
    <cfRule type="cellIs" dxfId="16" priority="8" operator="equal">
      <formula>"Alto"</formula>
    </cfRule>
    <cfRule type="cellIs" dxfId="15" priority="9" operator="equal">
      <formula>"Moderado"</formula>
    </cfRule>
    <cfRule type="cellIs" dxfId="14" priority="10" operator="equal">
      <formula>"Bajo"</formula>
    </cfRule>
  </conditionalFormatting>
  <conditionalFormatting sqref="P13:P72">
    <cfRule type="containsText" dxfId="13" priority="6" operator="containsText" text="❌">
      <formula>NOT(ISERROR(SEARCH("❌",P13)))</formula>
    </cfRule>
  </conditionalFormatting>
  <conditionalFormatting sqref="M55">
    <cfRule type="cellIs" dxfId="12" priority="1" operator="equal">
      <formula>"Muy Alta"</formula>
    </cfRule>
    <cfRule type="cellIs" dxfId="11" priority="2" operator="equal">
      <formula>"Alta"</formula>
    </cfRule>
    <cfRule type="cellIs" dxfId="10" priority="3" operator="equal">
      <formula>"Media"</formula>
    </cfRule>
    <cfRule type="cellIs" dxfId="9" priority="4" operator="equal">
      <formula>"Baja"</formula>
    </cfRule>
    <cfRule type="cellIs" dxfId="8" priority="5" operator="equal">
      <formula>"Muy Baja"</formula>
    </cfRule>
  </conditionalFormatting>
  <dataValidations count="1">
    <dataValidation type="list" allowBlank="1" showInputMessage="1" showErrorMessage="1" sqref="J67 J55 J61">
      <formula1>$B$31:$B$38</formula1>
    </dataValidation>
  </dataValidations>
  <pageMargins left="0.70866141732283472" right="0.70866141732283472" top="0.74803149606299213" bottom="0.74803149606299213" header="0.31496062992125984" footer="0.31496062992125984"/>
  <pageSetup scale="40" orientation="landscape" r:id="rId1"/>
  <headerFooter>
    <oddFooter>&amp;LAvenida Calle 26 No. 57-83 Torre 8, Piso 8 CEMSA - C.P. 111321
PBX:(+57) 601-3779555 - Información: Línea 195
Sede Operativa - Atención al Ciudadano: Calle 22D No. 120-40
www.umv.gov.co&amp;CDESI-FM-018
Página &amp;P de &amp;N</oddFooter>
  </headerFooter>
  <rowBreaks count="2" manualBreakCount="2">
    <brk id="24" max="40" man="1"/>
    <brk id="30" max="37" man="1"/>
  </rowBreaks>
  <colBreaks count="1" manualBreakCount="1">
    <brk id="19" max="73" man="1"/>
  </colBreaks>
  <ignoredErrors>
    <ignoredError sqref="AG15" formula="1"/>
  </ignoredErrors>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'Tabla Valoración controles'!$D$4:$D$6</xm:f>
          </x14:formula1>
          <xm:sqref>W13:W72</xm:sqref>
        </x14:dataValidation>
        <x14:dataValidation type="list" allowBlank="1" showInputMessage="1" showErrorMessage="1">
          <x14:formula1>
            <xm:f>'Tabla Valoración controles'!$D$7:$D$8</xm:f>
          </x14:formula1>
          <xm:sqref>X13:X72</xm:sqref>
        </x14:dataValidation>
        <x14:dataValidation type="list" allowBlank="1" showInputMessage="1" showErrorMessage="1">
          <x14:formula1>
            <xm:f>'Tabla Valoración controles'!$D$9:$D$10</xm:f>
          </x14:formula1>
          <xm:sqref>Z13:Z72</xm:sqref>
        </x14:dataValidation>
        <x14:dataValidation type="list" allowBlank="1" showInputMessage="1" showErrorMessage="1">
          <x14:formula1>
            <xm:f>'Tabla Valoración controles'!$D$11:$D$12</xm:f>
          </x14:formula1>
          <xm:sqref>AA13:AA72</xm:sqref>
        </x14:dataValidation>
        <x14:dataValidation type="list" allowBlank="1" showInputMessage="1" showErrorMessage="1">
          <x14:formula1>
            <xm:f>'Tabla Valoración controles'!$D$13:$D$14</xm:f>
          </x14:formula1>
          <xm:sqref>AB13:AB72</xm:sqref>
        </x14:dataValidation>
        <x14:dataValidation type="list" allowBlank="1" showInputMessage="1" showErrorMessage="1">
          <x14:formula1>
            <xm:f>'Opciones Tratamiento'!$E$2:$E$4</xm:f>
          </x14:formula1>
          <xm:sqref>B13:B72</xm:sqref>
        </x14:dataValidation>
        <x14:dataValidation type="list" allowBlank="1" showInputMessage="1" showErrorMessage="1">
          <x14:formula1>
            <xm:f>'Opciones Tratamiento'!$B$2:$B$5</xm:f>
          </x14:formula1>
          <xm:sqref>AI13:AI72</xm:sqref>
        </x14:dataValidation>
        <x14:dataValidation type="list" allowBlank="1" showInputMessage="1" showErrorMessage="1">
          <x14:formula1>
            <xm:f>'Tabla Impacto'!$F$211:$F$222</xm:f>
          </x14:formula1>
          <xm:sqref>O13:O72</xm:sqref>
        </x14:dataValidation>
        <x14:dataValidation type="custom" allowBlank="1" showInputMessage="1" showErrorMessage="1" error="Recuerde que las acciones se generan bajo la medida de mitigar el riesgo">
          <x14:formula1>
            <xm:f>IF(OR(AI13='Opciones Tratamiento'!$B$2,AI13='Opciones Tratamiento'!$B$3,AI13='Opciones Tratamiento'!$B$4),ISBLANK(AI13),ISTEXT(AI13))</xm:f>
          </x14:formula1>
          <xm:sqref>AJ13:AJ18 AJ21:AJ25 AJ27:AJ31 AJ40:AJ72 AJ33:AJ37</xm:sqref>
        </x14:dataValidation>
        <x14:dataValidation type="custom" allowBlank="1" showInputMessage="1" showErrorMessage="1" error="Recuerde que las acciones se generan bajo la medida de mitigar el riesgo">
          <x14:formula1>
            <xm:f>IF(OR(AI13='Opciones Tratamiento'!$B$2,AI13='Opciones Tratamiento'!$B$3,AI13='Opciones Tratamiento'!$B$4),ISBLANK(AI13),ISTEXT(AI13))</xm:f>
          </x14:formula1>
          <xm:sqref>AL13:AL18 AK40:AK72 AK13:AK25 AL21:AL25 AK27:AK31 AL27:AL31 AL33:AL37 AL40:AL72 AK33:AK37</xm:sqref>
        </x14:dataValidation>
        <x14:dataValidation type="custom" allowBlank="1" showInputMessage="1" showErrorMessage="1" error="Recuerde que las acciones se generan bajo la medida de mitigar el riesgo">
          <x14:formula1>
            <xm:f>IF(OR(AI13='Opciones Tratamiento'!$B$2,AI13='Opciones Tratamiento'!$B$3,AI13='Opciones Tratamiento'!$B$4),ISBLANK(AI13),ISTEXT(AI13))</xm:f>
          </x14:formula1>
          <xm:sqref>AM13 AM15:AM18 AM21:AM25 AM27:AM31 AM33:AM37 AM40:AM72</xm:sqref>
        </x14:dataValidation>
        <x14:dataValidation type="list" allowBlank="1" showInputMessage="1" showErrorMessage="1">
          <x14:formula1>
            <xm:f>'Opciones Tratamiento'!$B$13:$B$23</xm:f>
          </x14:formula1>
          <xm:sqref>G13:G72</xm:sqref>
        </x14:dataValidation>
        <x14:dataValidation type="list" allowBlank="1" showInputMessage="1" showErrorMessage="1">
          <x14:formula1>
            <xm:f>'Opciones Tratamiento'!$B$28:$B$35</xm:f>
          </x14:formula1>
          <xm:sqref>J13 J31 J19 J25 J37 J49 J43</xm:sqref>
        </x14:dataValidation>
        <x14:dataValidation type="list" allowBlank="1" showInputMessage="1" showErrorMessage="1">
          <x14:formula1>
            <xm:f>'Tipo de riesgos'!$AX$3:$AX$5</xm:f>
          </x14:formula1>
          <xm:sqref>F13:F72</xm:sqref>
        </x14:dataValidation>
        <x14:dataValidation type="custom" allowBlank="1" showInputMessage="1" showErrorMessage="1" error="Recuerde que las acciones se generan bajo la medida de mitigar el riesgo">
          <x14:formula1>
            <xm:f>IF(OR(#REF!='Opciones Tratamiento'!$B$2,#REF!='Opciones Tratamiento'!$B$3,#REF!='Opciones Tratamiento'!$B$4),ISBLANK(#REF!),ISTEXT(#REF!))</xm:f>
          </x14:formula1>
          <xm:sqref>AN43:AP43 AN67:AP67 AN61:AP61 AN55:AP55 AN49:AP49</xm:sqref>
        </x14:dataValidation>
        <x14:dataValidation type="list" allowBlank="1" showInputMessage="1" showErrorMessage="1">
          <x14:formula1>
            <xm:f>Intructivo!$C$300:$C$316</xm:f>
          </x14:formula1>
          <xm:sqref>C6:S6</xm:sqref>
        </x14:dataValidation>
        <x14:dataValidation type="list" allowBlank="1" showInputMessage="1" showErrorMessage="1">
          <x14:formula1>
            <xm:f>Amenazas!$C$2:$C$10</xm:f>
          </x14:formula1>
          <xm:sqref>H13:H72</xm:sqref>
        </x14:dataValidation>
        <x14:dataValidation type="custom" allowBlank="1" showInputMessage="1" showErrorMessage="1" error="Recuerde que las acciones se generan bajo la medida de mitigar el riesgo">
          <x14:formula1>
            <xm:f>IF(OR(AI39='Opciones Tratamiento'!$B$2,AI39='Opciones Tratamiento'!$B$3,AI39='Opciones Tratamiento'!$B$4),ISBLANK(AI39),ISTEXT(AI39))</xm:f>
          </x14:formula1>
          <xm:sqref>AM38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topLeftCell="A4" zoomScale="40" zoomScaleNormal="40" workbookViewId="0">
      <selection activeCell="AF14" sqref="AF14:AG15"/>
    </sheetView>
  </sheetViews>
  <sheetFormatPr baseColWidth="10" defaultColWidth="11.42578125" defaultRowHeight="15" x14ac:dyDescent="0.25"/>
  <cols>
    <col min="2" max="39" width="5.7109375" customWidth="1"/>
    <col min="41" max="46" width="5.7109375" customWidth="1"/>
  </cols>
  <sheetData>
    <row r="1" spans="1:99"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row>
    <row r="2" spans="1:99" ht="18" customHeight="1" x14ac:dyDescent="0.25">
      <c r="A2" s="66"/>
      <c r="B2" s="507" t="s">
        <v>175</v>
      </c>
      <c r="C2" s="507"/>
      <c r="D2" s="507"/>
      <c r="E2" s="507"/>
      <c r="F2" s="507"/>
      <c r="G2" s="507"/>
      <c r="H2" s="507"/>
      <c r="I2" s="507"/>
      <c r="J2" s="475" t="s">
        <v>15</v>
      </c>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row>
    <row r="3" spans="1:99" ht="18.75" customHeight="1" x14ac:dyDescent="0.25">
      <c r="A3" s="66"/>
      <c r="B3" s="507"/>
      <c r="C3" s="507"/>
      <c r="D3" s="507"/>
      <c r="E3" s="507"/>
      <c r="F3" s="507"/>
      <c r="G3" s="507"/>
      <c r="H3" s="507"/>
      <c r="I3" s="507"/>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row>
    <row r="4" spans="1:99" ht="15" customHeight="1" x14ac:dyDescent="0.25">
      <c r="A4" s="66"/>
      <c r="B4" s="507"/>
      <c r="C4" s="507"/>
      <c r="D4" s="507"/>
      <c r="E4" s="507"/>
      <c r="F4" s="507"/>
      <c r="G4" s="507"/>
      <c r="H4" s="507"/>
      <c r="I4" s="507"/>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row>
    <row r="5" spans="1:99" ht="15.75" thickBot="1" x14ac:dyDescent="0.3">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row>
    <row r="6" spans="1:99" ht="15" customHeight="1" x14ac:dyDescent="0.25">
      <c r="A6" s="66"/>
      <c r="B6" s="422" t="s">
        <v>176</v>
      </c>
      <c r="C6" s="422"/>
      <c r="D6" s="423"/>
      <c r="E6" s="460" t="s">
        <v>177</v>
      </c>
      <c r="F6" s="461"/>
      <c r="G6" s="461"/>
      <c r="H6" s="461"/>
      <c r="I6" s="462"/>
      <c r="J6" s="471" t="str">
        <f>IF(AND('Mapa riesgos'!$M$13="Muy Alta",'Mapa riesgos'!$Q$13="Leve"),CONCATENATE("R",'Mapa riesgos'!$A$13),"")</f>
        <v/>
      </c>
      <c r="K6" s="472"/>
      <c r="L6" s="472" t="str">
        <f>IF(AND('Mapa riesgos'!$M$19="Muy Alta",'Mapa riesgos'!$Q$19="Leve"),CONCATENATE("R",'Mapa riesgos'!$A$19),"")</f>
        <v/>
      </c>
      <c r="M6" s="472"/>
      <c r="N6" s="472" t="str">
        <f>IF(AND('Mapa riesgos'!$M$25="Muy Alta",'Mapa riesgos'!$Q$25="Leve"),CONCATENATE("R",'Mapa riesgos'!$A$25),"")</f>
        <v/>
      </c>
      <c r="O6" s="474"/>
      <c r="P6" s="471" t="str">
        <f>IF(AND('Mapa riesgos'!$M$13="Muy Alta",'Mapa riesgos'!$Q$13="Menor"),CONCATENATE("R",'Mapa riesgos'!$A$13),"")</f>
        <v/>
      </c>
      <c r="Q6" s="472"/>
      <c r="R6" s="472" t="str">
        <f>IF(AND('Mapa riesgos'!$M$19="Muy Alta",'Mapa riesgos'!$Q$19="Menor"),CONCATENATE("R",'Mapa riesgos'!$A$19),"")</f>
        <v/>
      </c>
      <c r="S6" s="472"/>
      <c r="T6" s="472" t="str">
        <f>IF(AND('Mapa riesgos'!$M$25="Muy Alta",'Mapa riesgos'!$Q$25="Menor"),CONCATENATE("R",'Mapa riesgos'!$A$25),"")</f>
        <v/>
      </c>
      <c r="U6" s="474"/>
      <c r="V6" s="471" t="str">
        <f>IF(AND('Mapa riesgos'!$M$13="Muy Alta",'Mapa riesgos'!$Q$13="Moderado"),CONCATENATE("R",'Mapa riesgos'!$A$13),"")</f>
        <v/>
      </c>
      <c r="W6" s="472"/>
      <c r="X6" s="472" t="str">
        <f>IF(AND('Mapa riesgos'!$M$19="Muy Alta",'Mapa riesgos'!$Q$19="Moderado"),CONCATENATE("R",'Mapa riesgos'!$A$19),"")</f>
        <v/>
      </c>
      <c r="Y6" s="472"/>
      <c r="Z6" s="472" t="str">
        <f>IF(AND('Mapa riesgos'!$M$25="Muy Alta",'Mapa riesgos'!$Q$25="Moderado"),CONCATENATE("R",'Mapa riesgos'!$A$25),"")</f>
        <v/>
      </c>
      <c r="AA6" s="474"/>
      <c r="AB6" s="471" t="str">
        <f>IF(AND('Mapa riesgos'!$M$13="Muy Alta",'Mapa riesgos'!$Q$13="Mayor"),CONCATENATE("R",'Mapa riesgos'!$A$13),"")</f>
        <v/>
      </c>
      <c r="AC6" s="472"/>
      <c r="AD6" s="472" t="str">
        <f>IF(AND('Mapa riesgos'!$M$19="Muy Alta",'Mapa riesgos'!$Q$19="Mayor"),CONCATENATE("R",'Mapa riesgos'!$A$19),"")</f>
        <v/>
      </c>
      <c r="AE6" s="472"/>
      <c r="AF6" s="472" t="str">
        <f>IF(AND('Mapa riesgos'!$M$25="Muy Alta",'Mapa riesgos'!$Q$25="Mayor"),CONCATENATE("R",'Mapa riesgos'!$A$25),"")</f>
        <v/>
      </c>
      <c r="AG6" s="474"/>
      <c r="AH6" s="486" t="str">
        <f>IF(AND('Mapa riesgos'!$M$13="Muy Alta",'Mapa riesgos'!$Q$13="Catastrófico"),CONCATENATE("R",'Mapa riesgos'!$A$13),"")</f>
        <v/>
      </c>
      <c r="AI6" s="487"/>
      <c r="AJ6" s="487" t="str">
        <f>IF(AND('Mapa riesgos'!$M$19="Muy Alta",'Mapa riesgos'!$Q$19="Catastrófico"),CONCATENATE("R",'Mapa riesgos'!$A$19),"")</f>
        <v/>
      </c>
      <c r="AK6" s="487"/>
      <c r="AL6" s="487" t="str">
        <f>IF(AND('Mapa riesgos'!$M$25="Muy Alta",'Mapa riesgos'!$Q$25="Catastrófico"),CONCATENATE("R",'Mapa riesgos'!$A$25),"")</f>
        <v/>
      </c>
      <c r="AM6" s="488"/>
      <c r="AO6" s="424" t="s">
        <v>178</v>
      </c>
      <c r="AP6" s="425"/>
      <c r="AQ6" s="425"/>
      <c r="AR6" s="425"/>
      <c r="AS6" s="425"/>
      <c r="AT6" s="42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row>
    <row r="7" spans="1:99" ht="15" customHeight="1" x14ac:dyDescent="0.25">
      <c r="A7" s="66"/>
      <c r="B7" s="422"/>
      <c r="C7" s="422"/>
      <c r="D7" s="423"/>
      <c r="E7" s="463"/>
      <c r="F7" s="464"/>
      <c r="G7" s="464"/>
      <c r="H7" s="464"/>
      <c r="I7" s="465"/>
      <c r="J7" s="473"/>
      <c r="K7" s="469"/>
      <c r="L7" s="469"/>
      <c r="M7" s="469"/>
      <c r="N7" s="469"/>
      <c r="O7" s="470"/>
      <c r="P7" s="473"/>
      <c r="Q7" s="469"/>
      <c r="R7" s="469"/>
      <c r="S7" s="469"/>
      <c r="T7" s="469"/>
      <c r="U7" s="470"/>
      <c r="V7" s="473"/>
      <c r="W7" s="469"/>
      <c r="X7" s="469"/>
      <c r="Y7" s="469"/>
      <c r="Z7" s="469"/>
      <c r="AA7" s="470"/>
      <c r="AB7" s="473"/>
      <c r="AC7" s="469"/>
      <c r="AD7" s="469"/>
      <c r="AE7" s="469"/>
      <c r="AF7" s="469"/>
      <c r="AG7" s="470"/>
      <c r="AH7" s="480"/>
      <c r="AI7" s="481"/>
      <c r="AJ7" s="481"/>
      <c r="AK7" s="481"/>
      <c r="AL7" s="481"/>
      <c r="AM7" s="482"/>
      <c r="AN7" s="66"/>
      <c r="AO7" s="427"/>
      <c r="AP7" s="428"/>
      <c r="AQ7" s="428"/>
      <c r="AR7" s="428"/>
      <c r="AS7" s="428"/>
      <c r="AT7" s="429"/>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row>
    <row r="8" spans="1:99" ht="15" customHeight="1" x14ac:dyDescent="0.25">
      <c r="A8" s="66"/>
      <c r="B8" s="422"/>
      <c r="C8" s="422"/>
      <c r="D8" s="423"/>
      <c r="E8" s="463"/>
      <c r="F8" s="464"/>
      <c r="G8" s="464"/>
      <c r="H8" s="464"/>
      <c r="I8" s="465"/>
      <c r="J8" s="473" t="str">
        <f>IF(AND('Mapa riesgos'!$M$31="Muy Alta",'Mapa riesgos'!$Q$31="Leve"),CONCATENATE("R",'Mapa riesgos'!$A$31),"")</f>
        <v/>
      </c>
      <c r="K8" s="469"/>
      <c r="L8" s="469" t="str">
        <f>IF(AND('Mapa riesgos'!$M$37="Muy Alta",'Mapa riesgos'!$Q$37="Leve"),CONCATENATE("R",'Mapa riesgos'!$A$37),"")</f>
        <v/>
      </c>
      <c r="M8" s="469"/>
      <c r="N8" s="469" t="str">
        <f>IF(AND('Mapa riesgos'!$M$43="Muy Alta",'Mapa riesgos'!$Q$43="Leve"),CONCATENATE("R",'Mapa riesgos'!$A$43),"")</f>
        <v/>
      </c>
      <c r="O8" s="470"/>
      <c r="P8" s="473" t="str">
        <f>IF(AND('Mapa riesgos'!$M$31="Muy Alta",'Mapa riesgos'!$Q$31="Menor"),CONCATENATE("R",'Mapa riesgos'!$A$31),"")</f>
        <v/>
      </c>
      <c r="Q8" s="469"/>
      <c r="R8" s="469" t="str">
        <f>IF(AND('Mapa riesgos'!$M$37="Muy Alta",'Mapa riesgos'!$Q$37="Menor"),CONCATENATE("R",'Mapa riesgos'!$A$37),"")</f>
        <v/>
      </c>
      <c r="S8" s="469"/>
      <c r="T8" s="469" t="str">
        <f>IF(AND('Mapa riesgos'!$M$43="Muy Alta",'Mapa riesgos'!$Q$43="Menor"),CONCATENATE("R",'Mapa riesgos'!$A$43),"")</f>
        <v/>
      </c>
      <c r="U8" s="470"/>
      <c r="V8" s="473" t="str">
        <f>IF(AND('Mapa riesgos'!$M$31="Muy Alta",'Mapa riesgos'!$Q$31="Moderado"),CONCATENATE("R",'Mapa riesgos'!$A$31),"")</f>
        <v/>
      </c>
      <c r="W8" s="469"/>
      <c r="X8" s="469" t="str">
        <f>IF(AND('Mapa riesgos'!$M$37="Muy Alta",'Mapa riesgos'!$Q$37="Moderado"),CONCATENATE("R",'Mapa riesgos'!$A$37),"")</f>
        <v/>
      </c>
      <c r="Y8" s="469"/>
      <c r="Z8" s="469" t="str">
        <f>IF(AND('Mapa riesgos'!$M$43="Muy Alta",'Mapa riesgos'!$Q$43="Moderado"),CONCATENATE("R",'Mapa riesgos'!$A$43),"")</f>
        <v/>
      </c>
      <c r="AA8" s="470"/>
      <c r="AB8" s="473" t="str">
        <f>IF(AND('Mapa riesgos'!$M$31="Muy Alta",'Mapa riesgos'!$Q$31="Mayor"),CONCATENATE("R",'Mapa riesgos'!$A$31),"")</f>
        <v/>
      </c>
      <c r="AC8" s="469"/>
      <c r="AD8" s="469" t="str">
        <f>IF(AND('Mapa riesgos'!$M$37="Muy Alta",'Mapa riesgos'!$Q$37="Mayor"),CONCATENATE("R",'Mapa riesgos'!$A$37),"")</f>
        <v/>
      </c>
      <c r="AE8" s="469"/>
      <c r="AF8" s="469" t="str">
        <f>IF(AND('Mapa riesgos'!$M$43="Muy Alta",'Mapa riesgos'!$Q$43="Mayor"),CONCATENATE("R",'Mapa riesgos'!$A$43),"")</f>
        <v/>
      </c>
      <c r="AG8" s="470"/>
      <c r="AH8" s="480" t="str">
        <f>IF(AND('Mapa riesgos'!$M$31="Muy Alta",'Mapa riesgos'!$Q$31="Catastrófico"),CONCATENATE("R",'Mapa riesgos'!$A$31),"")</f>
        <v/>
      </c>
      <c r="AI8" s="481"/>
      <c r="AJ8" s="481" t="str">
        <f>IF(AND('Mapa riesgos'!$M$37="Muy Alta",'Mapa riesgos'!$Q$37="Catastrófico"),CONCATENATE("R",'Mapa riesgos'!$A$37),"")</f>
        <v/>
      </c>
      <c r="AK8" s="481"/>
      <c r="AL8" s="481" t="str">
        <f>IF(AND('Mapa riesgos'!$M$43="Muy Alta",'Mapa riesgos'!$Q$43="Catastrófico"),CONCATENATE("R",'Mapa riesgos'!$A$43),"")</f>
        <v/>
      </c>
      <c r="AM8" s="482"/>
      <c r="AN8" s="66"/>
      <c r="AO8" s="427"/>
      <c r="AP8" s="428"/>
      <c r="AQ8" s="428"/>
      <c r="AR8" s="428"/>
      <c r="AS8" s="428"/>
      <c r="AT8" s="429"/>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row>
    <row r="9" spans="1:99" ht="15" customHeight="1" x14ac:dyDescent="0.25">
      <c r="A9" s="66"/>
      <c r="B9" s="422"/>
      <c r="C9" s="422"/>
      <c r="D9" s="423"/>
      <c r="E9" s="463"/>
      <c r="F9" s="464"/>
      <c r="G9" s="464"/>
      <c r="H9" s="464"/>
      <c r="I9" s="465"/>
      <c r="J9" s="473"/>
      <c r="K9" s="469"/>
      <c r="L9" s="469"/>
      <c r="M9" s="469"/>
      <c r="N9" s="469"/>
      <c r="O9" s="470"/>
      <c r="P9" s="473"/>
      <c r="Q9" s="469"/>
      <c r="R9" s="469"/>
      <c r="S9" s="469"/>
      <c r="T9" s="469"/>
      <c r="U9" s="470"/>
      <c r="V9" s="473"/>
      <c r="W9" s="469"/>
      <c r="X9" s="469"/>
      <c r="Y9" s="469"/>
      <c r="Z9" s="469"/>
      <c r="AA9" s="470"/>
      <c r="AB9" s="473"/>
      <c r="AC9" s="469"/>
      <c r="AD9" s="469"/>
      <c r="AE9" s="469"/>
      <c r="AF9" s="469"/>
      <c r="AG9" s="470"/>
      <c r="AH9" s="480"/>
      <c r="AI9" s="481"/>
      <c r="AJ9" s="481"/>
      <c r="AK9" s="481"/>
      <c r="AL9" s="481"/>
      <c r="AM9" s="482"/>
      <c r="AN9" s="66"/>
      <c r="AO9" s="427"/>
      <c r="AP9" s="428"/>
      <c r="AQ9" s="428"/>
      <c r="AR9" s="428"/>
      <c r="AS9" s="428"/>
      <c r="AT9" s="429"/>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row>
    <row r="10" spans="1:99" ht="15" customHeight="1" x14ac:dyDescent="0.25">
      <c r="A10" s="66"/>
      <c r="B10" s="422"/>
      <c r="C10" s="422"/>
      <c r="D10" s="423"/>
      <c r="E10" s="463"/>
      <c r="F10" s="464"/>
      <c r="G10" s="464"/>
      <c r="H10" s="464"/>
      <c r="I10" s="465"/>
      <c r="J10" s="473" t="str">
        <f>IF(AND('Mapa riesgos'!$M$49="Muy Alta",'Mapa riesgos'!$Q$49="Leve"),CONCATENATE("R",'Mapa riesgos'!$A$49),"")</f>
        <v/>
      </c>
      <c r="K10" s="469"/>
      <c r="L10" s="469" t="str">
        <f>IF(AND('Mapa riesgos'!$M$55="Muy Alta",'Mapa riesgos'!$Q$55="Leve"),CONCATENATE("R",'Mapa riesgos'!$A$55),"")</f>
        <v/>
      </c>
      <c r="M10" s="469"/>
      <c r="N10" s="469" t="str">
        <f>IF(AND('Mapa riesgos'!$M$61="Muy Alta",'Mapa riesgos'!$Q$61="Leve"),CONCATENATE("R",'Mapa riesgos'!$A$61),"")</f>
        <v/>
      </c>
      <c r="O10" s="470"/>
      <c r="P10" s="473" t="str">
        <f>IF(AND('Mapa riesgos'!$M$49="Muy Alta",'Mapa riesgos'!$Q$49="Menor"),CONCATENATE("R",'Mapa riesgos'!$A$49),"")</f>
        <v/>
      </c>
      <c r="Q10" s="469"/>
      <c r="R10" s="469" t="str">
        <f>IF(AND('Mapa riesgos'!$M$55="Muy Alta",'Mapa riesgos'!$Q$55="Menor"),CONCATENATE("R",'Mapa riesgos'!$A$55),"")</f>
        <v/>
      </c>
      <c r="S10" s="469"/>
      <c r="T10" s="469" t="str">
        <f>IF(AND('Mapa riesgos'!$M$61="Muy Alta",'Mapa riesgos'!$Q$61="Menor"),CONCATENATE("R",'Mapa riesgos'!$A$61),"")</f>
        <v/>
      </c>
      <c r="U10" s="470"/>
      <c r="V10" s="473" t="str">
        <f>IF(AND('Mapa riesgos'!$M$49="Muy Alta",'Mapa riesgos'!$Q$49="Moderado"),CONCATENATE("R",'Mapa riesgos'!$A$49),"")</f>
        <v/>
      </c>
      <c r="W10" s="469"/>
      <c r="X10" s="469" t="str">
        <f>IF(AND('Mapa riesgos'!$M$55="Muy Alta",'Mapa riesgos'!$Q$55="Moderado"),CONCATENATE("R",'Mapa riesgos'!$A$55),"")</f>
        <v/>
      </c>
      <c r="Y10" s="469"/>
      <c r="Z10" s="469" t="str">
        <f>IF(AND('Mapa riesgos'!$M$61="Muy Alta",'Mapa riesgos'!$Q$61="Moderado"),CONCATENATE("R",'Mapa riesgos'!$A$61),"")</f>
        <v/>
      </c>
      <c r="AA10" s="470"/>
      <c r="AB10" s="473" t="str">
        <f>IF(AND('Mapa riesgos'!$M$49="Muy Alta",'Mapa riesgos'!$Q$49="Mayor"),CONCATENATE("R",'Mapa riesgos'!$A$49),"")</f>
        <v/>
      </c>
      <c r="AC10" s="469"/>
      <c r="AD10" s="469" t="str">
        <f>IF(AND('Mapa riesgos'!$M$55="Muy Alta",'Mapa riesgos'!$Q$55="Mayor"),CONCATENATE("R",'Mapa riesgos'!$A$55),"")</f>
        <v/>
      </c>
      <c r="AE10" s="469"/>
      <c r="AF10" s="469" t="str">
        <f>IF(AND('Mapa riesgos'!$M$61="Muy Alta",'Mapa riesgos'!$Q$61="Mayor"),CONCATENATE("R",'Mapa riesgos'!$A$61),"")</f>
        <v/>
      </c>
      <c r="AG10" s="470"/>
      <c r="AH10" s="480" t="str">
        <f>IF(AND('Mapa riesgos'!$M$49="Muy Alta",'Mapa riesgos'!$Q$49="Catastrófico"),CONCATENATE("R",'Mapa riesgos'!$A$49),"")</f>
        <v/>
      </c>
      <c r="AI10" s="481"/>
      <c r="AJ10" s="481" t="str">
        <f>IF(AND('Mapa riesgos'!$M$55="Muy Alta",'Mapa riesgos'!$Q$55="Catastrófico"),CONCATENATE("R",'Mapa riesgos'!$A$55),"")</f>
        <v/>
      </c>
      <c r="AK10" s="481"/>
      <c r="AL10" s="481" t="str">
        <f>IF(AND('Mapa riesgos'!$M$61="Muy Alta",'Mapa riesgos'!$Q$61="Catastrófico"),CONCATENATE("R",'Mapa riesgos'!$A$61),"")</f>
        <v/>
      </c>
      <c r="AM10" s="482"/>
      <c r="AN10" s="66"/>
      <c r="AO10" s="427"/>
      <c r="AP10" s="428"/>
      <c r="AQ10" s="428"/>
      <c r="AR10" s="428"/>
      <c r="AS10" s="428"/>
      <c r="AT10" s="429"/>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row>
    <row r="11" spans="1:99" ht="15" customHeight="1" x14ac:dyDescent="0.25">
      <c r="A11" s="66"/>
      <c r="B11" s="422"/>
      <c r="C11" s="422"/>
      <c r="D11" s="423"/>
      <c r="E11" s="463"/>
      <c r="F11" s="464"/>
      <c r="G11" s="464"/>
      <c r="H11" s="464"/>
      <c r="I11" s="465"/>
      <c r="J11" s="473"/>
      <c r="K11" s="469"/>
      <c r="L11" s="469"/>
      <c r="M11" s="469"/>
      <c r="N11" s="469"/>
      <c r="O11" s="470"/>
      <c r="P11" s="473"/>
      <c r="Q11" s="469"/>
      <c r="R11" s="469"/>
      <c r="S11" s="469"/>
      <c r="T11" s="469"/>
      <c r="U11" s="470"/>
      <c r="V11" s="473"/>
      <c r="W11" s="469"/>
      <c r="X11" s="469"/>
      <c r="Y11" s="469"/>
      <c r="Z11" s="469"/>
      <c r="AA11" s="470"/>
      <c r="AB11" s="473"/>
      <c r="AC11" s="469"/>
      <c r="AD11" s="469"/>
      <c r="AE11" s="469"/>
      <c r="AF11" s="469"/>
      <c r="AG11" s="470"/>
      <c r="AH11" s="480"/>
      <c r="AI11" s="481"/>
      <c r="AJ11" s="481"/>
      <c r="AK11" s="481"/>
      <c r="AL11" s="481"/>
      <c r="AM11" s="482"/>
      <c r="AN11" s="66"/>
      <c r="AO11" s="427"/>
      <c r="AP11" s="428"/>
      <c r="AQ11" s="428"/>
      <c r="AR11" s="428"/>
      <c r="AS11" s="428"/>
      <c r="AT11" s="429"/>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row>
    <row r="12" spans="1:99" ht="15" customHeight="1" x14ac:dyDescent="0.25">
      <c r="A12" s="66"/>
      <c r="B12" s="422"/>
      <c r="C12" s="422"/>
      <c r="D12" s="423"/>
      <c r="E12" s="463"/>
      <c r="F12" s="464"/>
      <c r="G12" s="464"/>
      <c r="H12" s="464"/>
      <c r="I12" s="465"/>
      <c r="J12" s="473" t="str">
        <f>IF(AND('Mapa riesgos'!$M$67="Muy Alta",'Mapa riesgos'!$Q$67="Leve"),CONCATENATE("R",'Mapa riesgos'!$A$67),"")</f>
        <v/>
      </c>
      <c r="K12" s="469"/>
      <c r="L12" s="469" t="str">
        <f>IF(AND('Mapa riesgos'!$M$73="Muy Alta",'Mapa riesgos'!$Q$73="Leve"),CONCATENATE("R",'Mapa riesgos'!$A$73),"")</f>
        <v/>
      </c>
      <c r="M12" s="469"/>
      <c r="N12" s="469" t="str">
        <f>IF(AND('Mapa riesgos'!$M$79="Muy Alta",'Mapa riesgos'!$Q$79="Leve"),CONCATENATE("R",'Mapa riesgos'!$A$79),"")</f>
        <v/>
      </c>
      <c r="O12" s="470"/>
      <c r="P12" s="473" t="str">
        <f>IF(AND('Mapa riesgos'!$M$67="Muy Alta",'Mapa riesgos'!$Q$67="Menor"),CONCATENATE("R",'Mapa riesgos'!$A$67),"")</f>
        <v/>
      </c>
      <c r="Q12" s="469"/>
      <c r="R12" s="469" t="str">
        <f>IF(AND('Mapa riesgos'!$M$73="Muy Alta",'Mapa riesgos'!$Q$73="Menor"),CONCATENATE("R",'Mapa riesgos'!$A$73),"")</f>
        <v/>
      </c>
      <c r="S12" s="469"/>
      <c r="T12" s="469" t="str">
        <f>IF(AND('Mapa riesgos'!$M$79="Muy Alta",'Mapa riesgos'!$Q$79="Menor"),CONCATENATE("R",'Mapa riesgos'!$A$79),"")</f>
        <v/>
      </c>
      <c r="U12" s="470"/>
      <c r="V12" s="473" t="str">
        <f>IF(AND('Mapa riesgos'!$M$67="Muy Alta",'Mapa riesgos'!$Q$67="Moderado"),CONCATENATE("R",'Mapa riesgos'!$A$67),"")</f>
        <v/>
      </c>
      <c r="W12" s="469"/>
      <c r="X12" s="469" t="str">
        <f>IF(AND('Mapa riesgos'!$M$73="Muy Alta",'Mapa riesgos'!$Q$73="Moderado"),CONCATENATE("R",'Mapa riesgos'!$A$73),"")</f>
        <v/>
      </c>
      <c r="Y12" s="469"/>
      <c r="Z12" s="469" t="str">
        <f>IF(AND('Mapa riesgos'!$M$79="Muy Alta",'Mapa riesgos'!$Q$79="Moderado"),CONCATENATE("R",'Mapa riesgos'!$A$79),"")</f>
        <v/>
      </c>
      <c r="AA12" s="470"/>
      <c r="AB12" s="473" t="str">
        <f>IF(AND('Mapa riesgos'!$M$67="Muy Alta",'Mapa riesgos'!$Q$67="Mayor"),CONCATENATE("R",'Mapa riesgos'!$A$67),"")</f>
        <v/>
      </c>
      <c r="AC12" s="469"/>
      <c r="AD12" s="469" t="str">
        <f>IF(AND('Mapa riesgos'!$M$73="Muy Alta",'Mapa riesgos'!$Q$73="Mayor"),CONCATENATE("R",'Mapa riesgos'!$A$73),"")</f>
        <v/>
      </c>
      <c r="AE12" s="469"/>
      <c r="AF12" s="469" t="str">
        <f>IF(AND('Mapa riesgos'!$M$79="Muy Alta",'Mapa riesgos'!$Q$79="Mayor"),CONCATENATE("R",'Mapa riesgos'!$A$79),"")</f>
        <v/>
      </c>
      <c r="AG12" s="470"/>
      <c r="AH12" s="480" t="str">
        <f>IF(AND('Mapa riesgos'!$M$67="Muy Alta",'Mapa riesgos'!$Q$67="Catastrófico"),CONCATENATE("R",'Mapa riesgos'!$A$67),"")</f>
        <v/>
      </c>
      <c r="AI12" s="481"/>
      <c r="AJ12" s="481" t="str">
        <f>IF(AND('Mapa riesgos'!$M$73="Muy Alta",'Mapa riesgos'!$Q$73="Catastrófico"),CONCATENATE("R",'Mapa riesgos'!$A$73),"")</f>
        <v/>
      </c>
      <c r="AK12" s="481"/>
      <c r="AL12" s="481" t="str">
        <f>IF(AND('Mapa riesgos'!$M$79="Muy Alta",'Mapa riesgos'!$Q$79="Catastrófico"),CONCATENATE("R",'Mapa riesgos'!$A$79),"")</f>
        <v/>
      </c>
      <c r="AM12" s="482"/>
      <c r="AN12" s="66"/>
      <c r="AO12" s="427"/>
      <c r="AP12" s="428"/>
      <c r="AQ12" s="428"/>
      <c r="AR12" s="428"/>
      <c r="AS12" s="428"/>
      <c r="AT12" s="429"/>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row>
    <row r="13" spans="1:99" ht="15.75" customHeight="1" thickBot="1" x14ac:dyDescent="0.3">
      <c r="A13" s="66"/>
      <c r="B13" s="422"/>
      <c r="C13" s="422"/>
      <c r="D13" s="423"/>
      <c r="E13" s="466"/>
      <c r="F13" s="467"/>
      <c r="G13" s="467"/>
      <c r="H13" s="467"/>
      <c r="I13" s="468"/>
      <c r="J13" s="473"/>
      <c r="K13" s="469"/>
      <c r="L13" s="469"/>
      <c r="M13" s="469"/>
      <c r="N13" s="469"/>
      <c r="O13" s="470"/>
      <c r="P13" s="473"/>
      <c r="Q13" s="469"/>
      <c r="R13" s="469"/>
      <c r="S13" s="469"/>
      <c r="T13" s="469"/>
      <c r="U13" s="470"/>
      <c r="V13" s="473"/>
      <c r="W13" s="469"/>
      <c r="X13" s="469"/>
      <c r="Y13" s="469"/>
      <c r="Z13" s="469"/>
      <c r="AA13" s="470"/>
      <c r="AB13" s="473"/>
      <c r="AC13" s="469"/>
      <c r="AD13" s="469"/>
      <c r="AE13" s="469"/>
      <c r="AF13" s="469"/>
      <c r="AG13" s="470"/>
      <c r="AH13" s="483"/>
      <c r="AI13" s="484"/>
      <c r="AJ13" s="484"/>
      <c r="AK13" s="484"/>
      <c r="AL13" s="484"/>
      <c r="AM13" s="485"/>
      <c r="AN13" s="66"/>
      <c r="AO13" s="430"/>
      <c r="AP13" s="431"/>
      <c r="AQ13" s="431"/>
      <c r="AR13" s="431"/>
      <c r="AS13" s="431"/>
      <c r="AT13" s="432"/>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99" ht="15" customHeight="1" x14ac:dyDescent="0.25">
      <c r="A14" s="66"/>
      <c r="B14" s="422"/>
      <c r="C14" s="422"/>
      <c r="D14" s="423"/>
      <c r="E14" s="460" t="s">
        <v>179</v>
      </c>
      <c r="F14" s="461"/>
      <c r="G14" s="461"/>
      <c r="H14" s="461"/>
      <c r="I14" s="461"/>
      <c r="J14" s="495" t="str">
        <f>IF(AND('Mapa riesgos'!$M$13="Alta",'Mapa riesgos'!$Q$13="Leve"),CONCATENATE("R",'Mapa riesgos'!$A$13),"")</f>
        <v>R1</v>
      </c>
      <c r="K14" s="496"/>
      <c r="L14" s="496" t="str">
        <f>IF(AND('Mapa riesgos'!$M$19="Alta",'Mapa riesgos'!$Q$19="Leve"),CONCATENATE("R",'Mapa riesgos'!$A$19),"")</f>
        <v/>
      </c>
      <c r="M14" s="496"/>
      <c r="N14" s="496" t="str">
        <f>IF(AND('Mapa riesgos'!$M$25="Alta",'Mapa riesgos'!$Q$25="Leve"),CONCATENATE("R",'Mapa riesgos'!$A$25),"")</f>
        <v/>
      </c>
      <c r="O14" s="497"/>
      <c r="P14" s="495" t="str">
        <f>IF(AND('Mapa riesgos'!$M$13="Alta",'Mapa riesgos'!$Q$13="Menor"),CONCATENATE("R",'Mapa riesgos'!$A$13),"")</f>
        <v/>
      </c>
      <c r="Q14" s="496"/>
      <c r="R14" s="496" t="str">
        <f>IF(AND('Mapa riesgos'!$M$19="Alta",'Mapa riesgos'!$Q$19="Menor"),CONCATENATE("R",'Mapa riesgos'!$A$19),"")</f>
        <v/>
      </c>
      <c r="S14" s="496"/>
      <c r="T14" s="496" t="str">
        <f>IF(AND('Mapa riesgos'!$M$25="Alta",'Mapa riesgos'!$Q$25="Menor"),CONCATENATE("R",'Mapa riesgos'!$A$25),"")</f>
        <v/>
      </c>
      <c r="U14" s="497"/>
      <c r="V14" s="471" t="str">
        <f>IF(AND('Mapa riesgos'!$M$13="Alta",'Mapa riesgos'!$Q$13="Moderado"),CONCATENATE("R",'Mapa riesgos'!$A$13),"")</f>
        <v/>
      </c>
      <c r="W14" s="472"/>
      <c r="X14" s="472" t="str">
        <f>IF(AND('Mapa riesgos'!$M$19="Alta",'Mapa riesgos'!$Q$19="Moderado"),CONCATENATE("R",'Mapa riesgos'!$A$19),"")</f>
        <v/>
      </c>
      <c r="Y14" s="472"/>
      <c r="Z14" s="472" t="str">
        <f>IF(AND('Mapa riesgos'!$M$25="Alta",'Mapa riesgos'!$Q$25="Moderado"),CONCATENATE("R",'Mapa riesgos'!$A$25),"")</f>
        <v/>
      </c>
      <c r="AA14" s="474"/>
      <c r="AB14" s="471" t="str">
        <f>IF(AND('Mapa riesgos'!$M$13="Alta",'Mapa riesgos'!$Q$13="Mayor"),CONCATENATE("R",'Mapa riesgos'!$A$13),"")</f>
        <v/>
      </c>
      <c r="AC14" s="472"/>
      <c r="AD14" s="472" t="str">
        <f>IF(AND('Mapa riesgos'!$M$19="Alta",'Mapa riesgos'!$Q$19="Mayor"),CONCATENATE("R",'Mapa riesgos'!$A$19),"")</f>
        <v/>
      </c>
      <c r="AE14" s="472"/>
      <c r="AF14" s="472" t="str">
        <f>IF(AND('Mapa riesgos'!$M$25="Alta",'Mapa riesgos'!$Q$25="Mayor"),CONCATENATE("R",'Mapa riesgos'!$A$25),"")</f>
        <v>R3</v>
      </c>
      <c r="AG14" s="474"/>
      <c r="AH14" s="486" t="str">
        <f>IF(AND('Mapa riesgos'!$M$13="Alta",'Mapa riesgos'!$Q$13="Catastrófico"),CONCATENATE("R",'Mapa riesgos'!$A$13),"")</f>
        <v/>
      </c>
      <c r="AI14" s="487"/>
      <c r="AJ14" s="487" t="str">
        <f>IF(AND('Mapa riesgos'!$M$19="Alta",'Mapa riesgos'!$Q$19="Catastrófico"),CONCATENATE("R",'Mapa riesgos'!$A$19),"")</f>
        <v/>
      </c>
      <c r="AK14" s="487"/>
      <c r="AL14" s="487" t="str">
        <f>IF(AND('Mapa riesgos'!$M$25="Alta",'Mapa riesgos'!$Q$25="Catastrófico"),CONCATENATE("R",'Mapa riesgos'!$A$25),"")</f>
        <v/>
      </c>
      <c r="AM14" s="488"/>
      <c r="AN14" s="66"/>
      <c r="AO14" s="433" t="s">
        <v>180</v>
      </c>
      <c r="AP14" s="434"/>
      <c r="AQ14" s="434"/>
      <c r="AR14" s="434"/>
      <c r="AS14" s="434"/>
      <c r="AT14" s="435"/>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row>
    <row r="15" spans="1:99" ht="15" customHeight="1" x14ac:dyDescent="0.25">
      <c r="A15" s="66"/>
      <c r="B15" s="422"/>
      <c r="C15" s="422"/>
      <c r="D15" s="423"/>
      <c r="E15" s="463"/>
      <c r="F15" s="464"/>
      <c r="G15" s="464"/>
      <c r="H15" s="464"/>
      <c r="I15" s="464"/>
      <c r="J15" s="489"/>
      <c r="K15" s="490"/>
      <c r="L15" s="490"/>
      <c r="M15" s="490"/>
      <c r="N15" s="490"/>
      <c r="O15" s="491"/>
      <c r="P15" s="489"/>
      <c r="Q15" s="490"/>
      <c r="R15" s="490"/>
      <c r="S15" s="490"/>
      <c r="T15" s="490"/>
      <c r="U15" s="491"/>
      <c r="V15" s="473"/>
      <c r="W15" s="469"/>
      <c r="X15" s="469"/>
      <c r="Y15" s="469"/>
      <c r="Z15" s="469"/>
      <c r="AA15" s="470"/>
      <c r="AB15" s="473"/>
      <c r="AC15" s="469"/>
      <c r="AD15" s="469"/>
      <c r="AE15" s="469"/>
      <c r="AF15" s="469"/>
      <c r="AG15" s="470"/>
      <c r="AH15" s="480"/>
      <c r="AI15" s="481"/>
      <c r="AJ15" s="481"/>
      <c r="AK15" s="481"/>
      <c r="AL15" s="481"/>
      <c r="AM15" s="482"/>
      <c r="AN15" s="66"/>
      <c r="AO15" s="436"/>
      <c r="AP15" s="437"/>
      <c r="AQ15" s="437"/>
      <c r="AR15" s="437"/>
      <c r="AS15" s="437"/>
      <c r="AT15" s="438"/>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row>
    <row r="16" spans="1:99" ht="15" customHeight="1" x14ac:dyDescent="0.25">
      <c r="A16" s="66"/>
      <c r="B16" s="422"/>
      <c r="C16" s="422"/>
      <c r="D16" s="423"/>
      <c r="E16" s="463"/>
      <c r="F16" s="464"/>
      <c r="G16" s="464"/>
      <c r="H16" s="464"/>
      <c r="I16" s="464"/>
      <c r="J16" s="489" t="str">
        <f>IF(AND('Mapa riesgos'!$M$31="Alta",'Mapa riesgos'!$Q$31="Leve"),CONCATENATE("R",'Mapa riesgos'!$A$31),"")</f>
        <v/>
      </c>
      <c r="K16" s="490"/>
      <c r="L16" s="490" t="str">
        <f>IF(AND('Mapa riesgos'!$M$37="Alta",'Mapa riesgos'!$Q$37="Leve"),CONCATENATE("R",'Mapa riesgos'!$A$37),"")</f>
        <v/>
      </c>
      <c r="M16" s="490"/>
      <c r="N16" s="490" t="str">
        <f>IF(AND('Mapa riesgos'!$M$43="Alta",'Mapa riesgos'!$Q$43="Leve"),CONCATENATE("R",'Mapa riesgos'!$A$43),"")</f>
        <v/>
      </c>
      <c r="O16" s="491"/>
      <c r="P16" s="489" t="str">
        <f>IF(AND('Mapa riesgos'!$M$31="Alta",'Mapa riesgos'!$Q$31="Menor"),CONCATENATE("R",'Mapa riesgos'!$A$31),"")</f>
        <v/>
      </c>
      <c r="Q16" s="490"/>
      <c r="R16" s="490" t="str">
        <f>IF(AND('Mapa riesgos'!$M$37="Alta",'Mapa riesgos'!$Q$37="Menor"),CONCATENATE("R",'Mapa riesgos'!$A$37),"")</f>
        <v/>
      </c>
      <c r="S16" s="490"/>
      <c r="T16" s="490" t="str">
        <f>IF(AND('Mapa riesgos'!$M$43="Alta",'Mapa riesgos'!$Q$43="Menor"),CONCATENATE("R",'Mapa riesgos'!$A$43),"")</f>
        <v/>
      </c>
      <c r="U16" s="491"/>
      <c r="V16" s="473" t="str">
        <f>IF(AND('Mapa riesgos'!$M$31="Alta",'Mapa riesgos'!$Q$31="Moderado"),CONCATENATE("R",'Mapa riesgos'!$A$31),"")</f>
        <v/>
      </c>
      <c r="W16" s="469"/>
      <c r="X16" s="469" t="str">
        <f>IF(AND('Mapa riesgos'!$M$37="Alta",'Mapa riesgos'!$Q$37="Moderado"),CONCATENATE("R",'Mapa riesgos'!$A$37),"")</f>
        <v/>
      </c>
      <c r="Y16" s="469"/>
      <c r="Z16" s="469" t="str">
        <f>IF(AND('Mapa riesgos'!$M$43="Alta",'Mapa riesgos'!$Q$43="Moderado"),CONCATENATE("R",'Mapa riesgos'!$A$43),"")</f>
        <v/>
      </c>
      <c r="AA16" s="470"/>
      <c r="AB16" s="473" t="str">
        <f>IF(AND('Mapa riesgos'!$M$31="Alta",'Mapa riesgos'!$Q$31="Mayor"),CONCATENATE("R",'Mapa riesgos'!$A$31),"")</f>
        <v/>
      </c>
      <c r="AC16" s="469"/>
      <c r="AD16" s="469" t="str">
        <f>IF(AND('Mapa riesgos'!$M$37="Alta",'Mapa riesgos'!$Q$37="Mayor"),CONCATENATE("R",'Mapa riesgos'!$A$37),"")</f>
        <v>R5</v>
      </c>
      <c r="AE16" s="469"/>
      <c r="AF16" s="469" t="str">
        <f>IF(AND('Mapa riesgos'!$M$43="Alta",'Mapa riesgos'!$Q$43="Mayor"),CONCATENATE("R",'Mapa riesgos'!$A$43),"")</f>
        <v/>
      </c>
      <c r="AG16" s="470"/>
      <c r="AH16" s="480" t="str">
        <f>IF(AND('Mapa riesgos'!$M$31="Alta",'Mapa riesgos'!$Q$31="Catastrófico"),CONCATENATE("R",'Mapa riesgos'!$A$31),"")</f>
        <v/>
      </c>
      <c r="AI16" s="481"/>
      <c r="AJ16" s="481" t="str">
        <f>IF(AND('Mapa riesgos'!$M$37="Alta",'Mapa riesgos'!$Q$37="Catastrófico"),CONCATENATE("R",'Mapa riesgos'!$A$37),"")</f>
        <v/>
      </c>
      <c r="AK16" s="481"/>
      <c r="AL16" s="481" t="str">
        <f>IF(AND('Mapa riesgos'!$M$43="Alta",'Mapa riesgos'!$Q$43="Catastrófico"),CONCATENATE("R",'Mapa riesgos'!$A$43),"")</f>
        <v/>
      </c>
      <c r="AM16" s="482"/>
      <c r="AN16" s="66"/>
      <c r="AO16" s="436"/>
      <c r="AP16" s="437"/>
      <c r="AQ16" s="437"/>
      <c r="AR16" s="437"/>
      <c r="AS16" s="437"/>
      <c r="AT16" s="438"/>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row>
    <row r="17" spans="1:80" ht="15" customHeight="1" x14ac:dyDescent="0.25">
      <c r="A17" s="66"/>
      <c r="B17" s="422"/>
      <c r="C17" s="422"/>
      <c r="D17" s="423"/>
      <c r="E17" s="463"/>
      <c r="F17" s="464"/>
      <c r="G17" s="464"/>
      <c r="H17" s="464"/>
      <c r="I17" s="464"/>
      <c r="J17" s="489"/>
      <c r="K17" s="490"/>
      <c r="L17" s="490"/>
      <c r="M17" s="490"/>
      <c r="N17" s="490"/>
      <c r="O17" s="491"/>
      <c r="P17" s="489"/>
      <c r="Q17" s="490"/>
      <c r="R17" s="490"/>
      <c r="S17" s="490"/>
      <c r="T17" s="490"/>
      <c r="U17" s="491"/>
      <c r="V17" s="473"/>
      <c r="W17" s="469"/>
      <c r="X17" s="469"/>
      <c r="Y17" s="469"/>
      <c r="Z17" s="469"/>
      <c r="AA17" s="470"/>
      <c r="AB17" s="473"/>
      <c r="AC17" s="469"/>
      <c r="AD17" s="469"/>
      <c r="AE17" s="469"/>
      <c r="AF17" s="469"/>
      <c r="AG17" s="470"/>
      <c r="AH17" s="480"/>
      <c r="AI17" s="481"/>
      <c r="AJ17" s="481"/>
      <c r="AK17" s="481"/>
      <c r="AL17" s="481"/>
      <c r="AM17" s="482"/>
      <c r="AN17" s="66"/>
      <c r="AO17" s="436"/>
      <c r="AP17" s="437"/>
      <c r="AQ17" s="437"/>
      <c r="AR17" s="437"/>
      <c r="AS17" s="437"/>
      <c r="AT17" s="438"/>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80" ht="15" customHeight="1" x14ac:dyDescent="0.25">
      <c r="A18" s="66"/>
      <c r="B18" s="422"/>
      <c r="C18" s="422"/>
      <c r="D18" s="423"/>
      <c r="E18" s="463"/>
      <c r="F18" s="464"/>
      <c r="G18" s="464"/>
      <c r="H18" s="464"/>
      <c r="I18" s="464"/>
      <c r="J18" s="489" t="str">
        <f>IF(AND('Mapa riesgos'!$M$49="Alta",'Mapa riesgos'!$Q$49="Leve"),CONCATENATE("R",'Mapa riesgos'!$A$49),"")</f>
        <v/>
      </c>
      <c r="K18" s="490"/>
      <c r="L18" s="490" t="str">
        <f>IF(AND('Mapa riesgos'!$M$55="Alta",'Mapa riesgos'!$Q$55="Leve"),CONCATENATE("R",'Mapa riesgos'!$A$55),"")</f>
        <v/>
      </c>
      <c r="M18" s="490"/>
      <c r="N18" s="490" t="str">
        <f>IF(AND('Mapa riesgos'!$M$61="Alta",'Mapa riesgos'!$Q$61="Leve"),CONCATENATE("R",'Mapa riesgos'!$A$61),"")</f>
        <v/>
      </c>
      <c r="O18" s="491"/>
      <c r="P18" s="489" t="str">
        <f>IF(AND('Mapa riesgos'!$M$49="Alta",'Mapa riesgos'!$Q$49="Menor"),CONCATENATE("R",'Mapa riesgos'!$A$49),"")</f>
        <v/>
      </c>
      <c r="Q18" s="490"/>
      <c r="R18" s="490" t="str">
        <f>IF(AND('Mapa riesgos'!$M$55="Alta",'Mapa riesgos'!$Q$55="Menor"),CONCATENATE("R",'Mapa riesgos'!$A$55),"")</f>
        <v/>
      </c>
      <c r="S18" s="490"/>
      <c r="T18" s="490" t="str">
        <f>IF(AND('Mapa riesgos'!$M$61="Alta",'Mapa riesgos'!$Q$61="Menor"),CONCATENATE("R",'Mapa riesgos'!$A$61),"")</f>
        <v/>
      </c>
      <c r="U18" s="491"/>
      <c r="V18" s="473" t="str">
        <f>IF(AND('Mapa riesgos'!$M$49="Alta",'Mapa riesgos'!$Q$49="Moderado"),CONCATENATE("R",'Mapa riesgos'!$A$49),"")</f>
        <v/>
      </c>
      <c r="W18" s="469"/>
      <c r="X18" s="469" t="str">
        <f>IF(AND('Mapa riesgos'!$M$55="Alta",'Mapa riesgos'!$Q$55="Moderado"),CONCATENATE("R",'Mapa riesgos'!$A$55),"")</f>
        <v/>
      </c>
      <c r="Y18" s="469"/>
      <c r="Z18" s="469" t="str">
        <f>IF(AND('Mapa riesgos'!$M$61="Alta",'Mapa riesgos'!$Q$61="Moderado"),CONCATENATE("R",'Mapa riesgos'!$A$61),"")</f>
        <v/>
      </c>
      <c r="AA18" s="470"/>
      <c r="AB18" s="473" t="str">
        <f>IF(AND('Mapa riesgos'!$M$49="Alta",'Mapa riesgos'!$Q$49="Mayor"),CONCATENATE("R",'Mapa riesgos'!$A$49),"")</f>
        <v/>
      </c>
      <c r="AC18" s="469"/>
      <c r="AD18" s="469" t="str">
        <f>IF(AND('Mapa riesgos'!$M$55="Alta",'Mapa riesgos'!$Q$55="Mayor"),CONCATENATE("R",'Mapa riesgos'!$A$55),"")</f>
        <v/>
      </c>
      <c r="AE18" s="469"/>
      <c r="AF18" s="469" t="str">
        <f>IF(AND('Mapa riesgos'!$M$61="Alta",'Mapa riesgos'!$Q$61="Mayor"),CONCATENATE("R",'Mapa riesgos'!$A$61),"")</f>
        <v/>
      </c>
      <c r="AG18" s="470"/>
      <c r="AH18" s="480" t="str">
        <f>IF(AND('Mapa riesgos'!$M$49="Alta",'Mapa riesgos'!$Q$49="Catastrófico"),CONCATENATE("R",'Mapa riesgos'!$A$49),"")</f>
        <v/>
      </c>
      <c r="AI18" s="481"/>
      <c r="AJ18" s="481" t="str">
        <f>IF(AND('Mapa riesgos'!$M$55="Alta",'Mapa riesgos'!$Q$55="Catastrófico"),CONCATENATE("R",'Mapa riesgos'!$A$55),"")</f>
        <v/>
      </c>
      <c r="AK18" s="481"/>
      <c r="AL18" s="481" t="str">
        <f>IF(AND('Mapa riesgos'!$M$61="Alta",'Mapa riesgos'!$Q$61="Catastrófico"),CONCATENATE("R",'Mapa riesgos'!$A$61),"")</f>
        <v/>
      </c>
      <c r="AM18" s="482"/>
      <c r="AN18" s="66"/>
      <c r="AO18" s="436"/>
      <c r="AP18" s="437"/>
      <c r="AQ18" s="437"/>
      <c r="AR18" s="437"/>
      <c r="AS18" s="437"/>
      <c r="AT18" s="438"/>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row>
    <row r="19" spans="1:80" ht="15" customHeight="1" x14ac:dyDescent="0.25">
      <c r="A19" s="66"/>
      <c r="B19" s="422"/>
      <c r="C19" s="422"/>
      <c r="D19" s="423"/>
      <c r="E19" s="463"/>
      <c r="F19" s="464"/>
      <c r="G19" s="464"/>
      <c r="H19" s="464"/>
      <c r="I19" s="464"/>
      <c r="J19" s="489"/>
      <c r="K19" s="490"/>
      <c r="L19" s="490"/>
      <c r="M19" s="490"/>
      <c r="N19" s="490"/>
      <c r="O19" s="491"/>
      <c r="P19" s="489"/>
      <c r="Q19" s="490"/>
      <c r="R19" s="490"/>
      <c r="S19" s="490"/>
      <c r="T19" s="490"/>
      <c r="U19" s="491"/>
      <c r="V19" s="473"/>
      <c r="W19" s="469"/>
      <c r="X19" s="469"/>
      <c r="Y19" s="469"/>
      <c r="Z19" s="469"/>
      <c r="AA19" s="470"/>
      <c r="AB19" s="473"/>
      <c r="AC19" s="469"/>
      <c r="AD19" s="469"/>
      <c r="AE19" s="469"/>
      <c r="AF19" s="469"/>
      <c r="AG19" s="470"/>
      <c r="AH19" s="480"/>
      <c r="AI19" s="481"/>
      <c r="AJ19" s="481"/>
      <c r="AK19" s="481"/>
      <c r="AL19" s="481"/>
      <c r="AM19" s="482"/>
      <c r="AN19" s="66"/>
      <c r="AO19" s="436"/>
      <c r="AP19" s="437"/>
      <c r="AQ19" s="437"/>
      <c r="AR19" s="437"/>
      <c r="AS19" s="437"/>
      <c r="AT19" s="438"/>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row>
    <row r="20" spans="1:80" ht="15" customHeight="1" x14ac:dyDescent="0.25">
      <c r="A20" s="66"/>
      <c r="B20" s="422"/>
      <c r="C20" s="422"/>
      <c r="D20" s="423"/>
      <c r="E20" s="463"/>
      <c r="F20" s="464"/>
      <c r="G20" s="464"/>
      <c r="H20" s="464"/>
      <c r="I20" s="464"/>
      <c r="J20" s="489" t="str">
        <f>IF(AND('Mapa riesgos'!$M$67="Alta",'Mapa riesgos'!$Q$67="Leve"),CONCATENATE("R",'Mapa riesgos'!$A$67),"")</f>
        <v/>
      </c>
      <c r="K20" s="490"/>
      <c r="L20" s="490" t="str">
        <f>IF(AND('Mapa riesgos'!$M$73="Alta",'Mapa riesgos'!$Q$73="Leve"),CONCATENATE("R",'Mapa riesgos'!$A$73),"")</f>
        <v/>
      </c>
      <c r="M20" s="490"/>
      <c r="N20" s="490" t="str">
        <f>IF(AND('Mapa riesgos'!$M$79="Alta",'Mapa riesgos'!$Q$79="Leve"),CONCATENATE("R",'Mapa riesgos'!$A$79),"")</f>
        <v/>
      </c>
      <c r="O20" s="491"/>
      <c r="P20" s="489" t="str">
        <f>IF(AND('Mapa riesgos'!$M$67="Alta",'Mapa riesgos'!$Q$67="Menor"),CONCATENATE("R",'Mapa riesgos'!$A$67),"")</f>
        <v/>
      </c>
      <c r="Q20" s="490"/>
      <c r="R20" s="490" t="str">
        <f>IF(AND('Mapa riesgos'!$M$73="Alta",'Mapa riesgos'!$Q$73="Menor"),CONCATENATE("R",'Mapa riesgos'!$A$73),"")</f>
        <v/>
      </c>
      <c r="S20" s="490"/>
      <c r="T20" s="490" t="str">
        <f>IF(AND('Mapa riesgos'!$M$79="Alta",'Mapa riesgos'!$Q$79="Menor"),CONCATENATE("R",'Mapa riesgos'!$A$79),"")</f>
        <v/>
      </c>
      <c r="U20" s="491"/>
      <c r="V20" s="473" t="str">
        <f>IF(AND('Mapa riesgos'!$M$67="Alta",'Mapa riesgos'!$Q$67="Moderado"),CONCATENATE("R",'Mapa riesgos'!$A$67),"")</f>
        <v/>
      </c>
      <c r="W20" s="469"/>
      <c r="X20" s="469" t="str">
        <f>IF(AND('Mapa riesgos'!$M$73="Alta",'Mapa riesgos'!$Q$73="Moderado"),CONCATENATE("R",'Mapa riesgos'!$A$73),"")</f>
        <v/>
      </c>
      <c r="Y20" s="469"/>
      <c r="Z20" s="469" t="str">
        <f>IF(AND('Mapa riesgos'!$M$79="Alta",'Mapa riesgos'!$Q$79="Moderado"),CONCATENATE("R",'Mapa riesgos'!$A$79),"")</f>
        <v/>
      </c>
      <c r="AA20" s="470"/>
      <c r="AB20" s="473" t="str">
        <f>IF(AND('Mapa riesgos'!$M$67="Alta",'Mapa riesgos'!$Q$67="Mayor"),CONCATENATE("R",'Mapa riesgos'!$A$67),"")</f>
        <v/>
      </c>
      <c r="AC20" s="469"/>
      <c r="AD20" s="469" t="str">
        <f>IF(AND('Mapa riesgos'!$M$73="Alta",'Mapa riesgos'!$Q$73="Mayor"),CONCATENATE("R",'Mapa riesgos'!$A$73),"")</f>
        <v/>
      </c>
      <c r="AE20" s="469"/>
      <c r="AF20" s="469" t="str">
        <f>IF(AND('Mapa riesgos'!$M$79="Alta",'Mapa riesgos'!$Q$79="Mayor"),CONCATENATE("R",'Mapa riesgos'!$A$79),"")</f>
        <v/>
      </c>
      <c r="AG20" s="470"/>
      <c r="AH20" s="480" t="str">
        <f>IF(AND('Mapa riesgos'!$M$67="Alta",'Mapa riesgos'!$Q$67="Catastrófico"),CONCATENATE("R",'Mapa riesgos'!$A$67),"")</f>
        <v/>
      </c>
      <c r="AI20" s="481"/>
      <c r="AJ20" s="481" t="str">
        <f>IF(AND('Mapa riesgos'!$M$73="Alta",'Mapa riesgos'!$Q$73="Catastrófico"),CONCATENATE("R",'Mapa riesgos'!$A$73),"")</f>
        <v/>
      </c>
      <c r="AK20" s="481"/>
      <c r="AL20" s="481" t="str">
        <f>IF(AND('Mapa riesgos'!$M$79="Alta",'Mapa riesgos'!$Q$79="Catastrófico"),CONCATENATE("R",'Mapa riesgos'!$A$79),"")</f>
        <v/>
      </c>
      <c r="AM20" s="482"/>
      <c r="AN20" s="66"/>
      <c r="AO20" s="436"/>
      <c r="AP20" s="437"/>
      <c r="AQ20" s="437"/>
      <c r="AR20" s="437"/>
      <c r="AS20" s="437"/>
      <c r="AT20" s="438"/>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row>
    <row r="21" spans="1:80" ht="15.75" customHeight="1" thickBot="1" x14ac:dyDescent="0.3">
      <c r="A21" s="66"/>
      <c r="B21" s="422"/>
      <c r="C21" s="422"/>
      <c r="D21" s="423"/>
      <c r="E21" s="466"/>
      <c r="F21" s="467"/>
      <c r="G21" s="467"/>
      <c r="H21" s="467"/>
      <c r="I21" s="467"/>
      <c r="J21" s="492"/>
      <c r="K21" s="493"/>
      <c r="L21" s="493"/>
      <c r="M21" s="493"/>
      <c r="N21" s="493"/>
      <c r="O21" s="494"/>
      <c r="P21" s="492"/>
      <c r="Q21" s="493"/>
      <c r="R21" s="493"/>
      <c r="S21" s="493"/>
      <c r="T21" s="493"/>
      <c r="U21" s="494"/>
      <c r="V21" s="477"/>
      <c r="W21" s="478"/>
      <c r="X21" s="478"/>
      <c r="Y21" s="478"/>
      <c r="Z21" s="478"/>
      <c r="AA21" s="479"/>
      <c r="AB21" s="477"/>
      <c r="AC21" s="478"/>
      <c r="AD21" s="478"/>
      <c r="AE21" s="478"/>
      <c r="AF21" s="478"/>
      <c r="AG21" s="479"/>
      <c r="AH21" s="483"/>
      <c r="AI21" s="484"/>
      <c r="AJ21" s="484"/>
      <c r="AK21" s="484"/>
      <c r="AL21" s="484"/>
      <c r="AM21" s="485"/>
      <c r="AN21" s="66"/>
      <c r="AO21" s="439"/>
      <c r="AP21" s="440"/>
      <c r="AQ21" s="440"/>
      <c r="AR21" s="440"/>
      <c r="AS21" s="440"/>
      <c r="AT21" s="441"/>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row>
    <row r="22" spans="1:80" x14ac:dyDescent="0.25">
      <c r="A22" s="66"/>
      <c r="B22" s="422"/>
      <c r="C22" s="422"/>
      <c r="D22" s="423"/>
      <c r="E22" s="460" t="s">
        <v>181</v>
      </c>
      <c r="F22" s="461"/>
      <c r="G22" s="461"/>
      <c r="H22" s="461"/>
      <c r="I22" s="462"/>
      <c r="J22" s="495" t="str">
        <f>IF(AND('Mapa riesgos'!$M$13="Media",'Mapa riesgos'!$Q$13="Leve"),CONCATENATE("R",'Mapa riesgos'!$A$13),"")</f>
        <v/>
      </c>
      <c r="K22" s="496"/>
      <c r="L22" s="496" t="str">
        <f>IF(AND('Mapa riesgos'!$M$19="Media",'Mapa riesgos'!$Q$19="Leve"),CONCATENATE("R",'Mapa riesgos'!$A$19),"")</f>
        <v>R2</v>
      </c>
      <c r="M22" s="496"/>
      <c r="N22" s="496" t="str">
        <f>IF(AND('Mapa riesgos'!$M$25="Media",'Mapa riesgos'!$Q$25="Leve"),CONCATENATE("R",'Mapa riesgos'!$A$25),"")</f>
        <v/>
      </c>
      <c r="O22" s="497"/>
      <c r="P22" s="495" t="str">
        <f>IF(AND('Mapa riesgos'!$M$13="Media",'Mapa riesgos'!$Q$13="Menor"),CONCATENATE("R",'Mapa riesgos'!$A$13),"")</f>
        <v/>
      </c>
      <c r="Q22" s="496"/>
      <c r="R22" s="496" t="str">
        <f>IF(AND('Mapa riesgos'!$M$19="Media",'Mapa riesgos'!$Q$19="Menor"),CONCATENATE("R",'Mapa riesgos'!$A$19),"")</f>
        <v/>
      </c>
      <c r="S22" s="496"/>
      <c r="T22" s="496" t="str">
        <f>IF(AND('Mapa riesgos'!$M$25="Media",'Mapa riesgos'!$Q$25="Menor"),CONCATENATE("R",'Mapa riesgos'!$A$25),"")</f>
        <v/>
      </c>
      <c r="U22" s="497"/>
      <c r="V22" s="495" t="str">
        <f>IF(AND('Mapa riesgos'!$M$13="Media",'Mapa riesgos'!$Q$13="Moderado"),CONCATENATE("R",'Mapa riesgos'!$A$13),"")</f>
        <v/>
      </c>
      <c r="W22" s="496"/>
      <c r="X22" s="496" t="str">
        <f>IF(AND('Mapa riesgos'!$M$19="Media",'Mapa riesgos'!$Q$19="Moderado"),CONCATENATE("R",'Mapa riesgos'!$A$19),"")</f>
        <v/>
      </c>
      <c r="Y22" s="496"/>
      <c r="Z22" s="496" t="str">
        <f>IF(AND('Mapa riesgos'!$M$25="Media",'Mapa riesgos'!$Q$25="Moderado"),CONCATENATE("R",'Mapa riesgos'!$A$25),"")</f>
        <v/>
      </c>
      <c r="AA22" s="497"/>
      <c r="AB22" s="471" t="str">
        <f>IF(AND('Mapa riesgos'!$M$13="Media",'Mapa riesgos'!$Q$13="Mayor"),CONCATENATE("R",'Mapa riesgos'!$A$13),"")</f>
        <v/>
      </c>
      <c r="AC22" s="472"/>
      <c r="AD22" s="472" t="str">
        <f>IF(AND('Mapa riesgos'!$M$19="Media",'Mapa riesgos'!$Q$19="Mayor"),CONCATENATE("R",'Mapa riesgos'!$A$19),"")</f>
        <v/>
      </c>
      <c r="AE22" s="472"/>
      <c r="AF22" s="472" t="str">
        <f>IF(AND('Mapa riesgos'!$M$25="Media",'Mapa riesgos'!$Q$25="Mayor"),CONCATENATE("R",'Mapa riesgos'!$A$25),"")</f>
        <v/>
      </c>
      <c r="AG22" s="474"/>
      <c r="AH22" s="486" t="str">
        <f>IF(AND('Mapa riesgos'!$M$13="Media",'Mapa riesgos'!$Q$13="Catastrófico"),CONCATENATE("R",'Mapa riesgos'!$A$13),"")</f>
        <v/>
      </c>
      <c r="AI22" s="487"/>
      <c r="AJ22" s="487" t="str">
        <f>IF(AND('Mapa riesgos'!$M$19="Media",'Mapa riesgos'!$Q$19="Catastrófico"),CONCATENATE("R",'Mapa riesgos'!$A$19),"")</f>
        <v/>
      </c>
      <c r="AK22" s="487"/>
      <c r="AL22" s="487" t="str">
        <f>IF(AND('Mapa riesgos'!$M$25="Media",'Mapa riesgos'!$Q$25="Catastrófico"),CONCATENATE("R",'Mapa riesgos'!$A$25),"")</f>
        <v/>
      </c>
      <c r="AM22" s="488"/>
      <c r="AN22" s="66"/>
      <c r="AO22" s="442" t="s">
        <v>182</v>
      </c>
      <c r="AP22" s="443"/>
      <c r="AQ22" s="443"/>
      <c r="AR22" s="443"/>
      <c r="AS22" s="443"/>
      <c r="AT22" s="444"/>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row>
    <row r="23" spans="1:80" x14ac:dyDescent="0.25">
      <c r="A23" s="66"/>
      <c r="B23" s="422"/>
      <c r="C23" s="422"/>
      <c r="D23" s="423"/>
      <c r="E23" s="463"/>
      <c r="F23" s="464"/>
      <c r="G23" s="464"/>
      <c r="H23" s="464"/>
      <c r="I23" s="465"/>
      <c r="J23" s="489"/>
      <c r="K23" s="490"/>
      <c r="L23" s="490"/>
      <c r="M23" s="490"/>
      <c r="N23" s="490"/>
      <c r="O23" s="491"/>
      <c r="P23" s="489"/>
      <c r="Q23" s="490"/>
      <c r="R23" s="490"/>
      <c r="S23" s="490"/>
      <c r="T23" s="490"/>
      <c r="U23" s="491"/>
      <c r="V23" s="489"/>
      <c r="W23" s="490"/>
      <c r="X23" s="490"/>
      <c r="Y23" s="490"/>
      <c r="Z23" s="490"/>
      <c r="AA23" s="491"/>
      <c r="AB23" s="473"/>
      <c r="AC23" s="469"/>
      <c r="AD23" s="469"/>
      <c r="AE23" s="469"/>
      <c r="AF23" s="469"/>
      <c r="AG23" s="470"/>
      <c r="AH23" s="480"/>
      <c r="AI23" s="481"/>
      <c r="AJ23" s="481"/>
      <c r="AK23" s="481"/>
      <c r="AL23" s="481"/>
      <c r="AM23" s="482"/>
      <c r="AN23" s="66"/>
      <c r="AO23" s="445"/>
      <c r="AP23" s="446"/>
      <c r="AQ23" s="446"/>
      <c r="AR23" s="446"/>
      <c r="AS23" s="446"/>
      <c r="AT23" s="447"/>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row>
    <row r="24" spans="1:80" x14ac:dyDescent="0.25">
      <c r="A24" s="66"/>
      <c r="B24" s="422"/>
      <c r="C24" s="422"/>
      <c r="D24" s="423"/>
      <c r="E24" s="463"/>
      <c r="F24" s="464"/>
      <c r="G24" s="464"/>
      <c r="H24" s="464"/>
      <c r="I24" s="465"/>
      <c r="J24" s="489" t="str">
        <f>IF(AND('Mapa riesgos'!$M$31="Media",'Mapa riesgos'!$Q$31="Leve"),CONCATENATE("R",'Mapa riesgos'!$A$31),"")</f>
        <v/>
      </c>
      <c r="K24" s="490"/>
      <c r="L24" s="490" t="str">
        <f>IF(AND('Mapa riesgos'!$M$37="Media",'Mapa riesgos'!$Q$37="Leve"),CONCATENATE("R",'Mapa riesgos'!$A$37),"")</f>
        <v/>
      </c>
      <c r="M24" s="490"/>
      <c r="N24" s="490" t="str">
        <f>IF(AND('Mapa riesgos'!$M$43="Media",'Mapa riesgos'!$Q$43="Leve"),CONCATENATE("R",'Mapa riesgos'!$A$43),"")</f>
        <v/>
      </c>
      <c r="O24" s="491"/>
      <c r="P24" s="489" t="str">
        <f>IF(AND('Mapa riesgos'!$M$31="Media",'Mapa riesgos'!$Q$31="Menor"),CONCATENATE("R",'Mapa riesgos'!$A$31),"")</f>
        <v/>
      </c>
      <c r="Q24" s="490"/>
      <c r="R24" s="490" t="str">
        <f>IF(AND('Mapa riesgos'!$M$37="Media",'Mapa riesgos'!$Q$37="Menor"),CONCATENATE("R",'Mapa riesgos'!$A$37),"")</f>
        <v/>
      </c>
      <c r="S24" s="490"/>
      <c r="T24" s="490" t="str">
        <f>IF(AND('Mapa riesgos'!$M$43="Media",'Mapa riesgos'!$Q$43="Menor"),CONCATENATE("R",'Mapa riesgos'!$A$43),"")</f>
        <v/>
      </c>
      <c r="U24" s="491"/>
      <c r="V24" s="489" t="str">
        <f>IF(AND('Mapa riesgos'!$M$31="Media",'Mapa riesgos'!$Q$31="Moderado"),CONCATENATE("R",'Mapa riesgos'!$A$31),"")</f>
        <v>R4</v>
      </c>
      <c r="W24" s="490"/>
      <c r="X24" s="490" t="str">
        <f>IF(AND('Mapa riesgos'!$M$37="Media",'Mapa riesgos'!$Q$37="Moderado"),CONCATENATE("R",'Mapa riesgos'!$A$37),"")</f>
        <v/>
      </c>
      <c r="Y24" s="490"/>
      <c r="Z24" s="490" t="str">
        <f>IF(AND('Mapa riesgos'!$M$43="Media",'Mapa riesgos'!$Q$43="Moderado"),CONCATENATE("R",'Mapa riesgos'!$A$43),"")</f>
        <v/>
      </c>
      <c r="AA24" s="491"/>
      <c r="AB24" s="473" t="str">
        <f>IF(AND('Mapa riesgos'!$M$31="Media",'Mapa riesgos'!$Q$31="Mayor"),CONCATENATE("R",'Mapa riesgos'!$A$31),"")</f>
        <v/>
      </c>
      <c r="AC24" s="469"/>
      <c r="AD24" s="469" t="str">
        <f>IF(AND('Mapa riesgos'!$M$37="Media",'Mapa riesgos'!$Q$37="Mayor"),CONCATENATE("R",'Mapa riesgos'!$A$37),"")</f>
        <v/>
      </c>
      <c r="AE24" s="469"/>
      <c r="AF24" s="469" t="str">
        <f>IF(AND('Mapa riesgos'!$M$43="Media",'Mapa riesgos'!$Q$43="Mayor"),CONCATENATE("R",'Mapa riesgos'!$A$43),"")</f>
        <v/>
      </c>
      <c r="AG24" s="470"/>
      <c r="AH24" s="480" t="str">
        <f>IF(AND('Mapa riesgos'!$M$31="Media",'Mapa riesgos'!$Q$31="Catastrófico"),CONCATENATE("R",'Mapa riesgos'!$A$31),"")</f>
        <v/>
      </c>
      <c r="AI24" s="481"/>
      <c r="AJ24" s="481" t="str">
        <f>IF(AND('Mapa riesgos'!$M$37="Media",'Mapa riesgos'!$Q$37="Catastrófico"),CONCATENATE("R",'Mapa riesgos'!$A$37),"")</f>
        <v/>
      </c>
      <c r="AK24" s="481"/>
      <c r="AL24" s="481" t="str">
        <f>IF(AND('Mapa riesgos'!$M$43="Media",'Mapa riesgos'!$Q$43="Catastrófico"),CONCATENATE("R",'Mapa riesgos'!$A$43),"")</f>
        <v/>
      </c>
      <c r="AM24" s="482"/>
      <c r="AN24" s="66"/>
      <c r="AO24" s="445"/>
      <c r="AP24" s="446"/>
      <c r="AQ24" s="446"/>
      <c r="AR24" s="446"/>
      <c r="AS24" s="446"/>
      <c r="AT24" s="447"/>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row>
    <row r="25" spans="1:80" x14ac:dyDescent="0.25">
      <c r="A25" s="66"/>
      <c r="B25" s="422"/>
      <c r="C25" s="422"/>
      <c r="D25" s="423"/>
      <c r="E25" s="463"/>
      <c r="F25" s="464"/>
      <c r="G25" s="464"/>
      <c r="H25" s="464"/>
      <c r="I25" s="465"/>
      <c r="J25" s="489"/>
      <c r="K25" s="490"/>
      <c r="L25" s="490"/>
      <c r="M25" s="490"/>
      <c r="N25" s="490"/>
      <c r="O25" s="491"/>
      <c r="P25" s="489"/>
      <c r="Q25" s="490"/>
      <c r="R25" s="490"/>
      <c r="S25" s="490"/>
      <c r="T25" s="490"/>
      <c r="U25" s="491"/>
      <c r="V25" s="489"/>
      <c r="W25" s="490"/>
      <c r="X25" s="490"/>
      <c r="Y25" s="490"/>
      <c r="Z25" s="490"/>
      <c r="AA25" s="491"/>
      <c r="AB25" s="473"/>
      <c r="AC25" s="469"/>
      <c r="AD25" s="469"/>
      <c r="AE25" s="469"/>
      <c r="AF25" s="469"/>
      <c r="AG25" s="470"/>
      <c r="AH25" s="480"/>
      <c r="AI25" s="481"/>
      <c r="AJ25" s="481"/>
      <c r="AK25" s="481"/>
      <c r="AL25" s="481"/>
      <c r="AM25" s="482"/>
      <c r="AN25" s="66"/>
      <c r="AO25" s="445"/>
      <c r="AP25" s="446"/>
      <c r="AQ25" s="446"/>
      <c r="AR25" s="446"/>
      <c r="AS25" s="446"/>
      <c r="AT25" s="447"/>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row>
    <row r="26" spans="1:80" x14ac:dyDescent="0.25">
      <c r="A26" s="66"/>
      <c r="B26" s="422"/>
      <c r="C26" s="422"/>
      <c r="D26" s="423"/>
      <c r="E26" s="463"/>
      <c r="F26" s="464"/>
      <c r="G26" s="464"/>
      <c r="H26" s="464"/>
      <c r="I26" s="465"/>
      <c r="J26" s="489" t="str">
        <f>IF(AND('Mapa riesgos'!$M$49="Media",'Mapa riesgos'!$Q$49="Leve"),CONCATENATE("R",'Mapa riesgos'!$A$49),"")</f>
        <v/>
      </c>
      <c r="K26" s="490"/>
      <c r="L26" s="490" t="str">
        <f>IF(AND('Mapa riesgos'!$M$55="Media",'Mapa riesgos'!$Q$55="Leve"),CONCATENATE("R",'Mapa riesgos'!$A$55),"")</f>
        <v/>
      </c>
      <c r="M26" s="490"/>
      <c r="N26" s="490" t="str">
        <f>IF(AND('Mapa riesgos'!$M$61="Media",'Mapa riesgos'!$Q$61="Leve"),CONCATENATE("R",'Mapa riesgos'!$A$61),"")</f>
        <v/>
      </c>
      <c r="O26" s="491"/>
      <c r="P26" s="489" t="str">
        <f>IF(AND('Mapa riesgos'!$M$49="Media",'Mapa riesgos'!$Q$49="Menor"),CONCATENATE("R",'Mapa riesgos'!$A$49),"")</f>
        <v/>
      </c>
      <c r="Q26" s="490"/>
      <c r="R26" s="490" t="str">
        <f>IF(AND('Mapa riesgos'!$M$55="Media",'Mapa riesgos'!$Q$55="Menor"),CONCATENATE("R",'Mapa riesgos'!$A$55),"")</f>
        <v/>
      </c>
      <c r="S26" s="490"/>
      <c r="T26" s="490" t="str">
        <f>IF(AND('Mapa riesgos'!$M$61="Media",'Mapa riesgos'!$Q$61="Menor"),CONCATENATE("R",'Mapa riesgos'!$A$61),"")</f>
        <v/>
      </c>
      <c r="U26" s="491"/>
      <c r="V26" s="489" t="str">
        <f>IF(AND('Mapa riesgos'!$M$49="Media",'Mapa riesgos'!$Q$49="Moderado"),CONCATENATE("R",'Mapa riesgos'!$A$49),"")</f>
        <v/>
      </c>
      <c r="W26" s="490"/>
      <c r="X26" s="490" t="str">
        <f>IF(AND('Mapa riesgos'!$M$55="Media",'Mapa riesgos'!$Q$55="Moderado"),CONCATENATE("R",'Mapa riesgos'!$A$55),"")</f>
        <v/>
      </c>
      <c r="Y26" s="490"/>
      <c r="Z26" s="490" t="str">
        <f>IF(AND('Mapa riesgos'!$M$61="Media",'Mapa riesgos'!$Q$61="Moderado"),CONCATENATE("R",'Mapa riesgos'!$A$61),"")</f>
        <v/>
      </c>
      <c r="AA26" s="491"/>
      <c r="AB26" s="473" t="str">
        <f>IF(AND('Mapa riesgos'!$M$49="Media",'Mapa riesgos'!$Q$49="Mayor"),CONCATENATE("R",'Mapa riesgos'!$A$49),"")</f>
        <v/>
      </c>
      <c r="AC26" s="469"/>
      <c r="AD26" s="469" t="str">
        <f>IF(AND('Mapa riesgos'!$M$55="Media",'Mapa riesgos'!$Q$55="Mayor"),CONCATENATE("R",'Mapa riesgos'!$A$55),"")</f>
        <v/>
      </c>
      <c r="AE26" s="469"/>
      <c r="AF26" s="469" t="str">
        <f>IF(AND('Mapa riesgos'!$M$61="Media",'Mapa riesgos'!$Q$61="Mayor"),CONCATENATE("R",'Mapa riesgos'!$A$61),"")</f>
        <v/>
      </c>
      <c r="AG26" s="470"/>
      <c r="AH26" s="480" t="str">
        <f>IF(AND('Mapa riesgos'!$M$49="Media",'Mapa riesgos'!$Q$49="Catastrófico"),CONCATENATE("R",'Mapa riesgos'!$A$49),"")</f>
        <v/>
      </c>
      <c r="AI26" s="481"/>
      <c r="AJ26" s="481" t="str">
        <f>IF(AND('Mapa riesgos'!$M$55="Media",'Mapa riesgos'!$Q$55="Catastrófico"),CONCATENATE("R",'Mapa riesgos'!$A$55),"")</f>
        <v/>
      </c>
      <c r="AK26" s="481"/>
      <c r="AL26" s="481" t="str">
        <f>IF(AND('Mapa riesgos'!$M$61="Media",'Mapa riesgos'!$Q$61="Catastrófico"),CONCATENATE("R",'Mapa riesgos'!$A$61),"")</f>
        <v/>
      </c>
      <c r="AM26" s="482"/>
      <c r="AN26" s="66"/>
      <c r="AO26" s="445"/>
      <c r="AP26" s="446"/>
      <c r="AQ26" s="446"/>
      <c r="AR26" s="446"/>
      <c r="AS26" s="446"/>
      <c r="AT26" s="447"/>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row>
    <row r="27" spans="1:80" x14ac:dyDescent="0.25">
      <c r="A27" s="66"/>
      <c r="B27" s="422"/>
      <c r="C27" s="422"/>
      <c r="D27" s="423"/>
      <c r="E27" s="463"/>
      <c r="F27" s="464"/>
      <c r="G27" s="464"/>
      <c r="H27" s="464"/>
      <c r="I27" s="465"/>
      <c r="J27" s="489"/>
      <c r="K27" s="490"/>
      <c r="L27" s="490"/>
      <c r="M27" s="490"/>
      <c r="N27" s="490"/>
      <c r="O27" s="491"/>
      <c r="P27" s="489"/>
      <c r="Q27" s="490"/>
      <c r="R27" s="490"/>
      <c r="S27" s="490"/>
      <c r="T27" s="490"/>
      <c r="U27" s="491"/>
      <c r="V27" s="489"/>
      <c r="W27" s="490"/>
      <c r="X27" s="490"/>
      <c r="Y27" s="490"/>
      <c r="Z27" s="490"/>
      <c r="AA27" s="491"/>
      <c r="AB27" s="473"/>
      <c r="AC27" s="469"/>
      <c r="AD27" s="469"/>
      <c r="AE27" s="469"/>
      <c r="AF27" s="469"/>
      <c r="AG27" s="470"/>
      <c r="AH27" s="480"/>
      <c r="AI27" s="481"/>
      <c r="AJ27" s="481"/>
      <c r="AK27" s="481"/>
      <c r="AL27" s="481"/>
      <c r="AM27" s="482"/>
      <c r="AN27" s="66"/>
      <c r="AO27" s="445"/>
      <c r="AP27" s="446"/>
      <c r="AQ27" s="446"/>
      <c r="AR27" s="446"/>
      <c r="AS27" s="446"/>
      <c r="AT27" s="447"/>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row>
    <row r="28" spans="1:80" x14ac:dyDescent="0.25">
      <c r="A28" s="66"/>
      <c r="B28" s="422"/>
      <c r="C28" s="422"/>
      <c r="D28" s="423"/>
      <c r="E28" s="463"/>
      <c r="F28" s="464"/>
      <c r="G28" s="464"/>
      <c r="H28" s="464"/>
      <c r="I28" s="465"/>
      <c r="J28" s="489" t="str">
        <f>IF(AND('Mapa riesgos'!$M$67="Media",'Mapa riesgos'!$Q$67="Leve"),CONCATENATE("R",'Mapa riesgos'!$A$67),"")</f>
        <v/>
      </c>
      <c r="K28" s="490"/>
      <c r="L28" s="490" t="str">
        <f>IF(AND('Mapa riesgos'!$M$73="Media",'Mapa riesgos'!$Q$73="Leve"),CONCATENATE("R",'Mapa riesgos'!$A$73),"")</f>
        <v/>
      </c>
      <c r="M28" s="490"/>
      <c r="N28" s="490" t="str">
        <f>IF(AND('Mapa riesgos'!$M$79="Media",'Mapa riesgos'!$Q$79="Leve"),CONCATENATE("R",'Mapa riesgos'!$A$79),"")</f>
        <v/>
      </c>
      <c r="O28" s="491"/>
      <c r="P28" s="489" t="str">
        <f>IF(AND('Mapa riesgos'!$M$67="Media",'Mapa riesgos'!$Q$67="Menor"),CONCATENATE("R",'Mapa riesgos'!$A$67),"")</f>
        <v/>
      </c>
      <c r="Q28" s="490"/>
      <c r="R28" s="490" t="str">
        <f>IF(AND('Mapa riesgos'!$M$73="Media",'Mapa riesgos'!$Q$73="Menor"),CONCATENATE("R",'Mapa riesgos'!$A$73),"")</f>
        <v/>
      </c>
      <c r="S28" s="490"/>
      <c r="T28" s="490" t="str">
        <f>IF(AND('Mapa riesgos'!$M$79="Media",'Mapa riesgos'!$Q$79="Menor"),CONCATENATE("R",'Mapa riesgos'!$A$79),"")</f>
        <v/>
      </c>
      <c r="U28" s="491"/>
      <c r="V28" s="489" t="str">
        <f>IF(AND('Mapa riesgos'!$M$67="Media",'Mapa riesgos'!$Q$67="Moderado"),CONCATENATE("R",'Mapa riesgos'!$A$67),"")</f>
        <v/>
      </c>
      <c r="W28" s="490"/>
      <c r="X28" s="490" t="str">
        <f>IF(AND('Mapa riesgos'!$M$73="Media",'Mapa riesgos'!$Q$73="Moderado"),CONCATENATE("R",'Mapa riesgos'!$A$73),"")</f>
        <v/>
      </c>
      <c r="Y28" s="490"/>
      <c r="Z28" s="490" t="str">
        <f>IF(AND('Mapa riesgos'!$M$79="Media",'Mapa riesgos'!$Q$79="Moderado"),CONCATENATE("R",'Mapa riesgos'!$A$79),"")</f>
        <v/>
      </c>
      <c r="AA28" s="491"/>
      <c r="AB28" s="473" t="str">
        <f>IF(AND('Mapa riesgos'!$M$67="Media",'Mapa riesgos'!$Q$67="Mayor"),CONCATENATE("R",'Mapa riesgos'!$A$67),"")</f>
        <v/>
      </c>
      <c r="AC28" s="469"/>
      <c r="AD28" s="469" t="str">
        <f>IF(AND('Mapa riesgos'!$M$73="Media",'Mapa riesgos'!$Q$73="Mayor"),CONCATENATE("R",'Mapa riesgos'!$A$73),"")</f>
        <v/>
      </c>
      <c r="AE28" s="469"/>
      <c r="AF28" s="469" t="str">
        <f>IF(AND('Mapa riesgos'!$M$79="Media",'Mapa riesgos'!$Q$79="Mayor"),CONCATENATE("R",'Mapa riesgos'!$A$79),"")</f>
        <v/>
      </c>
      <c r="AG28" s="470"/>
      <c r="AH28" s="480" t="str">
        <f>IF(AND('Mapa riesgos'!$M$67="Media",'Mapa riesgos'!$Q$67="Catastrófico"),CONCATENATE("R",'Mapa riesgos'!$A$67),"")</f>
        <v/>
      </c>
      <c r="AI28" s="481"/>
      <c r="AJ28" s="481" t="str">
        <f>IF(AND('Mapa riesgos'!$M$73="Media",'Mapa riesgos'!$Q$73="Catastrófico"),CONCATENATE("R",'Mapa riesgos'!$A$73),"")</f>
        <v/>
      </c>
      <c r="AK28" s="481"/>
      <c r="AL28" s="481" t="str">
        <f>IF(AND('Mapa riesgos'!$M$79="Media",'Mapa riesgos'!$Q$79="Catastrófico"),CONCATENATE("R",'Mapa riesgos'!$A$79),"")</f>
        <v/>
      </c>
      <c r="AM28" s="482"/>
      <c r="AN28" s="66"/>
      <c r="AO28" s="445"/>
      <c r="AP28" s="446"/>
      <c r="AQ28" s="446"/>
      <c r="AR28" s="446"/>
      <c r="AS28" s="446"/>
      <c r="AT28" s="447"/>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row>
    <row r="29" spans="1:80" ht="15.75" thickBot="1" x14ac:dyDescent="0.3">
      <c r="A29" s="66"/>
      <c r="B29" s="422"/>
      <c r="C29" s="422"/>
      <c r="D29" s="423"/>
      <c r="E29" s="466"/>
      <c r="F29" s="467"/>
      <c r="G29" s="467"/>
      <c r="H29" s="467"/>
      <c r="I29" s="468"/>
      <c r="J29" s="489"/>
      <c r="K29" s="490"/>
      <c r="L29" s="490"/>
      <c r="M29" s="490"/>
      <c r="N29" s="490"/>
      <c r="O29" s="491"/>
      <c r="P29" s="492"/>
      <c r="Q29" s="493"/>
      <c r="R29" s="493"/>
      <c r="S29" s="493"/>
      <c r="T29" s="493"/>
      <c r="U29" s="494"/>
      <c r="V29" s="492"/>
      <c r="W29" s="493"/>
      <c r="X29" s="493"/>
      <c r="Y29" s="493"/>
      <c r="Z29" s="493"/>
      <c r="AA29" s="494"/>
      <c r="AB29" s="477"/>
      <c r="AC29" s="478"/>
      <c r="AD29" s="478"/>
      <c r="AE29" s="478"/>
      <c r="AF29" s="478"/>
      <c r="AG29" s="479"/>
      <c r="AH29" s="483"/>
      <c r="AI29" s="484"/>
      <c r="AJ29" s="484"/>
      <c r="AK29" s="484"/>
      <c r="AL29" s="484"/>
      <c r="AM29" s="485"/>
      <c r="AN29" s="66"/>
      <c r="AO29" s="448"/>
      <c r="AP29" s="449"/>
      <c r="AQ29" s="449"/>
      <c r="AR29" s="449"/>
      <c r="AS29" s="449"/>
      <c r="AT29" s="450"/>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row>
    <row r="30" spans="1:80" x14ac:dyDescent="0.25">
      <c r="A30" s="66"/>
      <c r="B30" s="422"/>
      <c r="C30" s="422"/>
      <c r="D30" s="423"/>
      <c r="E30" s="460" t="s">
        <v>183</v>
      </c>
      <c r="F30" s="461"/>
      <c r="G30" s="461"/>
      <c r="H30" s="461"/>
      <c r="I30" s="461"/>
      <c r="J30" s="504" t="str">
        <f>IF(AND('Mapa riesgos'!$M$13="Baja",'Mapa riesgos'!$Q$13="Leve"),CONCATENATE("R",'Mapa riesgos'!$A$13),"")</f>
        <v/>
      </c>
      <c r="K30" s="505"/>
      <c r="L30" s="505" t="str">
        <f>IF(AND('Mapa riesgos'!$M$19="Baja",'Mapa riesgos'!$Q$19="Leve"),CONCATENATE("R",'Mapa riesgos'!$A$19),"")</f>
        <v/>
      </c>
      <c r="M30" s="505"/>
      <c r="N30" s="505" t="str">
        <f>IF(AND('Mapa riesgos'!$M$25="Baja",'Mapa riesgos'!$Q$25="Leve"),CONCATENATE("R",'Mapa riesgos'!$A$25),"")</f>
        <v/>
      </c>
      <c r="O30" s="506"/>
      <c r="P30" s="496" t="str">
        <f>IF(AND('Mapa riesgos'!$M$13="Baja",'Mapa riesgos'!$Q$13="Menor"),CONCATENATE("R",'Mapa riesgos'!$A$13),"")</f>
        <v/>
      </c>
      <c r="Q30" s="496"/>
      <c r="R30" s="496" t="str">
        <f>IF(AND('Mapa riesgos'!$M$19="Baja",'Mapa riesgos'!$Q$19="Menor"),CONCATENATE("R",'Mapa riesgos'!$A$19),"")</f>
        <v/>
      </c>
      <c r="S30" s="496"/>
      <c r="T30" s="496" t="str">
        <f>IF(AND('Mapa riesgos'!$M$25="Baja",'Mapa riesgos'!$Q$25="Menor"),CONCATENATE("R",'Mapa riesgos'!$A$25),"")</f>
        <v/>
      </c>
      <c r="U30" s="497"/>
      <c r="V30" s="495" t="str">
        <f>IF(AND('Mapa riesgos'!$M$13="Baja",'Mapa riesgos'!$Q$13="Moderado"),CONCATENATE("R",'Mapa riesgos'!$A$13),"")</f>
        <v/>
      </c>
      <c r="W30" s="496"/>
      <c r="X30" s="496" t="str">
        <f>IF(AND('Mapa riesgos'!$M$19="Baja",'Mapa riesgos'!$Q$19="Moderado"),CONCATENATE("R",'Mapa riesgos'!$A$19),"")</f>
        <v/>
      </c>
      <c r="Y30" s="496"/>
      <c r="Z30" s="496" t="str">
        <f>IF(AND('Mapa riesgos'!$M$25="Baja",'Mapa riesgos'!$Q$25="Moderado"),CONCATENATE("R",'Mapa riesgos'!$A$25),"")</f>
        <v/>
      </c>
      <c r="AA30" s="497"/>
      <c r="AB30" s="471" t="str">
        <f>IF(AND('Mapa riesgos'!$M$13="Baja",'Mapa riesgos'!$Q$13="Mayor"),CONCATENATE("R",'Mapa riesgos'!$A$13),"")</f>
        <v/>
      </c>
      <c r="AC30" s="472"/>
      <c r="AD30" s="472" t="str">
        <f>IF(AND('Mapa riesgos'!$M$19="Baja",'Mapa riesgos'!$Q$19="Mayor"),CONCATENATE("R",'Mapa riesgos'!$A$19),"")</f>
        <v/>
      </c>
      <c r="AE30" s="472"/>
      <c r="AF30" s="472" t="str">
        <f>IF(AND('Mapa riesgos'!$M$25="Baja",'Mapa riesgos'!$Q$25="Mayor"),CONCATENATE("R",'Mapa riesgos'!$A$25),"")</f>
        <v/>
      </c>
      <c r="AG30" s="474"/>
      <c r="AH30" s="486" t="str">
        <f>IF(AND('Mapa riesgos'!$M$13="Baja",'Mapa riesgos'!$Q$13="Catastrófico"),CONCATENATE("R",'Mapa riesgos'!$A$13),"")</f>
        <v/>
      </c>
      <c r="AI30" s="487"/>
      <c r="AJ30" s="487" t="str">
        <f>IF(AND('Mapa riesgos'!$M$19="Baja",'Mapa riesgos'!$Q$19="Catastrófico"),CONCATENATE("R",'Mapa riesgos'!$A$19),"")</f>
        <v/>
      </c>
      <c r="AK30" s="487"/>
      <c r="AL30" s="487" t="str">
        <f>IF(AND('Mapa riesgos'!$M$25="Baja",'Mapa riesgos'!$Q$25="Catastrófico"),CONCATENATE("R",'Mapa riesgos'!$A$25),"")</f>
        <v/>
      </c>
      <c r="AM30" s="488"/>
      <c r="AN30" s="66"/>
      <c r="AO30" s="451" t="s">
        <v>184</v>
      </c>
      <c r="AP30" s="452"/>
      <c r="AQ30" s="452"/>
      <c r="AR30" s="452"/>
      <c r="AS30" s="452"/>
      <c r="AT30" s="453"/>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row>
    <row r="31" spans="1:80" x14ac:dyDescent="0.25">
      <c r="A31" s="66"/>
      <c r="B31" s="422"/>
      <c r="C31" s="422"/>
      <c r="D31" s="423"/>
      <c r="E31" s="463"/>
      <c r="F31" s="464"/>
      <c r="G31" s="464"/>
      <c r="H31" s="464"/>
      <c r="I31" s="464"/>
      <c r="J31" s="500"/>
      <c r="K31" s="498"/>
      <c r="L31" s="498"/>
      <c r="M31" s="498"/>
      <c r="N31" s="498"/>
      <c r="O31" s="499"/>
      <c r="P31" s="490"/>
      <c r="Q31" s="490"/>
      <c r="R31" s="490"/>
      <c r="S31" s="490"/>
      <c r="T31" s="490"/>
      <c r="U31" s="491"/>
      <c r="V31" s="489"/>
      <c r="W31" s="490"/>
      <c r="X31" s="490"/>
      <c r="Y31" s="490"/>
      <c r="Z31" s="490"/>
      <c r="AA31" s="491"/>
      <c r="AB31" s="473"/>
      <c r="AC31" s="469"/>
      <c r="AD31" s="469"/>
      <c r="AE31" s="469"/>
      <c r="AF31" s="469"/>
      <c r="AG31" s="470"/>
      <c r="AH31" s="480"/>
      <c r="AI31" s="481"/>
      <c r="AJ31" s="481"/>
      <c r="AK31" s="481"/>
      <c r="AL31" s="481"/>
      <c r="AM31" s="482"/>
      <c r="AN31" s="66"/>
      <c r="AO31" s="454"/>
      <c r="AP31" s="455"/>
      <c r="AQ31" s="455"/>
      <c r="AR31" s="455"/>
      <c r="AS31" s="455"/>
      <c r="AT31" s="45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row>
    <row r="32" spans="1:80" x14ac:dyDescent="0.25">
      <c r="A32" s="66"/>
      <c r="B32" s="422"/>
      <c r="C32" s="422"/>
      <c r="D32" s="423"/>
      <c r="E32" s="463"/>
      <c r="F32" s="464"/>
      <c r="G32" s="464"/>
      <c r="H32" s="464"/>
      <c r="I32" s="464"/>
      <c r="J32" s="500" t="str">
        <f>IF(AND('Mapa riesgos'!$M$31="Baja",'Mapa riesgos'!$Q$31="Leve"),CONCATENATE("R",'Mapa riesgos'!$A$31),"")</f>
        <v/>
      </c>
      <c r="K32" s="498"/>
      <c r="L32" s="498" t="str">
        <f>IF(AND('Mapa riesgos'!$M$37="Baja",'Mapa riesgos'!$Q$37="Leve"),CONCATENATE("R",'Mapa riesgos'!$A$37),"")</f>
        <v/>
      </c>
      <c r="M32" s="498"/>
      <c r="N32" s="498" t="str">
        <f>IF(AND('Mapa riesgos'!$M$43="Baja",'Mapa riesgos'!$Q$43="Leve"),CONCATENATE("R",'Mapa riesgos'!$A$43),"")</f>
        <v/>
      </c>
      <c r="O32" s="499"/>
      <c r="P32" s="490" t="str">
        <f>IF(AND('Mapa riesgos'!$M$31="Baja",'Mapa riesgos'!$Q$31="Menor"),CONCATENATE("R",'Mapa riesgos'!$A$31),"")</f>
        <v/>
      </c>
      <c r="Q32" s="490"/>
      <c r="R32" s="490" t="str">
        <f>IF(AND('Mapa riesgos'!$M$37="Baja",'Mapa riesgos'!$Q$37="Menor"),CONCATENATE("R",'Mapa riesgos'!$A$37),"")</f>
        <v/>
      </c>
      <c r="S32" s="490"/>
      <c r="T32" s="490" t="str">
        <f>IF(AND('Mapa riesgos'!$M$43="Baja",'Mapa riesgos'!$Q$43="Menor"),CONCATENATE("R",'Mapa riesgos'!$A$43),"")</f>
        <v/>
      </c>
      <c r="U32" s="491"/>
      <c r="V32" s="489" t="str">
        <f>IF(AND('Mapa riesgos'!$M$31="Baja",'Mapa riesgos'!$Q$31="Moderado"),CONCATENATE("R",'Mapa riesgos'!$A$31),"")</f>
        <v/>
      </c>
      <c r="W32" s="490"/>
      <c r="X32" s="490" t="str">
        <f>IF(AND('Mapa riesgos'!$M$37="Baja",'Mapa riesgos'!$Q$37="Moderado"),CONCATENATE("R",'Mapa riesgos'!$A$37),"")</f>
        <v/>
      </c>
      <c r="Y32" s="490"/>
      <c r="Z32" s="490" t="str">
        <f>IF(AND('Mapa riesgos'!$M$43="Baja",'Mapa riesgos'!$Q$43="Moderado"),CONCATENATE("R",'Mapa riesgos'!$A$43),"")</f>
        <v/>
      </c>
      <c r="AA32" s="491"/>
      <c r="AB32" s="473" t="str">
        <f>IF(AND('Mapa riesgos'!$M$31="Baja",'Mapa riesgos'!$Q$31="Mayor"),CONCATENATE("R",'Mapa riesgos'!$A$31),"")</f>
        <v/>
      </c>
      <c r="AC32" s="469"/>
      <c r="AD32" s="469" t="str">
        <f>IF(AND('Mapa riesgos'!$M$37="Baja",'Mapa riesgos'!$Q$37="Mayor"),CONCATENATE("R",'Mapa riesgos'!$A$37),"")</f>
        <v/>
      </c>
      <c r="AE32" s="469"/>
      <c r="AF32" s="469" t="str">
        <f>IF(AND('Mapa riesgos'!$M$43="Baja",'Mapa riesgos'!$Q$43="Mayor"),CONCATENATE("R",'Mapa riesgos'!$A$43),"")</f>
        <v/>
      </c>
      <c r="AG32" s="470"/>
      <c r="AH32" s="480" t="str">
        <f>IF(AND('Mapa riesgos'!$M$31="Baja",'Mapa riesgos'!$Q$31="Catastrófico"),CONCATENATE("R",'Mapa riesgos'!$A$31),"")</f>
        <v/>
      </c>
      <c r="AI32" s="481"/>
      <c r="AJ32" s="481" t="str">
        <f>IF(AND('Mapa riesgos'!$M$37="Baja",'Mapa riesgos'!$Q$37="Catastrófico"),CONCATENATE("R",'Mapa riesgos'!$A$37),"")</f>
        <v/>
      </c>
      <c r="AK32" s="481"/>
      <c r="AL32" s="481" t="str">
        <f>IF(AND('Mapa riesgos'!$M$43="Baja",'Mapa riesgos'!$Q$43="Catastrófico"),CONCATENATE("R",'Mapa riesgos'!$A$43),"")</f>
        <v/>
      </c>
      <c r="AM32" s="482"/>
      <c r="AN32" s="66"/>
      <c r="AO32" s="454"/>
      <c r="AP32" s="455"/>
      <c r="AQ32" s="455"/>
      <c r="AR32" s="455"/>
      <c r="AS32" s="455"/>
      <c r="AT32" s="45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row>
    <row r="33" spans="1:80" x14ac:dyDescent="0.25">
      <c r="A33" s="66"/>
      <c r="B33" s="422"/>
      <c r="C33" s="422"/>
      <c r="D33" s="423"/>
      <c r="E33" s="463"/>
      <c r="F33" s="464"/>
      <c r="G33" s="464"/>
      <c r="H33" s="464"/>
      <c r="I33" s="464"/>
      <c r="J33" s="500"/>
      <c r="K33" s="498"/>
      <c r="L33" s="498"/>
      <c r="M33" s="498"/>
      <c r="N33" s="498"/>
      <c r="O33" s="499"/>
      <c r="P33" s="490"/>
      <c r="Q33" s="490"/>
      <c r="R33" s="490"/>
      <c r="S33" s="490"/>
      <c r="T33" s="490"/>
      <c r="U33" s="491"/>
      <c r="V33" s="489"/>
      <c r="W33" s="490"/>
      <c r="X33" s="490"/>
      <c r="Y33" s="490"/>
      <c r="Z33" s="490"/>
      <c r="AA33" s="491"/>
      <c r="AB33" s="473"/>
      <c r="AC33" s="469"/>
      <c r="AD33" s="469"/>
      <c r="AE33" s="469"/>
      <c r="AF33" s="469"/>
      <c r="AG33" s="470"/>
      <c r="AH33" s="480"/>
      <c r="AI33" s="481"/>
      <c r="AJ33" s="481"/>
      <c r="AK33" s="481"/>
      <c r="AL33" s="481"/>
      <c r="AM33" s="482"/>
      <c r="AN33" s="66"/>
      <c r="AO33" s="454"/>
      <c r="AP33" s="455"/>
      <c r="AQ33" s="455"/>
      <c r="AR33" s="455"/>
      <c r="AS33" s="455"/>
      <c r="AT33" s="45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row>
    <row r="34" spans="1:80" x14ac:dyDescent="0.25">
      <c r="A34" s="66"/>
      <c r="B34" s="422"/>
      <c r="C34" s="422"/>
      <c r="D34" s="423"/>
      <c r="E34" s="463"/>
      <c r="F34" s="464"/>
      <c r="G34" s="464"/>
      <c r="H34" s="464"/>
      <c r="I34" s="464"/>
      <c r="J34" s="500" t="str">
        <f>IF(AND('Mapa riesgos'!$M$49="Baja",'Mapa riesgos'!$Q$49="Leve"),CONCATENATE("R",'Mapa riesgos'!$A$49),"")</f>
        <v/>
      </c>
      <c r="K34" s="498"/>
      <c r="L34" s="498" t="str">
        <f>IF(AND('Mapa riesgos'!$M$55="Baja",'Mapa riesgos'!$Q$55="Leve"),CONCATENATE("R",'Mapa riesgos'!$A$55),"")</f>
        <v/>
      </c>
      <c r="M34" s="498"/>
      <c r="N34" s="498" t="str">
        <f>IF(AND('Mapa riesgos'!$M$61="Baja",'Mapa riesgos'!$Q$61="Leve"),CONCATENATE("R",'Mapa riesgos'!$A$61),"")</f>
        <v/>
      </c>
      <c r="O34" s="499"/>
      <c r="P34" s="490" t="str">
        <f>IF(AND('Mapa riesgos'!$M$49="Baja",'Mapa riesgos'!$Q$49="Menor"),CONCATENATE("R",'Mapa riesgos'!$A$49),"")</f>
        <v/>
      </c>
      <c r="Q34" s="490"/>
      <c r="R34" s="490" t="str">
        <f>IF(AND('Mapa riesgos'!$M$55="Baja",'Mapa riesgos'!$Q$55="Menor"),CONCATENATE("R",'Mapa riesgos'!$A$55),"")</f>
        <v/>
      </c>
      <c r="S34" s="490"/>
      <c r="T34" s="490" t="str">
        <f>IF(AND('Mapa riesgos'!$M$61="Baja",'Mapa riesgos'!$Q$61="Menor"),CONCATENATE("R",'Mapa riesgos'!$A$61),"")</f>
        <v/>
      </c>
      <c r="U34" s="491"/>
      <c r="V34" s="489" t="str">
        <f>IF(AND('Mapa riesgos'!$M$49="Baja",'Mapa riesgos'!$Q$49="Moderado"),CONCATENATE("R",'Mapa riesgos'!$A$49),"")</f>
        <v/>
      </c>
      <c r="W34" s="490"/>
      <c r="X34" s="490" t="str">
        <f>IF(AND('Mapa riesgos'!$M$55="Baja",'Mapa riesgos'!$Q$55="Moderado"),CONCATENATE("R",'Mapa riesgos'!$A$55),"")</f>
        <v/>
      </c>
      <c r="Y34" s="490"/>
      <c r="Z34" s="490" t="str">
        <f>IF(AND('Mapa riesgos'!$M$61="Baja",'Mapa riesgos'!$Q$61="Moderado"),CONCATENATE("R",'Mapa riesgos'!$A$61),"")</f>
        <v/>
      </c>
      <c r="AA34" s="491"/>
      <c r="AB34" s="473" t="str">
        <f>IF(AND('Mapa riesgos'!$M$49="Baja",'Mapa riesgos'!$Q$49="Mayor"),CONCATENATE("R",'Mapa riesgos'!$A$49),"")</f>
        <v/>
      </c>
      <c r="AC34" s="469"/>
      <c r="AD34" s="469" t="str">
        <f>IF(AND('Mapa riesgos'!$M$55="Baja",'Mapa riesgos'!$Q$55="Mayor"),CONCATENATE("R",'Mapa riesgos'!$A$55),"")</f>
        <v/>
      </c>
      <c r="AE34" s="469"/>
      <c r="AF34" s="469" t="str">
        <f>IF(AND('Mapa riesgos'!$M$61="Baja",'Mapa riesgos'!$Q$61="Mayor"),CONCATENATE("R",'Mapa riesgos'!$A$61),"")</f>
        <v/>
      </c>
      <c r="AG34" s="470"/>
      <c r="AH34" s="480" t="str">
        <f>IF(AND('Mapa riesgos'!$M$49="Baja",'Mapa riesgos'!$Q$49="Catastrófico"),CONCATENATE("R",'Mapa riesgos'!$A$49),"")</f>
        <v/>
      </c>
      <c r="AI34" s="481"/>
      <c r="AJ34" s="481" t="str">
        <f>IF(AND('Mapa riesgos'!$M$55="Baja",'Mapa riesgos'!$Q$55="Catastrófico"),CONCATENATE("R",'Mapa riesgos'!$A$55),"")</f>
        <v/>
      </c>
      <c r="AK34" s="481"/>
      <c r="AL34" s="481" t="str">
        <f>IF(AND('Mapa riesgos'!$M$61="Baja",'Mapa riesgos'!$Q$61="Catastrófico"),CONCATENATE("R",'Mapa riesgos'!$A$61),"")</f>
        <v/>
      </c>
      <c r="AM34" s="482"/>
      <c r="AN34" s="66"/>
      <c r="AO34" s="454"/>
      <c r="AP34" s="455"/>
      <c r="AQ34" s="455"/>
      <c r="AR34" s="455"/>
      <c r="AS34" s="455"/>
      <c r="AT34" s="45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row>
    <row r="35" spans="1:80" x14ac:dyDescent="0.25">
      <c r="A35" s="66"/>
      <c r="B35" s="422"/>
      <c r="C35" s="422"/>
      <c r="D35" s="423"/>
      <c r="E35" s="463"/>
      <c r="F35" s="464"/>
      <c r="G35" s="464"/>
      <c r="H35" s="464"/>
      <c r="I35" s="464"/>
      <c r="J35" s="500"/>
      <c r="K35" s="498"/>
      <c r="L35" s="498"/>
      <c r="M35" s="498"/>
      <c r="N35" s="498"/>
      <c r="O35" s="499"/>
      <c r="P35" s="490"/>
      <c r="Q35" s="490"/>
      <c r="R35" s="490"/>
      <c r="S35" s="490"/>
      <c r="T35" s="490"/>
      <c r="U35" s="491"/>
      <c r="V35" s="489"/>
      <c r="W35" s="490"/>
      <c r="X35" s="490"/>
      <c r="Y35" s="490"/>
      <c r="Z35" s="490"/>
      <c r="AA35" s="491"/>
      <c r="AB35" s="473"/>
      <c r="AC35" s="469"/>
      <c r="AD35" s="469"/>
      <c r="AE35" s="469"/>
      <c r="AF35" s="469"/>
      <c r="AG35" s="470"/>
      <c r="AH35" s="480"/>
      <c r="AI35" s="481"/>
      <c r="AJ35" s="481"/>
      <c r="AK35" s="481"/>
      <c r="AL35" s="481"/>
      <c r="AM35" s="482"/>
      <c r="AN35" s="66"/>
      <c r="AO35" s="454"/>
      <c r="AP35" s="455"/>
      <c r="AQ35" s="455"/>
      <c r="AR35" s="455"/>
      <c r="AS35" s="455"/>
      <c r="AT35" s="45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row>
    <row r="36" spans="1:80" x14ac:dyDescent="0.25">
      <c r="A36" s="66"/>
      <c r="B36" s="422"/>
      <c r="C36" s="422"/>
      <c r="D36" s="423"/>
      <c r="E36" s="463"/>
      <c r="F36" s="464"/>
      <c r="G36" s="464"/>
      <c r="H36" s="464"/>
      <c r="I36" s="464"/>
      <c r="J36" s="500" t="str">
        <f>IF(AND('Mapa riesgos'!$M$67="Baja",'Mapa riesgos'!$Q$67="Leve"),CONCATENATE("R",'Mapa riesgos'!$A$67),"")</f>
        <v/>
      </c>
      <c r="K36" s="498"/>
      <c r="L36" s="498" t="str">
        <f>IF(AND('Mapa riesgos'!$M$73="Baja",'Mapa riesgos'!$Q$73="Leve"),CONCATENATE("R",'Mapa riesgos'!$A$73),"")</f>
        <v/>
      </c>
      <c r="M36" s="498"/>
      <c r="N36" s="498" t="str">
        <f>IF(AND('Mapa riesgos'!$M$79="Baja",'Mapa riesgos'!$Q$79="Leve"),CONCATENATE("R",'Mapa riesgos'!$A$79),"")</f>
        <v/>
      </c>
      <c r="O36" s="499"/>
      <c r="P36" s="490" t="str">
        <f>IF(AND('Mapa riesgos'!$M$67="Baja",'Mapa riesgos'!$Q$67="Menor"),CONCATENATE("R",'Mapa riesgos'!$A$67),"")</f>
        <v/>
      </c>
      <c r="Q36" s="490"/>
      <c r="R36" s="490" t="str">
        <f>IF(AND('Mapa riesgos'!$M$73="Baja",'Mapa riesgos'!$Q$73="Menor"),CONCATENATE("R",'Mapa riesgos'!$A$73),"")</f>
        <v/>
      </c>
      <c r="S36" s="490"/>
      <c r="T36" s="490" t="str">
        <f>IF(AND('Mapa riesgos'!$M$79="Baja",'Mapa riesgos'!$Q$79="Menor"),CONCATENATE("R",'Mapa riesgos'!$A$79),"")</f>
        <v/>
      </c>
      <c r="U36" s="491"/>
      <c r="V36" s="489" t="str">
        <f>IF(AND('Mapa riesgos'!$M$67="Baja",'Mapa riesgos'!$Q$67="Moderado"),CONCATENATE("R",'Mapa riesgos'!$A$67),"")</f>
        <v/>
      </c>
      <c r="W36" s="490"/>
      <c r="X36" s="490" t="str">
        <f>IF(AND('Mapa riesgos'!$M$73="Baja",'Mapa riesgos'!$Q$73="Moderado"),CONCATENATE("R",'Mapa riesgos'!$A$73),"")</f>
        <v/>
      </c>
      <c r="Y36" s="490"/>
      <c r="Z36" s="490" t="str">
        <f>IF(AND('Mapa riesgos'!$M$79="Baja",'Mapa riesgos'!$Q$79="Moderado"),CONCATENATE("R",'Mapa riesgos'!$A$79),"")</f>
        <v/>
      </c>
      <c r="AA36" s="491"/>
      <c r="AB36" s="473" t="str">
        <f>IF(AND('Mapa riesgos'!$M$67="Baja",'Mapa riesgos'!$Q$67="Mayor"),CONCATENATE("R",'Mapa riesgos'!$A$67),"")</f>
        <v/>
      </c>
      <c r="AC36" s="469"/>
      <c r="AD36" s="469" t="str">
        <f>IF(AND('Mapa riesgos'!$M$73="Baja",'Mapa riesgos'!$Q$73="Mayor"),CONCATENATE("R",'Mapa riesgos'!$A$73),"")</f>
        <v/>
      </c>
      <c r="AE36" s="469"/>
      <c r="AF36" s="469" t="str">
        <f>IF(AND('Mapa riesgos'!$M$79="Baja",'Mapa riesgos'!$Q$79="Mayor"),CONCATENATE("R",'Mapa riesgos'!$A$79),"")</f>
        <v/>
      </c>
      <c r="AG36" s="470"/>
      <c r="AH36" s="480" t="str">
        <f>IF(AND('Mapa riesgos'!$M$67="Baja",'Mapa riesgos'!$Q$67="Catastrófico"),CONCATENATE("R",'Mapa riesgos'!$A$67),"")</f>
        <v/>
      </c>
      <c r="AI36" s="481"/>
      <c r="AJ36" s="481" t="str">
        <f>IF(AND('Mapa riesgos'!$M$73="Baja",'Mapa riesgos'!$Q$73="Catastrófico"),CONCATENATE("R",'Mapa riesgos'!$A$73),"")</f>
        <v/>
      </c>
      <c r="AK36" s="481"/>
      <c r="AL36" s="481" t="str">
        <f>IF(AND('Mapa riesgos'!$M$79="Baja",'Mapa riesgos'!$Q$79="Catastrófico"),CONCATENATE("R",'Mapa riesgos'!$A$79),"")</f>
        <v/>
      </c>
      <c r="AM36" s="482"/>
      <c r="AN36" s="66"/>
      <c r="AO36" s="454"/>
      <c r="AP36" s="455"/>
      <c r="AQ36" s="455"/>
      <c r="AR36" s="455"/>
      <c r="AS36" s="455"/>
      <c r="AT36" s="45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row>
    <row r="37" spans="1:80" ht="15.75" thickBot="1" x14ac:dyDescent="0.3">
      <c r="A37" s="66"/>
      <c r="B37" s="422"/>
      <c r="C37" s="422"/>
      <c r="D37" s="423"/>
      <c r="E37" s="466"/>
      <c r="F37" s="467"/>
      <c r="G37" s="467"/>
      <c r="H37" s="467"/>
      <c r="I37" s="467"/>
      <c r="J37" s="501"/>
      <c r="K37" s="502"/>
      <c r="L37" s="502"/>
      <c r="M37" s="502"/>
      <c r="N37" s="502"/>
      <c r="O37" s="503"/>
      <c r="P37" s="493"/>
      <c r="Q37" s="493"/>
      <c r="R37" s="493"/>
      <c r="S37" s="493"/>
      <c r="T37" s="493"/>
      <c r="U37" s="494"/>
      <c r="V37" s="492"/>
      <c r="W37" s="493"/>
      <c r="X37" s="493"/>
      <c r="Y37" s="493"/>
      <c r="Z37" s="493"/>
      <c r="AA37" s="494"/>
      <c r="AB37" s="477"/>
      <c r="AC37" s="478"/>
      <c r="AD37" s="478"/>
      <c r="AE37" s="478"/>
      <c r="AF37" s="478"/>
      <c r="AG37" s="479"/>
      <c r="AH37" s="483"/>
      <c r="AI37" s="484"/>
      <c r="AJ37" s="484"/>
      <c r="AK37" s="484"/>
      <c r="AL37" s="484"/>
      <c r="AM37" s="485"/>
      <c r="AN37" s="66"/>
      <c r="AO37" s="457"/>
      <c r="AP37" s="458"/>
      <c r="AQ37" s="458"/>
      <c r="AR37" s="458"/>
      <c r="AS37" s="458"/>
      <c r="AT37" s="459"/>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row>
    <row r="38" spans="1:80" x14ac:dyDescent="0.25">
      <c r="A38" s="66"/>
      <c r="B38" s="422"/>
      <c r="C38" s="422"/>
      <c r="D38" s="423"/>
      <c r="E38" s="460" t="s">
        <v>185</v>
      </c>
      <c r="F38" s="461"/>
      <c r="G38" s="461"/>
      <c r="H38" s="461"/>
      <c r="I38" s="462"/>
      <c r="J38" s="504" t="str">
        <f>IF(AND('Mapa riesgos'!$M$13="Muy Baja",'Mapa riesgos'!$Q$13="Leve"),CONCATENATE("R",'Mapa riesgos'!$A$13),"")</f>
        <v/>
      </c>
      <c r="K38" s="505"/>
      <c r="L38" s="505" t="str">
        <f>IF(AND('Mapa riesgos'!$M$19="Muy Baja",'Mapa riesgos'!$Q$19="Leve"),CONCATENATE("R",'Mapa riesgos'!$A$19),"")</f>
        <v/>
      </c>
      <c r="M38" s="505"/>
      <c r="N38" s="505" t="str">
        <f>IF(AND('Mapa riesgos'!$M$25="Muy Baja",'Mapa riesgos'!$Q$25="Leve"),CONCATENATE("R",'Mapa riesgos'!$A$25),"")</f>
        <v/>
      </c>
      <c r="O38" s="506"/>
      <c r="P38" s="504" t="str">
        <f>IF(AND('Mapa riesgos'!$M$13="Muy Baja",'Mapa riesgos'!$Q$13="Menor"),CONCATENATE("R",'Mapa riesgos'!$A$13),"")</f>
        <v/>
      </c>
      <c r="Q38" s="505"/>
      <c r="R38" s="505" t="str">
        <f>IF(AND('Mapa riesgos'!$M$19="Muy Baja",'Mapa riesgos'!$Q$19="Menor"),CONCATENATE("R",'Mapa riesgos'!$A$19),"")</f>
        <v/>
      </c>
      <c r="S38" s="505"/>
      <c r="T38" s="505" t="str">
        <f>IF(AND('Mapa riesgos'!$M$25="Muy Baja",'Mapa riesgos'!$Q$25="Menor"),CONCATENATE("R",'Mapa riesgos'!$A$25),"")</f>
        <v/>
      </c>
      <c r="U38" s="506"/>
      <c r="V38" s="495" t="str">
        <f>IF(AND('Mapa riesgos'!$M$13="Muy Baja",'Mapa riesgos'!$Q$13="Moderado"),CONCATENATE("R",'Mapa riesgos'!$A$13),"")</f>
        <v/>
      </c>
      <c r="W38" s="496"/>
      <c r="X38" s="496" t="str">
        <f>IF(AND('Mapa riesgos'!$M$19="Muy Baja",'Mapa riesgos'!$Q$19="Moderado"),CONCATENATE("R",'Mapa riesgos'!$A$19),"")</f>
        <v/>
      </c>
      <c r="Y38" s="496"/>
      <c r="Z38" s="496" t="str">
        <f>IF(AND('Mapa riesgos'!$M$25="Muy Baja",'Mapa riesgos'!$Q$25="Moderado"),CONCATENATE("R",'Mapa riesgos'!$A$25),"")</f>
        <v/>
      </c>
      <c r="AA38" s="497"/>
      <c r="AB38" s="471" t="str">
        <f>IF(AND('Mapa riesgos'!$M$13="Muy Baja",'Mapa riesgos'!$Q$13="Mayor"),CONCATENATE("R",'Mapa riesgos'!$A$13),"")</f>
        <v/>
      </c>
      <c r="AC38" s="472"/>
      <c r="AD38" s="472" t="str">
        <f>IF(AND('Mapa riesgos'!$M$19="Muy Baja",'Mapa riesgos'!$Q$19="Mayor"),CONCATENATE("R",'Mapa riesgos'!$A$19),"")</f>
        <v/>
      </c>
      <c r="AE38" s="472"/>
      <c r="AF38" s="472" t="str">
        <f>IF(AND('Mapa riesgos'!$M$25="Muy Baja",'Mapa riesgos'!$Q$25="Mayor"),CONCATENATE("R",'Mapa riesgos'!$A$25),"")</f>
        <v/>
      </c>
      <c r="AG38" s="474"/>
      <c r="AH38" s="486" t="str">
        <f>IF(AND('Mapa riesgos'!$M$13="Muy Baja",'Mapa riesgos'!$Q$13="Catastrófico"),CONCATENATE("R",'Mapa riesgos'!$A$13),"")</f>
        <v/>
      </c>
      <c r="AI38" s="487"/>
      <c r="AJ38" s="487" t="str">
        <f>IF(AND('Mapa riesgos'!$M$19="Muy Baja",'Mapa riesgos'!$Q$19="Catastrófico"),CONCATENATE("R",'Mapa riesgos'!$A$19),"")</f>
        <v/>
      </c>
      <c r="AK38" s="487"/>
      <c r="AL38" s="487" t="str">
        <f>IF(AND('Mapa riesgos'!$M$25="Muy Baja",'Mapa riesgos'!$Q$25="Catastrófico"),CONCATENATE("R",'Mapa riesgos'!$A$25),"")</f>
        <v/>
      </c>
      <c r="AM38" s="488"/>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row>
    <row r="39" spans="1:80" x14ac:dyDescent="0.25">
      <c r="A39" s="66"/>
      <c r="B39" s="422"/>
      <c r="C39" s="422"/>
      <c r="D39" s="423"/>
      <c r="E39" s="463"/>
      <c r="F39" s="464"/>
      <c r="G39" s="464"/>
      <c r="H39" s="464"/>
      <c r="I39" s="465"/>
      <c r="J39" s="500"/>
      <c r="K39" s="498"/>
      <c r="L39" s="498"/>
      <c r="M39" s="498"/>
      <c r="N39" s="498"/>
      <c r="O39" s="499"/>
      <c r="P39" s="500"/>
      <c r="Q39" s="498"/>
      <c r="R39" s="498"/>
      <c r="S39" s="498"/>
      <c r="T39" s="498"/>
      <c r="U39" s="499"/>
      <c r="V39" s="489"/>
      <c r="W39" s="490"/>
      <c r="X39" s="490"/>
      <c r="Y39" s="490"/>
      <c r="Z39" s="490"/>
      <c r="AA39" s="491"/>
      <c r="AB39" s="473"/>
      <c r="AC39" s="469"/>
      <c r="AD39" s="469"/>
      <c r="AE39" s="469"/>
      <c r="AF39" s="469"/>
      <c r="AG39" s="470"/>
      <c r="AH39" s="480"/>
      <c r="AI39" s="481"/>
      <c r="AJ39" s="481"/>
      <c r="AK39" s="481"/>
      <c r="AL39" s="481"/>
      <c r="AM39" s="482"/>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row>
    <row r="40" spans="1:80" x14ac:dyDescent="0.25">
      <c r="A40" s="66"/>
      <c r="B40" s="422"/>
      <c r="C40" s="422"/>
      <c r="D40" s="423"/>
      <c r="E40" s="463"/>
      <c r="F40" s="464"/>
      <c r="G40" s="464"/>
      <c r="H40" s="464"/>
      <c r="I40" s="465"/>
      <c r="J40" s="500" t="str">
        <f>IF(AND('Mapa riesgos'!$M$31="Muy Baja",'Mapa riesgos'!$Q$31="Leve"),CONCATENATE("R",'Mapa riesgos'!$A$31),"")</f>
        <v/>
      </c>
      <c r="K40" s="498"/>
      <c r="L40" s="498" t="str">
        <f>IF(AND('Mapa riesgos'!$M$37="Muy Baja",'Mapa riesgos'!$Q$37="Leve"),CONCATENATE("R",'Mapa riesgos'!$A$37),"")</f>
        <v/>
      </c>
      <c r="M40" s="498"/>
      <c r="N40" s="498" t="str">
        <f>IF(AND('Mapa riesgos'!$M$43="Muy Baja",'Mapa riesgos'!$Q$43="Leve"),CONCATENATE("R",'Mapa riesgos'!$A$43),"")</f>
        <v/>
      </c>
      <c r="O40" s="499"/>
      <c r="P40" s="500" t="str">
        <f>IF(AND('Mapa riesgos'!$M$31="Muy Baja",'Mapa riesgos'!$Q$31="Menor"),CONCATENATE("R",'Mapa riesgos'!$A$31),"")</f>
        <v/>
      </c>
      <c r="Q40" s="498"/>
      <c r="R40" s="498" t="str">
        <f>IF(AND('Mapa riesgos'!$M$37="Muy Baja",'Mapa riesgos'!$Q$37="Menor"),CONCATENATE("R",'Mapa riesgos'!$A$37),"")</f>
        <v/>
      </c>
      <c r="S40" s="498"/>
      <c r="T40" s="498" t="str">
        <f>IF(AND('Mapa riesgos'!$M$43="Muy Baja",'Mapa riesgos'!$Q$43="Menor"),CONCATENATE("R",'Mapa riesgos'!$A$43),"")</f>
        <v/>
      </c>
      <c r="U40" s="499"/>
      <c r="V40" s="489" t="str">
        <f>IF(AND('Mapa riesgos'!$M$31="Muy Baja",'Mapa riesgos'!$Q$31="Moderado"),CONCATENATE("R",'Mapa riesgos'!$A$31),"")</f>
        <v/>
      </c>
      <c r="W40" s="490"/>
      <c r="X40" s="490" t="str">
        <f>IF(AND('Mapa riesgos'!$M$37="Muy Baja",'Mapa riesgos'!$Q$37="Moderado"),CONCATENATE("R",'Mapa riesgos'!$A$37),"")</f>
        <v/>
      </c>
      <c r="Y40" s="490"/>
      <c r="Z40" s="490" t="str">
        <f>IF(AND('Mapa riesgos'!$M$43="Muy Baja",'Mapa riesgos'!$Q$43="Moderado"),CONCATENATE("R",'Mapa riesgos'!$A$43),"")</f>
        <v/>
      </c>
      <c r="AA40" s="491"/>
      <c r="AB40" s="473" t="str">
        <f>IF(AND('Mapa riesgos'!$M$31="Muy Baja",'Mapa riesgos'!$Q$31="Mayor"),CONCATENATE("R",'Mapa riesgos'!$A$31),"")</f>
        <v/>
      </c>
      <c r="AC40" s="469"/>
      <c r="AD40" s="469" t="str">
        <f>IF(AND('Mapa riesgos'!$M$37="Muy Baja",'Mapa riesgos'!$Q$37="Mayor"),CONCATENATE("R",'Mapa riesgos'!$A$37),"")</f>
        <v/>
      </c>
      <c r="AE40" s="469"/>
      <c r="AF40" s="469" t="str">
        <f>IF(AND('Mapa riesgos'!$M$43="Muy Baja",'Mapa riesgos'!$Q$43="Mayor"),CONCATENATE("R",'Mapa riesgos'!$A$43),"")</f>
        <v/>
      </c>
      <c r="AG40" s="470"/>
      <c r="AH40" s="480" t="str">
        <f>IF(AND('Mapa riesgos'!$M$31="Muy Baja",'Mapa riesgos'!$Q$31="Catastrófico"),CONCATENATE("R",'Mapa riesgos'!$A$31),"")</f>
        <v/>
      </c>
      <c r="AI40" s="481"/>
      <c r="AJ40" s="481" t="str">
        <f>IF(AND('Mapa riesgos'!$M$37="Muy Baja",'Mapa riesgos'!$Q$37="Catastrófico"),CONCATENATE("R",'Mapa riesgos'!$A$37),"")</f>
        <v/>
      </c>
      <c r="AK40" s="481"/>
      <c r="AL40" s="481" t="str">
        <f>IF(AND('Mapa riesgos'!$M$43="Muy Baja",'Mapa riesgos'!$Q$43="Catastrófico"),CONCATENATE("R",'Mapa riesgos'!$A$43),"")</f>
        <v/>
      </c>
      <c r="AM40" s="482"/>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row>
    <row r="41" spans="1:80" x14ac:dyDescent="0.25">
      <c r="A41" s="66"/>
      <c r="B41" s="422"/>
      <c r="C41" s="422"/>
      <c r="D41" s="423"/>
      <c r="E41" s="463"/>
      <c r="F41" s="464"/>
      <c r="G41" s="464"/>
      <c r="H41" s="464"/>
      <c r="I41" s="465"/>
      <c r="J41" s="500"/>
      <c r="K41" s="498"/>
      <c r="L41" s="498"/>
      <c r="M41" s="498"/>
      <c r="N41" s="498"/>
      <c r="O41" s="499"/>
      <c r="P41" s="500"/>
      <c r="Q41" s="498"/>
      <c r="R41" s="498"/>
      <c r="S41" s="498"/>
      <c r="T41" s="498"/>
      <c r="U41" s="499"/>
      <c r="V41" s="489"/>
      <c r="W41" s="490"/>
      <c r="X41" s="490"/>
      <c r="Y41" s="490"/>
      <c r="Z41" s="490"/>
      <c r="AA41" s="491"/>
      <c r="AB41" s="473"/>
      <c r="AC41" s="469"/>
      <c r="AD41" s="469"/>
      <c r="AE41" s="469"/>
      <c r="AF41" s="469"/>
      <c r="AG41" s="470"/>
      <c r="AH41" s="480"/>
      <c r="AI41" s="481"/>
      <c r="AJ41" s="481"/>
      <c r="AK41" s="481"/>
      <c r="AL41" s="481"/>
      <c r="AM41" s="482"/>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row>
    <row r="42" spans="1:80" x14ac:dyDescent="0.25">
      <c r="A42" s="66"/>
      <c r="B42" s="422"/>
      <c r="C42" s="422"/>
      <c r="D42" s="423"/>
      <c r="E42" s="463"/>
      <c r="F42" s="464"/>
      <c r="G42" s="464"/>
      <c r="H42" s="464"/>
      <c r="I42" s="465"/>
      <c r="J42" s="500" t="str">
        <f>IF(AND('Mapa riesgos'!$M$49="Muy Baja",'Mapa riesgos'!$Q$49="Leve"),CONCATENATE("R",'Mapa riesgos'!$A$49),"")</f>
        <v/>
      </c>
      <c r="K42" s="498"/>
      <c r="L42" s="498" t="str">
        <f>IF(AND('Mapa riesgos'!$M$55="Muy Baja",'Mapa riesgos'!$Q$55="Leve"),CONCATENATE("R",'Mapa riesgos'!$A$55),"")</f>
        <v/>
      </c>
      <c r="M42" s="498"/>
      <c r="N42" s="498" t="str">
        <f>IF(AND('Mapa riesgos'!$M$61="Muy Baja",'Mapa riesgos'!$Q$61="Leve"),CONCATENATE("R",'Mapa riesgos'!$A$61),"")</f>
        <v/>
      </c>
      <c r="O42" s="499"/>
      <c r="P42" s="500" t="str">
        <f>IF(AND('Mapa riesgos'!$M$49="Muy Baja",'Mapa riesgos'!$Q$49="Menor"),CONCATENATE("R",'Mapa riesgos'!$A$49),"")</f>
        <v/>
      </c>
      <c r="Q42" s="498"/>
      <c r="R42" s="498" t="str">
        <f>IF(AND('Mapa riesgos'!$M$55="Muy Baja",'Mapa riesgos'!$Q$55="Menor"),CONCATENATE("R",'Mapa riesgos'!$A$55),"")</f>
        <v/>
      </c>
      <c r="S42" s="498"/>
      <c r="T42" s="498" t="str">
        <f>IF(AND('Mapa riesgos'!$M$61="Muy Baja",'Mapa riesgos'!$Q$61="Menor"),CONCATENATE("R",'Mapa riesgos'!$A$61),"")</f>
        <v/>
      </c>
      <c r="U42" s="499"/>
      <c r="V42" s="489" t="str">
        <f>IF(AND('Mapa riesgos'!$M$49="Muy Baja",'Mapa riesgos'!$Q$49="Moderado"),CONCATENATE("R",'Mapa riesgos'!$A$49),"")</f>
        <v/>
      </c>
      <c r="W42" s="490"/>
      <c r="X42" s="490" t="str">
        <f>IF(AND('Mapa riesgos'!$M$55="Muy Baja",'Mapa riesgos'!$Q$55="Moderado"),CONCATENATE("R",'Mapa riesgos'!$A$55),"")</f>
        <v/>
      </c>
      <c r="Y42" s="490"/>
      <c r="Z42" s="490" t="str">
        <f>IF(AND('Mapa riesgos'!$M$61="Muy Baja",'Mapa riesgos'!$Q$61="Moderado"),CONCATENATE("R",'Mapa riesgos'!$A$61),"")</f>
        <v/>
      </c>
      <c r="AA42" s="491"/>
      <c r="AB42" s="473" t="str">
        <f>IF(AND('Mapa riesgos'!$M$49="Muy Baja",'Mapa riesgos'!$Q$49="Mayor"),CONCATENATE("R",'Mapa riesgos'!$A$49),"")</f>
        <v/>
      </c>
      <c r="AC42" s="469"/>
      <c r="AD42" s="469" t="str">
        <f>IF(AND('Mapa riesgos'!$M$55="Muy Baja",'Mapa riesgos'!$Q$55="Mayor"),CONCATENATE("R",'Mapa riesgos'!$A$55),"")</f>
        <v/>
      </c>
      <c r="AE42" s="469"/>
      <c r="AF42" s="469" t="str">
        <f>IF(AND('Mapa riesgos'!$M$61="Muy Baja",'Mapa riesgos'!$Q$61="Mayor"),CONCATENATE("R",'Mapa riesgos'!$A$61),"")</f>
        <v/>
      </c>
      <c r="AG42" s="470"/>
      <c r="AH42" s="480" t="str">
        <f>IF(AND('Mapa riesgos'!$M$49="Muy Baja",'Mapa riesgos'!$Q$49="Catastrófico"),CONCATENATE("R",'Mapa riesgos'!$A$49),"")</f>
        <v/>
      </c>
      <c r="AI42" s="481"/>
      <c r="AJ42" s="481" t="str">
        <f>IF(AND('Mapa riesgos'!$M$55="Muy Baja",'Mapa riesgos'!$Q$55="Catastrófico"),CONCATENATE("R",'Mapa riesgos'!$A$55),"")</f>
        <v/>
      </c>
      <c r="AK42" s="481"/>
      <c r="AL42" s="481" t="str">
        <f>IF(AND('Mapa riesgos'!$M$61="Muy Baja",'Mapa riesgos'!$Q$61="Catastrófico"),CONCATENATE("R",'Mapa riesgos'!$A$61),"")</f>
        <v/>
      </c>
      <c r="AM42" s="482"/>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row>
    <row r="43" spans="1:80" x14ac:dyDescent="0.25">
      <c r="A43" s="66"/>
      <c r="B43" s="422"/>
      <c r="C43" s="422"/>
      <c r="D43" s="423"/>
      <c r="E43" s="463"/>
      <c r="F43" s="464"/>
      <c r="G43" s="464"/>
      <c r="H43" s="464"/>
      <c r="I43" s="465"/>
      <c r="J43" s="500"/>
      <c r="K43" s="498"/>
      <c r="L43" s="498"/>
      <c r="M43" s="498"/>
      <c r="N43" s="498"/>
      <c r="O43" s="499"/>
      <c r="P43" s="500"/>
      <c r="Q43" s="498"/>
      <c r="R43" s="498"/>
      <c r="S43" s="498"/>
      <c r="T43" s="498"/>
      <c r="U43" s="499"/>
      <c r="V43" s="489"/>
      <c r="W43" s="490"/>
      <c r="X43" s="490"/>
      <c r="Y43" s="490"/>
      <c r="Z43" s="490"/>
      <c r="AA43" s="491"/>
      <c r="AB43" s="473"/>
      <c r="AC43" s="469"/>
      <c r="AD43" s="469"/>
      <c r="AE43" s="469"/>
      <c r="AF43" s="469"/>
      <c r="AG43" s="470"/>
      <c r="AH43" s="480"/>
      <c r="AI43" s="481"/>
      <c r="AJ43" s="481"/>
      <c r="AK43" s="481"/>
      <c r="AL43" s="481"/>
      <c r="AM43" s="482"/>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row>
    <row r="44" spans="1:80" x14ac:dyDescent="0.25">
      <c r="A44" s="66"/>
      <c r="B44" s="422"/>
      <c r="C44" s="422"/>
      <c r="D44" s="423"/>
      <c r="E44" s="463"/>
      <c r="F44" s="464"/>
      <c r="G44" s="464"/>
      <c r="H44" s="464"/>
      <c r="I44" s="465"/>
      <c r="J44" s="500" t="str">
        <f>IF(AND('Mapa riesgos'!$M$67="Muy Baja",'Mapa riesgos'!$Q$67="Leve"),CONCATENATE("R",'Mapa riesgos'!$A$67),"")</f>
        <v/>
      </c>
      <c r="K44" s="498"/>
      <c r="L44" s="498" t="str">
        <f>IF(AND('Mapa riesgos'!$M$73="Muy Baja",'Mapa riesgos'!$Q$73="Leve"),CONCATENATE("R",'Mapa riesgos'!$A$73),"")</f>
        <v/>
      </c>
      <c r="M44" s="498"/>
      <c r="N44" s="498" t="str">
        <f>IF(AND('Mapa riesgos'!$M$79="Muy Baja",'Mapa riesgos'!$Q$79="Leve"),CONCATENATE("R",'Mapa riesgos'!$A$79),"")</f>
        <v/>
      </c>
      <c r="O44" s="499"/>
      <c r="P44" s="500" t="str">
        <f>IF(AND('Mapa riesgos'!$M$67="Muy Baja",'Mapa riesgos'!$Q$67="Menor"),CONCATENATE("R",'Mapa riesgos'!$A$67),"")</f>
        <v/>
      </c>
      <c r="Q44" s="498"/>
      <c r="R44" s="498" t="str">
        <f>IF(AND('Mapa riesgos'!$M$73="Muy Baja",'Mapa riesgos'!$Q$73="Menor"),CONCATENATE("R",'Mapa riesgos'!$A$73),"")</f>
        <v/>
      </c>
      <c r="S44" s="498"/>
      <c r="T44" s="498" t="str">
        <f>IF(AND('Mapa riesgos'!$M$79="Muy Baja",'Mapa riesgos'!$Q$79="Menor"),CONCATENATE("R",'Mapa riesgos'!$A$79),"")</f>
        <v/>
      </c>
      <c r="U44" s="499"/>
      <c r="V44" s="489" t="str">
        <f>IF(AND('Mapa riesgos'!$M$67="Muy Baja",'Mapa riesgos'!$Q$67="Moderado"),CONCATENATE("R",'Mapa riesgos'!$A$67),"")</f>
        <v/>
      </c>
      <c r="W44" s="490"/>
      <c r="X44" s="490" t="str">
        <f>IF(AND('Mapa riesgos'!$M$73="Muy Baja",'Mapa riesgos'!$Q$73="Moderado"),CONCATENATE("R",'Mapa riesgos'!$A$73),"")</f>
        <v/>
      </c>
      <c r="Y44" s="490"/>
      <c r="Z44" s="490" t="str">
        <f>IF(AND('Mapa riesgos'!$M$79="Muy Baja",'Mapa riesgos'!$Q$79="Moderado"),CONCATENATE("R",'Mapa riesgos'!$A$79),"")</f>
        <v/>
      </c>
      <c r="AA44" s="491"/>
      <c r="AB44" s="473" t="str">
        <f>IF(AND('Mapa riesgos'!$M$67="Muy Baja",'Mapa riesgos'!$Q$67="Mayor"),CONCATENATE("R",'Mapa riesgos'!$A$67),"")</f>
        <v/>
      </c>
      <c r="AC44" s="469"/>
      <c r="AD44" s="469" t="str">
        <f>IF(AND('Mapa riesgos'!$M$73="Muy Baja",'Mapa riesgos'!$Q$73="Mayor"),CONCATENATE("R",'Mapa riesgos'!$A$73),"")</f>
        <v/>
      </c>
      <c r="AE44" s="469"/>
      <c r="AF44" s="469" t="str">
        <f>IF(AND('Mapa riesgos'!$M$79="Muy Baja",'Mapa riesgos'!$Q$79="Mayor"),CONCATENATE("R",'Mapa riesgos'!$A$79),"")</f>
        <v/>
      </c>
      <c r="AG44" s="470"/>
      <c r="AH44" s="480" t="str">
        <f>IF(AND('Mapa riesgos'!$M$67="Muy Baja",'Mapa riesgos'!$Q$67="Catastrófico"),CONCATENATE("R",'Mapa riesgos'!$A$67),"")</f>
        <v/>
      </c>
      <c r="AI44" s="481"/>
      <c r="AJ44" s="481" t="str">
        <f>IF(AND('Mapa riesgos'!$M$73="Muy Baja",'Mapa riesgos'!$Q$73="Catastrófico"),CONCATENATE("R",'Mapa riesgos'!$A$73),"")</f>
        <v/>
      </c>
      <c r="AK44" s="481"/>
      <c r="AL44" s="481" t="str">
        <f>IF(AND('Mapa riesgos'!$M$79="Muy Baja",'Mapa riesgos'!$Q$79="Catastrófico"),CONCATENATE("R",'Mapa riesgos'!$A$79),"")</f>
        <v/>
      </c>
      <c r="AM44" s="482"/>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row>
    <row r="45" spans="1:80" ht="15.75" thickBot="1" x14ac:dyDescent="0.3">
      <c r="A45" s="66"/>
      <c r="B45" s="422"/>
      <c r="C45" s="422"/>
      <c r="D45" s="423"/>
      <c r="E45" s="466"/>
      <c r="F45" s="467"/>
      <c r="G45" s="467"/>
      <c r="H45" s="467"/>
      <c r="I45" s="468"/>
      <c r="J45" s="501"/>
      <c r="K45" s="502"/>
      <c r="L45" s="502"/>
      <c r="M45" s="502"/>
      <c r="N45" s="502"/>
      <c r="O45" s="503"/>
      <c r="P45" s="501"/>
      <c r="Q45" s="502"/>
      <c r="R45" s="502"/>
      <c r="S45" s="502"/>
      <c r="T45" s="502"/>
      <c r="U45" s="503"/>
      <c r="V45" s="492"/>
      <c r="W45" s="493"/>
      <c r="X45" s="493"/>
      <c r="Y45" s="493"/>
      <c r="Z45" s="493"/>
      <c r="AA45" s="494"/>
      <c r="AB45" s="477"/>
      <c r="AC45" s="478"/>
      <c r="AD45" s="478"/>
      <c r="AE45" s="478"/>
      <c r="AF45" s="478"/>
      <c r="AG45" s="479"/>
      <c r="AH45" s="483"/>
      <c r="AI45" s="484"/>
      <c r="AJ45" s="484"/>
      <c r="AK45" s="484"/>
      <c r="AL45" s="484"/>
      <c r="AM45" s="485"/>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row>
    <row r="46" spans="1:80" x14ac:dyDescent="0.25">
      <c r="A46" s="66"/>
      <c r="B46" s="66"/>
      <c r="C46" s="66"/>
      <c r="D46" s="66"/>
      <c r="E46" s="66"/>
      <c r="F46" s="66"/>
      <c r="G46" s="66"/>
      <c r="H46" s="66"/>
      <c r="I46" s="66"/>
      <c r="J46" s="460" t="s">
        <v>186</v>
      </c>
      <c r="K46" s="461"/>
      <c r="L46" s="461"/>
      <c r="M46" s="461"/>
      <c r="N46" s="461"/>
      <c r="O46" s="462"/>
      <c r="P46" s="460" t="s">
        <v>187</v>
      </c>
      <c r="Q46" s="461"/>
      <c r="R46" s="461"/>
      <c r="S46" s="461"/>
      <c r="T46" s="461"/>
      <c r="U46" s="462"/>
      <c r="V46" s="460" t="s">
        <v>188</v>
      </c>
      <c r="W46" s="461"/>
      <c r="X46" s="461"/>
      <c r="Y46" s="461"/>
      <c r="Z46" s="461"/>
      <c r="AA46" s="462"/>
      <c r="AB46" s="460" t="s">
        <v>189</v>
      </c>
      <c r="AC46" s="476"/>
      <c r="AD46" s="461"/>
      <c r="AE46" s="461"/>
      <c r="AF46" s="461"/>
      <c r="AG46" s="462"/>
      <c r="AH46" s="460" t="s">
        <v>190</v>
      </c>
      <c r="AI46" s="461"/>
      <c r="AJ46" s="461"/>
      <c r="AK46" s="461"/>
      <c r="AL46" s="461"/>
      <c r="AM46" s="462"/>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row>
    <row r="47" spans="1:80" x14ac:dyDescent="0.25">
      <c r="A47" s="66"/>
      <c r="B47" s="66"/>
      <c r="C47" s="66"/>
      <c r="D47" s="66"/>
      <c r="E47" s="66"/>
      <c r="F47" s="66"/>
      <c r="G47" s="66"/>
      <c r="H47" s="66"/>
      <c r="I47" s="66"/>
      <c r="J47" s="463"/>
      <c r="K47" s="464"/>
      <c r="L47" s="464"/>
      <c r="M47" s="464"/>
      <c r="N47" s="464"/>
      <c r="O47" s="465"/>
      <c r="P47" s="463"/>
      <c r="Q47" s="464"/>
      <c r="R47" s="464"/>
      <c r="S47" s="464"/>
      <c r="T47" s="464"/>
      <c r="U47" s="465"/>
      <c r="V47" s="463"/>
      <c r="W47" s="464"/>
      <c r="X47" s="464"/>
      <c r="Y47" s="464"/>
      <c r="Z47" s="464"/>
      <c r="AA47" s="465"/>
      <c r="AB47" s="463"/>
      <c r="AC47" s="464"/>
      <c r="AD47" s="464"/>
      <c r="AE47" s="464"/>
      <c r="AF47" s="464"/>
      <c r="AG47" s="465"/>
      <c r="AH47" s="463"/>
      <c r="AI47" s="464"/>
      <c r="AJ47" s="464"/>
      <c r="AK47" s="464"/>
      <c r="AL47" s="464"/>
      <c r="AM47" s="465"/>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row>
    <row r="48" spans="1:80" x14ac:dyDescent="0.25">
      <c r="A48" s="66"/>
      <c r="B48" s="66"/>
      <c r="C48" s="66"/>
      <c r="D48" s="66"/>
      <c r="E48" s="66"/>
      <c r="F48" s="66"/>
      <c r="G48" s="66"/>
      <c r="H48" s="66"/>
      <c r="I48" s="66"/>
      <c r="J48" s="463"/>
      <c r="K48" s="464"/>
      <c r="L48" s="464"/>
      <c r="M48" s="464"/>
      <c r="N48" s="464"/>
      <c r="O48" s="465"/>
      <c r="P48" s="463"/>
      <c r="Q48" s="464"/>
      <c r="R48" s="464"/>
      <c r="S48" s="464"/>
      <c r="T48" s="464"/>
      <c r="U48" s="465"/>
      <c r="V48" s="463"/>
      <c r="W48" s="464"/>
      <c r="X48" s="464"/>
      <c r="Y48" s="464"/>
      <c r="Z48" s="464"/>
      <c r="AA48" s="465"/>
      <c r="AB48" s="463"/>
      <c r="AC48" s="464"/>
      <c r="AD48" s="464"/>
      <c r="AE48" s="464"/>
      <c r="AF48" s="464"/>
      <c r="AG48" s="465"/>
      <c r="AH48" s="463"/>
      <c r="AI48" s="464"/>
      <c r="AJ48" s="464"/>
      <c r="AK48" s="464"/>
      <c r="AL48" s="464"/>
      <c r="AM48" s="465"/>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row>
    <row r="49" spans="1:80" x14ac:dyDescent="0.25">
      <c r="A49" s="66"/>
      <c r="B49" s="66"/>
      <c r="C49" s="66"/>
      <c r="D49" s="66"/>
      <c r="E49" s="66"/>
      <c r="F49" s="66"/>
      <c r="G49" s="66"/>
      <c r="H49" s="66"/>
      <c r="I49" s="66"/>
      <c r="J49" s="463"/>
      <c r="K49" s="464"/>
      <c r="L49" s="464"/>
      <c r="M49" s="464"/>
      <c r="N49" s="464"/>
      <c r="O49" s="465"/>
      <c r="P49" s="463"/>
      <c r="Q49" s="464"/>
      <c r="R49" s="464"/>
      <c r="S49" s="464"/>
      <c r="T49" s="464"/>
      <c r="U49" s="465"/>
      <c r="V49" s="463"/>
      <c r="W49" s="464"/>
      <c r="X49" s="464"/>
      <c r="Y49" s="464"/>
      <c r="Z49" s="464"/>
      <c r="AA49" s="465"/>
      <c r="AB49" s="463"/>
      <c r="AC49" s="464"/>
      <c r="AD49" s="464"/>
      <c r="AE49" s="464"/>
      <c r="AF49" s="464"/>
      <c r="AG49" s="465"/>
      <c r="AH49" s="463"/>
      <c r="AI49" s="464"/>
      <c r="AJ49" s="464"/>
      <c r="AK49" s="464"/>
      <c r="AL49" s="464"/>
      <c r="AM49" s="465"/>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row>
    <row r="50" spans="1:80" x14ac:dyDescent="0.25">
      <c r="A50" s="66"/>
      <c r="B50" s="66"/>
      <c r="C50" s="66"/>
      <c r="D50" s="66"/>
      <c r="E50" s="66"/>
      <c r="F50" s="66"/>
      <c r="G50" s="66"/>
      <c r="H50" s="66"/>
      <c r="I50" s="66"/>
      <c r="J50" s="463"/>
      <c r="K50" s="464"/>
      <c r="L50" s="464"/>
      <c r="M50" s="464"/>
      <c r="N50" s="464"/>
      <c r="O50" s="465"/>
      <c r="P50" s="463"/>
      <c r="Q50" s="464"/>
      <c r="R50" s="464"/>
      <c r="S50" s="464"/>
      <c r="T50" s="464"/>
      <c r="U50" s="465"/>
      <c r="V50" s="463"/>
      <c r="W50" s="464"/>
      <c r="X50" s="464"/>
      <c r="Y50" s="464"/>
      <c r="Z50" s="464"/>
      <c r="AA50" s="465"/>
      <c r="AB50" s="463"/>
      <c r="AC50" s="464"/>
      <c r="AD50" s="464"/>
      <c r="AE50" s="464"/>
      <c r="AF50" s="464"/>
      <c r="AG50" s="465"/>
      <c r="AH50" s="463"/>
      <c r="AI50" s="464"/>
      <c r="AJ50" s="464"/>
      <c r="AK50" s="464"/>
      <c r="AL50" s="464"/>
      <c r="AM50" s="465"/>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row>
    <row r="51" spans="1:80" ht="15.75" thickBot="1" x14ac:dyDescent="0.3">
      <c r="A51" s="66"/>
      <c r="B51" s="66"/>
      <c r="C51" s="66"/>
      <c r="D51" s="66"/>
      <c r="E51" s="66"/>
      <c r="F51" s="66"/>
      <c r="G51" s="66"/>
      <c r="H51" s="66"/>
      <c r="I51" s="66"/>
      <c r="J51" s="466"/>
      <c r="K51" s="467"/>
      <c r="L51" s="467"/>
      <c r="M51" s="467"/>
      <c r="N51" s="467"/>
      <c r="O51" s="468"/>
      <c r="P51" s="466"/>
      <c r="Q51" s="467"/>
      <c r="R51" s="467"/>
      <c r="S51" s="467"/>
      <c r="T51" s="467"/>
      <c r="U51" s="468"/>
      <c r="V51" s="466"/>
      <c r="W51" s="467"/>
      <c r="X51" s="467"/>
      <c r="Y51" s="467"/>
      <c r="Z51" s="467"/>
      <c r="AA51" s="468"/>
      <c r="AB51" s="466"/>
      <c r="AC51" s="467"/>
      <c r="AD51" s="467"/>
      <c r="AE51" s="467"/>
      <c r="AF51" s="467"/>
      <c r="AG51" s="468"/>
      <c r="AH51" s="466"/>
      <c r="AI51" s="467"/>
      <c r="AJ51" s="467"/>
      <c r="AK51" s="467"/>
      <c r="AL51" s="467"/>
      <c r="AM51" s="468"/>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row>
    <row r="52" spans="1:80"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row>
    <row r="53" spans="1:80" ht="15" customHeight="1" x14ac:dyDescent="0.25">
      <c r="A53" s="66"/>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row>
    <row r="54" spans="1:80" ht="15" customHeight="1" x14ac:dyDescent="0.25">
      <c r="A54" s="66"/>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row>
    <row r="55" spans="1:80"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row>
    <row r="56" spans="1:80"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row>
    <row r="57" spans="1:80"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row>
    <row r="58" spans="1:80"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row>
    <row r="59" spans="1:80"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row>
    <row r="60" spans="1:80"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row>
    <row r="61" spans="1:80"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row>
    <row r="62" spans="1:80"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row>
    <row r="63" spans="1:80"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row>
    <row r="64" spans="1:80"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row>
    <row r="65" spans="1:80"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row>
    <row r="66" spans="1:80"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row>
    <row r="67" spans="1:80"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row>
    <row r="68" spans="1:80"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row>
    <row r="69" spans="1:80"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row>
    <row r="70" spans="1:80"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row>
    <row r="71" spans="1:80"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row>
    <row r="72" spans="1:80"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row>
    <row r="73" spans="1:80"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row>
    <row r="74" spans="1:80"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row>
    <row r="75" spans="1:80"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row>
    <row r="76" spans="1:80"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row>
    <row r="77" spans="1:80"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row>
    <row r="78" spans="1:80"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row>
    <row r="79" spans="1:80"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row>
    <row r="80" spans="1:80"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row>
    <row r="81" spans="1:63"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row>
    <row r="82" spans="1:63"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row>
    <row r="83" spans="1:63"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row>
    <row r="84" spans="1:63"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row>
    <row r="85" spans="1:63"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row>
    <row r="86" spans="1:63"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row>
    <row r="87" spans="1:63"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row>
    <row r="88" spans="1:63"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row>
    <row r="89" spans="1:63"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row>
    <row r="90" spans="1:63"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row>
    <row r="91" spans="1:63"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row>
    <row r="92" spans="1:63"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row>
    <row r="93" spans="1:63"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row>
    <row r="94" spans="1:63"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row>
    <row r="95" spans="1:63"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row>
    <row r="96" spans="1:63"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row>
    <row r="97" spans="1:63"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row>
    <row r="98" spans="1:63"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row>
    <row r="99" spans="1:63"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row>
    <row r="100" spans="1:63"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row>
    <row r="101" spans="1:63"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row>
    <row r="102" spans="1:63"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row>
    <row r="103" spans="1:63"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row>
    <row r="104" spans="1:63"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row>
    <row r="105" spans="1:63"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row>
    <row r="106" spans="1:63"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row>
    <row r="107" spans="1:63"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row>
    <row r="108" spans="1:63"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row>
    <row r="109" spans="1:63"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row>
    <row r="110" spans="1:63"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row>
    <row r="111" spans="1:63"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row>
    <row r="112" spans="1:63"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row>
    <row r="113" spans="1:63"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row>
    <row r="114" spans="1:63"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row>
    <row r="115" spans="1:63"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row>
    <row r="116" spans="1:63"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row>
    <row r="117" spans="1:63"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row>
    <row r="118" spans="1:63"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row>
    <row r="119" spans="1:63"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row>
    <row r="120" spans="1:63"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row>
    <row r="121" spans="1:63"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row>
    <row r="122" spans="1:63" x14ac:dyDescent="0.25">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row>
    <row r="123" spans="1:63" x14ac:dyDescent="0.25">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row>
    <row r="124" spans="1:63" x14ac:dyDescent="0.25">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row>
    <row r="125" spans="1:63" x14ac:dyDescent="0.25">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row>
    <row r="126" spans="1:63" x14ac:dyDescent="0.25">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row>
    <row r="127" spans="1:63" x14ac:dyDescent="0.25">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row>
    <row r="128" spans="1:63" x14ac:dyDescent="0.25">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row>
    <row r="129" spans="2:63" x14ac:dyDescent="0.25">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row>
    <row r="130" spans="2:63" x14ac:dyDescent="0.25">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row>
    <row r="131" spans="2:63" x14ac:dyDescent="0.25">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row>
    <row r="132" spans="2:63" x14ac:dyDescent="0.25">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row>
    <row r="133" spans="2:63" x14ac:dyDescent="0.25">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row>
    <row r="134" spans="2:63" x14ac:dyDescent="0.25">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row>
    <row r="135" spans="2:63" x14ac:dyDescent="0.25">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row>
    <row r="136" spans="2:63" x14ac:dyDescent="0.25">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row>
    <row r="137" spans="2:63" x14ac:dyDescent="0.25">
      <c r="B137" s="66"/>
      <c r="C137" s="66"/>
      <c r="D137" s="66"/>
      <c r="E137" s="66"/>
      <c r="F137" s="66"/>
      <c r="G137" s="66"/>
      <c r="H137" s="66"/>
      <c r="I137" s="66"/>
    </row>
    <row r="138" spans="2:63" x14ac:dyDescent="0.25">
      <c r="B138" s="66"/>
      <c r="C138" s="66"/>
      <c r="D138" s="66"/>
      <c r="E138" s="66"/>
      <c r="F138" s="66"/>
      <c r="G138" s="66"/>
      <c r="H138" s="66"/>
      <c r="I138" s="66"/>
    </row>
    <row r="139" spans="2:63" x14ac:dyDescent="0.25">
      <c r="B139" s="66"/>
      <c r="C139" s="66"/>
      <c r="D139" s="66"/>
      <c r="E139" s="66"/>
      <c r="F139" s="66"/>
      <c r="G139" s="66"/>
      <c r="H139" s="66"/>
      <c r="I139" s="66"/>
    </row>
    <row r="140" spans="2:63" x14ac:dyDescent="0.25">
      <c r="B140" s="66"/>
      <c r="C140" s="66"/>
      <c r="D140" s="66"/>
      <c r="E140" s="66"/>
      <c r="F140" s="66"/>
      <c r="G140" s="66"/>
      <c r="H140" s="66"/>
      <c r="I140" s="66"/>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M30" zoomScale="60" zoomScaleNormal="60" workbookViewId="0">
      <selection activeCell="M44" sqref="M44"/>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row>
    <row r="2" spans="1:91" ht="18" customHeight="1" x14ac:dyDescent="0.25">
      <c r="A2" s="66"/>
      <c r="B2" s="533" t="s">
        <v>191</v>
      </c>
      <c r="C2" s="534"/>
      <c r="D2" s="534"/>
      <c r="E2" s="534"/>
      <c r="F2" s="534"/>
      <c r="G2" s="534"/>
      <c r="H2" s="534"/>
      <c r="I2" s="534"/>
      <c r="J2" s="475" t="s">
        <v>15</v>
      </c>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row>
    <row r="3" spans="1:91" ht="18.75" customHeight="1" x14ac:dyDescent="0.25">
      <c r="A3" s="66"/>
      <c r="B3" s="534"/>
      <c r="C3" s="534"/>
      <c r="D3" s="534"/>
      <c r="E3" s="534"/>
      <c r="F3" s="534"/>
      <c r="G3" s="534"/>
      <c r="H3" s="534"/>
      <c r="I3" s="534"/>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row>
    <row r="4" spans="1:91" ht="15" customHeight="1" x14ac:dyDescent="0.25">
      <c r="A4" s="66"/>
      <c r="B4" s="534"/>
      <c r="C4" s="534"/>
      <c r="D4" s="534"/>
      <c r="E4" s="534"/>
      <c r="F4" s="534"/>
      <c r="G4" s="534"/>
      <c r="H4" s="534"/>
      <c r="I4" s="53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row>
    <row r="5" spans="1:91" ht="15.75" thickBot="1" x14ac:dyDescent="0.3">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row>
    <row r="6" spans="1:91" ht="15" customHeight="1" x14ac:dyDescent="0.25">
      <c r="A6" s="66"/>
      <c r="B6" s="422" t="s">
        <v>176</v>
      </c>
      <c r="C6" s="422"/>
      <c r="D6" s="423"/>
      <c r="E6" s="517" t="s">
        <v>177</v>
      </c>
      <c r="F6" s="518"/>
      <c r="G6" s="518"/>
      <c r="H6" s="518"/>
      <c r="I6" s="535"/>
      <c r="J6" s="29" t="str">
        <f>IF(AND('Mapa riesgos'!$AD$13="Muy Alta",'Mapa riesgos'!$AF$13="Leve"),CONCATENATE("R1C",'Mapa riesgos'!$T$13),"")</f>
        <v/>
      </c>
      <c r="K6" s="30" t="str">
        <f>IF(AND('Mapa riesgos'!$AD$14="Muy Alta",'Mapa riesgos'!$AF$14="Leve"),CONCATENATE("R1C",'Mapa riesgos'!$T$14),"")</f>
        <v/>
      </c>
      <c r="L6" s="30" t="str">
        <f>IF(AND('Mapa riesgos'!$AD$15="Muy Alta",'Mapa riesgos'!$AF$15="Leve"),CONCATENATE("R1C",'Mapa riesgos'!$T$15),"")</f>
        <v/>
      </c>
      <c r="M6" s="30" t="str">
        <f>IF(AND('Mapa riesgos'!$AD$16="Muy Alta",'Mapa riesgos'!$AF$16="Leve"),CONCATENATE("R1C",'Mapa riesgos'!$T$16),"")</f>
        <v/>
      </c>
      <c r="N6" s="30" t="str">
        <f>IF(AND('Mapa riesgos'!$AD$17="Muy Alta",'Mapa riesgos'!$AF$17="Leve"),CONCATENATE("R1C",'Mapa riesgos'!$T$17),"")</f>
        <v/>
      </c>
      <c r="O6" s="31" t="str">
        <f>IF(AND('Mapa riesgos'!$AD$18="Muy Alta",'Mapa riesgos'!$AF$18="Leve"),CONCATENATE("R1C",'Mapa riesgos'!$T$18),"")</f>
        <v/>
      </c>
      <c r="P6" s="29" t="str">
        <f>IF(AND('Mapa riesgos'!$AD$13="Muy Alta",'Mapa riesgos'!$AF$13="Menor"),CONCATENATE("R1C",'Mapa riesgos'!$T$13),"")</f>
        <v/>
      </c>
      <c r="Q6" s="30" t="str">
        <f>IF(AND('Mapa riesgos'!$AD$14="Muy Alta",'Mapa riesgos'!$AF$14="Menor"),CONCATENATE("R1C",'Mapa riesgos'!$T$14),"")</f>
        <v/>
      </c>
      <c r="R6" s="30" t="str">
        <f>IF(AND('Mapa riesgos'!$AD$15="Muy Alta",'Mapa riesgos'!$AF$15="Menor"),CONCATENATE("R1C",'Mapa riesgos'!$T$15),"")</f>
        <v/>
      </c>
      <c r="S6" s="30" t="str">
        <f>IF(AND('Mapa riesgos'!$AD$16="Muy Alta",'Mapa riesgos'!$AF$16="Menor"),CONCATENATE("R1C",'Mapa riesgos'!$T$16),"")</f>
        <v/>
      </c>
      <c r="T6" s="30" t="str">
        <f>IF(AND('Mapa riesgos'!$AD$17="Muy Alta",'Mapa riesgos'!$AF$17="Menor"),CONCATENATE("R1C",'Mapa riesgos'!$T$17),"")</f>
        <v/>
      </c>
      <c r="U6" s="31" t="str">
        <f>IF(AND('Mapa riesgos'!$AD$18="Muy Alta",'Mapa riesgos'!$AF$18="Menor"),CONCATENATE("R1C",'Mapa riesgos'!$T$18),"")</f>
        <v/>
      </c>
      <c r="V6" s="29" t="str">
        <f>IF(AND('Mapa riesgos'!$AD$13="Muy Alta",'Mapa riesgos'!$AF$13="Moderado"),CONCATENATE("R1C",'Mapa riesgos'!$T$13),"")</f>
        <v/>
      </c>
      <c r="W6" s="30" t="str">
        <f>IF(AND('Mapa riesgos'!$AD$14="Muy Alta",'Mapa riesgos'!$AF$14="Moderado"),CONCATENATE("R1C",'Mapa riesgos'!$T$14),"")</f>
        <v/>
      </c>
      <c r="X6" s="30" t="str">
        <f>IF(AND('Mapa riesgos'!$AD$15="Muy Alta",'Mapa riesgos'!$AF$15="Moderado"),CONCATENATE("R1C",'Mapa riesgos'!$T$15),"")</f>
        <v/>
      </c>
      <c r="Y6" s="30" t="str">
        <f>IF(AND('Mapa riesgos'!$AD$16="Muy Alta",'Mapa riesgos'!$AF$16="Moderado"),CONCATENATE("R1C",'Mapa riesgos'!$T$16),"")</f>
        <v/>
      </c>
      <c r="Z6" s="30" t="str">
        <f>IF(AND('Mapa riesgos'!$AD$17="Muy Alta",'Mapa riesgos'!$AF$17="Moderado"),CONCATENATE("R1C",'Mapa riesgos'!$T$17),"")</f>
        <v/>
      </c>
      <c r="AA6" s="31" t="str">
        <f>IF(AND('Mapa riesgos'!$AD$18="Muy Alta",'Mapa riesgos'!$AF$18="Moderado"),CONCATENATE("R1C",'Mapa riesgos'!$T$18),"")</f>
        <v/>
      </c>
      <c r="AB6" s="29" t="str">
        <f>IF(AND('Mapa riesgos'!$AD$13="Muy Alta",'Mapa riesgos'!$AF$13="Mayor"),CONCATENATE("R1C",'Mapa riesgos'!$T$13),"")</f>
        <v/>
      </c>
      <c r="AC6" s="30" t="str">
        <f>IF(AND('Mapa riesgos'!$AD$14="Muy Alta",'Mapa riesgos'!$AF$14="Mayor"),CONCATENATE("R1C",'Mapa riesgos'!$T$14),"")</f>
        <v/>
      </c>
      <c r="AD6" s="30" t="str">
        <f>IF(AND('Mapa riesgos'!$AD$15="Muy Alta",'Mapa riesgos'!$AF$15="Mayor"),CONCATENATE("R1C",'Mapa riesgos'!$T$15),"")</f>
        <v/>
      </c>
      <c r="AE6" s="30" t="str">
        <f>IF(AND('Mapa riesgos'!$AD$16="Muy Alta",'Mapa riesgos'!$AF$16="Mayor"),CONCATENATE("R1C",'Mapa riesgos'!$T$16),"")</f>
        <v/>
      </c>
      <c r="AF6" s="30" t="str">
        <f>IF(AND('Mapa riesgos'!$AD$17="Muy Alta",'Mapa riesgos'!$AF$17="Mayor"),CONCATENATE("R1C",'Mapa riesgos'!$T$17),"")</f>
        <v/>
      </c>
      <c r="AG6" s="31" t="str">
        <f>IF(AND('Mapa riesgos'!$AD$18="Muy Alta",'Mapa riesgos'!$AF$18="Mayor"),CONCATENATE("R1C",'Mapa riesgos'!$T$18),"")</f>
        <v/>
      </c>
      <c r="AH6" s="32" t="str">
        <f>IF(AND('Mapa riesgos'!$AD$13="Muy Alta",'Mapa riesgos'!$AF$13="Catastrófico"),CONCATENATE("R1C",'Mapa riesgos'!$T$13),"")</f>
        <v/>
      </c>
      <c r="AI6" s="33" t="str">
        <f>IF(AND('Mapa riesgos'!$AD$14="Muy Alta",'Mapa riesgos'!$AF$14="Catastrófico"),CONCATENATE("R1C",'Mapa riesgos'!$T$14),"")</f>
        <v/>
      </c>
      <c r="AJ6" s="33" t="str">
        <f>IF(AND('Mapa riesgos'!$AD$15="Muy Alta",'Mapa riesgos'!$AF$15="Catastrófico"),CONCATENATE("R1C",'Mapa riesgos'!$T$15),"")</f>
        <v/>
      </c>
      <c r="AK6" s="33" t="str">
        <f>IF(AND('Mapa riesgos'!$AD$16="Muy Alta",'Mapa riesgos'!$AF$16="Catastrófico"),CONCATENATE("R1C",'Mapa riesgos'!$T$16),"")</f>
        <v/>
      </c>
      <c r="AL6" s="33" t="str">
        <f>IF(AND('Mapa riesgos'!$AD$17="Muy Alta",'Mapa riesgos'!$AF$17="Catastrófico"),CONCATENATE("R1C",'Mapa riesgos'!$T$17),"")</f>
        <v/>
      </c>
      <c r="AM6" s="34" t="str">
        <f>IF(AND('Mapa riesgos'!$AD$18="Muy Alta",'Mapa riesgos'!$AF$18="Catastrófico"),CONCATENATE("R1C",'Mapa riesgos'!$T$18),"")</f>
        <v/>
      </c>
      <c r="AN6" s="66"/>
      <c r="AO6" s="524" t="s">
        <v>178</v>
      </c>
      <c r="AP6" s="525"/>
      <c r="AQ6" s="525"/>
      <c r="AR6" s="525"/>
      <c r="AS6" s="525"/>
      <c r="AT6" s="52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row>
    <row r="7" spans="1:91" ht="15" customHeight="1" x14ac:dyDescent="0.25">
      <c r="A7" s="66"/>
      <c r="B7" s="422"/>
      <c r="C7" s="422"/>
      <c r="D7" s="423"/>
      <c r="E7" s="521"/>
      <c r="F7" s="520"/>
      <c r="G7" s="520"/>
      <c r="H7" s="520"/>
      <c r="I7" s="536"/>
      <c r="J7" s="35" t="str">
        <f>IF(AND('Mapa riesgos'!$AD$19="Muy Alta",'Mapa riesgos'!$AF$19="Leve"),CONCATENATE("R2C",'Mapa riesgos'!$T$19),"")</f>
        <v/>
      </c>
      <c r="K7" s="36" t="str">
        <f>IF(AND('Mapa riesgos'!$AD$20="Muy Alta",'Mapa riesgos'!$AF$20="Leve"),CONCATENATE("R2C",'Mapa riesgos'!$T$20),"")</f>
        <v/>
      </c>
      <c r="L7" s="36" t="str">
        <f>IF(AND('Mapa riesgos'!$AD$21="Muy Alta",'Mapa riesgos'!$AF$21="Leve"),CONCATENATE("R2C",'Mapa riesgos'!$T$21),"")</f>
        <v/>
      </c>
      <c r="M7" s="36" t="str">
        <f>IF(AND('Mapa riesgos'!$AD$22="Muy Alta",'Mapa riesgos'!$AF$22="Leve"),CONCATENATE("R2C",'Mapa riesgos'!$T$22),"")</f>
        <v/>
      </c>
      <c r="N7" s="36" t="str">
        <f>IF(AND('Mapa riesgos'!$AD$23="Muy Alta",'Mapa riesgos'!$AF$23="Leve"),CONCATENATE("R2C",'Mapa riesgos'!$T$23),"")</f>
        <v/>
      </c>
      <c r="O7" s="37" t="str">
        <f>IF(AND('Mapa riesgos'!$AD$24="Muy Alta",'Mapa riesgos'!$AF$24="Leve"),CONCATENATE("R2C",'Mapa riesgos'!$T$24),"")</f>
        <v/>
      </c>
      <c r="P7" s="35" t="str">
        <f>IF(AND('Mapa riesgos'!$AD$19="Muy Alta",'Mapa riesgos'!$AF$19="Menor"),CONCATENATE("R2C",'Mapa riesgos'!$T$19),"")</f>
        <v/>
      </c>
      <c r="Q7" s="36" t="str">
        <f>IF(AND('Mapa riesgos'!$AD$20="Muy Alta",'Mapa riesgos'!$AF$20="Menor"),CONCATENATE("R2C",'Mapa riesgos'!$T$20),"")</f>
        <v/>
      </c>
      <c r="R7" s="36" t="str">
        <f>IF(AND('Mapa riesgos'!$AD$21="Muy Alta",'Mapa riesgos'!$AF$21="Menor"),CONCATENATE("R2C",'Mapa riesgos'!$T$21),"")</f>
        <v/>
      </c>
      <c r="S7" s="36" t="str">
        <f>IF(AND('Mapa riesgos'!$AD$22="Muy Alta",'Mapa riesgos'!$AF$22="Menor"),CONCATENATE("R2C",'Mapa riesgos'!$T$22),"")</f>
        <v/>
      </c>
      <c r="T7" s="36" t="str">
        <f>IF(AND('Mapa riesgos'!$AD$23="Muy Alta",'Mapa riesgos'!$AF$23="Menor"),CONCATENATE("R2C",'Mapa riesgos'!$T$23),"")</f>
        <v/>
      </c>
      <c r="U7" s="37" t="str">
        <f>IF(AND('Mapa riesgos'!$AD$24="Muy Alta",'Mapa riesgos'!$AF$24="Menor"),CONCATENATE("R2C",'Mapa riesgos'!$T$24),"")</f>
        <v/>
      </c>
      <c r="V7" s="35" t="str">
        <f>IF(AND('Mapa riesgos'!$AD$19="Muy Alta",'Mapa riesgos'!$AF$19="Moderado"),CONCATENATE("R2C",'Mapa riesgos'!$T$19),"")</f>
        <v/>
      </c>
      <c r="W7" s="36" t="str">
        <f>IF(AND('Mapa riesgos'!$AD$20="Muy Alta",'Mapa riesgos'!$AF$20="Moderado"),CONCATENATE("R2C",'Mapa riesgos'!$T$20),"")</f>
        <v/>
      </c>
      <c r="X7" s="36" t="str">
        <f>IF(AND('Mapa riesgos'!$AD$21="Muy Alta",'Mapa riesgos'!$AF$21="Moderado"),CONCATENATE("R2C",'Mapa riesgos'!$T$21),"")</f>
        <v/>
      </c>
      <c r="Y7" s="36" t="str">
        <f>IF(AND('Mapa riesgos'!$AD$22="Muy Alta",'Mapa riesgos'!$AF$22="Moderado"),CONCATENATE("R2C",'Mapa riesgos'!$T$22),"")</f>
        <v/>
      </c>
      <c r="Z7" s="36" t="str">
        <f>IF(AND('Mapa riesgos'!$AD$23="Muy Alta",'Mapa riesgos'!$AF$23="Moderado"),CONCATENATE("R2C",'Mapa riesgos'!$T$23),"")</f>
        <v/>
      </c>
      <c r="AA7" s="37" t="str">
        <f>IF(AND('Mapa riesgos'!$AD$24="Muy Alta",'Mapa riesgos'!$AF$24="Moderado"),CONCATENATE("R2C",'Mapa riesgos'!$T$24),"")</f>
        <v/>
      </c>
      <c r="AB7" s="35" t="str">
        <f>IF(AND('Mapa riesgos'!$AD$19="Muy Alta",'Mapa riesgos'!$AF$19="Mayor"),CONCATENATE("R2C",'Mapa riesgos'!$T$19),"")</f>
        <v/>
      </c>
      <c r="AC7" s="36" t="str">
        <f>IF(AND('Mapa riesgos'!$AD$20="Muy Alta",'Mapa riesgos'!$AF$20="Mayor"),CONCATENATE("R2C",'Mapa riesgos'!$T$20),"")</f>
        <v/>
      </c>
      <c r="AD7" s="36" t="str">
        <f>IF(AND('Mapa riesgos'!$AD$21="Muy Alta",'Mapa riesgos'!$AF$21="Mayor"),CONCATENATE("R2C",'Mapa riesgos'!$T$21),"")</f>
        <v/>
      </c>
      <c r="AE7" s="36" t="str">
        <f>IF(AND('Mapa riesgos'!$AD$22="Muy Alta",'Mapa riesgos'!$AF$22="Mayor"),CONCATENATE("R2C",'Mapa riesgos'!$T$22),"")</f>
        <v/>
      </c>
      <c r="AF7" s="36" t="str">
        <f>IF(AND('Mapa riesgos'!$AD$23="Muy Alta",'Mapa riesgos'!$AF$23="Mayor"),CONCATENATE("R2C",'Mapa riesgos'!$T$23),"")</f>
        <v/>
      </c>
      <c r="AG7" s="37" t="str">
        <f>IF(AND('Mapa riesgos'!$AD$24="Muy Alta",'Mapa riesgos'!$AF$24="Mayor"),CONCATENATE("R2C",'Mapa riesgos'!$T$24),"")</f>
        <v/>
      </c>
      <c r="AH7" s="38" t="str">
        <f>IF(AND('Mapa riesgos'!$AD$19="Muy Alta",'Mapa riesgos'!$AF$19="Catastrófico"),CONCATENATE("R2C",'Mapa riesgos'!$T$19),"")</f>
        <v/>
      </c>
      <c r="AI7" s="39" t="str">
        <f>IF(AND('Mapa riesgos'!$AD$20="Muy Alta",'Mapa riesgos'!$AF$20="Catastrófico"),CONCATENATE("R2C",'Mapa riesgos'!$T$20),"")</f>
        <v/>
      </c>
      <c r="AJ7" s="39" t="str">
        <f>IF(AND('Mapa riesgos'!$AD$21="Muy Alta",'Mapa riesgos'!$AF$21="Catastrófico"),CONCATENATE("R2C",'Mapa riesgos'!$T$21),"")</f>
        <v/>
      </c>
      <c r="AK7" s="39" t="str">
        <f>IF(AND('Mapa riesgos'!$AD$22="Muy Alta",'Mapa riesgos'!$AF$22="Catastrófico"),CONCATENATE("R2C",'Mapa riesgos'!$T$22),"")</f>
        <v/>
      </c>
      <c r="AL7" s="39" t="str">
        <f>IF(AND('Mapa riesgos'!$AD$23="Muy Alta",'Mapa riesgos'!$AF$23="Catastrófico"),CONCATENATE("R2C",'Mapa riesgos'!$T$23),"")</f>
        <v/>
      </c>
      <c r="AM7" s="40" t="str">
        <f>IF(AND('Mapa riesgos'!$AD$24="Muy Alta",'Mapa riesgos'!$AF$24="Catastrófico"),CONCATENATE("R2C",'Mapa riesgos'!$T$24),"")</f>
        <v/>
      </c>
      <c r="AN7" s="66"/>
      <c r="AO7" s="527"/>
      <c r="AP7" s="528"/>
      <c r="AQ7" s="528"/>
      <c r="AR7" s="528"/>
      <c r="AS7" s="528"/>
      <c r="AT7" s="529"/>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row>
    <row r="8" spans="1:91" ht="15" customHeight="1" x14ac:dyDescent="0.25">
      <c r="A8" s="66"/>
      <c r="B8" s="422"/>
      <c r="C8" s="422"/>
      <c r="D8" s="423"/>
      <c r="E8" s="521"/>
      <c r="F8" s="520"/>
      <c r="G8" s="520"/>
      <c r="H8" s="520"/>
      <c r="I8" s="536"/>
      <c r="J8" s="35" t="str">
        <f>IF(AND('Mapa riesgos'!$AD$25="Muy Alta",'Mapa riesgos'!$AF$25="Leve"),CONCATENATE("R3C",'Mapa riesgos'!$T$25),"")</f>
        <v/>
      </c>
      <c r="K8" s="36" t="str">
        <f>IF(AND('Mapa riesgos'!$AD$26="Muy Alta",'Mapa riesgos'!$AF$26="Leve"),CONCATENATE("R3C",'Mapa riesgos'!$T$26),"")</f>
        <v/>
      </c>
      <c r="L8" s="36" t="str">
        <f>IF(AND('Mapa riesgos'!$AD$27="Muy Alta",'Mapa riesgos'!$AF$27="Leve"),CONCATENATE("R3C",'Mapa riesgos'!$T$27),"")</f>
        <v/>
      </c>
      <c r="M8" s="36" t="str">
        <f>IF(AND('Mapa riesgos'!$AD$28="Muy Alta",'Mapa riesgos'!$AF$28="Leve"),CONCATENATE("R3C",'Mapa riesgos'!$T$28),"")</f>
        <v/>
      </c>
      <c r="N8" s="36" t="str">
        <f>IF(AND('Mapa riesgos'!$AD$29="Muy Alta",'Mapa riesgos'!$AF$29="Leve"),CONCATENATE("R3C",'Mapa riesgos'!$T$29),"")</f>
        <v/>
      </c>
      <c r="O8" s="37" t="str">
        <f>IF(AND('Mapa riesgos'!$AD$30="Muy Alta",'Mapa riesgos'!$AF$30="Leve"),CONCATENATE("R3C",'Mapa riesgos'!$T$30),"")</f>
        <v/>
      </c>
      <c r="P8" s="35" t="str">
        <f>IF(AND('Mapa riesgos'!$AD$25="Muy Alta",'Mapa riesgos'!$AF$25="Menor"),CONCATENATE("R3C",'Mapa riesgos'!$T$25),"")</f>
        <v/>
      </c>
      <c r="Q8" s="36" t="str">
        <f>IF(AND('Mapa riesgos'!$AD$26="Muy Alta",'Mapa riesgos'!$AF$26="Menor"),CONCATENATE("R3C",'Mapa riesgos'!$T$26),"")</f>
        <v/>
      </c>
      <c r="R8" s="36" t="str">
        <f>IF(AND('Mapa riesgos'!$AD$27="Muy Alta",'Mapa riesgos'!$AF$27="Menor"),CONCATENATE("R3C",'Mapa riesgos'!$T$27),"")</f>
        <v/>
      </c>
      <c r="S8" s="36" t="str">
        <f>IF(AND('Mapa riesgos'!$AD$28="Muy Alta",'Mapa riesgos'!$AF$28="Menor"),CONCATENATE("R3C",'Mapa riesgos'!$T$28),"")</f>
        <v/>
      </c>
      <c r="T8" s="36" t="str">
        <f>IF(AND('Mapa riesgos'!$AD$29="Muy Alta",'Mapa riesgos'!$AF$29="Menor"),CONCATENATE("R3C",'Mapa riesgos'!$T$29),"")</f>
        <v/>
      </c>
      <c r="U8" s="37" t="str">
        <f>IF(AND('Mapa riesgos'!$AD$30="Muy Alta",'Mapa riesgos'!$AF$30="Menor"),CONCATENATE("R3C",'Mapa riesgos'!$T$30),"")</f>
        <v/>
      </c>
      <c r="V8" s="35" t="str">
        <f>IF(AND('Mapa riesgos'!$AD$25="Muy Alta",'Mapa riesgos'!$AF$25="Moderado"),CONCATENATE("R3C",'Mapa riesgos'!$T$25),"")</f>
        <v/>
      </c>
      <c r="W8" s="36" t="str">
        <f>IF(AND('Mapa riesgos'!$AD$26="Muy Alta",'Mapa riesgos'!$AF$26="Moderado"),CONCATENATE("R3C",'Mapa riesgos'!$T$26),"")</f>
        <v/>
      </c>
      <c r="X8" s="36" t="str">
        <f>IF(AND('Mapa riesgos'!$AD$27="Muy Alta",'Mapa riesgos'!$AF$27="Moderado"),CONCATENATE("R3C",'Mapa riesgos'!$T$27),"")</f>
        <v/>
      </c>
      <c r="Y8" s="36" t="str">
        <f>IF(AND('Mapa riesgos'!$AD$28="Muy Alta",'Mapa riesgos'!$AF$28="Moderado"),CONCATENATE("R3C",'Mapa riesgos'!$T$28),"")</f>
        <v/>
      </c>
      <c r="Z8" s="36" t="str">
        <f>IF(AND('Mapa riesgos'!$AD$29="Muy Alta",'Mapa riesgos'!$AF$29="Moderado"),CONCATENATE("R3C",'Mapa riesgos'!$T$29),"")</f>
        <v/>
      </c>
      <c r="AA8" s="37" t="str">
        <f>IF(AND('Mapa riesgos'!$AD$30="Muy Alta",'Mapa riesgos'!$AF$30="Moderado"),CONCATENATE("R3C",'Mapa riesgos'!$T$30),"")</f>
        <v/>
      </c>
      <c r="AB8" s="35" t="str">
        <f>IF(AND('Mapa riesgos'!$AD$25="Muy Alta",'Mapa riesgos'!$AF$25="Mayor"),CONCATENATE("R3C",'Mapa riesgos'!$T$25),"")</f>
        <v/>
      </c>
      <c r="AC8" s="36" t="str">
        <f>IF(AND('Mapa riesgos'!$AD$26="Muy Alta",'Mapa riesgos'!$AF$26="Mayor"),CONCATENATE("R3C",'Mapa riesgos'!$T$26),"")</f>
        <v/>
      </c>
      <c r="AD8" s="36" t="str">
        <f>IF(AND('Mapa riesgos'!$AD$27="Muy Alta",'Mapa riesgos'!$AF$27="Mayor"),CONCATENATE("R3C",'Mapa riesgos'!$T$27),"")</f>
        <v/>
      </c>
      <c r="AE8" s="36" t="str">
        <f>IF(AND('Mapa riesgos'!$AD$28="Muy Alta",'Mapa riesgos'!$AF$28="Mayor"),CONCATENATE("R3C",'Mapa riesgos'!$T$28),"")</f>
        <v/>
      </c>
      <c r="AF8" s="36" t="str">
        <f>IF(AND('Mapa riesgos'!$AD$29="Muy Alta",'Mapa riesgos'!$AF$29="Mayor"),CONCATENATE("R3C",'Mapa riesgos'!$T$29),"")</f>
        <v/>
      </c>
      <c r="AG8" s="37" t="str">
        <f>IF(AND('Mapa riesgos'!$AD$30="Muy Alta",'Mapa riesgos'!$AF$30="Mayor"),CONCATENATE("R3C",'Mapa riesgos'!$T$30),"")</f>
        <v/>
      </c>
      <c r="AH8" s="38" t="str">
        <f>IF(AND('Mapa riesgos'!$AD$25="Muy Alta",'Mapa riesgos'!$AF$25="Catastrófico"),CONCATENATE("R3C",'Mapa riesgos'!$T$25),"")</f>
        <v/>
      </c>
      <c r="AI8" s="39" t="str">
        <f>IF(AND('Mapa riesgos'!$AD$26="Muy Alta",'Mapa riesgos'!$AF$26="Catastrófico"),CONCATENATE("R3C",'Mapa riesgos'!$T$26),"")</f>
        <v/>
      </c>
      <c r="AJ8" s="39" t="str">
        <f>IF(AND('Mapa riesgos'!$AD$27="Muy Alta",'Mapa riesgos'!$AF$27="Catastrófico"),CONCATENATE("R3C",'Mapa riesgos'!$T$27),"")</f>
        <v/>
      </c>
      <c r="AK8" s="39" t="str">
        <f>IF(AND('Mapa riesgos'!$AD$28="Muy Alta",'Mapa riesgos'!$AF$28="Catastrófico"),CONCATENATE("R3C",'Mapa riesgos'!$T$28),"")</f>
        <v/>
      </c>
      <c r="AL8" s="39" t="str">
        <f>IF(AND('Mapa riesgos'!$AD$29="Muy Alta",'Mapa riesgos'!$AF$29="Catastrófico"),CONCATENATE("R3C",'Mapa riesgos'!$T$29),"")</f>
        <v/>
      </c>
      <c r="AM8" s="40" t="str">
        <f>IF(AND('Mapa riesgos'!$AD$30="Muy Alta",'Mapa riesgos'!$AF$30="Catastrófico"),CONCATENATE("R3C",'Mapa riesgos'!$T$30),"")</f>
        <v/>
      </c>
      <c r="AN8" s="66"/>
      <c r="AO8" s="527"/>
      <c r="AP8" s="528"/>
      <c r="AQ8" s="528"/>
      <c r="AR8" s="528"/>
      <c r="AS8" s="528"/>
      <c r="AT8" s="529"/>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row>
    <row r="9" spans="1:91" ht="15" customHeight="1" x14ac:dyDescent="0.25">
      <c r="A9" s="66"/>
      <c r="B9" s="422"/>
      <c r="C9" s="422"/>
      <c r="D9" s="423"/>
      <c r="E9" s="521"/>
      <c r="F9" s="520"/>
      <c r="G9" s="520"/>
      <c r="H9" s="520"/>
      <c r="I9" s="536"/>
      <c r="J9" s="35" t="str">
        <f>IF(AND('Mapa riesgos'!$AD$31="Muy Alta",'Mapa riesgos'!$AF$31="Leve"),CONCATENATE("R4C",'Mapa riesgos'!$T$31),"")</f>
        <v/>
      </c>
      <c r="K9" s="36" t="str">
        <f>IF(AND('Mapa riesgos'!$AD$32="Muy Alta",'Mapa riesgos'!$AF$32="Leve"),CONCATENATE("R4C",'Mapa riesgos'!$T$32),"")</f>
        <v/>
      </c>
      <c r="L9" s="36" t="str">
        <f>IF(AND('Mapa riesgos'!$AD$33="Muy Alta",'Mapa riesgos'!$AF$33="Leve"),CONCATENATE("R4C",'Mapa riesgos'!$T$33),"")</f>
        <v/>
      </c>
      <c r="M9" s="36" t="str">
        <f>IF(AND('Mapa riesgos'!$AD$34="Muy Alta",'Mapa riesgos'!$AF$34="Leve"),CONCATENATE("R4C",'Mapa riesgos'!$T$34),"")</f>
        <v/>
      </c>
      <c r="N9" s="36" t="str">
        <f>IF(AND('Mapa riesgos'!$AD$35="Muy Alta",'Mapa riesgos'!$AF$35="Leve"),CONCATENATE("R4C",'Mapa riesgos'!$T$35),"")</f>
        <v/>
      </c>
      <c r="O9" s="37" t="str">
        <f>IF(AND('Mapa riesgos'!$AD$36="Muy Alta",'Mapa riesgos'!$AF$36="Leve"),CONCATENATE("R4C",'Mapa riesgos'!$T$36),"")</f>
        <v/>
      </c>
      <c r="P9" s="35" t="str">
        <f>IF(AND('Mapa riesgos'!$AD$31="Muy Alta",'Mapa riesgos'!$AF$31="Menor"),CONCATENATE("R4C",'Mapa riesgos'!$T$31),"")</f>
        <v/>
      </c>
      <c r="Q9" s="36" t="str">
        <f>IF(AND('Mapa riesgos'!$AD$32="Muy Alta",'Mapa riesgos'!$AF$32="Menor"),CONCATENATE("R4C",'Mapa riesgos'!$T$32),"")</f>
        <v/>
      </c>
      <c r="R9" s="36" t="str">
        <f>IF(AND('Mapa riesgos'!$AD$33="Muy Alta",'Mapa riesgos'!$AF$33="Menor"),CONCATENATE("R4C",'Mapa riesgos'!$T$33),"")</f>
        <v/>
      </c>
      <c r="S9" s="36" t="str">
        <f>IF(AND('Mapa riesgos'!$AD$34="Muy Alta",'Mapa riesgos'!$AF$34="Menor"),CONCATENATE("R4C",'Mapa riesgos'!$T$34),"")</f>
        <v/>
      </c>
      <c r="T9" s="36" t="str">
        <f>IF(AND('Mapa riesgos'!$AD$35="Muy Alta",'Mapa riesgos'!$AF$35="Menor"),CONCATENATE("R4C",'Mapa riesgos'!$T$35),"")</f>
        <v/>
      </c>
      <c r="U9" s="37" t="str">
        <f>IF(AND('Mapa riesgos'!$AD$36="Muy Alta",'Mapa riesgos'!$AF$36="Menor"),CONCATENATE("R4C",'Mapa riesgos'!$T$36),"")</f>
        <v/>
      </c>
      <c r="V9" s="35" t="str">
        <f>IF(AND('Mapa riesgos'!$AD$31="Muy Alta",'Mapa riesgos'!$AF$31="Moderado"),CONCATENATE("R4C",'Mapa riesgos'!$T$31),"")</f>
        <v/>
      </c>
      <c r="W9" s="36" t="str">
        <f>IF(AND('Mapa riesgos'!$AD$32="Muy Alta",'Mapa riesgos'!$AF$32="Moderado"),CONCATENATE("R4C",'Mapa riesgos'!$T$32),"")</f>
        <v/>
      </c>
      <c r="X9" s="36" t="str">
        <f>IF(AND('Mapa riesgos'!$AD$33="Muy Alta",'Mapa riesgos'!$AF$33="Moderado"),CONCATENATE("R4C",'Mapa riesgos'!$T$33),"")</f>
        <v/>
      </c>
      <c r="Y9" s="36" t="str">
        <f>IF(AND('Mapa riesgos'!$AD$34="Muy Alta",'Mapa riesgos'!$AF$34="Moderado"),CONCATENATE("R4C",'Mapa riesgos'!$T$34),"")</f>
        <v/>
      </c>
      <c r="Z9" s="36" t="str">
        <f>IF(AND('Mapa riesgos'!$AD$35="Muy Alta",'Mapa riesgos'!$AF$35="Moderado"),CONCATENATE("R4C",'Mapa riesgos'!$T$35),"")</f>
        <v/>
      </c>
      <c r="AA9" s="37" t="str">
        <f>IF(AND('Mapa riesgos'!$AD$36="Muy Alta",'Mapa riesgos'!$AF$36="Moderado"),CONCATENATE("R4C",'Mapa riesgos'!$T$36),"")</f>
        <v/>
      </c>
      <c r="AB9" s="35" t="str">
        <f>IF(AND('Mapa riesgos'!$AD$31="Muy Alta",'Mapa riesgos'!$AF$31="Mayor"),CONCATENATE("R4C",'Mapa riesgos'!$T$31),"")</f>
        <v/>
      </c>
      <c r="AC9" s="36" t="str">
        <f>IF(AND('Mapa riesgos'!$AD$32="Muy Alta",'Mapa riesgos'!$AF$32="Mayor"),CONCATENATE("R4C",'Mapa riesgos'!$T$32),"")</f>
        <v/>
      </c>
      <c r="AD9" s="36" t="str">
        <f>IF(AND('Mapa riesgos'!$AD$33="Muy Alta",'Mapa riesgos'!$AF$33="Mayor"),CONCATENATE("R4C",'Mapa riesgos'!$T$33),"")</f>
        <v/>
      </c>
      <c r="AE9" s="36" t="str">
        <f>IF(AND('Mapa riesgos'!$AD$34="Muy Alta",'Mapa riesgos'!$AF$34="Mayor"),CONCATENATE("R4C",'Mapa riesgos'!$T$34),"")</f>
        <v/>
      </c>
      <c r="AF9" s="36" t="str">
        <f>IF(AND('Mapa riesgos'!$AD$35="Muy Alta",'Mapa riesgos'!$AF$35="Mayor"),CONCATENATE("R4C",'Mapa riesgos'!$T$35),"")</f>
        <v/>
      </c>
      <c r="AG9" s="37" t="str">
        <f>IF(AND('Mapa riesgos'!$AD$36="Muy Alta",'Mapa riesgos'!$AF$36="Mayor"),CONCATENATE("R4C",'Mapa riesgos'!$T$36),"")</f>
        <v/>
      </c>
      <c r="AH9" s="38" t="str">
        <f>IF(AND('Mapa riesgos'!$AD$31="Muy Alta",'Mapa riesgos'!$AF$31="Catastrófico"),CONCATENATE("R4C",'Mapa riesgos'!$T$31),"")</f>
        <v/>
      </c>
      <c r="AI9" s="39" t="str">
        <f>IF(AND('Mapa riesgos'!$AD$32="Muy Alta",'Mapa riesgos'!$AF$32="Catastrófico"),CONCATENATE("R4C",'Mapa riesgos'!$T$32),"")</f>
        <v/>
      </c>
      <c r="AJ9" s="39" t="str">
        <f>IF(AND('Mapa riesgos'!$AD$33="Muy Alta",'Mapa riesgos'!$AF$33="Catastrófico"),CONCATENATE("R4C",'Mapa riesgos'!$T$33),"")</f>
        <v/>
      </c>
      <c r="AK9" s="39" t="str">
        <f>IF(AND('Mapa riesgos'!$AD$34="Muy Alta",'Mapa riesgos'!$AF$34="Catastrófico"),CONCATENATE("R4C",'Mapa riesgos'!$T$34),"")</f>
        <v/>
      </c>
      <c r="AL9" s="39" t="str">
        <f>IF(AND('Mapa riesgos'!$AD$35="Muy Alta",'Mapa riesgos'!$AF$35="Catastrófico"),CONCATENATE("R4C",'Mapa riesgos'!$T$35),"")</f>
        <v/>
      </c>
      <c r="AM9" s="40" t="str">
        <f>IF(AND('Mapa riesgos'!$AD$36="Muy Alta",'Mapa riesgos'!$AF$36="Catastrófico"),CONCATENATE("R4C",'Mapa riesgos'!$T$36),"")</f>
        <v/>
      </c>
      <c r="AN9" s="66"/>
      <c r="AO9" s="527"/>
      <c r="AP9" s="528"/>
      <c r="AQ9" s="528"/>
      <c r="AR9" s="528"/>
      <c r="AS9" s="528"/>
      <c r="AT9" s="529"/>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row>
    <row r="10" spans="1:91" ht="15" customHeight="1" x14ac:dyDescent="0.25">
      <c r="A10" s="66"/>
      <c r="B10" s="422"/>
      <c r="C10" s="422"/>
      <c r="D10" s="423"/>
      <c r="E10" s="521"/>
      <c r="F10" s="520"/>
      <c r="G10" s="520"/>
      <c r="H10" s="520"/>
      <c r="I10" s="536"/>
      <c r="J10" s="35" t="str">
        <f>IF(AND('Mapa riesgos'!$AD$37="Muy Alta",'Mapa riesgos'!$AF$37="Leve"),CONCATENATE("R5C",'Mapa riesgos'!$T$37),"")</f>
        <v/>
      </c>
      <c r="K10" s="36" t="str">
        <f>IF(AND('Mapa riesgos'!$AD$38="Muy Alta",'Mapa riesgos'!$AF$38="Leve"),CONCATENATE("R5C",'Mapa riesgos'!$T$38),"")</f>
        <v/>
      </c>
      <c r="L10" s="36" t="str">
        <f>IF(AND('Mapa riesgos'!$AD$39="Muy Alta",'Mapa riesgos'!$AF$39="Leve"),CONCATENATE("R5C",'Mapa riesgos'!$T$39),"")</f>
        <v/>
      </c>
      <c r="M10" s="36" t="str">
        <f>IF(AND('Mapa riesgos'!$AD$40="Muy Alta",'Mapa riesgos'!$AF$40="Leve"),CONCATENATE("R5C",'Mapa riesgos'!$T$40),"")</f>
        <v/>
      </c>
      <c r="N10" s="36" t="str">
        <f>IF(AND('Mapa riesgos'!$AD$41="Muy Alta",'Mapa riesgos'!$AF$41="Leve"),CONCATENATE("R5C",'Mapa riesgos'!$T$41),"")</f>
        <v/>
      </c>
      <c r="O10" s="37" t="str">
        <f>IF(AND('Mapa riesgos'!$AD$42="Muy Alta",'Mapa riesgos'!$AF$42="Leve"),CONCATENATE("R5C",'Mapa riesgos'!$T$42),"")</f>
        <v/>
      </c>
      <c r="P10" s="35" t="str">
        <f>IF(AND('Mapa riesgos'!$AD$37="Muy Alta",'Mapa riesgos'!$AF$37="Menor"),CONCATENATE("R5C",'Mapa riesgos'!$T$37),"")</f>
        <v/>
      </c>
      <c r="Q10" s="36" t="str">
        <f>IF(AND('Mapa riesgos'!$AD$38="Muy Alta",'Mapa riesgos'!$AF$38="Menor"),CONCATENATE("R5C",'Mapa riesgos'!$T$38),"")</f>
        <v/>
      </c>
      <c r="R10" s="36" t="str">
        <f>IF(AND('Mapa riesgos'!$AD$39="Muy Alta",'Mapa riesgos'!$AF$39="Menor"),CONCATENATE("R5C",'Mapa riesgos'!$T$39),"")</f>
        <v/>
      </c>
      <c r="S10" s="36" t="str">
        <f>IF(AND('Mapa riesgos'!$AD$40="Muy Alta",'Mapa riesgos'!$AF$40="Menor"),CONCATENATE("R5C",'Mapa riesgos'!$T$40),"")</f>
        <v/>
      </c>
      <c r="T10" s="36" t="str">
        <f>IF(AND('Mapa riesgos'!$AD$41="Muy Alta",'Mapa riesgos'!$AF$41="Menor"),CONCATENATE("R5C",'Mapa riesgos'!$T$41),"")</f>
        <v/>
      </c>
      <c r="U10" s="37" t="str">
        <f>IF(AND('Mapa riesgos'!$AD$42="Muy Alta",'Mapa riesgos'!$AF$42="Menor"),CONCATENATE("R5C",'Mapa riesgos'!$T$42),"")</f>
        <v/>
      </c>
      <c r="V10" s="35" t="str">
        <f>IF(AND('Mapa riesgos'!$AD$37="Muy Alta",'Mapa riesgos'!$AF$37="Moderado"),CONCATENATE("R5C",'Mapa riesgos'!$T$37),"")</f>
        <v/>
      </c>
      <c r="W10" s="36" t="str">
        <f>IF(AND('Mapa riesgos'!$AD$38="Muy Alta",'Mapa riesgos'!$AF$38="Moderado"),CONCATENATE("R5C",'Mapa riesgos'!$T$38),"")</f>
        <v/>
      </c>
      <c r="X10" s="36" t="str">
        <f>IF(AND('Mapa riesgos'!$AD$39="Muy Alta",'Mapa riesgos'!$AF$39="Moderado"),CONCATENATE("R5C",'Mapa riesgos'!$T$39),"")</f>
        <v/>
      </c>
      <c r="Y10" s="36" t="str">
        <f>IF(AND('Mapa riesgos'!$AD$40="Muy Alta",'Mapa riesgos'!$AF$40="Moderado"),CONCATENATE("R5C",'Mapa riesgos'!$T$40),"")</f>
        <v/>
      </c>
      <c r="Z10" s="36" t="str">
        <f>IF(AND('Mapa riesgos'!$AD$41="Muy Alta",'Mapa riesgos'!$AF$41="Moderado"),CONCATENATE("R5C",'Mapa riesgos'!$T$41),"")</f>
        <v/>
      </c>
      <c r="AA10" s="37" t="str">
        <f>IF(AND('Mapa riesgos'!$AD$42="Muy Alta",'Mapa riesgos'!$AF$42="Moderado"),CONCATENATE("R5C",'Mapa riesgos'!$T$42),"")</f>
        <v/>
      </c>
      <c r="AB10" s="35" t="str">
        <f>IF(AND('Mapa riesgos'!$AD$37="Muy Alta",'Mapa riesgos'!$AF$37="Mayor"),CONCATENATE("R5C",'Mapa riesgos'!$T$37),"")</f>
        <v/>
      </c>
      <c r="AC10" s="36" t="str">
        <f>IF(AND('Mapa riesgos'!$AD$38="Muy Alta",'Mapa riesgos'!$AF$38="Mayor"),CONCATENATE("R5C",'Mapa riesgos'!$T$38),"")</f>
        <v/>
      </c>
      <c r="AD10" s="36" t="str">
        <f>IF(AND('Mapa riesgos'!$AD$39="Muy Alta",'Mapa riesgos'!$AF$39="Mayor"),CONCATENATE("R5C",'Mapa riesgos'!$T$39),"")</f>
        <v/>
      </c>
      <c r="AE10" s="36" t="str">
        <f>IF(AND('Mapa riesgos'!$AD$40="Muy Alta",'Mapa riesgos'!$AF$40="Mayor"),CONCATENATE("R5C",'Mapa riesgos'!$T$40),"")</f>
        <v/>
      </c>
      <c r="AF10" s="36" t="str">
        <f>IF(AND('Mapa riesgos'!$AD$41="Muy Alta",'Mapa riesgos'!$AF$41="Mayor"),CONCATENATE("R5C",'Mapa riesgos'!$T$41),"")</f>
        <v/>
      </c>
      <c r="AG10" s="37" t="str">
        <f>IF(AND('Mapa riesgos'!$AD$42="Muy Alta",'Mapa riesgos'!$AF$42="Mayor"),CONCATENATE("R5C",'Mapa riesgos'!$T$42),"")</f>
        <v/>
      </c>
      <c r="AH10" s="38" t="str">
        <f>IF(AND('Mapa riesgos'!$AD$37="Muy Alta",'Mapa riesgos'!$AF$37="Catastrófico"),CONCATENATE("R5C",'Mapa riesgos'!$T$37),"")</f>
        <v/>
      </c>
      <c r="AI10" s="39" t="str">
        <f>IF(AND('Mapa riesgos'!$AD$38="Muy Alta",'Mapa riesgos'!$AF$38="Catastrófico"),CONCATENATE("R5C",'Mapa riesgos'!$T$38),"")</f>
        <v/>
      </c>
      <c r="AJ10" s="39" t="str">
        <f>IF(AND('Mapa riesgos'!$AD$39="Muy Alta",'Mapa riesgos'!$AF$39="Catastrófico"),CONCATENATE("R5C",'Mapa riesgos'!$T$39),"")</f>
        <v/>
      </c>
      <c r="AK10" s="39" t="str">
        <f>IF(AND('Mapa riesgos'!$AD$40="Muy Alta",'Mapa riesgos'!$AF$40="Catastrófico"),CONCATENATE("R5C",'Mapa riesgos'!$T$40),"")</f>
        <v/>
      </c>
      <c r="AL10" s="39" t="str">
        <f>IF(AND('Mapa riesgos'!$AD$41="Muy Alta",'Mapa riesgos'!$AF$41="Catastrófico"),CONCATENATE("R5C",'Mapa riesgos'!$T$41),"")</f>
        <v/>
      </c>
      <c r="AM10" s="40" t="str">
        <f>IF(AND('Mapa riesgos'!$AD$42="Muy Alta",'Mapa riesgos'!$AF$42="Catastrófico"),CONCATENATE("R5C",'Mapa riesgos'!$T$42),"")</f>
        <v/>
      </c>
      <c r="AN10" s="66"/>
      <c r="AO10" s="527"/>
      <c r="AP10" s="528"/>
      <c r="AQ10" s="528"/>
      <c r="AR10" s="528"/>
      <c r="AS10" s="528"/>
      <c r="AT10" s="529"/>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row>
    <row r="11" spans="1:91" ht="15" customHeight="1" x14ac:dyDescent="0.25">
      <c r="A11" s="66"/>
      <c r="B11" s="422"/>
      <c r="C11" s="422"/>
      <c r="D11" s="423"/>
      <c r="E11" s="521"/>
      <c r="F11" s="520"/>
      <c r="G11" s="520"/>
      <c r="H11" s="520"/>
      <c r="I11" s="536"/>
      <c r="J11" s="35" t="str">
        <f>IF(AND('Mapa riesgos'!$AD$43="Muy Alta",'Mapa riesgos'!$AF$43="Leve"),CONCATENATE("R6C",'Mapa riesgos'!$T$43),"")</f>
        <v/>
      </c>
      <c r="K11" s="36" t="str">
        <f>IF(AND('Mapa riesgos'!$AD$44="Muy Alta",'Mapa riesgos'!$AF$44="Leve"),CONCATENATE("R6C",'Mapa riesgos'!$T$44),"")</f>
        <v/>
      </c>
      <c r="L11" s="36" t="str">
        <f>IF(AND('Mapa riesgos'!$AD$45="Muy Alta",'Mapa riesgos'!$AF$45="Leve"),CONCATENATE("R6C",'Mapa riesgos'!$T$45),"")</f>
        <v/>
      </c>
      <c r="M11" s="36" t="str">
        <f>IF(AND('Mapa riesgos'!$AD$46="Muy Alta",'Mapa riesgos'!$AF$46="Leve"),CONCATENATE("R6C",'Mapa riesgos'!$T$46),"")</f>
        <v/>
      </c>
      <c r="N11" s="36" t="str">
        <f>IF(AND('Mapa riesgos'!$AD$47="Muy Alta",'Mapa riesgos'!$AF$47="Leve"),CONCATENATE("R6C",'Mapa riesgos'!$T$47),"")</f>
        <v/>
      </c>
      <c r="O11" s="37" t="str">
        <f>IF(AND('Mapa riesgos'!$AD$48="Muy Alta",'Mapa riesgos'!$AF$48="Leve"),CONCATENATE("R6C",'Mapa riesgos'!$T$48),"")</f>
        <v/>
      </c>
      <c r="P11" s="35" t="str">
        <f>IF(AND('Mapa riesgos'!$AD$43="Muy Alta",'Mapa riesgos'!$AF$43="Menor"),CONCATENATE("R6C",'Mapa riesgos'!$T$43),"")</f>
        <v/>
      </c>
      <c r="Q11" s="36" t="str">
        <f>IF(AND('Mapa riesgos'!$AD$44="Muy Alta",'Mapa riesgos'!$AF$44="Menor"),CONCATENATE("R6C",'Mapa riesgos'!$T$44),"")</f>
        <v/>
      </c>
      <c r="R11" s="36" t="str">
        <f>IF(AND('Mapa riesgos'!$AD$45="Muy Alta",'Mapa riesgos'!$AF$45="Menor"),CONCATENATE("R6C",'Mapa riesgos'!$T$45),"")</f>
        <v/>
      </c>
      <c r="S11" s="36" t="str">
        <f>IF(AND('Mapa riesgos'!$AD$46="Muy Alta",'Mapa riesgos'!$AF$46="Menor"),CONCATENATE("R6C",'Mapa riesgos'!$T$46),"")</f>
        <v/>
      </c>
      <c r="T11" s="36" t="str">
        <f>IF(AND('Mapa riesgos'!$AD$47="Muy Alta",'Mapa riesgos'!$AF$47="Menor"),CONCATENATE("R6C",'Mapa riesgos'!$T$47),"")</f>
        <v/>
      </c>
      <c r="U11" s="37" t="str">
        <f>IF(AND('Mapa riesgos'!$AD$48="Muy Alta",'Mapa riesgos'!$AF$48="Menor"),CONCATENATE("R6C",'Mapa riesgos'!$T$48),"")</f>
        <v/>
      </c>
      <c r="V11" s="35" t="str">
        <f>IF(AND('Mapa riesgos'!$AD$43="Muy Alta",'Mapa riesgos'!$AF$43="Moderado"),CONCATENATE("R6C",'Mapa riesgos'!$T$43),"")</f>
        <v/>
      </c>
      <c r="W11" s="36" t="str">
        <f>IF(AND('Mapa riesgos'!$AD$44="Muy Alta",'Mapa riesgos'!$AF$44="Moderado"),CONCATENATE("R6C",'Mapa riesgos'!$T$44),"")</f>
        <v/>
      </c>
      <c r="X11" s="36" t="str">
        <f>IF(AND('Mapa riesgos'!$AD$45="Muy Alta",'Mapa riesgos'!$AF$45="Moderado"),CONCATENATE("R6C",'Mapa riesgos'!$T$45),"")</f>
        <v/>
      </c>
      <c r="Y11" s="36" t="str">
        <f>IF(AND('Mapa riesgos'!$AD$46="Muy Alta",'Mapa riesgos'!$AF$46="Moderado"),CONCATENATE("R6C",'Mapa riesgos'!$T$46),"")</f>
        <v/>
      </c>
      <c r="Z11" s="36" t="str">
        <f>IF(AND('Mapa riesgos'!$AD$47="Muy Alta",'Mapa riesgos'!$AF$47="Moderado"),CONCATENATE("R6C",'Mapa riesgos'!$T$47),"")</f>
        <v/>
      </c>
      <c r="AA11" s="37" t="str">
        <f>IF(AND('Mapa riesgos'!$AD$48="Muy Alta",'Mapa riesgos'!$AF$48="Moderado"),CONCATENATE("R6C",'Mapa riesgos'!$T$48),"")</f>
        <v/>
      </c>
      <c r="AB11" s="35" t="str">
        <f>IF(AND('Mapa riesgos'!$AD$43="Muy Alta",'Mapa riesgos'!$AF$43="Mayor"),CONCATENATE("R6C",'Mapa riesgos'!$T$43),"")</f>
        <v/>
      </c>
      <c r="AC11" s="36" t="str">
        <f>IF(AND('Mapa riesgos'!$AD$44="Muy Alta",'Mapa riesgos'!$AF$44="Mayor"),CONCATENATE("R6C",'Mapa riesgos'!$T$44),"")</f>
        <v/>
      </c>
      <c r="AD11" s="36" t="str">
        <f>IF(AND('Mapa riesgos'!$AD$45="Muy Alta",'Mapa riesgos'!$AF$45="Mayor"),CONCATENATE("R6C",'Mapa riesgos'!$T$45),"")</f>
        <v/>
      </c>
      <c r="AE11" s="36" t="str">
        <f>IF(AND('Mapa riesgos'!$AD$46="Muy Alta",'Mapa riesgos'!$AF$46="Mayor"),CONCATENATE("R6C",'Mapa riesgos'!$T$46),"")</f>
        <v/>
      </c>
      <c r="AF11" s="36" t="str">
        <f>IF(AND('Mapa riesgos'!$AD$47="Muy Alta",'Mapa riesgos'!$AF$47="Mayor"),CONCATENATE("R6C",'Mapa riesgos'!$T$47),"")</f>
        <v/>
      </c>
      <c r="AG11" s="37" t="str">
        <f>IF(AND('Mapa riesgos'!$AD$48="Muy Alta",'Mapa riesgos'!$AF$48="Mayor"),CONCATENATE("R6C",'Mapa riesgos'!$T$48),"")</f>
        <v/>
      </c>
      <c r="AH11" s="38" t="str">
        <f>IF(AND('Mapa riesgos'!$AD$43="Muy Alta",'Mapa riesgos'!$AF$43="Catastrófico"),CONCATENATE("R6C",'Mapa riesgos'!$T$43),"")</f>
        <v/>
      </c>
      <c r="AI11" s="39" t="str">
        <f>IF(AND('Mapa riesgos'!$AD$44="Muy Alta",'Mapa riesgos'!$AF$44="Catastrófico"),CONCATENATE("R6C",'Mapa riesgos'!$T$44),"")</f>
        <v/>
      </c>
      <c r="AJ11" s="39" t="str">
        <f>IF(AND('Mapa riesgos'!$AD$45="Muy Alta",'Mapa riesgos'!$AF$45="Catastrófico"),CONCATENATE("R6C",'Mapa riesgos'!$T$45),"")</f>
        <v/>
      </c>
      <c r="AK11" s="39" t="str">
        <f>IF(AND('Mapa riesgos'!$AD$46="Muy Alta",'Mapa riesgos'!$AF$46="Catastrófico"),CONCATENATE("R6C",'Mapa riesgos'!$T$46),"")</f>
        <v/>
      </c>
      <c r="AL11" s="39" t="str">
        <f>IF(AND('Mapa riesgos'!$AD$47="Muy Alta",'Mapa riesgos'!$AF$47="Catastrófico"),CONCATENATE("R6C",'Mapa riesgos'!$T$47),"")</f>
        <v/>
      </c>
      <c r="AM11" s="40" t="str">
        <f>IF(AND('Mapa riesgos'!$AD$48="Muy Alta",'Mapa riesgos'!$AF$48="Catastrófico"),CONCATENATE("R6C",'Mapa riesgos'!$T$48),"")</f>
        <v/>
      </c>
      <c r="AN11" s="66"/>
      <c r="AO11" s="527"/>
      <c r="AP11" s="528"/>
      <c r="AQ11" s="528"/>
      <c r="AR11" s="528"/>
      <c r="AS11" s="528"/>
      <c r="AT11" s="529"/>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row>
    <row r="12" spans="1:91" ht="15" customHeight="1" x14ac:dyDescent="0.25">
      <c r="A12" s="66"/>
      <c r="B12" s="422"/>
      <c r="C12" s="422"/>
      <c r="D12" s="423"/>
      <c r="E12" s="521"/>
      <c r="F12" s="520"/>
      <c r="G12" s="520"/>
      <c r="H12" s="520"/>
      <c r="I12" s="536"/>
      <c r="J12" s="35" t="str">
        <f>IF(AND('Mapa riesgos'!$AD$49="Muy Alta",'Mapa riesgos'!$AF$49="Leve"),CONCATENATE("R7C",'Mapa riesgos'!$T$49),"")</f>
        <v/>
      </c>
      <c r="K12" s="36" t="str">
        <f>IF(AND('Mapa riesgos'!$AD$50="Muy Alta",'Mapa riesgos'!$AF$50="Leve"),CONCATENATE("R7C",'Mapa riesgos'!$T$50),"")</f>
        <v/>
      </c>
      <c r="L12" s="36" t="str">
        <f>IF(AND('Mapa riesgos'!$AD$51="Muy Alta",'Mapa riesgos'!$AF$51="Leve"),CONCATENATE("R7C",'Mapa riesgos'!$T$51),"")</f>
        <v/>
      </c>
      <c r="M12" s="36" t="str">
        <f>IF(AND('Mapa riesgos'!$AD$52="Muy Alta",'Mapa riesgos'!$AF$52="Leve"),CONCATENATE("R7C",'Mapa riesgos'!$T$52),"")</f>
        <v/>
      </c>
      <c r="N12" s="36" t="str">
        <f>IF(AND('Mapa riesgos'!$AD$53="Muy Alta",'Mapa riesgos'!$AF$53="Leve"),CONCATENATE("R7C",'Mapa riesgos'!$T$53),"")</f>
        <v/>
      </c>
      <c r="O12" s="37" t="str">
        <f>IF(AND('Mapa riesgos'!$AD$54="Muy Alta",'Mapa riesgos'!$AF$54="Leve"),CONCATENATE("R7C",'Mapa riesgos'!$T$54),"")</f>
        <v/>
      </c>
      <c r="P12" s="35" t="str">
        <f>IF(AND('Mapa riesgos'!$AD$49="Muy Alta",'Mapa riesgos'!$AF$49="Menor"),CONCATENATE("R7C",'Mapa riesgos'!$T$49),"")</f>
        <v/>
      </c>
      <c r="Q12" s="36" t="str">
        <f>IF(AND('Mapa riesgos'!$AD$50="Muy Alta",'Mapa riesgos'!$AF$50="Menor"),CONCATENATE("R7C",'Mapa riesgos'!$T$50),"")</f>
        <v/>
      </c>
      <c r="R12" s="36" t="str">
        <f>IF(AND('Mapa riesgos'!$AD$51="Muy Alta",'Mapa riesgos'!$AF$51="Menor"),CONCATENATE("R7C",'Mapa riesgos'!$T$51),"")</f>
        <v/>
      </c>
      <c r="S12" s="36" t="str">
        <f>IF(AND('Mapa riesgos'!$AD$52="Muy Alta",'Mapa riesgos'!$AF$52="Menor"),CONCATENATE("R7C",'Mapa riesgos'!$T$52),"")</f>
        <v/>
      </c>
      <c r="T12" s="36" t="str">
        <f>IF(AND('Mapa riesgos'!$AD$53="Muy Alta",'Mapa riesgos'!$AF$53="Menor"),CONCATENATE("R7C",'Mapa riesgos'!$T$53),"")</f>
        <v/>
      </c>
      <c r="U12" s="37" t="str">
        <f>IF(AND('Mapa riesgos'!$AD$54="Muy Alta",'Mapa riesgos'!$AF$54="Menor"),CONCATENATE("R7C",'Mapa riesgos'!$T$54),"")</f>
        <v/>
      </c>
      <c r="V12" s="35" t="str">
        <f>IF(AND('Mapa riesgos'!$AD$49="Muy Alta",'Mapa riesgos'!$AF$49="Moderado"),CONCATENATE("R7C",'Mapa riesgos'!$T$49),"")</f>
        <v/>
      </c>
      <c r="W12" s="36" t="str">
        <f>IF(AND('Mapa riesgos'!$AD$50="Muy Alta",'Mapa riesgos'!$AF$50="Moderado"),CONCATENATE("R7C",'Mapa riesgos'!$T$50),"")</f>
        <v/>
      </c>
      <c r="X12" s="36" t="str">
        <f>IF(AND('Mapa riesgos'!$AD$51="Muy Alta",'Mapa riesgos'!$AF$51="Moderado"),CONCATENATE("R7C",'Mapa riesgos'!$T$51),"")</f>
        <v/>
      </c>
      <c r="Y12" s="36" t="str">
        <f>IF(AND('Mapa riesgos'!$AD$52="Muy Alta",'Mapa riesgos'!$AF$52="Moderado"),CONCATENATE("R7C",'Mapa riesgos'!$T$52),"")</f>
        <v/>
      </c>
      <c r="Z12" s="36" t="str">
        <f>IF(AND('Mapa riesgos'!$AD$53="Muy Alta",'Mapa riesgos'!$AF$53="Moderado"),CONCATENATE("R7C",'Mapa riesgos'!$T$53),"")</f>
        <v/>
      </c>
      <c r="AA12" s="37" t="str">
        <f>IF(AND('Mapa riesgos'!$AD$54="Muy Alta",'Mapa riesgos'!$AF$54="Moderado"),CONCATENATE("R7C",'Mapa riesgos'!$T$54),"")</f>
        <v/>
      </c>
      <c r="AB12" s="35" t="str">
        <f>IF(AND('Mapa riesgos'!$AD$49="Muy Alta",'Mapa riesgos'!$AF$49="Mayor"),CONCATENATE("R7C",'Mapa riesgos'!$T$49),"")</f>
        <v/>
      </c>
      <c r="AC12" s="36" t="str">
        <f>IF(AND('Mapa riesgos'!$AD$50="Muy Alta",'Mapa riesgos'!$AF$50="Mayor"),CONCATENATE("R7C",'Mapa riesgos'!$T$50),"")</f>
        <v/>
      </c>
      <c r="AD12" s="36" t="str">
        <f>IF(AND('Mapa riesgos'!$AD$51="Muy Alta",'Mapa riesgos'!$AF$51="Mayor"),CONCATENATE("R7C",'Mapa riesgos'!$T$51),"")</f>
        <v/>
      </c>
      <c r="AE12" s="36" t="str">
        <f>IF(AND('Mapa riesgos'!$AD$52="Muy Alta",'Mapa riesgos'!$AF$52="Mayor"),CONCATENATE("R7C",'Mapa riesgos'!$T$52),"")</f>
        <v/>
      </c>
      <c r="AF12" s="36" t="str">
        <f>IF(AND('Mapa riesgos'!$AD$53="Muy Alta",'Mapa riesgos'!$AF$53="Mayor"),CONCATENATE("R7C",'Mapa riesgos'!$T$53),"")</f>
        <v/>
      </c>
      <c r="AG12" s="37" t="str">
        <f>IF(AND('Mapa riesgos'!$AD$54="Muy Alta",'Mapa riesgos'!$AF$54="Mayor"),CONCATENATE("R7C",'Mapa riesgos'!$T$54),"")</f>
        <v/>
      </c>
      <c r="AH12" s="38" t="str">
        <f>IF(AND('Mapa riesgos'!$AD$49="Muy Alta",'Mapa riesgos'!$AF$49="Catastrófico"),CONCATENATE("R7C",'Mapa riesgos'!$T$49),"")</f>
        <v/>
      </c>
      <c r="AI12" s="39" t="str">
        <f>IF(AND('Mapa riesgos'!$AD$50="Muy Alta",'Mapa riesgos'!$AF$50="Catastrófico"),CONCATENATE("R7C",'Mapa riesgos'!$T$50),"")</f>
        <v/>
      </c>
      <c r="AJ12" s="39" t="str">
        <f>IF(AND('Mapa riesgos'!$AD$51="Muy Alta",'Mapa riesgos'!$AF$51="Catastrófico"),CONCATENATE("R7C",'Mapa riesgos'!$T$51),"")</f>
        <v/>
      </c>
      <c r="AK12" s="39" t="str">
        <f>IF(AND('Mapa riesgos'!$AD$52="Muy Alta",'Mapa riesgos'!$AF$52="Catastrófico"),CONCATENATE("R7C",'Mapa riesgos'!$T$52),"")</f>
        <v/>
      </c>
      <c r="AL12" s="39" t="str">
        <f>IF(AND('Mapa riesgos'!$AD$53="Muy Alta",'Mapa riesgos'!$AF$53="Catastrófico"),CONCATENATE("R7C",'Mapa riesgos'!$T$53),"")</f>
        <v/>
      </c>
      <c r="AM12" s="40" t="str">
        <f>IF(AND('Mapa riesgos'!$AD$54="Muy Alta",'Mapa riesgos'!$AF$54="Catastrófico"),CONCATENATE("R7C",'Mapa riesgos'!$T$54),"")</f>
        <v/>
      </c>
      <c r="AN12" s="66"/>
      <c r="AO12" s="527"/>
      <c r="AP12" s="528"/>
      <c r="AQ12" s="528"/>
      <c r="AR12" s="528"/>
      <c r="AS12" s="528"/>
      <c r="AT12" s="529"/>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1:91" ht="15" customHeight="1" x14ac:dyDescent="0.25">
      <c r="A13" s="66"/>
      <c r="B13" s="422"/>
      <c r="C13" s="422"/>
      <c r="D13" s="423"/>
      <c r="E13" s="521"/>
      <c r="F13" s="520"/>
      <c r="G13" s="520"/>
      <c r="H13" s="520"/>
      <c r="I13" s="536"/>
      <c r="J13" s="35" t="str">
        <f>IF(AND('Mapa riesgos'!$AD$55="Muy Alta",'Mapa riesgos'!$AF$55="Leve"),CONCATENATE("R8C",'Mapa riesgos'!$T$55),"")</f>
        <v/>
      </c>
      <c r="K13" s="36" t="str">
        <f>IF(AND('Mapa riesgos'!$AD$56="Muy Alta",'Mapa riesgos'!$AF$56="Leve"),CONCATENATE("R8C",'Mapa riesgos'!$T$56),"")</f>
        <v/>
      </c>
      <c r="L13" s="36" t="str">
        <f>IF(AND('Mapa riesgos'!$AD$57="Muy Alta",'Mapa riesgos'!$AF$57="Leve"),CONCATENATE("R8C",'Mapa riesgos'!$T$57),"")</f>
        <v/>
      </c>
      <c r="M13" s="36" t="str">
        <f>IF(AND('Mapa riesgos'!$AD$58="Muy Alta",'Mapa riesgos'!$AF$58="Leve"),CONCATENATE("R8C",'Mapa riesgos'!$T$58),"")</f>
        <v/>
      </c>
      <c r="N13" s="36" t="str">
        <f>IF(AND('Mapa riesgos'!$AD$59="Muy Alta",'Mapa riesgos'!$AF$59="Leve"),CONCATENATE("R8C",'Mapa riesgos'!$T$59),"")</f>
        <v/>
      </c>
      <c r="O13" s="37" t="str">
        <f>IF(AND('Mapa riesgos'!$AD$60="Muy Alta",'Mapa riesgos'!$AF$60="Leve"),CONCATENATE("R8C",'Mapa riesgos'!$T$60),"")</f>
        <v/>
      </c>
      <c r="P13" s="35" t="str">
        <f>IF(AND('Mapa riesgos'!$AD$55="Muy Alta",'Mapa riesgos'!$AF$55="Menor"),CONCATENATE("R8C",'Mapa riesgos'!$T$55),"")</f>
        <v/>
      </c>
      <c r="Q13" s="36" t="str">
        <f>IF(AND('Mapa riesgos'!$AD$56="Muy Alta",'Mapa riesgos'!$AF$56="Menor"),CONCATENATE("R8C",'Mapa riesgos'!$T$56),"")</f>
        <v/>
      </c>
      <c r="R13" s="36" t="str">
        <f>IF(AND('Mapa riesgos'!$AD$57="Muy Alta",'Mapa riesgos'!$AF$57="Menor"),CONCATENATE("R8C",'Mapa riesgos'!$T$57),"")</f>
        <v/>
      </c>
      <c r="S13" s="36" t="str">
        <f>IF(AND('Mapa riesgos'!$AD$58="Muy Alta",'Mapa riesgos'!$AF$58="Menor"),CONCATENATE("R8C",'Mapa riesgos'!$T$58),"")</f>
        <v/>
      </c>
      <c r="T13" s="36" t="str">
        <f>IF(AND('Mapa riesgos'!$AD$59="Muy Alta",'Mapa riesgos'!$AF$59="Menor"),CONCATENATE("R8C",'Mapa riesgos'!$T$59),"")</f>
        <v/>
      </c>
      <c r="U13" s="37" t="str">
        <f>IF(AND('Mapa riesgos'!$AD$60="Muy Alta",'Mapa riesgos'!$AF$60="Menor"),CONCATENATE("R8C",'Mapa riesgos'!$T$60),"")</f>
        <v/>
      </c>
      <c r="V13" s="35" t="str">
        <f>IF(AND('Mapa riesgos'!$AD$55="Muy Alta",'Mapa riesgos'!$AF$55="Moderado"),CONCATENATE("R8C",'Mapa riesgos'!$T$55),"")</f>
        <v/>
      </c>
      <c r="W13" s="36" t="str">
        <f>IF(AND('Mapa riesgos'!$AD$56="Muy Alta",'Mapa riesgos'!$AF$56="Moderado"),CONCATENATE("R8C",'Mapa riesgos'!$T$56),"")</f>
        <v/>
      </c>
      <c r="X13" s="36" t="str">
        <f>IF(AND('Mapa riesgos'!$AD$57="Muy Alta",'Mapa riesgos'!$AF$57="Moderado"),CONCATENATE("R8C",'Mapa riesgos'!$T$57),"")</f>
        <v/>
      </c>
      <c r="Y13" s="36" t="str">
        <f>IF(AND('Mapa riesgos'!$AD$58="Muy Alta",'Mapa riesgos'!$AF$58="Moderado"),CONCATENATE("R8C",'Mapa riesgos'!$T$58),"")</f>
        <v/>
      </c>
      <c r="Z13" s="36" t="str">
        <f>IF(AND('Mapa riesgos'!$AD$59="Muy Alta",'Mapa riesgos'!$AF$59="Moderado"),CONCATENATE("R8C",'Mapa riesgos'!$T$59),"")</f>
        <v/>
      </c>
      <c r="AA13" s="37" t="str">
        <f>IF(AND('Mapa riesgos'!$AD$60="Muy Alta",'Mapa riesgos'!$AF$60="Moderado"),CONCATENATE("R8C",'Mapa riesgos'!$T$60),"")</f>
        <v/>
      </c>
      <c r="AB13" s="35" t="str">
        <f>IF(AND('Mapa riesgos'!$AD$55="Muy Alta",'Mapa riesgos'!$AF$55="Mayor"),CONCATENATE("R8C",'Mapa riesgos'!$T$55),"")</f>
        <v/>
      </c>
      <c r="AC13" s="36" t="str">
        <f>IF(AND('Mapa riesgos'!$AD$56="Muy Alta",'Mapa riesgos'!$AF$56="Mayor"),CONCATENATE("R8C",'Mapa riesgos'!$T$56),"")</f>
        <v/>
      </c>
      <c r="AD13" s="36" t="str">
        <f>IF(AND('Mapa riesgos'!$AD$57="Muy Alta",'Mapa riesgos'!$AF$57="Mayor"),CONCATENATE("R8C",'Mapa riesgos'!$T$57),"")</f>
        <v/>
      </c>
      <c r="AE13" s="36" t="str">
        <f>IF(AND('Mapa riesgos'!$AD$58="Muy Alta",'Mapa riesgos'!$AF$58="Mayor"),CONCATENATE("R8C",'Mapa riesgos'!$T$58),"")</f>
        <v/>
      </c>
      <c r="AF13" s="36" t="str">
        <f>IF(AND('Mapa riesgos'!$AD$59="Muy Alta",'Mapa riesgos'!$AF$59="Mayor"),CONCATENATE("R8C",'Mapa riesgos'!$T$59),"")</f>
        <v/>
      </c>
      <c r="AG13" s="37" t="str">
        <f>IF(AND('Mapa riesgos'!$AD$60="Muy Alta",'Mapa riesgos'!$AF$60="Mayor"),CONCATENATE("R8C",'Mapa riesgos'!$T$60),"")</f>
        <v/>
      </c>
      <c r="AH13" s="38" t="str">
        <f>IF(AND('Mapa riesgos'!$AD$55="Muy Alta",'Mapa riesgos'!$AF$55="Catastrófico"),CONCATENATE("R8C",'Mapa riesgos'!$T$55),"")</f>
        <v/>
      </c>
      <c r="AI13" s="39" t="str">
        <f>IF(AND('Mapa riesgos'!$AD$56="Muy Alta",'Mapa riesgos'!$AF$56="Catastrófico"),CONCATENATE("R8C",'Mapa riesgos'!$T$56),"")</f>
        <v/>
      </c>
      <c r="AJ13" s="39" t="str">
        <f>IF(AND('Mapa riesgos'!$AD$57="Muy Alta",'Mapa riesgos'!$AF$57="Catastrófico"),CONCATENATE("R8C",'Mapa riesgos'!$T$57),"")</f>
        <v/>
      </c>
      <c r="AK13" s="39" t="str">
        <f>IF(AND('Mapa riesgos'!$AD$58="Muy Alta",'Mapa riesgos'!$AF$58="Catastrófico"),CONCATENATE("R8C",'Mapa riesgos'!$T$58),"")</f>
        <v/>
      </c>
      <c r="AL13" s="39" t="str">
        <f>IF(AND('Mapa riesgos'!$AD$59="Muy Alta",'Mapa riesgos'!$AF$59="Catastrófico"),CONCATENATE("R8C",'Mapa riesgos'!$T$59),"")</f>
        <v/>
      </c>
      <c r="AM13" s="40" t="str">
        <f>IF(AND('Mapa riesgos'!$AD$60="Muy Alta",'Mapa riesgos'!$AF$60="Catastrófico"),CONCATENATE("R8C",'Mapa riesgos'!$T$60),"")</f>
        <v/>
      </c>
      <c r="AN13" s="66"/>
      <c r="AO13" s="527"/>
      <c r="AP13" s="528"/>
      <c r="AQ13" s="528"/>
      <c r="AR13" s="528"/>
      <c r="AS13" s="528"/>
      <c r="AT13" s="529"/>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row>
    <row r="14" spans="1:91" ht="15" customHeight="1" x14ac:dyDescent="0.25">
      <c r="A14" s="66"/>
      <c r="B14" s="422"/>
      <c r="C14" s="422"/>
      <c r="D14" s="423"/>
      <c r="E14" s="521"/>
      <c r="F14" s="520"/>
      <c r="G14" s="520"/>
      <c r="H14" s="520"/>
      <c r="I14" s="536"/>
      <c r="J14" s="35" t="str">
        <f>IF(AND('Mapa riesgos'!$AD$61="Muy Alta",'Mapa riesgos'!$AF$61="Leve"),CONCATENATE("R9C",'Mapa riesgos'!$T$61),"")</f>
        <v/>
      </c>
      <c r="K14" s="36" t="str">
        <f>IF(AND('Mapa riesgos'!$AD$62="Muy Alta",'Mapa riesgos'!$AF$62="Leve"),CONCATENATE("R9C",'Mapa riesgos'!$T$62),"")</f>
        <v/>
      </c>
      <c r="L14" s="36" t="str">
        <f>IF(AND('Mapa riesgos'!$AD$63="Muy Alta",'Mapa riesgos'!$AF$63="Leve"),CONCATENATE("R9C",'Mapa riesgos'!$T$63),"")</f>
        <v/>
      </c>
      <c r="M14" s="36" t="str">
        <f>IF(AND('Mapa riesgos'!$AD$64="Muy Alta",'Mapa riesgos'!$AF$64="Leve"),CONCATENATE("R9C",'Mapa riesgos'!$T$64),"")</f>
        <v/>
      </c>
      <c r="N14" s="36" t="str">
        <f>IF(AND('Mapa riesgos'!$AD$65="Muy Alta",'Mapa riesgos'!$AF$65="Leve"),CONCATENATE("R9C",'Mapa riesgos'!$T$65),"")</f>
        <v/>
      </c>
      <c r="O14" s="37" t="str">
        <f>IF(AND('Mapa riesgos'!$AD$66="Muy Alta",'Mapa riesgos'!$AF$66="Leve"),CONCATENATE("R9C",'Mapa riesgos'!$T$66),"")</f>
        <v/>
      </c>
      <c r="P14" s="35" t="str">
        <f>IF(AND('Mapa riesgos'!$AD$61="Muy Alta",'Mapa riesgos'!$AF$61="Menor"),CONCATENATE("R9C",'Mapa riesgos'!$T$61),"")</f>
        <v/>
      </c>
      <c r="Q14" s="36" t="str">
        <f>IF(AND('Mapa riesgos'!$AD$62="Muy Alta",'Mapa riesgos'!$AF$62="Menor"),CONCATENATE("R9C",'Mapa riesgos'!$T$62),"")</f>
        <v/>
      </c>
      <c r="R14" s="36" t="str">
        <f>IF(AND('Mapa riesgos'!$AD$63="Muy Alta",'Mapa riesgos'!$AF$63="Menor"),CONCATENATE("R9C",'Mapa riesgos'!$T$63),"")</f>
        <v/>
      </c>
      <c r="S14" s="36" t="str">
        <f>IF(AND('Mapa riesgos'!$AD$64="Muy Alta",'Mapa riesgos'!$AF$64="Menor"),CONCATENATE("R9C",'Mapa riesgos'!$T$64),"")</f>
        <v/>
      </c>
      <c r="T14" s="36" t="str">
        <f>IF(AND('Mapa riesgos'!$AD$65="Muy Alta",'Mapa riesgos'!$AF$65="Menor"),CONCATENATE("R9C",'Mapa riesgos'!$T$65),"")</f>
        <v/>
      </c>
      <c r="U14" s="37" t="str">
        <f>IF(AND('Mapa riesgos'!$AD$66="Muy Alta",'Mapa riesgos'!$AF$66="Menor"),CONCATENATE("R9C",'Mapa riesgos'!$T$66),"")</f>
        <v/>
      </c>
      <c r="V14" s="35" t="str">
        <f>IF(AND('Mapa riesgos'!$AD$61="Muy Alta",'Mapa riesgos'!$AF$61="Moderado"),CONCATENATE("R9C",'Mapa riesgos'!$T$61),"")</f>
        <v/>
      </c>
      <c r="W14" s="36" t="str">
        <f>IF(AND('Mapa riesgos'!$AD$62="Muy Alta",'Mapa riesgos'!$AF$62="Moderado"),CONCATENATE("R9C",'Mapa riesgos'!$T$62),"")</f>
        <v/>
      </c>
      <c r="X14" s="36" t="str">
        <f>IF(AND('Mapa riesgos'!$AD$63="Muy Alta",'Mapa riesgos'!$AF$63="Moderado"),CONCATENATE("R9C",'Mapa riesgos'!$T$63),"")</f>
        <v/>
      </c>
      <c r="Y14" s="36" t="str">
        <f>IF(AND('Mapa riesgos'!$AD$64="Muy Alta",'Mapa riesgos'!$AF$64="Moderado"),CONCATENATE("R9C",'Mapa riesgos'!$T$64),"")</f>
        <v/>
      </c>
      <c r="Z14" s="36" t="str">
        <f>IF(AND('Mapa riesgos'!$AD$65="Muy Alta",'Mapa riesgos'!$AF$65="Moderado"),CONCATENATE("R9C",'Mapa riesgos'!$T$65),"")</f>
        <v/>
      </c>
      <c r="AA14" s="37" t="str">
        <f>IF(AND('Mapa riesgos'!$AD$66="Muy Alta",'Mapa riesgos'!$AF$66="Moderado"),CONCATENATE("R9C",'Mapa riesgos'!$T$66),"")</f>
        <v/>
      </c>
      <c r="AB14" s="35" t="str">
        <f>IF(AND('Mapa riesgos'!$AD$61="Muy Alta",'Mapa riesgos'!$AF$61="Mayor"),CONCATENATE("R9C",'Mapa riesgos'!$T$61),"")</f>
        <v/>
      </c>
      <c r="AC14" s="36" t="str">
        <f>IF(AND('Mapa riesgos'!$AD$62="Muy Alta",'Mapa riesgos'!$AF$62="Mayor"),CONCATENATE("R9C",'Mapa riesgos'!$T$62),"")</f>
        <v/>
      </c>
      <c r="AD14" s="36" t="str">
        <f>IF(AND('Mapa riesgos'!$AD$63="Muy Alta",'Mapa riesgos'!$AF$63="Mayor"),CONCATENATE("R9C",'Mapa riesgos'!$T$63),"")</f>
        <v/>
      </c>
      <c r="AE14" s="36" t="str">
        <f>IF(AND('Mapa riesgos'!$AD$64="Muy Alta",'Mapa riesgos'!$AF$64="Mayor"),CONCATENATE("R9C",'Mapa riesgos'!$T$64),"")</f>
        <v/>
      </c>
      <c r="AF14" s="36" t="str">
        <f>IF(AND('Mapa riesgos'!$AD$65="Muy Alta",'Mapa riesgos'!$AF$65="Mayor"),CONCATENATE("R9C",'Mapa riesgos'!$T$65),"")</f>
        <v/>
      </c>
      <c r="AG14" s="37" t="str">
        <f>IF(AND('Mapa riesgos'!$AD$66="Muy Alta",'Mapa riesgos'!$AF$66="Mayor"),CONCATENATE("R9C",'Mapa riesgos'!$T$66),"")</f>
        <v/>
      </c>
      <c r="AH14" s="38" t="str">
        <f>IF(AND('Mapa riesgos'!$AD$61="Muy Alta",'Mapa riesgos'!$AF$61="Catastrófico"),CONCATENATE("R9C",'Mapa riesgos'!$T$61),"")</f>
        <v/>
      </c>
      <c r="AI14" s="39" t="str">
        <f>IF(AND('Mapa riesgos'!$AD$62="Muy Alta",'Mapa riesgos'!$AF$62="Catastrófico"),CONCATENATE("R9C",'Mapa riesgos'!$T$62),"")</f>
        <v/>
      </c>
      <c r="AJ14" s="39" t="str">
        <f>IF(AND('Mapa riesgos'!$AD$63="Muy Alta",'Mapa riesgos'!$AF$63="Catastrófico"),CONCATENATE("R9C",'Mapa riesgos'!$T$63),"")</f>
        <v/>
      </c>
      <c r="AK14" s="39" t="str">
        <f>IF(AND('Mapa riesgos'!$AD$64="Muy Alta",'Mapa riesgos'!$AF$64="Catastrófico"),CONCATENATE("R9C",'Mapa riesgos'!$T$64),"")</f>
        <v/>
      </c>
      <c r="AL14" s="39" t="str">
        <f>IF(AND('Mapa riesgos'!$AD$65="Muy Alta",'Mapa riesgos'!$AF$65="Catastrófico"),CONCATENATE("R9C",'Mapa riesgos'!$T$65),"")</f>
        <v/>
      </c>
      <c r="AM14" s="40" t="str">
        <f>IF(AND('Mapa riesgos'!$AD$66="Muy Alta",'Mapa riesgos'!$AF$66="Catastrófico"),CONCATENATE("R9C",'Mapa riesgos'!$T$66),"")</f>
        <v/>
      </c>
      <c r="AN14" s="66"/>
      <c r="AO14" s="527"/>
      <c r="AP14" s="528"/>
      <c r="AQ14" s="528"/>
      <c r="AR14" s="528"/>
      <c r="AS14" s="528"/>
      <c r="AT14" s="529"/>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row>
    <row r="15" spans="1:91" ht="15.75" customHeight="1" thickBot="1" x14ac:dyDescent="0.3">
      <c r="A15" s="66"/>
      <c r="B15" s="422"/>
      <c r="C15" s="422"/>
      <c r="D15" s="423"/>
      <c r="E15" s="522"/>
      <c r="F15" s="523"/>
      <c r="G15" s="523"/>
      <c r="H15" s="523"/>
      <c r="I15" s="537"/>
      <c r="J15" s="41" t="str">
        <f>IF(AND('Mapa riesgos'!$AD$67="Muy Alta",'Mapa riesgos'!$AF$67="Leve"),CONCATENATE("R10C",'Mapa riesgos'!$T$67),"")</f>
        <v/>
      </c>
      <c r="K15" s="42" t="str">
        <f>IF(AND('Mapa riesgos'!$AD$68="Muy Alta",'Mapa riesgos'!$AF$68="Leve"),CONCATENATE("R10C",'Mapa riesgos'!$T$68),"")</f>
        <v/>
      </c>
      <c r="L15" s="42" t="str">
        <f>IF(AND('Mapa riesgos'!$AD$69="Muy Alta",'Mapa riesgos'!$AF$69="Leve"),CONCATENATE("R10C",'Mapa riesgos'!$T$69),"")</f>
        <v/>
      </c>
      <c r="M15" s="42" t="str">
        <f>IF(AND('Mapa riesgos'!$AD$70="Muy Alta",'Mapa riesgos'!$AF$70="Leve"),CONCATENATE("R10C",'Mapa riesgos'!$T$70),"")</f>
        <v/>
      </c>
      <c r="N15" s="42" t="str">
        <f>IF(AND('Mapa riesgos'!$AD$71="Muy Alta",'Mapa riesgos'!$AF$71="Leve"),CONCATENATE("R10C",'Mapa riesgos'!$T$71),"")</f>
        <v/>
      </c>
      <c r="O15" s="43" t="str">
        <f>IF(AND('Mapa riesgos'!$AD$72="Muy Alta",'Mapa riesgos'!$AF$72="Leve"),CONCATENATE("R10C",'Mapa riesgos'!$T$72),"")</f>
        <v/>
      </c>
      <c r="P15" s="35" t="str">
        <f>IF(AND('Mapa riesgos'!$AD$67="Muy Alta",'Mapa riesgos'!$AF$67="Menor"),CONCATENATE("R10C",'Mapa riesgos'!$T$67),"")</f>
        <v/>
      </c>
      <c r="Q15" s="36" t="str">
        <f>IF(AND('Mapa riesgos'!$AD$68="Muy Alta",'Mapa riesgos'!$AF$68="Menor"),CONCATENATE("R10C",'Mapa riesgos'!$T$68),"")</f>
        <v/>
      </c>
      <c r="R15" s="36" t="str">
        <f>IF(AND('Mapa riesgos'!$AD$69="Muy Alta",'Mapa riesgos'!$AF$69="Menor"),CONCATENATE("R10C",'Mapa riesgos'!$T$69),"")</f>
        <v/>
      </c>
      <c r="S15" s="36" t="str">
        <f>IF(AND('Mapa riesgos'!$AD$70="Muy Alta",'Mapa riesgos'!$AF$70="Menor"),CONCATENATE("R10C",'Mapa riesgos'!$T$70),"")</f>
        <v/>
      </c>
      <c r="T15" s="36" t="str">
        <f>IF(AND('Mapa riesgos'!$AD$71="Muy Alta",'Mapa riesgos'!$AF$71="Menor"),CONCATENATE("R10C",'Mapa riesgos'!$T$71),"")</f>
        <v/>
      </c>
      <c r="U15" s="37" t="str">
        <f>IF(AND('Mapa riesgos'!$AD$72="Muy Alta",'Mapa riesgos'!$AF$72="Menor"),CONCATENATE("R10C",'Mapa riesgos'!$T$72),"")</f>
        <v/>
      </c>
      <c r="V15" s="41" t="str">
        <f>IF(AND('Mapa riesgos'!$AD$67="Muy Alta",'Mapa riesgos'!$AF$67="Moderado"),CONCATENATE("R10C",'Mapa riesgos'!$T$67),"")</f>
        <v/>
      </c>
      <c r="W15" s="42" t="str">
        <f>IF(AND('Mapa riesgos'!$AD$68="Muy Alta",'Mapa riesgos'!$AF$68="Moderado"),CONCATENATE("R10C",'Mapa riesgos'!$T$68),"")</f>
        <v/>
      </c>
      <c r="X15" s="42" t="str">
        <f>IF(AND('Mapa riesgos'!$AD$69="Muy Alta",'Mapa riesgos'!$AF$69="Moderado"),CONCATENATE("R10C",'Mapa riesgos'!$T$69),"")</f>
        <v/>
      </c>
      <c r="Y15" s="42" t="str">
        <f>IF(AND('Mapa riesgos'!$AD$70="Muy Alta",'Mapa riesgos'!$AF$70="Moderado"),CONCATENATE("R10C",'Mapa riesgos'!$T$70),"")</f>
        <v/>
      </c>
      <c r="Z15" s="42" t="str">
        <f>IF(AND('Mapa riesgos'!$AD$71="Muy Alta",'Mapa riesgos'!$AF$71="Moderado"),CONCATENATE("R10C",'Mapa riesgos'!$T$71),"")</f>
        <v/>
      </c>
      <c r="AA15" s="43" t="str">
        <f>IF(AND('Mapa riesgos'!$AD$72="Muy Alta",'Mapa riesgos'!$AF$72="Moderado"),CONCATENATE("R10C",'Mapa riesgos'!$T$72),"")</f>
        <v/>
      </c>
      <c r="AB15" s="35" t="str">
        <f>IF(AND('Mapa riesgos'!$AD$67="Muy Alta",'Mapa riesgos'!$AF$67="Mayor"),CONCATENATE("R10C",'Mapa riesgos'!$T$67),"")</f>
        <v/>
      </c>
      <c r="AC15" s="36" t="str">
        <f>IF(AND('Mapa riesgos'!$AD$68="Muy Alta",'Mapa riesgos'!$AF$68="Mayor"),CONCATENATE("R10C",'Mapa riesgos'!$T$68),"")</f>
        <v/>
      </c>
      <c r="AD15" s="36" t="str">
        <f>IF(AND('Mapa riesgos'!$AD$69="Muy Alta",'Mapa riesgos'!$AF$69="Mayor"),CONCATENATE("R10C",'Mapa riesgos'!$T$69),"")</f>
        <v/>
      </c>
      <c r="AE15" s="36" t="str">
        <f>IF(AND('Mapa riesgos'!$AD$70="Muy Alta",'Mapa riesgos'!$AF$70="Mayor"),CONCATENATE("R10C",'Mapa riesgos'!$T$70),"")</f>
        <v/>
      </c>
      <c r="AF15" s="36" t="str">
        <f>IF(AND('Mapa riesgos'!$AD$71="Muy Alta",'Mapa riesgos'!$AF$71="Mayor"),CONCATENATE("R10C",'Mapa riesgos'!$T$71),"")</f>
        <v/>
      </c>
      <c r="AG15" s="37" t="str">
        <f>IF(AND('Mapa riesgos'!$AD$72="Muy Alta",'Mapa riesgos'!$AF$72="Mayor"),CONCATENATE("R10C",'Mapa riesgos'!$T$72),"")</f>
        <v/>
      </c>
      <c r="AH15" s="44" t="str">
        <f>IF(AND('Mapa riesgos'!$AD$67="Muy Alta",'Mapa riesgos'!$AF$67="Catastrófico"),CONCATENATE("R10C",'Mapa riesgos'!$T$67),"")</f>
        <v/>
      </c>
      <c r="AI15" s="45" t="str">
        <f>IF(AND('Mapa riesgos'!$AD$68="Muy Alta",'Mapa riesgos'!$AF$68="Catastrófico"),CONCATENATE("R10C",'Mapa riesgos'!$T$68),"")</f>
        <v/>
      </c>
      <c r="AJ15" s="45" t="str">
        <f>IF(AND('Mapa riesgos'!$AD$69="Muy Alta",'Mapa riesgos'!$AF$69="Catastrófico"),CONCATENATE("R10C",'Mapa riesgos'!$T$69),"")</f>
        <v/>
      </c>
      <c r="AK15" s="45" t="str">
        <f>IF(AND('Mapa riesgos'!$AD$70="Muy Alta",'Mapa riesgos'!$AF$70="Catastrófico"),CONCATENATE("R10C",'Mapa riesgos'!$T$70),"")</f>
        <v/>
      </c>
      <c r="AL15" s="45" t="str">
        <f>IF(AND('Mapa riesgos'!$AD$71="Muy Alta",'Mapa riesgos'!$AF$71="Catastrófico"),CONCATENATE("R10C",'Mapa riesgos'!$T$71),"")</f>
        <v/>
      </c>
      <c r="AM15" s="46" t="str">
        <f>IF(AND('Mapa riesgos'!$AD$72="Muy Alta",'Mapa riesgos'!$AF$72="Catastrófico"),CONCATENATE("R10C",'Mapa riesgos'!$T$72),"")</f>
        <v/>
      </c>
      <c r="AN15" s="66"/>
      <c r="AO15" s="530"/>
      <c r="AP15" s="531"/>
      <c r="AQ15" s="531"/>
      <c r="AR15" s="531"/>
      <c r="AS15" s="531"/>
      <c r="AT15" s="532"/>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row>
    <row r="16" spans="1:91" ht="15" customHeight="1" x14ac:dyDescent="0.25">
      <c r="A16" s="66"/>
      <c r="B16" s="422"/>
      <c r="C16" s="422"/>
      <c r="D16" s="423"/>
      <c r="E16" s="517" t="s">
        <v>179</v>
      </c>
      <c r="F16" s="518"/>
      <c r="G16" s="518"/>
      <c r="H16" s="518"/>
      <c r="I16" s="518"/>
      <c r="J16" s="47" t="str">
        <f>IF(AND('Mapa riesgos'!$AD$13="Alta",'Mapa riesgos'!$AF$13="Leve"),CONCATENATE("R1C",'Mapa riesgos'!$T$13),"")</f>
        <v/>
      </c>
      <c r="K16" s="48" t="str">
        <f>IF(AND('Mapa riesgos'!$AD$14="Alta",'Mapa riesgos'!$AF$14="Leve"),CONCATENATE("R1C",'Mapa riesgos'!$T$14),"")</f>
        <v/>
      </c>
      <c r="L16" s="48" t="str">
        <f>IF(AND('Mapa riesgos'!$AD$15="Alta",'Mapa riesgos'!$AF$15="Leve"),CONCATENATE("R1C",'Mapa riesgos'!$T$15),"")</f>
        <v/>
      </c>
      <c r="M16" s="48" t="str">
        <f>IF(AND('Mapa riesgos'!$AD$16="Alta",'Mapa riesgos'!$AF$16="Leve"),CONCATENATE("R1C",'Mapa riesgos'!$T$16),"")</f>
        <v/>
      </c>
      <c r="N16" s="48" t="str">
        <f>IF(AND('Mapa riesgos'!$AD$17="Alta",'Mapa riesgos'!$AF$17="Leve"),CONCATENATE("R1C",'Mapa riesgos'!$T$17),"")</f>
        <v/>
      </c>
      <c r="O16" s="49" t="str">
        <f>IF(AND('Mapa riesgos'!$AD$18="Alta",'Mapa riesgos'!$AF$18="Leve"),CONCATENATE("R1C",'Mapa riesgos'!$T$18),"")</f>
        <v/>
      </c>
      <c r="P16" s="47" t="str">
        <f>IF(AND('Mapa riesgos'!$AD$13="Alta",'Mapa riesgos'!$AF$13="Menor"),CONCATENATE("R1C",'Mapa riesgos'!$T$13),"")</f>
        <v/>
      </c>
      <c r="Q16" s="48" t="str">
        <f>IF(AND('Mapa riesgos'!$AD$14="Alta",'Mapa riesgos'!$AF$14="Menor"),CONCATENATE("R1C",'Mapa riesgos'!$T$14),"")</f>
        <v/>
      </c>
      <c r="R16" s="48" t="str">
        <f>IF(AND('Mapa riesgos'!$AD$15="Alta",'Mapa riesgos'!$AF$15="Menor"),CONCATENATE("R1C",'Mapa riesgos'!$T$15),"")</f>
        <v/>
      </c>
      <c r="S16" s="48" t="str">
        <f>IF(AND('Mapa riesgos'!$AD$16="Alta",'Mapa riesgos'!$AF$16="Menor"),CONCATENATE("R1C",'Mapa riesgos'!$T$16),"")</f>
        <v/>
      </c>
      <c r="T16" s="48" t="str">
        <f>IF(AND('Mapa riesgos'!$AD$17="Alta",'Mapa riesgos'!$AF$17="Menor"),CONCATENATE("R1C",'Mapa riesgos'!$T$17),"")</f>
        <v/>
      </c>
      <c r="U16" s="49" t="str">
        <f>IF(AND('Mapa riesgos'!$AD$18="Alta",'Mapa riesgos'!$AF$18="Menor"),CONCATENATE("R1C",'Mapa riesgos'!$T$18),"")</f>
        <v/>
      </c>
      <c r="V16" s="29" t="str">
        <f>IF(AND('Mapa riesgos'!$AD$13="Alta",'Mapa riesgos'!$AF$13="Moderado"),CONCATENATE("R1C",'Mapa riesgos'!$T$13),"")</f>
        <v/>
      </c>
      <c r="W16" s="30" t="str">
        <f>IF(AND('Mapa riesgos'!$AD$14="Alta",'Mapa riesgos'!$AF$14="Moderado"),CONCATENATE("R1C",'Mapa riesgos'!$T$14),"")</f>
        <v/>
      </c>
      <c r="X16" s="30" t="str">
        <f>IF(AND('Mapa riesgos'!$AD$15="Alta",'Mapa riesgos'!$AF$15="Moderado"),CONCATENATE("R1C",'Mapa riesgos'!$T$15),"")</f>
        <v/>
      </c>
      <c r="Y16" s="30" t="str">
        <f>IF(AND('Mapa riesgos'!$AD$16="Alta",'Mapa riesgos'!$AF$16="Moderado"),CONCATENATE("R1C",'Mapa riesgos'!$T$16),"")</f>
        <v/>
      </c>
      <c r="Z16" s="30" t="str">
        <f>IF(AND('Mapa riesgos'!$AD$17="Alta",'Mapa riesgos'!$AF$17="Moderado"),CONCATENATE("R1C",'Mapa riesgos'!$T$17),"")</f>
        <v/>
      </c>
      <c r="AA16" s="31" t="str">
        <f>IF(AND('Mapa riesgos'!$AD$18="Alta",'Mapa riesgos'!$AF$18="Moderado"),CONCATENATE("R1C",'Mapa riesgos'!$T$18),"")</f>
        <v/>
      </c>
      <c r="AB16" s="29" t="str">
        <f>IF(AND('Mapa riesgos'!$AD$13="Alta",'Mapa riesgos'!$AF$13="Mayor"),CONCATENATE("R1C",'Mapa riesgos'!$T$13),"")</f>
        <v/>
      </c>
      <c r="AC16" s="30" t="str">
        <f>IF(AND('Mapa riesgos'!$AD$14="Alta",'Mapa riesgos'!$AF$14="Mayor"),CONCATENATE("R1C",'Mapa riesgos'!$T$14),"")</f>
        <v/>
      </c>
      <c r="AD16" s="30" t="str">
        <f>IF(AND('Mapa riesgos'!$AD$15="Alta",'Mapa riesgos'!$AF$15="Mayor"),CONCATENATE("R1C",'Mapa riesgos'!$T$15),"")</f>
        <v/>
      </c>
      <c r="AE16" s="30" t="str">
        <f>IF(AND('Mapa riesgos'!$AD$16="Alta",'Mapa riesgos'!$AF$16="Mayor"),CONCATENATE("R1C",'Mapa riesgos'!$T$16),"")</f>
        <v/>
      </c>
      <c r="AF16" s="30" t="str">
        <f>IF(AND('Mapa riesgos'!$AD$17="Alta",'Mapa riesgos'!$AF$17="Mayor"),CONCATENATE("R1C",'Mapa riesgos'!$T$17),"")</f>
        <v/>
      </c>
      <c r="AG16" s="31" t="str">
        <f>IF(AND('Mapa riesgos'!$AD$18="Alta",'Mapa riesgos'!$AF$18="Mayor"),CONCATENATE("R1C",'Mapa riesgos'!$T$18),"")</f>
        <v/>
      </c>
      <c r="AH16" s="32" t="str">
        <f>IF(AND('Mapa riesgos'!$AD$13="Alta",'Mapa riesgos'!$AF$13="Catastrófico"),CONCATENATE("R1C",'Mapa riesgos'!$T$13),"")</f>
        <v/>
      </c>
      <c r="AI16" s="33" t="str">
        <f>IF(AND('Mapa riesgos'!$AD$14="Alta",'Mapa riesgos'!$AF$14="Catastrófico"),CONCATENATE("R1C",'Mapa riesgos'!$T$14),"")</f>
        <v/>
      </c>
      <c r="AJ16" s="33" t="str">
        <f>IF(AND('Mapa riesgos'!$AD$15="Alta",'Mapa riesgos'!$AF$15="Catastrófico"),CONCATENATE("R1C",'Mapa riesgos'!$T$15),"")</f>
        <v/>
      </c>
      <c r="AK16" s="33" t="str">
        <f>IF(AND('Mapa riesgos'!$AD$16="Alta",'Mapa riesgos'!$AF$16="Catastrófico"),CONCATENATE("R1C",'Mapa riesgos'!$T$16),"")</f>
        <v/>
      </c>
      <c r="AL16" s="33" t="str">
        <f>IF(AND('Mapa riesgos'!$AD$17="Alta",'Mapa riesgos'!$AF$17="Catastrófico"),CONCATENATE("R1C",'Mapa riesgos'!$T$17),"")</f>
        <v/>
      </c>
      <c r="AM16" s="34" t="str">
        <f>IF(AND('Mapa riesgos'!$AD$18="Alta",'Mapa riesgos'!$AF$18="Catastrófico"),CONCATENATE("R1C",'Mapa riesgos'!$T$18),"")</f>
        <v/>
      </c>
      <c r="AN16" s="66"/>
      <c r="AO16" s="508" t="s">
        <v>180</v>
      </c>
      <c r="AP16" s="509"/>
      <c r="AQ16" s="509"/>
      <c r="AR16" s="509"/>
      <c r="AS16" s="509"/>
      <c r="AT16" s="510"/>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row>
    <row r="17" spans="1:76" ht="15" customHeight="1" x14ac:dyDescent="0.25">
      <c r="A17" s="66"/>
      <c r="B17" s="422"/>
      <c r="C17" s="422"/>
      <c r="D17" s="423"/>
      <c r="E17" s="519"/>
      <c r="F17" s="520"/>
      <c r="G17" s="520"/>
      <c r="H17" s="520"/>
      <c r="I17" s="520"/>
      <c r="J17" s="50" t="str">
        <f>IF(AND('Mapa riesgos'!$AD$19="Alta",'Mapa riesgos'!$AF$19="Leve"),CONCATENATE("R2C",'Mapa riesgos'!$T$19),"")</f>
        <v/>
      </c>
      <c r="K17" s="51" t="str">
        <f>IF(AND('Mapa riesgos'!$AD$20="Alta",'Mapa riesgos'!$AF$20="Leve"),CONCATENATE("R2C",'Mapa riesgos'!$T$20),"")</f>
        <v/>
      </c>
      <c r="L17" s="51" t="str">
        <f>IF(AND('Mapa riesgos'!$AD$21="Alta",'Mapa riesgos'!$AF$21="Leve"),CONCATENATE("R2C",'Mapa riesgos'!$T$21),"")</f>
        <v/>
      </c>
      <c r="M17" s="51" t="str">
        <f>IF(AND('Mapa riesgos'!$AD$22="Alta",'Mapa riesgos'!$AF$22="Leve"),CONCATENATE("R2C",'Mapa riesgos'!$T$22),"")</f>
        <v/>
      </c>
      <c r="N17" s="51" t="str">
        <f>IF(AND('Mapa riesgos'!$AD$23="Alta",'Mapa riesgos'!$AF$23="Leve"),CONCATENATE("R2C",'Mapa riesgos'!$T$23),"")</f>
        <v/>
      </c>
      <c r="O17" s="52" t="str">
        <f>IF(AND('Mapa riesgos'!$AD$24="Alta",'Mapa riesgos'!$AF$24="Leve"),CONCATENATE("R2C",'Mapa riesgos'!$T$24),"")</f>
        <v/>
      </c>
      <c r="P17" s="50" t="str">
        <f>IF(AND('Mapa riesgos'!$AD$19="Alta",'Mapa riesgos'!$AF$19="Menor"),CONCATENATE("R2C",'Mapa riesgos'!$T$19),"")</f>
        <v/>
      </c>
      <c r="Q17" s="51" t="str">
        <f>IF(AND('Mapa riesgos'!$AD$20="Alta",'Mapa riesgos'!$AF$20="Menor"),CONCATENATE("R2C",'Mapa riesgos'!$T$20),"")</f>
        <v/>
      </c>
      <c r="R17" s="51" t="str">
        <f>IF(AND('Mapa riesgos'!$AD$21="Alta",'Mapa riesgos'!$AF$21="Menor"),CONCATENATE("R2C",'Mapa riesgos'!$T$21),"")</f>
        <v/>
      </c>
      <c r="S17" s="51" t="str">
        <f>IF(AND('Mapa riesgos'!$AD$22="Alta",'Mapa riesgos'!$AF$22="Menor"),CONCATENATE("R2C",'Mapa riesgos'!$T$22),"")</f>
        <v/>
      </c>
      <c r="T17" s="51" t="str">
        <f>IF(AND('Mapa riesgos'!$AD$23="Alta",'Mapa riesgos'!$AF$23="Menor"),CONCATENATE("R2C",'Mapa riesgos'!$T$23),"")</f>
        <v/>
      </c>
      <c r="U17" s="52" t="str">
        <f>IF(AND('Mapa riesgos'!$AD$24="Alta",'Mapa riesgos'!$AF$24="Menor"),CONCATENATE("R2C",'Mapa riesgos'!$T$24),"")</f>
        <v/>
      </c>
      <c r="V17" s="35" t="str">
        <f>IF(AND('Mapa riesgos'!$AD$19="Alta",'Mapa riesgos'!$AF$19="Moderado"),CONCATENATE("R2C",'Mapa riesgos'!$T$19),"")</f>
        <v/>
      </c>
      <c r="W17" s="36" t="str">
        <f>IF(AND('Mapa riesgos'!$AD$20="Alta",'Mapa riesgos'!$AF$20="Moderado"),CONCATENATE("R2C",'Mapa riesgos'!$T$20),"")</f>
        <v/>
      </c>
      <c r="X17" s="36" t="str">
        <f>IF(AND('Mapa riesgos'!$AD$21="Alta",'Mapa riesgos'!$AF$21="Moderado"),CONCATENATE("R2C",'Mapa riesgos'!$T$21),"")</f>
        <v/>
      </c>
      <c r="Y17" s="36" t="str">
        <f>IF(AND('Mapa riesgos'!$AD$22="Alta",'Mapa riesgos'!$AF$22="Moderado"),CONCATENATE("R2C",'Mapa riesgos'!$T$22),"")</f>
        <v/>
      </c>
      <c r="Z17" s="36" t="str">
        <f>IF(AND('Mapa riesgos'!$AD$23="Alta",'Mapa riesgos'!$AF$23="Moderado"),CONCATENATE("R2C",'Mapa riesgos'!$T$23),"")</f>
        <v/>
      </c>
      <c r="AA17" s="37" t="str">
        <f>IF(AND('Mapa riesgos'!$AD$24="Alta",'Mapa riesgos'!$AF$24="Moderado"),CONCATENATE("R2C",'Mapa riesgos'!$T$24),"")</f>
        <v/>
      </c>
      <c r="AB17" s="35" t="str">
        <f>IF(AND('Mapa riesgos'!$AD$19="Alta",'Mapa riesgos'!$AF$19="Mayor"),CONCATENATE("R2C",'Mapa riesgos'!$T$19),"")</f>
        <v/>
      </c>
      <c r="AC17" s="36" t="str">
        <f>IF(AND('Mapa riesgos'!$AD$20="Alta",'Mapa riesgos'!$AF$20="Mayor"),CONCATENATE("R2C",'Mapa riesgos'!$T$20),"")</f>
        <v/>
      </c>
      <c r="AD17" s="36" t="str">
        <f>IF(AND('Mapa riesgos'!$AD$21="Alta",'Mapa riesgos'!$AF$21="Mayor"),CONCATENATE("R2C",'Mapa riesgos'!$T$21),"")</f>
        <v/>
      </c>
      <c r="AE17" s="36" t="str">
        <f>IF(AND('Mapa riesgos'!$AD$22="Alta",'Mapa riesgos'!$AF$22="Mayor"),CONCATENATE("R2C",'Mapa riesgos'!$T$22),"")</f>
        <v/>
      </c>
      <c r="AF17" s="36" t="str">
        <f>IF(AND('Mapa riesgos'!$AD$23="Alta",'Mapa riesgos'!$AF$23="Mayor"),CONCATENATE("R2C",'Mapa riesgos'!$T$23),"")</f>
        <v/>
      </c>
      <c r="AG17" s="37" t="str">
        <f>IF(AND('Mapa riesgos'!$AD$24="Alta",'Mapa riesgos'!$AF$24="Mayor"),CONCATENATE("R2C",'Mapa riesgos'!$T$24),"")</f>
        <v/>
      </c>
      <c r="AH17" s="38" t="str">
        <f>IF(AND('Mapa riesgos'!$AD$19="Alta",'Mapa riesgos'!$AF$19="Catastrófico"),CONCATENATE("R2C",'Mapa riesgos'!$T$19),"")</f>
        <v/>
      </c>
      <c r="AI17" s="39" t="str">
        <f>IF(AND('Mapa riesgos'!$AD$20="Alta",'Mapa riesgos'!$AF$20="Catastrófico"),CONCATENATE("R2C",'Mapa riesgos'!$T$20),"")</f>
        <v/>
      </c>
      <c r="AJ17" s="39" t="str">
        <f>IF(AND('Mapa riesgos'!$AD$21="Alta",'Mapa riesgos'!$AF$21="Catastrófico"),CONCATENATE("R2C",'Mapa riesgos'!$T$21),"")</f>
        <v/>
      </c>
      <c r="AK17" s="39" t="str">
        <f>IF(AND('Mapa riesgos'!$AD$22="Alta",'Mapa riesgos'!$AF$22="Catastrófico"),CONCATENATE("R2C",'Mapa riesgos'!$T$22),"")</f>
        <v/>
      </c>
      <c r="AL17" s="39" t="str">
        <f>IF(AND('Mapa riesgos'!$AD$23="Alta",'Mapa riesgos'!$AF$23="Catastrófico"),CONCATENATE("R2C",'Mapa riesgos'!$T$23),"")</f>
        <v/>
      </c>
      <c r="AM17" s="40" t="str">
        <f>IF(AND('Mapa riesgos'!$AD$24="Alta",'Mapa riesgos'!$AF$24="Catastrófico"),CONCATENATE("R2C",'Mapa riesgos'!$T$24),"")</f>
        <v/>
      </c>
      <c r="AN17" s="66"/>
      <c r="AO17" s="511"/>
      <c r="AP17" s="512"/>
      <c r="AQ17" s="512"/>
      <c r="AR17" s="512"/>
      <c r="AS17" s="512"/>
      <c r="AT17" s="513"/>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row>
    <row r="18" spans="1:76" ht="15" customHeight="1" x14ac:dyDescent="0.25">
      <c r="A18" s="66"/>
      <c r="B18" s="422"/>
      <c r="C18" s="422"/>
      <c r="D18" s="423"/>
      <c r="E18" s="521"/>
      <c r="F18" s="520"/>
      <c r="G18" s="520"/>
      <c r="H18" s="520"/>
      <c r="I18" s="520"/>
      <c r="J18" s="50" t="str">
        <f>IF(AND('Mapa riesgos'!$AD$25="Alta",'Mapa riesgos'!$AF$25="Leve"),CONCATENATE("R3C",'Mapa riesgos'!$T$25),"")</f>
        <v/>
      </c>
      <c r="K18" s="51" t="str">
        <f>IF(AND('Mapa riesgos'!$AD$26="Alta",'Mapa riesgos'!$AF$26="Leve"),CONCATENATE("R3C",'Mapa riesgos'!$T$26),"")</f>
        <v/>
      </c>
      <c r="L18" s="51" t="str">
        <f>IF(AND('Mapa riesgos'!$AD$27="Alta",'Mapa riesgos'!$AF$27="Leve"),CONCATENATE("R3C",'Mapa riesgos'!$T$27),"")</f>
        <v/>
      </c>
      <c r="M18" s="51" t="str">
        <f>IF(AND('Mapa riesgos'!$AD$28="Alta",'Mapa riesgos'!$AF$28="Leve"),CONCATENATE("R3C",'Mapa riesgos'!$T$28),"")</f>
        <v/>
      </c>
      <c r="N18" s="51" t="str">
        <f>IF(AND('Mapa riesgos'!$AD$29="Alta",'Mapa riesgos'!$AF$29="Leve"),CONCATENATE("R3C",'Mapa riesgos'!$T$29),"")</f>
        <v/>
      </c>
      <c r="O18" s="52" t="str">
        <f>IF(AND('Mapa riesgos'!$AD$30="Alta",'Mapa riesgos'!$AF$30="Leve"),CONCATENATE("R3C",'Mapa riesgos'!$T$30),"")</f>
        <v/>
      </c>
      <c r="P18" s="50" t="str">
        <f>IF(AND('Mapa riesgos'!$AD$25="Alta",'Mapa riesgos'!$AF$25="Menor"),CONCATENATE("R3C",'Mapa riesgos'!$T$25),"")</f>
        <v/>
      </c>
      <c r="Q18" s="51" t="str">
        <f>IF(AND('Mapa riesgos'!$AD$26="Alta",'Mapa riesgos'!$AF$26="Menor"),CONCATENATE("R3C",'Mapa riesgos'!$T$26),"")</f>
        <v/>
      </c>
      <c r="R18" s="51" t="str">
        <f>IF(AND('Mapa riesgos'!$AD$27="Alta",'Mapa riesgos'!$AF$27="Menor"),CONCATENATE("R3C",'Mapa riesgos'!$T$27),"")</f>
        <v/>
      </c>
      <c r="S18" s="51" t="str">
        <f>IF(AND('Mapa riesgos'!$AD$28="Alta",'Mapa riesgos'!$AF$28="Menor"),CONCATENATE("R3C",'Mapa riesgos'!$T$28),"")</f>
        <v/>
      </c>
      <c r="T18" s="51" t="str">
        <f>IF(AND('Mapa riesgos'!$AD$29="Alta",'Mapa riesgos'!$AF$29="Menor"),CONCATENATE("R3C",'Mapa riesgos'!$T$29),"")</f>
        <v/>
      </c>
      <c r="U18" s="52" t="str">
        <f>IF(AND('Mapa riesgos'!$AD$30="Alta",'Mapa riesgos'!$AF$30="Menor"),CONCATENATE("R3C",'Mapa riesgos'!$T$30),"")</f>
        <v/>
      </c>
      <c r="V18" s="35" t="str">
        <f>IF(AND('Mapa riesgos'!$AD$25="Alta",'Mapa riesgos'!$AF$25="Moderado"),CONCATENATE("R3C",'Mapa riesgos'!$T$25),"")</f>
        <v/>
      </c>
      <c r="W18" s="36" t="str">
        <f>IF(AND('Mapa riesgos'!$AD$26="Alta",'Mapa riesgos'!$AF$26="Moderado"),CONCATENATE("R3C",'Mapa riesgos'!$T$26),"")</f>
        <v/>
      </c>
      <c r="X18" s="36" t="str">
        <f>IF(AND('Mapa riesgos'!$AD$27="Alta",'Mapa riesgos'!$AF$27="Moderado"),CONCATENATE("R3C",'Mapa riesgos'!$T$27),"")</f>
        <v/>
      </c>
      <c r="Y18" s="36" t="str">
        <f>IF(AND('Mapa riesgos'!$AD$28="Alta",'Mapa riesgos'!$AF$28="Moderado"),CONCATENATE("R3C",'Mapa riesgos'!$T$28),"")</f>
        <v/>
      </c>
      <c r="Z18" s="36" t="str">
        <f>IF(AND('Mapa riesgos'!$AD$29="Alta",'Mapa riesgos'!$AF$29="Moderado"),CONCATENATE("R3C",'Mapa riesgos'!$T$29),"")</f>
        <v/>
      </c>
      <c r="AA18" s="37" t="str">
        <f>IF(AND('Mapa riesgos'!$AD$30="Alta",'Mapa riesgos'!$AF$30="Moderado"),CONCATENATE("R3C",'Mapa riesgos'!$T$30),"")</f>
        <v/>
      </c>
      <c r="AB18" s="35" t="str">
        <f>IF(AND('Mapa riesgos'!$AD$25="Alta",'Mapa riesgos'!$AF$25="Mayor"),CONCATENATE("R3C",'Mapa riesgos'!$T$25),"")</f>
        <v/>
      </c>
      <c r="AC18" s="36" t="str">
        <f>IF(AND('Mapa riesgos'!$AD$26="Alta",'Mapa riesgos'!$AF$26="Mayor"),CONCATENATE("R3C",'Mapa riesgos'!$T$26),"")</f>
        <v/>
      </c>
      <c r="AD18" s="36" t="str">
        <f>IF(AND('Mapa riesgos'!$AD$27="Alta",'Mapa riesgos'!$AF$27="Mayor"),CONCATENATE("R3C",'Mapa riesgos'!$T$27),"")</f>
        <v/>
      </c>
      <c r="AE18" s="36" t="str">
        <f>IF(AND('Mapa riesgos'!$AD$28="Alta",'Mapa riesgos'!$AF$28="Mayor"),CONCATENATE("R3C",'Mapa riesgos'!$T$28),"")</f>
        <v/>
      </c>
      <c r="AF18" s="36" t="str">
        <f>IF(AND('Mapa riesgos'!$AD$29="Alta",'Mapa riesgos'!$AF$29="Mayor"),CONCATENATE("R3C",'Mapa riesgos'!$T$29),"")</f>
        <v/>
      </c>
      <c r="AG18" s="37" t="str">
        <f>IF(AND('Mapa riesgos'!$AD$30="Alta",'Mapa riesgos'!$AF$30="Mayor"),CONCATENATE("R3C",'Mapa riesgos'!$T$30),"")</f>
        <v/>
      </c>
      <c r="AH18" s="38" t="str">
        <f>IF(AND('Mapa riesgos'!$AD$25="Alta",'Mapa riesgos'!$AF$25="Catastrófico"),CONCATENATE("R3C",'Mapa riesgos'!$T$25),"")</f>
        <v/>
      </c>
      <c r="AI18" s="39" t="str">
        <f>IF(AND('Mapa riesgos'!$AD$26="Alta",'Mapa riesgos'!$AF$26="Catastrófico"),CONCATENATE("R3C",'Mapa riesgos'!$T$26),"")</f>
        <v/>
      </c>
      <c r="AJ18" s="39" t="str">
        <f>IF(AND('Mapa riesgos'!$AD$27="Alta",'Mapa riesgos'!$AF$27="Catastrófico"),CONCATENATE("R3C",'Mapa riesgos'!$T$27),"")</f>
        <v/>
      </c>
      <c r="AK18" s="39" t="str">
        <f>IF(AND('Mapa riesgos'!$AD$28="Alta",'Mapa riesgos'!$AF$28="Catastrófico"),CONCATENATE("R3C",'Mapa riesgos'!$T$28),"")</f>
        <v/>
      </c>
      <c r="AL18" s="39" t="str">
        <f>IF(AND('Mapa riesgos'!$AD$29="Alta",'Mapa riesgos'!$AF$29="Catastrófico"),CONCATENATE("R3C",'Mapa riesgos'!$T$29),"")</f>
        <v/>
      </c>
      <c r="AM18" s="40" t="str">
        <f>IF(AND('Mapa riesgos'!$AD$30="Alta",'Mapa riesgos'!$AF$30="Catastrófico"),CONCATENATE("R3C",'Mapa riesgos'!$T$30),"")</f>
        <v/>
      </c>
      <c r="AN18" s="66"/>
      <c r="AO18" s="511"/>
      <c r="AP18" s="512"/>
      <c r="AQ18" s="512"/>
      <c r="AR18" s="512"/>
      <c r="AS18" s="512"/>
      <c r="AT18" s="513"/>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row>
    <row r="19" spans="1:76" ht="15" customHeight="1" x14ac:dyDescent="0.25">
      <c r="A19" s="66"/>
      <c r="B19" s="422"/>
      <c r="C19" s="422"/>
      <c r="D19" s="423"/>
      <c r="E19" s="521"/>
      <c r="F19" s="520"/>
      <c r="G19" s="520"/>
      <c r="H19" s="520"/>
      <c r="I19" s="520"/>
      <c r="J19" s="50" t="str">
        <f>IF(AND('Mapa riesgos'!$AD$31="Alta",'Mapa riesgos'!$AF$31="Leve"),CONCATENATE("R4C",'Mapa riesgos'!$T$31),"")</f>
        <v/>
      </c>
      <c r="K19" s="51" t="str">
        <f>IF(AND('Mapa riesgos'!$AD$32="Alta",'Mapa riesgos'!$AF$32="Leve"),CONCATENATE("R4C",'Mapa riesgos'!$T$32),"")</f>
        <v/>
      </c>
      <c r="L19" s="51" t="str">
        <f>IF(AND('Mapa riesgos'!$AD$33="Alta",'Mapa riesgos'!$AF$33="Leve"),CONCATENATE("R4C",'Mapa riesgos'!$T$33),"")</f>
        <v/>
      </c>
      <c r="M19" s="51" t="str">
        <f>IF(AND('Mapa riesgos'!$AD$34="Alta",'Mapa riesgos'!$AF$34="Leve"),CONCATENATE("R4C",'Mapa riesgos'!$T$34),"")</f>
        <v/>
      </c>
      <c r="N19" s="51" t="str">
        <f>IF(AND('Mapa riesgos'!$AD$35="Alta",'Mapa riesgos'!$AF$35="Leve"),CONCATENATE("R4C",'Mapa riesgos'!$T$35),"")</f>
        <v/>
      </c>
      <c r="O19" s="52" t="str">
        <f>IF(AND('Mapa riesgos'!$AD$36="Alta",'Mapa riesgos'!$AF$36="Leve"),CONCATENATE("R4C",'Mapa riesgos'!$T$36),"")</f>
        <v/>
      </c>
      <c r="P19" s="50" t="str">
        <f>IF(AND('Mapa riesgos'!$AD$31="Alta",'Mapa riesgos'!$AF$31="Menor"),CONCATENATE("R4C",'Mapa riesgos'!$T$31),"")</f>
        <v/>
      </c>
      <c r="Q19" s="51" t="str">
        <f>IF(AND('Mapa riesgos'!$AD$32="Alta",'Mapa riesgos'!$AF$32="Menor"),CONCATENATE("R4C",'Mapa riesgos'!$T$32),"")</f>
        <v/>
      </c>
      <c r="R19" s="51" t="str">
        <f>IF(AND('Mapa riesgos'!$AD$33="Alta",'Mapa riesgos'!$AF$33="Menor"),CONCATENATE("R4C",'Mapa riesgos'!$T$33),"")</f>
        <v/>
      </c>
      <c r="S19" s="51" t="str">
        <f>IF(AND('Mapa riesgos'!$AD$34="Alta",'Mapa riesgos'!$AF$34="Menor"),CONCATENATE("R4C",'Mapa riesgos'!$T$34),"")</f>
        <v/>
      </c>
      <c r="T19" s="51" t="str">
        <f>IF(AND('Mapa riesgos'!$AD$35="Alta",'Mapa riesgos'!$AF$35="Menor"),CONCATENATE("R4C",'Mapa riesgos'!$T$35),"")</f>
        <v/>
      </c>
      <c r="U19" s="52" t="str">
        <f>IF(AND('Mapa riesgos'!$AD$36="Alta",'Mapa riesgos'!$AF$36="Menor"),CONCATENATE("R4C",'Mapa riesgos'!$T$36),"")</f>
        <v/>
      </c>
      <c r="V19" s="35" t="str">
        <f>IF(AND('Mapa riesgos'!$AD$31="Alta",'Mapa riesgos'!$AF$31="Moderado"),CONCATENATE("R4C",'Mapa riesgos'!$T$31),"")</f>
        <v/>
      </c>
      <c r="W19" s="36" t="str">
        <f>IF(AND('Mapa riesgos'!$AD$32="Alta",'Mapa riesgos'!$AF$32="Moderado"),CONCATENATE("R4C",'Mapa riesgos'!$T$32),"")</f>
        <v/>
      </c>
      <c r="X19" s="36" t="str">
        <f>IF(AND('Mapa riesgos'!$AD$33="Alta",'Mapa riesgos'!$AF$33="Moderado"),CONCATENATE("R4C",'Mapa riesgos'!$T$33),"")</f>
        <v/>
      </c>
      <c r="Y19" s="36" t="str">
        <f>IF(AND('Mapa riesgos'!$AD$34="Alta",'Mapa riesgos'!$AF$34="Moderado"),CONCATENATE("R4C",'Mapa riesgos'!$T$34),"")</f>
        <v/>
      </c>
      <c r="Z19" s="36" t="str">
        <f>IF(AND('Mapa riesgos'!$AD$35="Alta",'Mapa riesgos'!$AF$35="Moderado"),CONCATENATE("R4C",'Mapa riesgos'!$T$35),"")</f>
        <v/>
      </c>
      <c r="AA19" s="37" t="str">
        <f>IF(AND('Mapa riesgos'!$AD$36="Alta",'Mapa riesgos'!$AF$36="Moderado"),CONCATENATE("R4C",'Mapa riesgos'!$T$36),"")</f>
        <v/>
      </c>
      <c r="AB19" s="35" t="str">
        <f>IF(AND('Mapa riesgos'!$AD$31="Alta",'Mapa riesgos'!$AF$31="Mayor"),CONCATENATE("R4C",'Mapa riesgos'!$T$31),"")</f>
        <v/>
      </c>
      <c r="AC19" s="36" t="str">
        <f>IF(AND('Mapa riesgos'!$AD$32="Alta",'Mapa riesgos'!$AF$32="Mayor"),CONCATENATE("R4C",'Mapa riesgos'!$T$32),"")</f>
        <v/>
      </c>
      <c r="AD19" s="36" t="str">
        <f>IF(AND('Mapa riesgos'!$AD$33="Alta",'Mapa riesgos'!$AF$33="Mayor"),CONCATENATE("R4C",'Mapa riesgos'!$T$33),"")</f>
        <v/>
      </c>
      <c r="AE19" s="36" t="str">
        <f>IF(AND('Mapa riesgos'!$AD$34="Alta",'Mapa riesgos'!$AF$34="Mayor"),CONCATENATE("R4C",'Mapa riesgos'!$T$34),"")</f>
        <v/>
      </c>
      <c r="AF19" s="36" t="str">
        <f>IF(AND('Mapa riesgos'!$AD$35="Alta",'Mapa riesgos'!$AF$35="Mayor"),CONCATENATE("R4C",'Mapa riesgos'!$T$35),"")</f>
        <v/>
      </c>
      <c r="AG19" s="37" t="str">
        <f>IF(AND('Mapa riesgos'!$AD$36="Alta",'Mapa riesgos'!$AF$36="Mayor"),CONCATENATE("R4C",'Mapa riesgos'!$T$36),"")</f>
        <v/>
      </c>
      <c r="AH19" s="38" t="str">
        <f>IF(AND('Mapa riesgos'!$AD$31="Alta",'Mapa riesgos'!$AF$31="Catastrófico"),CONCATENATE("R4C",'Mapa riesgos'!$T$31),"")</f>
        <v/>
      </c>
      <c r="AI19" s="39" t="str">
        <f>IF(AND('Mapa riesgos'!$AD$32="Alta",'Mapa riesgos'!$AF$32="Catastrófico"),CONCATENATE("R4C",'Mapa riesgos'!$T$32),"")</f>
        <v/>
      </c>
      <c r="AJ19" s="39" t="str">
        <f>IF(AND('Mapa riesgos'!$AD$33="Alta",'Mapa riesgos'!$AF$33="Catastrófico"),CONCATENATE("R4C",'Mapa riesgos'!$T$33),"")</f>
        <v/>
      </c>
      <c r="AK19" s="39" t="str">
        <f>IF(AND('Mapa riesgos'!$AD$34="Alta",'Mapa riesgos'!$AF$34="Catastrófico"),CONCATENATE("R4C",'Mapa riesgos'!$T$34),"")</f>
        <v/>
      </c>
      <c r="AL19" s="39" t="str">
        <f>IF(AND('Mapa riesgos'!$AD$35="Alta",'Mapa riesgos'!$AF$35="Catastrófico"),CONCATENATE("R4C",'Mapa riesgos'!$T$35),"")</f>
        <v/>
      </c>
      <c r="AM19" s="40" t="str">
        <f>IF(AND('Mapa riesgos'!$AD$36="Alta",'Mapa riesgos'!$AF$36="Catastrófico"),CONCATENATE("R4C",'Mapa riesgos'!$T$36),"")</f>
        <v/>
      </c>
      <c r="AN19" s="66"/>
      <c r="AO19" s="511"/>
      <c r="AP19" s="512"/>
      <c r="AQ19" s="512"/>
      <c r="AR19" s="512"/>
      <c r="AS19" s="512"/>
      <c r="AT19" s="513"/>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row>
    <row r="20" spans="1:76" ht="15" customHeight="1" x14ac:dyDescent="0.25">
      <c r="A20" s="66"/>
      <c r="B20" s="422"/>
      <c r="C20" s="422"/>
      <c r="D20" s="423"/>
      <c r="E20" s="521"/>
      <c r="F20" s="520"/>
      <c r="G20" s="520"/>
      <c r="H20" s="520"/>
      <c r="I20" s="520"/>
      <c r="J20" s="50" t="str">
        <f>IF(AND('Mapa riesgos'!$AD$37="Alta",'Mapa riesgos'!$AF$37="Leve"),CONCATENATE("R5C",'Mapa riesgos'!$T$37),"")</f>
        <v/>
      </c>
      <c r="K20" s="51" t="str">
        <f>IF(AND('Mapa riesgos'!$AD$38="Alta",'Mapa riesgos'!$AF$38="Leve"),CONCATENATE("R5C",'Mapa riesgos'!$T$38),"")</f>
        <v/>
      </c>
      <c r="L20" s="51" t="str">
        <f>IF(AND('Mapa riesgos'!$AD$39="Alta",'Mapa riesgos'!$AF$39="Leve"),CONCATENATE("R5C",'Mapa riesgos'!$T$39),"")</f>
        <v/>
      </c>
      <c r="M20" s="51" t="str">
        <f>IF(AND('Mapa riesgos'!$AD$40="Alta",'Mapa riesgos'!$AF$40="Leve"),CONCATENATE("R5C",'Mapa riesgos'!$T$40),"")</f>
        <v/>
      </c>
      <c r="N20" s="51" t="str">
        <f>IF(AND('Mapa riesgos'!$AD$41="Alta",'Mapa riesgos'!$AF$41="Leve"),CONCATENATE("R5C",'Mapa riesgos'!$T$41),"")</f>
        <v/>
      </c>
      <c r="O20" s="52" t="str">
        <f>IF(AND('Mapa riesgos'!$AD$42="Alta",'Mapa riesgos'!$AF$42="Leve"),CONCATENATE("R5C",'Mapa riesgos'!$T$42),"")</f>
        <v/>
      </c>
      <c r="P20" s="50" t="str">
        <f>IF(AND('Mapa riesgos'!$AD$37="Alta",'Mapa riesgos'!$AF$37="Menor"),CONCATENATE("R5C",'Mapa riesgos'!$T$37),"")</f>
        <v/>
      </c>
      <c r="Q20" s="51" t="str">
        <f>IF(AND('Mapa riesgos'!$AD$38="Alta",'Mapa riesgos'!$AF$38="Menor"),CONCATENATE("R5C",'Mapa riesgos'!$T$38),"")</f>
        <v/>
      </c>
      <c r="R20" s="51" t="str">
        <f>IF(AND('Mapa riesgos'!$AD$39="Alta",'Mapa riesgos'!$AF$39="Menor"),CONCATENATE("R5C",'Mapa riesgos'!$T$39),"")</f>
        <v/>
      </c>
      <c r="S20" s="51" t="str">
        <f>IF(AND('Mapa riesgos'!$AD$40="Alta",'Mapa riesgos'!$AF$40="Menor"),CONCATENATE("R5C",'Mapa riesgos'!$T$40),"")</f>
        <v/>
      </c>
      <c r="T20" s="51" t="str">
        <f>IF(AND('Mapa riesgos'!$AD$41="Alta",'Mapa riesgos'!$AF$41="Menor"),CONCATENATE("R5C",'Mapa riesgos'!$T$41),"")</f>
        <v/>
      </c>
      <c r="U20" s="52" t="str">
        <f>IF(AND('Mapa riesgos'!$AD$42="Alta",'Mapa riesgos'!$AF$42="Menor"),CONCATENATE("R5C",'Mapa riesgos'!$T$42),"")</f>
        <v/>
      </c>
      <c r="V20" s="35" t="str">
        <f>IF(AND('Mapa riesgos'!$AD$37="Alta",'Mapa riesgos'!$AF$37="Moderado"),CONCATENATE("R5C",'Mapa riesgos'!$T$37),"")</f>
        <v/>
      </c>
      <c r="W20" s="36" t="str">
        <f>IF(AND('Mapa riesgos'!$AD$38="Alta",'Mapa riesgos'!$AF$38="Moderado"),CONCATENATE("R5C",'Mapa riesgos'!$T$38),"")</f>
        <v/>
      </c>
      <c r="X20" s="36" t="str">
        <f>IF(AND('Mapa riesgos'!$AD$39="Alta",'Mapa riesgos'!$AF$39="Moderado"),CONCATENATE("R5C",'Mapa riesgos'!$T$39),"")</f>
        <v/>
      </c>
      <c r="Y20" s="36" t="str">
        <f>IF(AND('Mapa riesgos'!$AD$40="Alta",'Mapa riesgos'!$AF$40="Moderado"),CONCATENATE("R5C",'Mapa riesgos'!$T$40),"")</f>
        <v/>
      </c>
      <c r="Z20" s="36" t="str">
        <f>IF(AND('Mapa riesgos'!$AD$41="Alta",'Mapa riesgos'!$AF$41="Moderado"),CONCATENATE("R5C",'Mapa riesgos'!$T$41),"")</f>
        <v/>
      </c>
      <c r="AA20" s="37" t="str">
        <f>IF(AND('Mapa riesgos'!$AD$42="Alta",'Mapa riesgos'!$AF$42="Moderado"),CONCATENATE("R5C",'Mapa riesgos'!$T$42),"")</f>
        <v/>
      </c>
      <c r="AB20" s="35" t="str">
        <f>IF(AND('Mapa riesgos'!$AD$37="Alta",'Mapa riesgos'!$AF$37="Mayor"),CONCATENATE("R5C",'Mapa riesgos'!$T$37),"")</f>
        <v/>
      </c>
      <c r="AC20" s="36" t="str">
        <f>IF(AND('Mapa riesgos'!$AD$38="Alta",'Mapa riesgos'!$AF$38="Mayor"),CONCATENATE("R5C",'Mapa riesgos'!$T$38),"")</f>
        <v/>
      </c>
      <c r="AD20" s="36" t="str">
        <f>IF(AND('Mapa riesgos'!$AD$39="Alta",'Mapa riesgos'!$AF$39="Mayor"),CONCATENATE("R5C",'Mapa riesgos'!$T$39),"")</f>
        <v/>
      </c>
      <c r="AE20" s="36" t="str">
        <f>IF(AND('Mapa riesgos'!$AD$40="Alta",'Mapa riesgos'!$AF$40="Mayor"),CONCATENATE("R5C",'Mapa riesgos'!$T$40),"")</f>
        <v/>
      </c>
      <c r="AF20" s="36" t="str">
        <f>IF(AND('Mapa riesgos'!$AD$41="Alta",'Mapa riesgos'!$AF$41="Mayor"),CONCATENATE("R5C",'Mapa riesgos'!$T$41),"")</f>
        <v/>
      </c>
      <c r="AG20" s="37" t="str">
        <f>IF(AND('Mapa riesgos'!$AD$42="Alta",'Mapa riesgos'!$AF$42="Mayor"),CONCATENATE("R5C",'Mapa riesgos'!$T$42),"")</f>
        <v/>
      </c>
      <c r="AH20" s="38" t="str">
        <f>IF(AND('Mapa riesgos'!$AD$37="Alta",'Mapa riesgos'!$AF$37="Catastrófico"),CONCATENATE("R5C",'Mapa riesgos'!$T$37),"")</f>
        <v/>
      </c>
      <c r="AI20" s="39" t="str">
        <f>IF(AND('Mapa riesgos'!$AD$38="Alta",'Mapa riesgos'!$AF$38="Catastrófico"),CONCATENATE("R5C",'Mapa riesgos'!$T$38),"")</f>
        <v/>
      </c>
      <c r="AJ20" s="39" t="str">
        <f>IF(AND('Mapa riesgos'!$AD$39="Alta",'Mapa riesgos'!$AF$39="Catastrófico"),CONCATENATE("R5C",'Mapa riesgos'!$T$39),"")</f>
        <v/>
      </c>
      <c r="AK20" s="39" t="str">
        <f>IF(AND('Mapa riesgos'!$AD$40="Alta",'Mapa riesgos'!$AF$40="Catastrófico"),CONCATENATE("R5C",'Mapa riesgos'!$T$40),"")</f>
        <v/>
      </c>
      <c r="AL20" s="39" t="str">
        <f>IF(AND('Mapa riesgos'!$AD$41="Alta",'Mapa riesgos'!$AF$41="Catastrófico"),CONCATENATE("R5C",'Mapa riesgos'!$T$41),"")</f>
        <v/>
      </c>
      <c r="AM20" s="40" t="str">
        <f>IF(AND('Mapa riesgos'!$AD$42="Alta",'Mapa riesgos'!$AF$42="Catastrófico"),CONCATENATE("R5C",'Mapa riesgos'!$T$42),"")</f>
        <v/>
      </c>
      <c r="AN20" s="66"/>
      <c r="AO20" s="511"/>
      <c r="AP20" s="512"/>
      <c r="AQ20" s="512"/>
      <c r="AR20" s="512"/>
      <c r="AS20" s="512"/>
      <c r="AT20" s="513"/>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row>
    <row r="21" spans="1:76" ht="15" customHeight="1" x14ac:dyDescent="0.25">
      <c r="A21" s="66"/>
      <c r="B21" s="422"/>
      <c r="C21" s="422"/>
      <c r="D21" s="423"/>
      <c r="E21" s="521"/>
      <c r="F21" s="520"/>
      <c r="G21" s="520"/>
      <c r="H21" s="520"/>
      <c r="I21" s="520"/>
      <c r="J21" s="50" t="str">
        <f>IF(AND('Mapa riesgos'!$AD$43="Alta",'Mapa riesgos'!$AF$43="Leve"),CONCATENATE("R6C",'Mapa riesgos'!$T$43),"")</f>
        <v/>
      </c>
      <c r="K21" s="51" t="str">
        <f>IF(AND('Mapa riesgos'!$AD$44="Alta",'Mapa riesgos'!$AF$44="Leve"),CONCATENATE("R6C",'Mapa riesgos'!$T$44),"")</f>
        <v/>
      </c>
      <c r="L21" s="51" t="str">
        <f>IF(AND('Mapa riesgos'!$AD$45="Alta",'Mapa riesgos'!$AF$45="Leve"),CONCATENATE("R6C",'Mapa riesgos'!$T$45),"")</f>
        <v/>
      </c>
      <c r="M21" s="51" t="str">
        <f>IF(AND('Mapa riesgos'!$AD$46="Alta",'Mapa riesgos'!$AF$46="Leve"),CONCATENATE("R6C",'Mapa riesgos'!$T$46),"")</f>
        <v/>
      </c>
      <c r="N21" s="51" t="str">
        <f>IF(AND('Mapa riesgos'!$AD$47="Alta",'Mapa riesgos'!$AF$47="Leve"),CONCATENATE("R6C",'Mapa riesgos'!$T$47),"")</f>
        <v/>
      </c>
      <c r="O21" s="52" t="str">
        <f>IF(AND('Mapa riesgos'!$AD$48="Alta",'Mapa riesgos'!$AF$48="Leve"),CONCATENATE("R6C",'Mapa riesgos'!$T$48),"")</f>
        <v/>
      </c>
      <c r="P21" s="50" t="str">
        <f>IF(AND('Mapa riesgos'!$AD$43="Alta",'Mapa riesgos'!$AF$43="Menor"),CONCATENATE("R6C",'Mapa riesgos'!$T$43),"")</f>
        <v/>
      </c>
      <c r="Q21" s="51" t="str">
        <f>IF(AND('Mapa riesgos'!$AD$44="Alta",'Mapa riesgos'!$AF$44="Menor"),CONCATENATE("R6C",'Mapa riesgos'!$T$44),"")</f>
        <v/>
      </c>
      <c r="R21" s="51" t="str">
        <f>IF(AND('Mapa riesgos'!$AD$45="Alta",'Mapa riesgos'!$AF$45="Menor"),CONCATENATE("R6C",'Mapa riesgos'!$T$45),"")</f>
        <v/>
      </c>
      <c r="S21" s="51" t="str">
        <f>IF(AND('Mapa riesgos'!$AD$46="Alta",'Mapa riesgos'!$AF$46="Menor"),CONCATENATE("R6C",'Mapa riesgos'!$T$46),"")</f>
        <v/>
      </c>
      <c r="T21" s="51" t="str">
        <f>IF(AND('Mapa riesgos'!$AD$47="Alta",'Mapa riesgos'!$AF$47="Menor"),CONCATENATE("R6C",'Mapa riesgos'!$T$47),"")</f>
        <v/>
      </c>
      <c r="U21" s="52" t="str">
        <f>IF(AND('Mapa riesgos'!$AD$48="Alta",'Mapa riesgos'!$AF$48="Menor"),CONCATENATE("R6C",'Mapa riesgos'!$T$48),"")</f>
        <v/>
      </c>
      <c r="V21" s="35" t="str">
        <f>IF(AND('Mapa riesgos'!$AD$43="Alta",'Mapa riesgos'!$AF$43="Moderado"),CONCATENATE("R6C",'Mapa riesgos'!$T$43),"")</f>
        <v/>
      </c>
      <c r="W21" s="36" t="str">
        <f>IF(AND('Mapa riesgos'!$AD$44="Alta",'Mapa riesgos'!$AF$44="Moderado"),CONCATENATE("R6C",'Mapa riesgos'!$T$44),"")</f>
        <v/>
      </c>
      <c r="X21" s="36" t="str">
        <f>IF(AND('Mapa riesgos'!$AD$45="Alta",'Mapa riesgos'!$AF$45="Moderado"),CONCATENATE("R6C",'Mapa riesgos'!$T$45),"")</f>
        <v/>
      </c>
      <c r="Y21" s="36" t="str">
        <f>IF(AND('Mapa riesgos'!$AD$46="Alta",'Mapa riesgos'!$AF$46="Moderado"),CONCATENATE("R6C",'Mapa riesgos'!$T$46),"")</f>
        <v/>
      </c>
      <c r="Z21" s="36" t="str">
        <f>IF(AND('Mapa riesgos'!$AD$47="Alta",'Mapa riesgos'!$AF$47="Moderado"),CONCATENATE("R6C",'Mapa riesgos'!$T$47),"")</f>
        <v/>
      </c>
      <c r="AA21" s="37" t="str">
        <f>IF(AND('Mapa riesgos'!$AD$48="Alta",'Mapa riesgos'!$AF$48="Moderado"),CONCATENATE("R6C",'Mapa riesgos'!$T$48),"")</f>
        <v/>
      </c>
      <c r="AB21" s="35" t="str">
        <f>IF(AND('Mapa riesgos'!$AD$43="Alta",'Mapa riesgos'!$AF$43="Mayor"),CONCATENATE("R6C",'Mapa riesgos'!$T$43),"")</f>
        <v/>
      </c>
      <c r="AC21" s="36" t="str">
        <f>IF(AND('Mapa riesgos'!$AD$44="Alta",'Mapa riesgos'!$AF$44="Mayor"),CONCATENATE("R6C",'Mapa riesgos'!$T$44),"")</f>
        <v/>
      </c>
      <c r="AD21" s="36" t="str">
        <f>IF(AND('Mapa riesgos'!$AD$45="Alta",'Mapa riesgos'!$AF$45="Mayor"),CONCATENATE("R6C",'Mapa riesgos'!$T$45),"")</f>
        <v/>
      </c>
      <c r="AE21" s="36" t="str">
        <f>IF(AND('Mapa riesgos'!$AD$46="Alta",'Mapa riesgos'!$AF$46="Mayor"),CONCATENATE("R6C",'Mapa riesgos'!$T$46),"")</f>
        <v/>
      </c>
      <c r="AF21" s="36" t="str">
        <f>IF(AND('Mapa riesgos'!$AD$47="Alta",'Mapa riesgos'!$AF$47="Mayor"),CONCATENATE("R6C",'Mapa riesgos'!$T$47),"")</f>
        <v/>
      </c>
      <c r="AG21" s="37" t="str">
        <f>IF(AND('Mapa riesgos'!$AD$48="Alta",'Mapa riesgos'!$AF$48="Mayor"),CONCATENATE("R6C",'Mapa riesgos'!$T$48),"")</f>
        <v/>
      </c>
      <c r="AH21" s="38" t="str">
        <f>IF(AND('Mapa riesgos'!$AD$43="Alta",'Mapa riesgos'!$AF$43="Catastrófico"),CONCATENATE("R6C",'Mapa riesgos'!$T$43),"")</f>
        <v/>
      </c>
      <c r="AI21" s="39" t="str">
        <f>IF(AND('Mapa riesgos'!$AD$44="Alta",'Mapa riesgos'!$AF$44="Catastrófico"),CONCATENATE("R6C",'Mapa riesgos'!$T$44),"")</f>
        <v/>
      </c>
      <c r="AJ21" s="39" t="str">
        <f>IF(AND('Mapa riesgos'!$AD$45="Alta",'Mapa riesgos'!$AF$45="Catastrófico"),CONCATENATE("R6C",'Mapa riesgos'!$T$45),"")</f>
        <v/>
      </c>
      <c r="AK21" s="39" t="str">
        <f>IF(AND('Mapa riesgos'!$AD$46="Alta",'Mapa riesgos'!$AF$46="Catastrófico"),CONCATENATE("R6C",'Mapa riesgos'!$T$46),"")</f>
        <v/>
      </c>
      <c r="AL21" s="39" t="str">
        <f>IF(AND('Mapa riesgos'!$AD$47="Alta",'Mapa riesgos'!$AF$47="Catastrófico"),CONCATENATE("R6C",'Mapa riesgos'!$T$47),"")</f>
        <v/>
      </c>
      <c r="AM21" s="40" t="str">
        <f>IF(AND('Mapa riesgos'!$AD$48="Alta",'Mapa riesgos'!$AF$48="Catastrófico"),CONCATENATE("R6C",'Mapa riesgos'!$T$48),"")</f>
        <v/>
      </c>
      <c r="AN21" s="66"/>
      <c r="AO21" s="511"/>
      <c r="AP21" s="512"/>
      <c r="AQ21" s="512"/>
      <c r="AR21" s="512"/>
      <c r="AS21" s="512"/>
      <c r="AT21" s="513"/>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row>
    <row r="22" spans="1:76" ht="15" customHeight="1" x14ac:dyDescent="0.25">
      <c r="A22" s="66"/>
      <c r="B22" s="422"/>
      <c r="C22" s="422"/>
      <c r="D22" s="423"/>
      <c r="E22" s="521"/>
      <c r="F22" s="520"/>
      <c r="G22" s="520"/>
      <c r="H22" s="520"/>
      <c r="I22" s="520"/>
      <c r="J22" s="50" t="str">
        <f>IF(AND('Mapa riesgos'!$AD$49="Alta",'Mapa riesgos'!$AF$49="Leve"),CONCATENATE("R7C",'Mapa riesgos'!$T$49),"")</f>
        <v/>
      </c>
      <c r="K22" s="51" t="str">
        <f>IF(AND('Mapa riesgos'!$AD$50="Alta",'Mapa riesgos'!$AF$50="Leve"),CONCATENATE("R7C",'Mapa riesgos'!$T$50),"")</f>
        <v/>
      </c>
      <c r="L22" s="51" t="str">
        <f>IF(AND('Mapa riesgos'!$AD$51="Alta",'Mapa riesgos'!$AF$51="Leve"),CONCATENATE("R7C",'Mapa riesgos'!$T$51),"")</f>
        <v/>
      </c>
      <c r="M22" s="51" t="str">
        <f>IF(AND('Mapa riesgos'!$AD$52="Alta",'Mapa riesgos'!$AF$52="Leve"),CONCATENATE("R7C",'Mapa riesgos'!$T$52),"")</f>
        <v/>
      </c>
      <c r="N22" s="51" t="str">
        <f>IF(AND('Mapa riesgos'!$AD$53="Alta",'Mapa riesgos'!$AF$53="Leve"),CONCATENATE("R7C",'Mapa riesgos'!$T$53),"")</f>
        <v/>
      </c>
      <c r="O22" s="52" t="str">
        <f>IF(AND('Mapa riesgos'!$AD$54="Alta",'Mapa riesgos'!$AF$54="Leve"),CONCATENATE("R7C",'Mapa riesgos'!$T$54),"")</f>
        <v/>
      </c>
      <c r="P22" s="50" t="str">
        <f>IF(AND('Mapa riesgos'!$AD$49="Alta",'Mapa riesgos'!$AF$49="Menor"),CONCATENATE("R7C",'Mapa riesgos'!$T$49),"")</f>
        <v/>
      </c>
      <c r="Q22" s="51" t="str">
        <f>IF(AND('Mapa riesgos'!$AD$50="Alta",'Mapa riesgos'!$AF$50="Menor"),CONCATENATE("R7C",'Mapa riesgos'!$T$50),"")</f>
        <v/>
      </c>
      <c r="R22" s="51" t="str">
        <f>IF(AND('Mapa riesgos'!$AD$51="Alta",'Mapa riesgos'!$AF$51="Menor"),CONCATENATE("R7C",'Mapa riesgos'!$T$51),"")</f>
        <v/>
      </c>
      <c r="S22" s="51" t="str">
        <f>IF(AND('Mapa riesgos'!$AD$52="Alta",'Mapa riesgos'!$AF$52="Menor"),CONCATENATE("R7C",'Mapa riesgos'!$T$52),"")</f>
        <v/>
      </c>
      <c r="T22" s="51" t="str">
        <f>IF(AND('Mapa riesgos'!$AD$53="Alta",'Mapa riesgos'!$AF$53="Menor"),CONCATENATE("R7C",'Mapa riesgos'!$T$53),"")</f>
        <v/>
      </c>
      <c r="U22" s="52" t="str">
        <f>IF(AND('Mapa riesgos'!$AD$54="Alta",'Mapa riesgos'!$AF$54="Menor"),CONCATENATE("R7C",'Mapa riesgos'!$T$54),"")</f>
        <v/>
      </c>
      <c r="V22" s="35" t="str">
        <f>IF(AND('Mapa riesgos'!$AD$49="Alta",'Mapa riesgos'!$AF$49="Moderado"),CONCATENATE("R7C",'Mapa riesgos'!$T$49),"")</f>
        <v/>
      </c>
      <c r="W22" s="36" t="str">
        <f>IF(AND('Mapa riesgos'!$AD$50="Alta",'Mapa riesgos'!$AF$50="Moderado"),CONCATENATE("R7C",'Mapa riesgos'!$T$50),"")</f>
        <v/>
      </c>
      <c r="X22" s="36" t="str">
        <f>IF(AND('Mapa riesgos'!$AD$51="Alta",'Mapa riesgos'!$AF$51="Moderado"),CONCATENATE("R7C",'Mapa riesgos'!$T$51),"")</f>
        <v/>
      </c>
      <c r="Y22" s="36" t="str">
        <f>IF(AND('Mapa riesgos'!$AD$52="Alta",'Mapa riesgos'!$AF$52="Moderado"),CONCATENATE("R7C",'Mapa riesgos'!$T$52),"")</f>
        <v/>
      </c>
      <c r="Z22" s="36" t="str">
        <f>IF(AND('Mapa riesgos'!$AD$53="Alta",'Mapa riesgos'!$AF$53="Moderado"),CONCATENATE("R7C",'Mapa riesgos'!$T$53),"")</f>
        <v/>
      </c>
      <c r="AA22" s="37" t="str">
        <f>IF(AND('Mapa riesgos'!$AD$54="Alta",'Mapa riesgos'!$AF$54="Moderado"),CONCATENATE("R7C",'Mapa riesgos'!$T$54),"")</f>
        <v/>
      </c>
      <c r="AB22" s="35" t="str">
        <f>IF(AND('Mapa riesgos'!$AD$49="Alta",'Mapa riesgos'!$AF$49="Mayor"),CONCATENATE("R7C",'Mapa riesgos'!$T$49),"")</f>
        <v/>
      </c>
      <c r="AC22" s="36" t="str">
        <f>IF(AND('Mapa riesgos'!$AD$50="Alta",'Mapa riesgos'!$AF$50="Mayor"),CONCATENATE("R7C",'Mapa riesgos'!$T$50),"")</f>
        <v/>
      </c>
      <c r="AD22" s="36" t="str">
        <f>IF(AND('Mapa riesgos'!$AD$51="Alta",'Mapa riesgos'!$AF$51="Mayor"),CONCATENATE("R7C",'Mapa riesgos'!$T$51),"")</f>
        <v/>
      </c>
      <c r="AE22" s="36" t="str">
        <f>IF(AND('Mapa riesgos'!$AD$52="Alta",'Mapa riesgos'!$AF$52="Mayor"),CONCATENATE("R7C",'Mapa riesgos'!$T$52),"")</f>
        <v/>
      </c>
      <c r="AF22" s="36" t="str">
        <f>IF(AND('Mapa riesgos'!$AD$53="Alta",'Mapa riesgos'!$AF$53="Mayor"),CONCATENATE("R7C",'Mapa riesgos'!$T$53),"")</f>
        <v/>
      </c>
      <c r="AG22" s="37" t="str">
        <f>IF(AND('Mapa riesgos'!$AD$54="Alta",'Mapa riesgos'!$AF$54="Mayor"),CONCATENATE("R7C",'Mapa riesgos'!$T$54),"")</f>
        <v/>
      </c>
      <c r="AH22" s="38" t="str">
        <f>IF(AND('Mapa riesgos'!$AD$49="Alta",'Mapa riesgos'!$AF$49="Catastrófico"),CONCATENATE("R7C",'Mapa riesgos'!$T$49),"")</f>
        <v/>
      </c>
      <c r="AI22" s="39" t="str">
        <f>IF(AND('Mapa riesgos'!$AD$50="Alta",'Mapa riesgos'!$AF$50="Catastrófico"),CONCATENATE("R7C",'Mapa riesgos'!$T$50),"")</f>
        <v/>
      </c>
      <c r="AJ22" s="39" t="str">
        <f>IF(AND('Mapa riesgos'!$AD$51="Alta",'Mapa riesgos'!$AF$51="Catastrófico"),CONCATENATE("R7C",'Mapa riesgos'!$T$51),"")</f>
        <v/>
      </c>
      <c r="AK22" s="39" t="str">
        <f>IF(AND('Mapa riesgos'!$AD$52="Alta",'Mapa riesgos'!$AF$52="Catastrófico"),CONCATENATE("R7C",'Mapa riesgos'!$T$52),"")</f>
        <v/>
      </c>
      <c r="AL22" s="39" t="str">
        <f>IF(AND('Mapa riesgos'!$AD$53="Alta",'Mapa riesgos'!$AF$53="Catastrófico"),CONCATENATE("R7C",'Mapa riesgos'!$T$53),"")</f>
        <v/>
      </c>
      <c r="AM22" s="40" t="str">
        <f>IF(AND('Mapa riesgos'!$AD$54="Alta",'Mapa riesgos'!$AF$54="Catastrófico"),CONCATENATE("R7C",'Mapa riesgos'!$T$54),"")</f>
        <v/>
      </c>
      <c r="AN22" s="66"/>
      <c r="AO22" s="511"/>
      <c r="AP22" s="512"/>
      <c r="AQ22" s="512"/>
      <c r="AR22" s="512"/>
      <c r="AS22" s="512"/>
      <c r="AT22" s="513"/>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row>
    <row r="23" spans="1:76" ht="15" customHeight="1" x14ac:dyDescent="0.25">
      <c r="A23" s="66"/>
      <c r="B23" s="422"/>
      <c r="C23" s="422"/>
      <c r="D23" s="423"/>
      <c r="E23" s="521"/>
      <c r="F23" s="520"/>
      <c r="G23" s="520"/>
      <c r="H23" s="520"/>
      <c r="I23" s="520"/>
      <c r="J23" s="50" t="str">
        <f>IF(AND('Mapa riesgos'!$AD$55="Alta",'Mapa riesgos'!$AF$55="Leve"),CONCATENATE("R8C",'Mapa riesgos'!$T$55),"")</f>
        <v/>
      </c>
      <c r="K23" s="51" t="str">
        <f>IF(AND('Mapa riesgos'!$AD$56="Alta",'Mapa riesgos'!$AF$56="Leve"),CONCATENATE("R8C",'Mapa riesgos'!$T$56),"")</f>
        <v/>
      </c>
      <c r="L23" s="51" t="str">
        <f>IF(AND('Mapa riesgos'!$AD$57="Alta",'Mapa riesgos'!$AF$57="Leve"),CONCATENATE("R8C",'Mapa riesgos'!$T$57),"")</f>
        <v/>
      </c>
      <c r="M23" s="51" t="str">
        <f>IF(AND('Mapa riesgos'!$AD$58="Alta",'Mapa riesgos'!$AF$58="Leve"),CONCATENATE("R8C",'Mapa riesgos'!$T$58),"")</f>
        <v/>
      </c>
      <c r="N23" s="51" t="str">
        <f>IF(AND('Mapa riesgos'!$AD$59="Alta",'Mapa riesgos'!$AF$59="Leve"),CONCATENATE("R8C",'Mapa riesgos'!$T$59),"")</f>
        <v/>
      </c>
      <c r="O23" s="52" t="str">
        <f>IF(AND('Mapa riesgos'!$AD$60="Alta",'Mapa riesgos'!$AF$60="Leve"),CONCATENATE("R8C",'Mapa riesgos'!$T$60),"")</f>
        <v/>
      </c>
      <c r="P23" s="50" t="str">
        <f>IF(AND('Mapa riesgos'!$AD$55="Alta",'Mapa riesgos'!$AF$55="Menor"),CONCATENATE("R8C",'Mapa riesgos'!$T$55),"")</f>
        <v/>
      </c>
      <c r="Q23" s="51" t="str">
        <f>IF(AND('Mapa riesgos'!$AD$56="Alta",'Mapa riesgos'!$AF$56="Menor"),CONCATENATE("R8C",'Mapa riesgos'!$T$56),"")</f>
        <v/>
      </c>
      <c r="R23" s="51" t="str">
        <f>IF(AND('Mapa riesgos'!$AD$57="Alta",'Mapa riesgos'!$AF$57="Menor"),CONCATENATE("R8C",'Mapa riesgos'!$T$57),"")</f>
        <v/>
      </c>
      <c r="S23" s="51" t="str">
        <f>IF(AND('Mapa riesgos'!$AD$58="Alta",'Mapa riesgos'!$AF$58="Menor"),CONCATENATE("R8C",'Mapa riesgos'!$T$58),"")</f>
        <v/>
      </c>
      <c r="T23" s="51" t="str">
        <f>IF(AND('Mapa riesgos'!$AD$59="Alta",'Mapa riesgos'!$AF$59="Menor"),CONCATENATE("R8C",'Mapa riesgos'!$T$59),"")</f>
        <v/>
      </c>
      <c r="U23" s="52" t="str">
        <f>IF(AND('Mapa riesgos'!$AD$60="Alta",'Mapa riesgos'!$AF$60="Menor"),CONCATENATE("R8C",'Mapa riesgos'!$T$60),"")</f>
        <v/>
      </c>
      <c r="V23" s="35" t="str">
        <f>IF(AND('Mapa riesgos'!$AD$55="Alta",'Mapa riesgos'!$AF$55="Moderado"),CONCATENATE("R8C",'Mapa riesgos'!$T$55),"")</f>
        <v/>
      </c>
      <c r="W23" s="36" t="str">
        <f>IF(AND('Mapa riesgos'!$AD$56="Alta",'Mapa riesgos'!$AF$56="Moderado"),CONCATENATE("R8C",'Mapa riesgos'!$T$56),"")</f>
        <v/>
      </c>
      <c r="X23" s="36" t="str">
        <f>IF(AND('Mapa riesgos'!$AD$57="Alta",'Mapa riesgos'!$AF$57="Moderado"),CONCATENATE("R8C",'Mapa riesgos'!$T$57),"")</f>
        <v/>
      </c>
      <c r="Y23" s="36" t="str">
        <f>IF(AND('Mapa riesgos'!$AD$58="Alta",'Mapa riesgos'!$AF$58="Moderado"),CONCATENATE("R8C",'Mapa riesgos'!$T$58),"")</f>
        <v/>
      </c>
      <c r="Z23" s="36" t="str">
        <f>IF(AND('Mapa riesgos'!$AD$59="Alta",'Mapa riesgos'!$AF$59="Moderado"),CONCATENATE("R8C",'Mapa riesgos'!$T$59),"")</f>
        <v/>
      </c>
      <c r="AA23" s="37" t="str">
        <f>IF(AND('Mapa riesgos'!$AD$60="Alta",'Mapa riesgos'!$AF$60="Moderado"),CONCATENATE("R8C",'Mapa riesgos'!$T$60),"")</f>
        <v/>
      </c>
      <c r="AB23" s="35" t="str">
        <f>IF(AND('Mapa riesgos'!$AD$55="Alta",'Mapa riesgos'!$AF$55="Mayor"),CONCATENATE("R8C",'Mapa riesgos'!$T$55),"")</f>
        <v/>
      </c>
      <c r="AC23" s="36" t="str">
        <f>IF(AND('Mapa riesgos'!$AD$56="Alta",'Mapa riesgos'!$AF$56="Mayor"),CONCATENATE("R8C",'Mapa riesgos'!$T$56),"")</f>
        <v/>
      </c>
      <c r="AD23" s="36" t="str">
        <f>IF(AND('Mapa riesgos'!$AD$57="Alta",'Mapa riesgos'!$AF$57="Mayor"),CONCATENATE("R8C",'Mapa riesgos'!$T$57),"")</f>
        <v/>
      </c>
      <c r="AE23" s="36" t="str">
        <f>IF(AND('Mapa riesgos'!$AD$58="Alta",'Mapa riesgos'!$AF$58="Mayor"),CONCATENATE("R8C",'Mapa riesgos'!$T$58),"")</f>
        <v/>
      </c>
      <c r="AF23" s="36" t="str">
        <f>IF(AND('Mapa riesgos'!$AD$59="Alta",'Mapa riesgos'!$AF$59="Mayor"),CONCATENATE("R8C",'Mapa riesgos'!$T$59),"")</f>
        <v/>
      </c>
      <c r="AG23" s="37" t="str">
        <f>IF(AND('Mapa riesgos'!$AD$60="Alta",'Mapa riesgos'!$AF$60="Mayor"),CONCATENATE("R8C",'Mapa riesgos'!$T$60),"")</f>
        <v/>
      </c>
      <c r="AH23" s="38" t="str">
        <f>IF(AND('Mapa riesgos'!$AD$55="Alta",'Mapa riesgos'!$AF$55="Catastrófico"),CONCATENATE("R8C",'Mapa riesgos'!$T$55),"")</f>
        <v/>
      </c>
      <c r="AI23" s="39" t="str">
        <f>IF(AND('Mapa riesgos'!$AD$56="Alta",'Mapa riesgos'!$AF$56="Catastrófico"),CONCATENATE("R8C",'Mapa riesgos'!$T$56),"")</f>
        <v/>
      </c>
      <c r="AJ23" s="39" t="str">
        <f>IF(AND('Mapa riesgos'!$AD$57="Alta",'Mapa riesgos'!$AF$57="Catastrófico"),CONCATENATE("R8C",'Mapa riesgos'!$T$57),"")</f>
        <v/>
      </c>
      <c r="AK23" s="39" t="str">
        <f>IF(AND('Mapa riesgos'!$AD$58="Alta",'Mapa riesgos'!$AF$58="Catastrófico"),CONCATENATE("R8C",'Mapa riesgos'!$T$58),"")</f>
        <v/>
      </c>
      <c r="AL23" s="39" t="str">
        <f>IF(AND('Mapa riesgos'!$AD$59="Alta",'Mapa riesgos'!$AF$59="Catastrófico"),CONCATENATE("R8C",'Mapa riesgos'!$T$59),"")</f>
        <v/>
      </c>
      <c r="AM23" s="40" t="str">
        <f>IF(AND('Mapa riesgos'!$AD$60="Alta",'Mapa riesgos'!$AF$60="Catastrófico"),CONCATENATE("R8C",'Mapa riesgos'!$T$60),"")</f>
        <v/>
      </c>
      <c r="AN23" s="66"/>
      <c r="AO23" s="511"/>
      <c r="AP23" s="512"/>
      <c r="AQ23" s="512"/>
      <c r="AR23" s="512"/>
      <c r="AS23" s="512"/>
      <c r="AT23" s="513"/>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row>
    <row r="24" spans="1:76" ht="15" customHeight="1" x14ac:dyDescent="0.25">
      <c r="A24" s="66"/>
      <c r="B24" s="422"/>
      <c r="C24" s="422"/>
      <c r="D24" s="423"/>
      <c r="E24" s="521"/>
      <c r="F24" s="520"/>
      <c r="G24" s="520"/>
      <c r="H24" s="520"/>
      <c r="I24" s="520"/>
      <c r="J24" s="50" t="str">
        <f>IF(AND('Mapa riesgos'!$AD$61="Alta",'Mapa riesgos'!$AF$61="Leve"),CONCATENATE("R9C",'Mapa riesgos'!$T$61),"")</f>
        <v/>
      </c>
      <c r="K24" s="51" t="str">
        <f>IF(AND('Mapa riesgos'!$AD$62="Alta",'Mapa riesgos'!$AF$62="Leve"),CONCATENATE("R9C",'Mapa riesgos'!$T$62),"")</f>
        <v/>
      </c>
      <c r="L24" s="51" t="str">
        <f>IF(AND('Mapa riesgos'!$AD$63="Alta",'Mapa riesgos'!$AF$63="Leve"),CONCATENATE("R9C",'Mapa riesgos'!$T$63),"")</f>
        <v/>
      </c>
      <c r="M24" s="51" t="str">
        <f>IF(AND('Mapa riesgos'!$AD$64="Alta",'Mapa riesgos'!$AF$64="Leve"),CONCATENATE("R9C",'Mapa riesgos'!$T$64),"")</f>
        <v/>
      </c>
      <c r="N24" s="51" t="str">
        <f>IF(AND('Mapa riesgos'!$AD$65="Alta",'Mapa riesgos'!$AF$65="Leve"),CONCATENATE("R9C",'Mapa riesgos'!$T$65),"")</f>
        <v/>
      </c>
      <c r="O24" s="52" t="str">
        <f>IF(AND('Mapa riesgos'!$AD$66="Alta",'Mapa riesgos'!$AF$66="Leve"),CONCATENATE("R9C",'Mapa riesgos'!$T$66),"")</f>
        <v/>
      </c>
      <c r="P24" s="50" t="str">
        <f>IF(AND('Mapa riesgos'!$AD$61="Alta",'Mapa riesgos'!$AF$61="Menor"),CONCATENATE("R9C",'Mapa riesgos'!$T$61),"")</f>
        <v/>
      </c>
      <c r="Q24" s="51" t="str">
        <f>IF(AND('Mapa riesgos'!$AD$62="Alta",'Mapa riesgos'!$AF$62="Menor"),CONCATENATE("R9C",'Mapa riesgos'!$T$62),"")</f>
        <v/>
      </c>
      <c r="R24" s="51" t="str">
        <f>IF(AND('Mapa riesgos'!$AD$63="Alta",'Mapa riesgos'!$AF$63="Menor"),CONCATENATE("R9C",'Mapa riesgos'!$T$63),"")</f>
        <v/>
      </c>
      <c r="S24" s="51" t="str">
        <f>IF(AND('Mapa riesgos'!$AD$64="Alta",'Mapa riesgos'!$AF$64="Menor"),CONCATENATE("R9C",'Mapa riesgos'!$T$64),"")</f>
        <v/>
      </c>
      <c r="T24" s="51" t="str">
        <f>IF(AND('Mapa riesgos'!$AD$65="Alta",'Mapa riesgos'!$AF$65="Menor"),CONCATENATE("R9C",'Mapa riesgos'!$T$65),"")</f>
        <v/>
      </c>
      <c r="U24" s="52" t="str">
        <f>IF(AND('Mapa riesgos'!$AD$66="Alta",'Mapa riesgos'!$AF$66="Menor"),CONCATENATE("R9C",'Mapa riesgos'!$T$66),"")</f>
        <v/>
      </c>
      <c r="V24" s="35" t="str">
        <f>IF(AND('Mapa riesgos'!$AD$61="Alta",'Mapa riesgos'!$AF$61="Moderado"),CONCATENATE("R9C",'Mapa riesgos'!$T$61),"")</f>
        <v/>
      </c>
      <c r="W24" s="36" t="str">
        <f>IF(AND('Mapa riesgos'!$AD$62="Alta",'Mapa riesgos'!$AF$62="Moderado"),CONCATENATE("R9C",'Mapa riesgos'!$T$62),"")</f>
        <v/>
      </c>
      <c r="X24" s="36" t="str">
        <f>IF(AND('Mapa riesgos'!$AD$63="Alta",'Mapa riesgos'!$AF$63="Moderado"),CONCATENATE("R9C",'Mapa riesgos'!$T$63),"")</f>
        <v/>
      </c>
      <c r="Y24" s="36" t="str">
        <f>IF(AND('Mapa riesgos'!$AD$64="Alta",'Mapa riesgos'!$AF$64="Moderado"),CONCATENATE("R9C",'Mapa riesgos'!$T$64),"")</f>
        <v/>
      </c>
      <c r="Z24" s="36" t="str">
        <f>IF(AND('Mapa riesgos'!$AD$65="Alta",'Mapa riesgos'!$AF$65="Moderado"),CONCATENATE("R9C",'Mapa riesgos'!$T$65),"")</f>
        <v/>
      </c>
      <c r="AA24" s="37" t="str">
        <f>IF(AND('Mapa riesgos'!$AD$66="Alta",'Mapa riesgos'!$AF$66="Moderado"),CONCATENATE("R9C",'Mapa riesgos'!$T$66),"")</f>
        <v/>
      </c>
      <c r="AB24" s="35" t="str">
        <f>IF(AND('Mapa riesgos'!$AD$61="Alta",'Mapa riesgos'!$AF$61="Mayor"),CONCATENATE("R9C",'Mapa riesgos'!$T$61),"")</f>
        <v/>
      </c>
      <c r="AC24" s="36" t="str">
        <f>IF(AND('Mapa riesgos'!$AD$62="Alta",'Mapa riesgos'!$AF$62="Mayor"),CONCATENATE("R9C",'Mapa riesgos'!$T$62),"")</f>
        <v/>
      </c>
      <c r="AD24" s="36" t="str">
        <f>IF(AND('Mapa riesgos'!$AD$63="Alta",'Mapa riesgos'!$AF$63="Mayor"),CONCATENATE("R9C",'Mapa riesgos'!$T$63),"")</f>
        <v/>
      </c>
      <c r="AE24" s="36" t="str">
        <f>IF(AND('Mapa riesgos'!$AD$64="Alta",'Mapa riesgos'!$AF$64="Mayor"),CONCATENATE("R9C",'Mapa riesgos'!$T$64),"")</f>
        <v/>
      </c>
      <c r="AF24" s="36" t="str">
        <f>IF(AND('Mapa riesgos'!$AD$65="Alta",'Mapa riesgos'!$AF$65="Mayor"),CONCATENATE("R9C",'Mapa riesgos'!$T$65),"")</f>
        <v/>
      </c>
      <c r="AG24" s="37" t="str">
        <f>IF(AND('Mapa riesgos'!$AD$66="Alta",'Mapa riesgos'!$AF$66="Mayor"),CONCATENATE("R9C",'Mapa riesgos'!$T$66),"")</f>
        <v/>
      </c>
      <c r="AH24" s="38" t="str">
        <f>IF(AND('Mapa riesgos'!$AD$61="Alta",'Mapa riesgos'!$AF$61="Catastrófico"),CONCATENATE("R9C",'Mapa riesgos'!$T$61),"")</f>
        <v/>
      </c>
      <c r="AI24" s="39" t="str">
        <f>IF(AND('Mapa riesgos'!$AD$62="Alta",'Mapa riesgos'!$AF$62="Catastrófico"),CONCATENATE("R9C",'Mapa riesgos'!$T$62),"")</f>
        <v/>
      </c>
      <c r="AJ24" s="39" t="str">
        <f>IF(AND('Mapa riesgos'!$AD$63="Alta",'Mapa riesgos'!$AF$63="Catastrófico"),CONCATENATE("R9C",'Mapa riesgos'!$T$63),"")</f>
        <v/>
      </c>
      <c r="AK24" s="39" t="str">
        <f>IF(AND('Mapa riesgos'!$AD$64="Alta",'Mapa riesgos'!$AF$64="Catastrófico"),CONCATENATE("R9C",'Mapa riesgos'!$T$64),"")</f>
        <v/>
      </c>
      <c r="AL24" s="39" t="str">
        <f>IF(AND('Mapa riesgos'!$AD$65="Alta",'Mapa riesgos'!$AF$65="Catastrófico"),CONCATENATE("R9C",'Mapa riesgos'!$T$65),"")</f>
        <v/>
      </c>
      <c r="AM24" s="40" t="str">
        <f>IF(AND('Mapa riesgos'!$AD$66="Alta",'Mapa riesgos'!$AF$66="Catastrófico"),CONCATENATE("R9C",'Mapa riesgos'!$T$66),"")</f>
        <v/>
      </c>
      <c r="AN24" s="66"/>
      <c r="AO24" s="511"/>
      <c r="AP24" s="512"/>
      <c r="AQ24" s="512"/>
      <c r="AR24" s="512"/>
      <c r="AS24" s="512"/>
      <c r="AT24" s="513"/>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row>
    <row r="25" spans="1:76" ht="15.75" customHeight="1" thickBot="1" x14ac:dyDescent="0.3">
      <c r="A25" s="66"/>
      <c r="B25" s="422"/>
      <c r="C25" s="422"/>
      <c r="D25" s="423"/>
      <c r="E25" s="522"/>
      <c r="F25" s="523"/>
      <c r="G25" s="523"/>
      <c r="H25" s="523"/>
      <c r="I25" s="523"/>
      <c r="J25" s="53" t="str">
        <f>IF(AND('Mapa riesgos'!$AD$67="Alta",'Mapa riesgos'!$AF$67="Leve"),CONCATENATE("R10C",'Mapa riesgos'!$T$67),"")</f>
        <v/>
      </c>
      <c r="K25" s="54" t="str">
        <f>IF(AND('Mapa riesgos'!$AD$68="Alta",'Mapa riesgos'!$AF$68="Leve"),CONCATENATE("R10C",'Mapa riesgos'!$T$68),"")</f>
        <v/>
      </c>
      <c r="L25" s="54" t="str">
        <f>IF(AND('Mapa riesgos'!$AD$69="Alta",'Mapa riesgos'!$AF$69="Leve"),CONCATENATE("R10C",'Mapa riesgos'!$T$69),"")</f>
        <v/>
      </c>
      <c r="M25" s="54" t="str">
        <f>IF(AND('Mapa riesgos'!$AD$70="Alta",'Mapa riesgos'!$AF$70="Leve"),CONCATENATE("R10C",'Mapa riesgos'!$T$70),"")</f>
        <v/>
      </c>
      <c r="N25" s="54" t="str">
        <f>IF(AND('Mapa riesgos'!$AD$71="Alta",'Mapa riesgos'!$AF$71="Leve"),CONCATENATE("R10C",'Mapa riesgos'!$T$71),"")</f>
        <v/>
      </c>
      <c r="O25" s="55" t="str">
        <f>IF(AND('Mapa riesgos'!$AD$72="Alta",'Mapa riesgos'!$AF$72="Leve"),CONCATENATE("R10C",'Mapa riesgos'!$T$72),"")</f>
        <v/>
      </c>
      <c r="P25" s="53" t="str">
        <f>IF(AND('Mapa riesgos'!$AD$67="Alta",'Mapa riesgos'!$AF$67="Menor"),CONCATENATE("R10C",'Mapa riesgos'!$T$67),"")</f>
        <v/>
      </c>
      <c r="Q25" s="54" t="str">
        <f>IF(AND('Mapa riesgos'!$AD$68="Alta",'Mapa riesgos'!$AF$68="Menor"),CONCATENATE("R10C",'Mapa riesgos'!$T$68),"")</f>
        <v/>
      </c>
      <c r="R25" s="54" t="str">
        <f>IF(AND('Mapa riesgos'!$AD$69="Alta",'Mapa riesgos'!$AF$69="Menor"),CONCATENATE("R10C",'Mapa riesgos'!$T$69),"")</f>
        <v/>
      </c>
      <c r="S25" s="54" t="str">
        <f>IF(AND('Mapa riesgos'!$AD$70="Alta",'Mapa riesgos'!$AF$70="Menor"),CONCATENATE("R10C",'Mapa riesgos'!$T$70),"")</f>
        <v/>
      </c>
      <c r="T25" s="54" t="str">
        <f>IF(AND('Mapa riesgos'!$AD$71="Alta",'Mapa riesgos'!$AF$71="Menor"),CONCATENATE("R10C",'Mapa riesgos'!$T$71),"")</f>
        <v/>
      </c>
      <c r="U25" s="55" t="str">
        <f>IF(AND('Mapa riesgos'!$AD$72="Alta",'Mapa riesgos'!$AF$72="Menor"),CONCATENATE("R10C",'Mapa riesgos'!$T$72),"")</f>
        <v/>
      </c>
      <c r="V25" s="41" t="str">
        <f>IF(AND('Mapa riesgos'!$AD$67="Alta",'Mapa riesgos'!$AF$67="Moderado"),CONCATENATE("R10C",'Mapa riesgos'!$T$67),"")</f>
        <v/>
      </c>
      <c r="W25" s="42" t="str">
        <f>IF(AND('Mapa riesgos'!$AD$68="Alta",'Mapa riesgos'!$AF$68="Moderado"),CONCATENATE("R10C",'Mapa riesgos'!$T$68),"")</f>
        <v/>
      </c>
      <c r="X25" s="42" t="str">
        <f>IF(AND('Mapa riesgos'!$AD$69="Alta",'Mapa riesgos'!$AF$69="Moderado"),CONCATENATE("R10C",'Mapa riesgos'!$T$69),"")</f>
        <v/>
      </c>
      <c r="Y25" s="42" t="str">
        <f>IF(AND('Mapa riesgos'!$AD$70="Alta",'Mapa riesgos'!$AF$70="Moderado"),CONCATENATE("R10C",'Mapa riesgos'!$T$70),"")</f>
        <v/>
      </c>
      <c r="Z25" s="42" t="str">
        <f>IF(AND('Mapa riesgos'!$AD$71="Alta",'Mapa riesgos'!$AF$71="Moderado"),CONCATENATE("R10C",'Mapa riesgos'!$T$71),"")</f>
        <v/>
      </c>
      <c r="AA25" s="43" t="str">
        <f>IF(AND('Mapa riesgos'!$AD$72="Alta",'Mapa riesgos'!$AF$72="Moderado"),CONCATENATE("R10C",'Mapa riesgos'!$T$72),"")</f>
        <v/>
      </c>
      <c r="AB25" s="41" t="str">
        <f>IF(AND('Mapa riesgos'!$AD$67="Alta",'Mapa riesgos'!$AF$67="Mayor"),CONCATENATE("R10C",'Mapa riesgos'!$T$67),"")</f>
        <v/>
      </c>
      <c r="AC25" s="42" t="str">
        <f>IF(AND('Mapa riesgos'!$AD$68="Alta",'Mapa riesgos'!$AF$68="Mayor"),CONCATENATE("R10C",'Mapa riesgos'!$T$68),"")</f>
        <v/>
      </c>
      <c r="AD25" s="42" t="str">
        <f>IF(AND('Mapa riesgos'!$AD$69="Alta",'Mapa riesgos'!$AF$69="Mayor"),CONCATENATE("R10C",'Mapa riesgos'!$T$69),"")</f>
        <v/>
      </c>
      <c r="AE25" s="42" t="str">
        <f>IF(AND('Mapa riesgos'!$AD$70="Alta",'Mapa riesgos'!$AF$70="Mayor"),CONCATENATE("R10C",'Mapa riesgos'!$T$70),"")</f>
        <v/>
      </c>
      <c r="AF25" s="42" t="str">
        <f>IF(AND('Mapa riesgos'!$AD$71="Alta",'Mapa riesgos'!$AF$71="Mayor"),CONCATENATE("R10C",'Mapa riesgos'!$T$71),"")</f>
        <v/>
      </c>
      <c r="AG25" s="43" t="str">
        <f>IF(AND('Mapa riesgos'!$AD$72="Alta",'Mapa riesgos'!$AF$72="Mayor"),CONCATENATE("R10C",'Mapa riesgos'!$T$72),"")</f>
        <v/>
      </c>
      <c r="AH25" s="44" t="str">
        <f>IF(AND('Mapa riesgos'!$AD$67="Alta",'Mapa riesgos'!$AF$67="Catastrófico"),CONCATENATE("R10C",'Mapa riesgos'!$T$67),"")</f>
        <v/>
      </c>
      <c r="AI25" s="45" t="str">
        <f>IF(AND('Mapa riesgos'!$AD$68="Alta",'Mapa riesgos'!$AF$68="Catastrófico"),CONCATENATE("R10C",'Mapa riesgos'!$T$68),"")</f>
        <v/>
      </c>
      <c r="AJ25" s="45" t="str">
        <f>IF(AND('Mapa riesgos'!$AD$69="Alta",'Mapa riesgos'!$AF$69="Catastrófico"),CONCATENATE("R10C",'Mapa riesgos'!$T$69),"")</f>
        <v/>
      </c>
      <c r="AK25" s="45" t="str">
        <f>IF(AND('Mapa riesgos'!$AD$70="Alta",'Mapa riesgos'!$AF$70="Catastrófico"),CONCATENATE("R10C",'Mapa riesgos'!$T$70),"")</f>
        <v/>
      </c>
      <c r="AL25" s="45" t="str">
        <f>IF(AND('Mapa riesgos'!$AD$71="Alta",'Mapa riesgos'!$AF$71="Catastrófico"),CONCATENATE("R10C",'Mapa riesgos'!$T$71),"")</f>
        <v/>
      </c>
      <c r="AM25" s="46" t="str">
        <f>IF(AND('Mapa riesgos'!$AD$72="Alta",'Mapa riesgos'!$AF$72="Catastrófico"),CONCATENATE("R10C",'Mapa riesgos'!$T$72),"")</f>
        <v/>
      </c>
      <c r="AN25" s="66"/>
      <c r="AO25" s="514"/>
      <c r="AP25" s="515"/>
      <c r="AQ25" s="515"/>
      <c r="AR25" s="515"/>
      <c r="AS25" s="515"/>
      <c r="AT25" s="51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row>
    <row r="26" spans="1:76" ht="15" customHeight="1" x14ac:dyDescent="0.25">
      <c r="A26" s="66"/>
      <c r="B26" s="422"/>
      <c r="C26" s="422"/>
      <c r="D26" s="423"/>
      <c r="E26" s="517" t="s">
        <v>181</v>
      </c>
      <c r="F26" s="518"/>
      <c r="G26" s="518"/>
      <c r="H26" s="518"/>
      <c r="I26" s="535"/>
      <c r="J26" s="47" t="str">
        <f>IF(AND('Mapa riesgos'!$AD$13="Media",'Mapa riesgos'!$AF$13="Leve"),CONCATENATE("R1C",'Mapa riesgos'!$T$13),"")</f>
        <v>R1C1</v>
      </c>
      <c r="K26" s="48" t="str">
        <f>IF(AND('Mapa riesgos'!$AD$14="Media",'Mapa riesgos'!$AF$14="Leve"),CONCATENATE("R1C",'Mapa riesgos'!$T$14),"")</f>
        <v/>
      </c>
      <c r="L26" s="48" t="str">
        <f>IF(AND('Mapa riesgos'!$AD$15="Media",'Mapa riesgos'!$AF$15="Leve"),CONCATENATE("R1C",'Mapa riesgos'!$T$15),"")</f>
        <v/>
      </c>
      <c r="M26" s="48" t="str">
        <f>IF(AND('Mapa riesgos'!$AD$16="Media",'Mapa riesgos'!$AF$16="Leve"),CONCATENATE("R1C",'Mapa riesgos'!$T$16),"")</f>
        <v/>
      </c>
      <c r="N26" s="48" t="str">
        <f>IF(AND('Mapa riesgos'!$AD$17="Media",'Mapa riesgos'!$AF$17="Leve"),CONCATENATE("R1C",'Mapa riesgos'!$T$17),"")</f>
        <v/>
      </c>
      <c r="O26" s="49" t="str">
        <f>IF(AND('Mapa riesgos'!$AD$18="Media",'Mapa riesgos'!$AF$18="Leve"),CONCATENATE("R1C",'Mapa riesgos'!$T$18),"")</f>
        <v/>
      </c>
      <c r="P26" s="47" t="str">
        <f>IF(AND('Mapa riesgos'!$AD$13="Media",'Mapa riesgos'!$AF$13="Menor"),CONCATENATE("R1C",'Mapa riesgos'!$T$13),"")</f>
        <v/>
      </c>
      <c r="Q26" s="48" t="str">
        <f>IF(AND('Mapa riesgos'!$AD$14="Media",'Mapa riesgos'!$AF$14="Menor"),CONCATENATE("R1C",'Mapa riesgos'!$T$14),"")</f>
        <v/>
      </c>
      <c r="R26" s="48" t="str">
        <f>IF(AND('Mapa riesgos'!$AD$15="Media",'Mapa riesgos'!$AF$15="Menor"),CONCATENATE("R1C",'Mapa riesgos'!$T$15),"")</f>
        <v/>
      </c>
      <c r="S26" s="48" t="str">
        <f>IF(AND('Mapa riesgos'!$AD$16="Media",'Mapa riesgos'!$AF$16="Menor"),CONCATENATE("R1C",'Mapa riesgos'!$T$16),"")</f>
        <v/>
      </c>
      <c r="T26" s="48" t="str">
        <f>IF(AND('Mapa riesgos'!$AD$17="Media",'Mapa riesgos'!$AF$17="Menor"),CONCATENATE("R1C",'Mapa riesgos'!$T$17),"")</f>
        <v/>
      </c>
      <c r="U26" s="49" t="str">
        <f>IF(AND('Mapa riesgos'!$AD$18="Media",'Mapa riesgos'!$AF$18="Menor"),CONCATENATE("R1C",'Mapa riesgos'!$T$18),"")</f>
        <v/>
      </c>
      <c r="V26" s="47" t="str">
        <f>IF(AND('Mapa riesgos'!$AD$13="Media",'Mapa riesgos'!$AF$13="Moderado"),CONCATENATE("R1C",'Mapa riesgos'!$T$13),"")</f>
        <v/>
      </c>
      <c r="W26" s="48" t="str">
        <f>IF(AND('Mapa riesgos'!$AD$14="Media",'Mapa riesgos'!$AF$14="Moderado"),CONCATENATE("R1C",'Mapa riesgos'!$T$14),"")</f>
        <v/>
      </c>
      <c r="X26" s="48" t="str">
        <f>IF(AND('Mapa riesgos'!$AD$15="Media",'Mapa riesgos'!$AF$15="Moderado"),CONCATENATE("R1C",'Mapa riesgos'!$T$15),"")</f>
        <v/>
      </c>
      <c r="Y26" s="48" t="str">
        <f>IF(AND('Mapa riesgos'!$AD$16="Media",'Mapa riesgos'!$AF$16="Moderado"),CONCATENATE("R1C",'Mapa riesgos'!$T$16),"")</f>
        <v/>
      </c>
      <c r="Z26" s="48" t="str">
        <f>IF(AND('Mapa riesgos'!$AD$17="Media",'Mapa riesgos'!$AF$17="Moderado"),CONCATENATE("R1C",'Mapa riesgos'!$T$17),"")</f>
        <v/>
      </c>
      <c r="AA26" s="49" t="str">
        <f>IF(AND('Mapa riesgos'!$AD$18="Media",'Mapa riesgos'!$AF$18="Moderado"),CONCATENATE("R1C",'Mapa riesgos'!$T$18),"")</f>
        <v/>
      </c>
      <c r="AB26" s="29" t="str">
        <f>IF(AND('Mapa riesgos'!$AD$13="Media",'Mapa riesgos'!$AF$13="Mayor"),CONCATENATE("R1C",'Mapa riesgos'!$T$13),"")</f>
        <v/>
      </c>
      <c r="AC26" s="30" t="str">
        <f>IF(AND('Mapa riesgos'!$AD$14="Media",'Mapa riesgos'!$AF$14="Mayor"),CONCATENATE("R1C",'Mapa riesgos'!$T$14),"")</f>
        <v/>
      </c>
      <c r="AD26" s="30" t="str">
        <f>IF(AND('Mapa riesgos'!$AD$15="Media",'Mapa riesgos'!$AF$15="Mayor"),CONCATENATE("R1C",'Mapa riesgos'!$T$15),"")</f>
        <v/>
      </c>
      <c r="AE26" s="30" t="str">
        <f>IF(AND('Mapa riesgos'!$AD$16="Media",'Mapa riesgos'!$AF$16="Mayor"),CONCATENATE("R1C",'Mapa riesgos'!$T$16),"")</f>
        <v/>
      </c>
      <c r="AF26" s="30" t="str">
        <f>IF(AND('Mapa riesgos'!$AD$17="Media",'Mapa riesgos'!$AF$17="Mayor"),CONCATENATE("R1C",'Mapa riesgos'!$T$17),"")</f>
        <v/>
      </c>
      <c r="AG26" s="31" t="str">
        <f>IF(AND('Mapa riesgos'!$AD$18="Media",'Mapa riesgos'!$AF$18="Mayor"),CONCATENATE("R1C",'Mapa riesgos'!$T$18),"")</f>
        <v/>
      </c>
      <c r="AH26" s="32" t="str">
        <f>IF(AND('Mapa riesgos'!$AD$13="Media",'Mapa riesgos'!$AF$13="Catastrófico"),CONCATENATE("R1C",'Mapa riesgos'!$T$13),"")</f>
        <v/>
      </c>
      <c r="AI26" s="33" t="str">
        <f>IF(AND('Mapa riesgos'!$AD$14="Media",'Mapa riesgos'!$AF$14="Catastrófico"),CONCATENATE("R1C",'Mapa riesgos'!$T$14),"")</f>
        <v/>
      </c>
      <c r="AJ26" s="33" t="str">
        <f>IF(AND('Mapa riesgos'!$AD$15="Media",'Mapa riesgos'!$AF$15="Catastrófico"),CONCATENATE("R1C",'Mapa riesgos'!$T$15),"")</f>
        <v/>
      </c>
      <c r="AK26" s="33" t="str">
        <f>IF(AND('Mapa riesgos'!$AD$16="Media",'Mapa riesgos'!$AF$16="Catastrófico"),CONCATENATE("R1C",'Mapa riesgos'!$T$16),"")</f>
        <v/>
      </c>
      <c r="AL26" s="33" t="str">
        <f>IF(AND('Mapa riesgos'!$AD$17="Media",'Mapa riesgos'!$AF$17="Catastrófico"),CONCATENATE("R1C",'Mapa riesgos'!$T$17),"")</f>
        <v/>
      </c>
      <c r="AM26" s="34" t="str">
        <f>IF(AND('Mapa riesgos'!$AD$18="Media",'Mapa riesgos'!$AF$18="Catastrófico"),CONCATENATE("R1C",'Mapa riesgos'!$T$18),"")</f>
        <v/>
      </c>
      <c r="AN26" s="66"/>
      <c r="AO26" s="547" t="s">
        <v>182</v>
      </c>
      <c r="AP26" s="548"/>
      <c r="AQ26" s="548"/>
      <c r="AR26" s="548"/>
      <c r="AS26" s="548"/>
      <c r="AT26" s="549"/>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row>
    <row r="27" spans="1:76" ht="15" customHeight="1" x14ac:dyDescent="0.25">
      <c r="A27" s="66"/>
      <c r="B27" s="422"/>
      <c r="C27" s="422"/>
      <c r="D27" s="423"/>
      <c r="E27" s="519"/>
      <c r="F27" s="520"/>
      <c r="G27" s="520"/>
      <c r="H27" s="520"/>
      <c r="I27" s="536"/>
      <c r="J27" s="50" t="str">
        <f>IF(AND('Mapa riesgos'!$AD$19="Media",'Mapa riesgos'!$AF$19="Leve"),CONCATENATE("R2C",'Mapa riesgos'!$T$19),"")</f>
        <v/>
      </c>
      <c r="K27" s="51" t="str">
        <f>IF(AND('Mapa riesgos'!$AD$20="Media",'Mapa riesgos'!$AF$20="Leve"),CONCATENATE("R2C",'Mapa riesgos'!$T$20),"")</f>
        <v/>
      </c>
      <c r="L27" s="51" t="str">
        <f>IF(AND('Mapa riesgos'!$AD$21="Media",'Mapa riesgos'!$AF$21="Leve"),CONCATENATE("R2C",'Mapa riesgos'!$T$21),"")</f>
        <v/>
      </c>
      <c r="M27" s="51" t="str">
        <f>IF(AND('Mapa riesgos'!$AD$22="Media",'Mapa riesgos'!$AF$22="Leve"),CONCATENATE("R2C",'Mapa riesgos'!$T$22),"")</f>
        <v/>
      </c>
      <c r="N27" s="51" t="str">
        <f>IF(AND('Mapa riesgos'!$AD$23="Media",'Mapa riesgos'!$AF$23="Leve"),CONCATENATE("R2C",'Mapa riesgos'!$T$23),"")</f>
        <v/>
      </c>
      <c r="O27" s="52" t="str">
        <f>IF(AND('Mapa riesgos'!$AD$24="Media",'Mapa riesgos'!$AF$24="Leve"),CONCATENATE("R2C",'Mapa riesgos'!$T$24),"")</f>
        <v/>
      </c>
      <c r="P27" s="50" t="str">
        <f>IF(AND('Mapa riesgos'!$AD$19="Media",'Mapa riesgos'!$AF$19="Menor"),CONCATENATE("R2C",'Mapa riesgos'!$T$19),"")</f>
        <v/>
      </c>
      <c r="Q27" s="51" t="str">
        <f>IF(AND('Mapa riesgos'!$AD$20="Media",'Mapa riesgos'!$AF$20="Menor"),CONCATENATE("R2C",'Mapa riesgos'!$T$20),"")</f>
        <v/>
      </c>
      <c r="R27" s="51" t="str">
        <f>IF(AND('Mapa riesgos'!$AD$21="Media",'Mapa riesgos'!$AF$21="Menor"),CONCATENATE("R2C",'Mapa riesgos'!$T$21),"")</f>
        <v/>
      </c>
      <c r="S27" s="51" t="str">
        <f>IF(AND('Mapa riesgos'!$AD$22="Media",'Mapa riesgos'!$AF$22="Menor"),CONCATENATE("R2C",'Mapa riesgos'!$T$22),"")</f>
        <v/>
      </c>
      <c r="T27" s="51" t="str">
        <f>IF(AND('Mapa riesgos'!$AD$23="Media",'Mapa riesgos'!$AF$23="Menor"),CONCATENATE("R2C",'Mapa riesgos'!$T$23),"")</f>
        <v/>
      </c>
      <c r="U27" s="52" t="str">
        <f>IF(AND('Mapa riesgos'!$AD$24="Media",'Mapa riesgos'!$AF$24="Menor"),CONCATENATE("R2C",'Mapa riesgos'!$T$24),"")</f>
        <v/>
      </c>
      <c r="V27" s="50" t="str">
        <f>IF(AND('Mapa riesgos'!$AD$19="Media",'Mapa riesgos'!$AF$19="Moderado"),CONCATENATE("R2C",'Mapa riesgos'!$T$19),"")</f>
        <v/>
      </c>
      <c r="W27" s="51" t="str">
        <f>IF(AND('Mapa riesgos'!$AD$20="Media",'Mapa riesgos'!$AF$20="Moderado"),CONCATENATE("R2C",'Mapa riesgos'!$T$20),"")</f>
        <v/>
      </c>
      <c r="X27" s="51" t="str">
        <f>IF(AND('Mapa riesgos'!$AD$21="Media",'Mapa riesgos'!$AF$21="Moderado"),CONCATENATE("R2C",'Mapa riesgos'!$T$21),"")</f>
        <v/>
      </c>
      <c r="Y27" s="51" t="str">
        <f>IF(AND('Mapa riesgos'!$AD$22="Media",'Mapa riesgos'!$AF$22="Moderado"),CONCATENATE("R2C",'Mapa riesgos'!$T$22),"")</f>
        <v/>
      </c>
      <c r="Z27" s="51" t="str">
        <f>IF(AND('Mapa riesgos'!$AD$23="Media",'Mapa riesgos'!$AF$23="Moderado"),CONCATENATE("R2C",'Mapa riesgos'!$T$23),"")</f>
        <v/>
      </c>
      <c r="AA27" s="52" t="str">
        <f>IF(AND('Mapa riesgos'!$AD$24="Media",'Mapa riesgos'!$AF$24="Moderado"),CONCATENATE("R2C",'Mapa riesgos'!$T$24),"")</f>
        <v/>
      </c>
      <c r="AB27" s="35" t="str">
        <f>IF(AND('Mapa riesgos'!$AD$19="Media",'Mapa riesgos'!$AF$19="Mayor"),CONCATENATE("R2C",'Mapa riesgos'!$T$19),"")</f>
        <v/>
      </c>
      <c r="AC27" s="36" t="str">
        <f>IF(AND('Mapa riesgos'!$AD$20="Media",'Mapa riesgos'!$AF$20="Mayor"),CONCATENATE("R2C",'Mapa riesgos'!$T$20),"")</f>
        <v/>
      </c>
      <c r="AD27" s="36" t="str">
        <f>IF(AND('Mapa riesgos'!$AD$21="Media",'Mapa riesgos'!$AF$21="Mayor"),CONCATENATE("R2C",'Mapa riesgos'!$T$21),"")</f>
        <v/>
      </c>
      <c r="AE27" s="36" t="str">
        <f>IF(AND('Mapa riesgos'!$AD$22="Media",'Mapa riesgos'!$AF$22="Mayor"),CONCATENATE("R2C",'Mapa riesgos'!$T$22),"")</f>
        <v/>
      </c>
      <c r="AF27" s="36" t="str">
        <f>IF(AND('Mapa riesgos'!$AD$23="Media",'Mapa riesgos'!$AF$23="Mayor"),CONCATENATE("R2C",'Mapa riesgos'!$T$23),"")</f>
        <v/>
      </c>
      <c r="AG27" s="37" t="str">
        <f>IF(AND('Mapa riesgos'!$AD$24="Media",'Mapa riesgos'!$AF$24="Mayor"),CONCATENATE("R2C",'Mapa riesgos'!$T$24),"")</f>
        <v/>
      </c>
      <c r="AH27" s="38" t="str">
        <f>IF(AND('Mapa riesgos'!$AD$19="Media",'Mapa riesgos'!$AF$19="Catastrófico"),CONCATENATE("R2C",'Mapa riesgos'!$T$19),"")</f>
        <v/>
      </c>
      <c r="AI27" s="39" t="str">
        <f>IF(AND('Mapa riesgos'!$AD$20="Media",'Mapa riesgos'!$AF$20="Catastrófico"),CONCATENATE("R2C",'Mapa riesgos'!$T$20),"")</f>
        <v/>
      </c>
      <c r="AJ27" s="39" t="str">
        <f>IF(AND('Mapa riesgos'!$AD$21="Media",'Mapa riesgos'!$AF$21="Catastrófico"),CONCATENATE("R2C",'Mapa riesgos'!$T$21),"")</f>
        <v/>
      </c>
      <c r="AK27" s="39" t="str">
        <f>IF(AND('Mapa riesgos'!$AD$22="Media",'Mapa riesgos'!$AF$22="Catastrófico"),CONCATENATE("R2C",'Mapa riesgos'!$T$22),"")</f>
        <v/>
      </c>
      <c r="AL27" s="39" t="str">
        <f>IF(AND('Mapa riesgos'!$AD$23="Media",'Mapa riesgos'!$AF$23="Catastrófico"),CONCATENATE("R2C",'Mapa riesgos'!$T$23),"")</f>
        <v/>
      </c>
      <c r="AM27" s="40" t="str">
        <f>IF(AND('Mapa riesgos'!$AD$24="Media",'Mapa riesgos'!$AF$24="Catastrófico"),CONCATENATE("R2C",'Mapa riesgos'!$T$24),"")</f>
        <v/>
      </c>
      <c r="AN27" s="66"/>
      <c r="AO27" s="550"/>
      <c r="AP27" s="551"/>
      <c r="AQ27" s="551"/>
      <c r="AR27" s="551"/>
      <c r="AS27" s="551"/>
      <c r="AT27" s="552"/>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row>
    <row r="28" spans="1:76" ht="15" customHeight="1" x14ac:dyDescent="0.25">
      <c r="A28" s="66"/>
      <c r="B28" s="422"/>
      <c r="C28" s="422"/>
      <c r="D28" s="423"/>
      <c r="E28" s="521"/>
      <c r="F28" s="520"/>
      <c r="G28" s="520"/>
      <c r="H28" s="520"/>
      <c r="I28" s="536"/>
      <c r="J28" s="50" t="str">
        <f>IF(AND('Mapa riesgos'!$AD$25="Media",'Mapa riesgos'!$AF$25="Leve"),CONCATENATE("R3C",'Mapa riesgos'!$T$25),"")</f>
        <v/>
      </c>
      <c r="K28" s="51" t="str">
        <f>IF(AND('Mapa riesgos'!$AD$26="Media",'Mapa riesgos'!$AF$26="Leve"),CONCATENATE("R3C",'Mapa riesgos'!$T$26),"")</f>
        <v/>
      </c>
      <c r="L28" s="51" t="str">
        <f>IF(AND('Mapa riesgos'!$AD$27="Media",'Mapa riesgos'!$AF$27="Leve"),CONCATENATE("R3C",'Mapa riesgos'!$T$27),"")</f>
        <v/>
      </c>
      <c r="M28" s="51" t="str">
        <f>IF(AND('Mapa riesgos'!$AD$28="Media",'Mapa riesgos'!$AF$28="Leve"),CONCATENATE("R3C",'Mapa riesgos'!$T$28),"")</f>
        <v/>
      </c>
      <c r="N28" s="51" t="str">
        <f>IF(AND('Mapa riesgos'!$AD$29="Media",'Mapa riesgos'!$AF$29="Leve"),CONCATENATE("R3C",'Mapa riesgos'!$T$29),"")</f>
        <v/>
      </c>
      <c r="O28" s="52" t="str">
        <f>IF(AND('Mapa riesgos'!$AD$30="Media",'Mapa riesgos'!$AF$30="Leve"),CONCATENATE("R3C",'Mapa riesgos'!$T$30),"")</f>
        <v/>
      </c>
      <c r="P28" s="50" t="str">
        <f>IF(AND('Mapa riesgos'!$AD$25="Media",'Mapa riesgos'!$AF$25="Menor"),CONCATENATE("R3C",'Mapa riesgos'!$T$25),"")</f>
        <v/>
      </c>
      <c r="Q28" s="51" t="str">
        <f>IF(AND('Mapa riesgos'!$AD$26="Media",'Mapa riesgos'!$AF$26="Menor"),CONCATENATE("R3C",'Mapa riesgos'!$T$26),"")</f>
        <v/>
      </c>
      <c r="R28" s="51" t="str">
        <f>IF(AND('Mapa riesgos'!$AD$27="Media",'Mapa riesgos'!$AF$27="Menor"),CONCATENATE("R3C",'Mapa riesgos'!$T$27),"")</f>
        <v/>
      </c>
      <c r="S28" s="51" t="str">
        <f>IF(AND('Mapa riesgos'!$AD$28="Media",'Mapa riesgos'!$AF$28="Menor"),CONCATENATE("R3C",'Mapa riesgos'!$T$28),"")</f>
        <v/>
      </c>
      <c r="T28" s="51" t="str">
        <f>IF(AND('Mapa riesgos'!$AD$29="Media",'Mapa riesgos'!$AF$29="Menor"),CONCATENATE("R3C",'Mapa riesgos'!$T$29),"")</f>
        <v/>
      </c>
      <c r="U28" s="52" t="str">
        <f>IF(AND('Mapa riesgos'!$AD$30="Media",'Mapa riesgos'!$AF$30="Menor"),CONCATENATE("R3C",'Mapa riesgos'!$T$30),"")</f>
        <v/>
      </c>
      <c r="V28" s="50" t="str">
        <f>IF(AND('Mapa riesgos'!$AD$25="Media",'Mapa riesgos'!$AF$25="Moderado"),CONCATENATE("R3C",'Mapa riesgos'!$T$25),"")</f>
        <v/>
      </c>
      <c r="W28" s="51" t="str">
        <f>IF(AND('Mapa riesgos'!$AD$26="Media",'Mapa riesgos'!$AF$26="Moderado"),CONCATENATE("R3C",'Mapa riesgos'!$T$26),"")</f>
        <v/>
      </c>
      <c r="X28" s="51" t="str">
        <f>IF(AND('Mapa riesgos'!$AD$27="Media",'Mapa riesgos'!$AF$27="Moderado"),CONCATENATE("R3C",'Mapa riesgos'!$T$27),"")</f>
        <v/>
      </c>
      <c r="Y28" s="51" t="str">
        <f>IF(AND('Mapa riesgos'!$AD$28="Media",'Mapa riesgos'!$AF$28="Moderado"),CONCATENATE("R3C",'Mapa riesgos'!$T$28),"")</f>
        <v/>
      </c>
      <c r="Z28" s="51" t="str">
        <f>IF(AND('Mapa riesgos'!$AD$29="Media",'Mapa riesgos'!$AF$29="Moderado"),CONCATENATE("R3C",'Mapa riesgos'!$T$29),"")</f>
        <v/>
      </c>
      <c r="AA28" s="52" t="str">
        <f>IF(AND('Mapa riesgos'!$AD$30="Media",'Mapa riesgos'!$AF$30="Moderado"),CONCATENATE("R3C",'Mapa riesgos'!$T$30),"")</f>
        <v/>
      </c>
      <c r="AB28" s="35" t="str">
        <f>IF(AND('Mapa riesgos'!$AD$25="Media",'Mapa riesgos'!$AF$25="Mayor"),CONCATENATE("R3C",'Mapa riesgos'!$T$25),"")</f>
        <v>R3C1</v>
      </c>
      <c r="AC28" s="36" t="str">
        <f>IF(AND('Mapa riesgos'!$AD$26="Media",'Mapa riesgos'!$AF$26="Mayor"),CONCATENATE("R3C",'Mapa riesgos'!$T$26),"")</f>
        <v/>
      </c>
      <c r="AD28" s="36" t="str">
        <f>IF(AND('Mapa riesgos'!$AD$27="Media",'Mapa riesgos'!$AF$27="Mayor"),CONCATENATE("R3C",'Mapa riesgos'!$T$27),"")</f>
        <v/>
      </c>
      <c r="AE28" s="36" t="str">
        <f>IF(AND('Mapa riesgos'!$AD$28="Media",'Mapa riesgos'!$AF$28="Mayor"),CONCATENATE("R3C",'Mapa riesgos'!$T$28),"")</f>
        <v/>
      </c>
      <c r="AF28" s="36" t="str">
        <f>IF(AND('Mapa riesgos'!$AD$29="Media",'Mapa riesgos'!$AF$29="Mayor"),CONCATENATE("R3C",'Mapa riesgos'!$T$29),"")</f>
        <v/>
      </c>
      <c r="AG28" s="37" t="str">
        <f>IF(AND('Mapa riesgos'!$AD$30="Media",'Mapa riesgos'!$AF$30="Mayor"),CONCATENATE("R3C",'Mapa riesgos'!$T$30),"")</f>
        <v/>
      </c>
      <c r="AH28" s="38" t="str">
        <f>IF(AND('Mapa riesgos'!$AD$25="Media",'Mapa riesgos'!$AF$25="Catastrófico"),CONCATENATE("R3C",'Mapa riesgos'!$T$25),"")</f>
        <v/>
      </c>
      <c r="AI28" s="39" t="str">
        <f>IF(AND('Mapa riesgos'!$AD$26="Media",'Mapa riesgos'!$AF$26="Catastrófico"),CONCATENATE("R3C",'Mapa riesgos'!$T$26),"")</f>
        <v/>
      </c>
      <c r="AJ28" s="39" t="str">
        <f>IF(AND('Mapa riesgos'!$AD$27="Media",'Mapa riesgos'!$AF$27="Catastrófico"),CONCATENATE("R3C",'Mapa riesgos'!$T$27),"")</f>
        <v/>
      </c>
      <c r="AK28" s="39" t="str">
        <f>IF(AND('Mapa riesgos'!$AD$28="Media",'Mapa riesgos'!$AF$28="Catastrófico"),CONCATENATE("R3C",'Mapa riesgos'!$T$28),"")</f>
        <v/>
      </c>
      <c r="AL28" s="39" t="str">
        <f>IF(AND('Mapa riesgos'!$AD$29="Media",'Mapa riesgos'!$AF$29="Catastrófico"),CONCATENATE("R3C",'Mapa riesgos'!$T$29),"")</f>
        <v/>
      </c>
      <c r="AM28" s="40" t="str">
        <f>IF(AND('Mapa riesgos'!$AD$30="Media",'Mapa riesgos'!$AF$30="Catastrófico"),CONCATENATE("R3C",'Mapa riesgos'!$T$30),"")</f>
        <v/>
      </c>
      <c r="AN28" s="66"/>
      <c r="AO28" s="550"/>
      <c r="AP28" s="551"/>
      <c r="AQ28" s="551"/>
      <c r="AR28" s="551"/>
      <c r="AS28" s="551"/>
      <c r="AT28" s="552"/>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row>
    <row r="29" spans="1:76" ht="15" customHeight="1" x14ac:dyDescent="0.25">
      <c r="A29" s="66"/>
      <c r="B29" s="422"/>
      <c r="C29" s="422"/>
      <c r="D29" s="423"/>
      <c r="E29" s="521"/>
      <c r="F29" s="520"/>
      <c r="G29" s="520"/>
      <c r="H29" s="520"/>
      <c r="I29" s="536"/>
      <c r="J29" s="50" t="str">
        <f>IF(AND('Mapa riesgos'!$AD$31="Media",'Mapa riesgos'!$AF$31="Leve"),CONCATENATE("R4C",'Mapa riesgos'!$T$31),"")</f>
        <v/>
      </c>
      <c r="K29" s="51" t="str">
        <f>IF(AND('Mapa riesgos'!$AD$32="Media",'Mapa riesgos'!$AF$32="Leve"),CONCATENATE("R4C",'Mapa riesgos'!$T$32),"")</f>
        <v>R4C2</v>
      </c>
      <c r="L29" s="51" t="str">
        <f>IF(AND('Mapa riesgos'!$AD$33="Media",'Mapa riesgos'!$AF$33="Leve"),CONCATENATE("R4C",'Mapa riesgos'!$T$33),"")</f>
        <v/>
      </c>
      <c r="M29" s="51" t="str">
        <f>IF(AND('Mapa riesgos'!$AD$34="Media",'Mapa riesgos'!$AF$34="Leve"),CONCATENATE("R4C",'Mapa riesgos'!$T$34),"")</f>
        <v/>
      </c>
      <c r="N29" s="51" t="str">
        <f>IF(AND('Mapa riesgos'!$AD$35="Media",'Mapa riesgos'!$AF$35="Leve"),CONCATENATE("R4C",'Mapa riesgos'!$T$35),"")</f>
        <v/>
      </c>
      <c r="O29" s="52" t="str">
        <f>IF(AND('Mapa riesgos'!$AD$36="Media",'Mapa riesgos'!$AF$36="Leve"),CONCATENATE("R4C",'Mapa riesgos'!$T$36),"")</f>
        <v/>
      </c>
      <c r="P29" s="50" t="str">
        <f>IF(AND('Mapa riesgos'!$AD$31="Media",'Mapa riesgos'!$AF$31="Menor"),CONCATENATE("R4C",'Mapa riesgos'!$T$31),"")</f>
        <v/>
      </c>
      <c r="Q29" s="51" t="str">
        <f>IF(AND('Mapa riesgos'!$AD$32="Media",'Mapa riesgos'!$AF$32="Menor"),CONCATENATE("R4C",'Mapa riesgos'!$T$32),"")</f>
        <v/>
      </c>
      <c r="R29" s="51" t="str">
        <f>IF(AND('Mapa riesgos'!$AD$33="Media",'Mapa riesgos'!$AF$33="Menor"),CONCATENATE("R4C",'Mapa riesgos'!$T$33),"")</f>
        <v/>
      </c>
      <c r="S29" s="51" t="str">
        <f>IF(AND('Mapa riesgos'!$AD$34="Media",'Mapa riesgos'!$AF$34="Menor"),CONCATENATE("R4C",'Mapa riesgos'!$T$34),"")</f>
        <v/>
      </c>
      <c r="T29" s="51" t="str">
        <f>IF(AND('Mapa riesgos'!$AD$35="Media",'Mapa riesgos'!$AF$35="Menor"),CONCATENATE("R4C",'Mapa riesgos'!$T$35),"")</f>
        <v/>
      </c>
      <c r="U29" s="52" t="str">
        <f>IF(AND('Mapa riesgos'!$AD$36="Media",'Mapa riesgos'!$AF$36="Menor"),CONCATENATE("R4C",'Mapa riesgos'!$T$36),"")</f>
        <v/>
      </c>
      <c r="V29" s="50" t="str">
        <f>IF(AND('Mapa riesgos'!$AD$31="Media",'Mapa riesgos'!$AF$31="Moderado"),CONCATENATE("R4C",'Mapa riesgos'!$T$31),"")</f>
        <v>R4C1</v>
      </c>
      <c r="W29" s="51" t="str">
        <f>IF(AND('Mapa riesgos'!$AD$32="Media",'Mapa riesgos'!$AF$32="Moderado"),CONCATENATE("R4C",'Mapa riesgos'!$T$32),"")</f>
        <v/>
      </c>
      <c r="X29" s="51" t="str">
        <f>IF(AND('Mapa riesgos'!$AD$33="Media",'Mapa riesgos'!$AF$33="Moderado"),CONCATENATE("R4C",'Mapa riesgos'!$T$33),"")</f>
        <v/>
      </c>
      <c r="Y29" s="51" t="str">
        <f>IF(AND('Mapa riesgos'!$AD$34="Media",'Mapa riesgos'!$AF$34="Moderado"),CONCATENATE("R4C",'Mapa riesgos'!$T$34),"")</f>
        <v/>
      </c>
      <c r="Z29" s="51" t="str">
        <f>IF(AND('Mapa riesgos'!$AD$35="Media",'Mapa riesgos'!$AF$35="Moderado"),CONCATENATE("R4C",'Mapa riesgos'!$T$35),"")</f>
        <v/>
      </c>
      <c r="AA29" s="52" t="str">
        <f>IF(AND('Mapa riesgos'!$AD$36="Media",'Mapa riesgos'!$AF$36="Moderado"),CONCATENATE("R4C",'Mapa riesgos'!$T$36),"")</f>
        <v/>
      </c>
      <c r="AB29" s="35" t="str">
        <f>IF(AND('Mapa riesgos'!$AD$31="Media",'Mapa riesgos'!$AF$31="Mayor"),CONCATENATE("R4C",'Mapa riesgos'!$T$31),"")</f>
        <v/>
      </c>
      <c r="AC29" s="36" t="str">
        <f>IF(AND('Mapa riesgos'!$AD$32="Media",'Mapa riesgos'!$AF$32="Mayor"),CONCATENATE("R4C",'Mapa riesgos'!$T$32),"")</f>
        <v/>
      </c>
      <c r="AD29" s="36" t="str">
        <f>IF(AND('Mapa riesgos'!$AD$33="Media",'Mapa riesgos'!$AF$33="Mayor"),CONCATENATE("R4C",'Mapa riesgos'!$T$33),"")</f>
        <v/>
      </c>
      <c r="AE29" s="36" t="str">
        <f>IF(AND('Mapa riesgos'!$AD$34="Media",'Mapa riesgos'!$AF$34="Mayor"),CONCATENATE("R4C",'Mapa riesgos'!$T$34),"")</f>
        <v/>
      </c>
      <c r="AF29" s="36" t="str">
        <f>IF(AND('Mapa riesgos'!$AD$35="Media",'Mapa riesgos'!$AF$35="Mayor"),CONCATENATE("R4C",'Mapa riesgos'!$T$35),"")</f>
        <v/>
      </c>
      <c r="AG29" s="37" t="str">
        <f>IF(AND('Mapa riesgos'!$AD$36="Media",'Mapa riesgos'!$AF$36="Mayor"),CONCATENATE("R4C",'Mapa riesgos'!$T$36),"")</f>
        <v/>
      </c>
      <c r="AH29" s="38" t="str">
        <f>IF(AND('Mapa riesgos'!$AD$31="Media",'Mapa riesgos'!$AF$31="Catastrófico"),CONCATENATE("R4C",'Mapa riesgos'!$T$31),"")</f>
        <v/>
      </c>
      <c r="AI29" s="39" t="str">
        <f>IF(AND('Mapa riesgos'!$AD$32="Media",'Mapa riesgos'!$AF$32="Catastrófico"),CONCATENATE("R4C",'Mapa riesgos'!$T$32),"")</f>
        <v/>
      </c>
      <c r="AJ29" s="39" t="str">
        <f>IF(AND('Mapa riesgos'!$AD$33="Media",'Mapa riesgos'!$AF$33="Catastrófico"),CONCATENATE("R4C",'Mapa riesgos'!$T$33),"")</f>
        <v/>
      </c>
      <c r="AK29" s="39" t="str">
        <f>IF(AND('Mapa riesgos'!$AD$34="Media",'Mapa riesgos'!$AF$34="Catastrófico"),CONCATENATE("R4C",'Mapa riesgos'!$T$34),"")</f>
        <v/>
      </c>
      <c r="AL29" s="39" t="str">
        <f>IF(AND('Mapa riesgos'!$AD$35="Media",'Mapa riesgos'!$AF$35="Catastrófico"),CONCATENATE("R4C",'Mapa riesgos'!$T$35),"")</f>
        <v/>
      </c>
      <c r="AM29" s="40" t="str">
        <f>IF(AND('Mapa riesgos'!$AD$36="Media",'Mapa riesgos'!$AF$36="Catastrófico"),CONCATENATE("R4C",'Mapa riesgos'!$T$36),"")</f>
        <v/>
      </c>
      <c r="AN29" s="66"/>
      <c r="AO29" s="550"/>
      <c r="AP29" s="551"/>
      <c r="AQ29" s="551"/>
      <c r="AR29" s="551"/>
      <c r="AS29" s="551"/>
      <c r="AT29" s="552"/>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15" customHeight="1" x14ac:dyDescent="0.25">
      <c r="A30" s="66"/>
      <c r="B30" s="422"/>
      <c r="C30" s="422"/>
      <c r="D30" s="423"/>
      <c r="E30" s="521"/>
      <c r="F30" s="520"/>
      <c r="G30" s="520"/>
      <c r="H30" s="520"/>
      <c r="I30" s="536"/>
      <c r="J30" s="50" t="str">
        <f>IF(AND('Mapa riesgos'!$AD$37="Media",'Mapa riesgos'!$AF$37="Leve"),CONCATENATE("R5C",'Mapa riesgos'!$T$37),"")</f>
        <v/>
      </c>
      <c r="K30" s="51" t="str">
        <f>IF(AND('Mapa riesgos'!$AD$38="Media",'Mapa riesgos'!$AF$38="Leve"),CONCATENATE("R5C",'Mapa riesgos'!$T$38),"")</f>
        <v/>
      </c>
      <c r="L30" s="51" t="str">
        <f>IF(AND('Mapa riesgos'!$AD$39="Media",'Mapa riesgos'!$AF$39="Leve"),CONCATENATE("R5C",'Mapa riesgos'!$T$39),"")</f>
        <v/>
      </c>
      <c r="M30" s="51" t="str">
        <f>IF(AND('Mapa riesgos'!$AD$40="Media",'Mapa riesgos'!$AF$40="Leve"),CONCATENATE("R5C",'Mapa riesgos'!$T$40),"")</f>
        <v/>
      </c>
      <c r="N30" s="51" t="str">
        <f>IF(AND('Mapa riesgos'!$AD$41="Media",'Mapa riesgos'!$AF$41="Leve"),CONCATENATE("R5C",'Mapa riesgos'!$T$41),"")</f>
        <v/>
      </c>
      <c r="O30" s="52" t="str">
        <f>IF(AND('Mapa riesgos'!$AD$42="Media",'Mapa riesgos'!$AF$42="Leve"),CONCATENATE("R5C",'Mapa riesgos'!$T$42),"")</f>
        <v/>
      </c>
      <c r="P30" s="50" t="str">
        <f>IF(AND('Mapa riesgos'!$AD$37="Media",'Mapa riesgos'!$AF$37="Menor"),CONCATENATE("R5C",'Mapa riesgos'!$T$37),"")</f>
        <v/>
      </c>
      <c r="Q30" s="51" t="str">
        <f>IF(AND('Mapa riesgos'!$AD$38="Media",'Mapa riesgos'!$AF$38="Menor"),CONCATENATE("R5C",'Mapa riesgos'!$T$38),"")</f>
        <v/>
      </c>
      <c r="R30" s="51" t="str">
        <f>IF(AND('Mapa riesgos'!$AD$39="Media",'Mapa riesgos'!$AF$39="Menor"),CONCATENATE("R5C",'Mapa riesgos'!$T$39),"")</f>
        <v/>
      </c>
      <c r="S30" s="51" t="str">
        <f>IF(AND('Mapa riesgos'!$AD$40="Media",'Mapa riesgos'!$AF$40="Menor"),CONCATENATE("R5C",'Mapa riesgos'!$T$40),"")</f>
        <v/>
      </c>
      <c r="T30" s="51" t="str">
        <f>IF(AND('Mapa riesgos'!$AD$41="Media",'Mapa riesgos'!$AF$41="Menor"),CONCATENATE("R5C",'Mapa riesgos'!$T$41),"")</f>
        <v/>
      </c>
      <c r="U30" s="52" t="str">
        <f>IF(AND('Mapa riesgos'!$AD$42="Media",'Mapa riesgos'!$AF$42="Menor"),CONCATENATE("R5C",'Mapa riesgos'!$T$42),"")</f>
        <v/>
      </c>
      <c r="V30" s="50" t="str">
        <f>IF(AND('Mapa riesgos'!$AD$37="Media",'Mapa riesgos'!$AF$37="Moderado"),CONCATENATE("R5C",'Mapa riesgos'!$T$37),"")</f>
        <v/>
      </c>
      <c r="W30" s="51" t="str">
        <f>IF(AND('Mapa riesgos'!$AD$38="Media",'Mapa riesgos'!$AF$38="Moderado"),CONCATENATE("R5C",'Mapa riesgos'!$T$38),"")</f>
        <v/>
      </c>
      <c r="X30" s="51" t="str">
        <f>IF(AND('Mapa riesgos'!$AD$39="Media",'Mapa riesgos'!$AF$39="Moderado"),CONCATENATE("R5C",'Mapa riesgos'!$T$39),"")</f>
        <v/>
      </c>
      <c r="Y30" s="51" t="str">
        <f>IF(AND('Mapa riesgos'!$AD$40="Media",'Mapa riesgos'!$AF$40="Moderado"),CONCATENATE("R5C",'Mapa riesgos'!$T$40),"")</f>
        <v/>
      </c>
      <c r="Z30" s="51" t="str">
        <f>IF(AND('Mapa riesgos'!$AD$41="Media",'Mapa riesgos'!$AF$41="Moderado"),CONCATENATE("R5C",'Mapa riesgos'!$T$41),"")</f>
        <v/>
      </c>
      <c r="AA30" s="52" t="str">
        <f>IF(AND('Mapa riesgos'!$AD$42="Media",'Mapa riesgos'!$AF$42="Moderado"),CONCATENATE("R5C",'Mapa riesgos'!$T$42),"")</f>
        <v/>
      </c>
      <c r="AB30" s="35" t="str">
        <f>IF(AND('Mapa riesgos'!$AD$37="Media",'Mapa riesgos'!$AF$37="Mayor"),CONCATENATE("R5C",'Mapa riesgos'!$T$37),"")</f>
        <v>R5C1</v>
      </c>
      <c r="AC30" s="36" t="str">
        <f>IF(AND('Mapa riesgos'!$AD$38="Media",'Mapa riesgos'!$AF$38="Mayor"),CONCATENATE("R5C",'Mapa riesgos'!$T$38),"")</f>
        <v/>
      </c>
      <c r="AD30" s="36" t="str">
        <f>IF(AND('Mapa riesgos'!$AD$39="Media",'Mapa riesgos'!$AF$39="Mayor"),CONCATENATE("R5C",'Mapa riesgos'!$T$39),"")</f>
        <v/>
      </c>
      <c r="AE30" s="36" t="str">
        <f>IF(AND('Mapa riesgos'!$AD$40="Media",'Mapa riesgos'!$AF$40="Mayor"),CONCATENATE("R5C",'Mapa riesgos'!$T$40),"")</f>
        <v/>
      </c>
      <c r="AF30" s="36" t="str">
        <f>IF(AND('Mapa riesgos'!$AD$41="Media",'Mapa riesgos'!$AF$41="Mayor"),CONCATENATE("R5C",'Mapa riesgos'!$T$41),"")</f>
        <v/>
      </c>
      <c r="AG30" s="37" t="str">
        <f>IF(AND('Mapa riesgos'!$AD$42="Media",'Mapa riesgos'!$AF$42="Mayor"),CONCATENATE("R5C",'Mapa riesgos'!$T$42),"")</f>
        <v/>
      </c>
      <c r="AH30" s="38" t="str">
        <f>IF(AND('Mapa riesgos'!$AD$37="Media",'Mapa riesgos'!$AF$37="Catastrófico"),CONCATENATE("R5C",'Mapa riesgos'!$T$37),"")</f>
        <v/>
      </c>
      <c r="AI30" s="39" t="str">
        <f>IF(AND('Mapa riesgos'!$AD$38="Media",'Mapa riesgos'!$AF$38="Catastrófico"),CONCATENATE("R5C",'Mapa riesgos'!$T$38),"")</f>
        <v/>
      </c>
      <c r="AJ30" s="39" t="str">
        <f>IF(AND('Mapa riesgos'!$AD$39="Media",'Mapa riesgos'!$AF$39="Catastrófico"),CONCATENATE("R5C",'Mapa riesgos'!$T$39),"")</f>
        <v/>
      </c>
      <c r="AK30" s="39" t="str">
        <f>IF(AND('Mapa riesgos'!$AD$40="Media",'Mapa riesgos'!$AF$40="Catastrófico"),CONCATENATE("R5C",'Mapa riesgos'!$T$40),"")</f>
        <v/>
      </c>
      <c r="AL30" s="39" t="str">
        <f>IF(AND('Mapa riesgos'!$AD$41="Media",'Mapa riesgos'!$AF$41="Catastrófico"),CONCATENATE("R5C",'Mapa riesgos'!$T$41),"")</f>
        <v/>
      </c>
      <c r="AM30" s="40" t="str">
        <f>IF(AND('Mapa riesgos'!$AD$42="Media",'Mapa riesgos'!$AF$42="Catastrófico"),CONCATENATE("R5C",'Mapa riesgos'!$T$42),"")</f>
        <v/>
      </c>
      <c r="AN30" s="66"/>
      <c r="AO30" s="550"/>
      <c r="AP30" s="551"/>
      <c r="AQ30" s="551"/>
      <c r="AR30" s="551"/>
      <c r="AS30" s="551"/>
      <c r="AT30" s="552"/>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 customHeight="1" x14ac:dyDescent="0.25">
      <c r="A31" s="66"/>
      <c r="B31" s="422"/>
      <c r="C31" s="422"/>
      <c r="D31" s="423"/>
      <c r="E31" s="521"/>
      <c r="F31" s="520"/>
      <c r="G31" s="520"/>
      <c r="H31" s="520"/>
      <c r="I31" s="536"/>
      <c r="J31" s="50" t="str">
        <f>IF(AND('Mapa riesgos'!$AD$43="Media",'Mapa riesgos'!$AF$43="Leve"),CONCATENATE("R6C",'Mapa riesgos'!$T$43),"")</f>
        <v/>
      </c>
      <c r="K31" s="51" t="str">
        <f>IF(AND('Mapa riesgos'!$AD$44="Media",'Mapa riesgos'!$AF$44="Leve"),CONCATENATE("R6C",'Mapa riesgos'!$T$44),"")</f>
        <v/>
      </c>
      <c r="L31" s="51" t="str">
        <f>IF(AND('Mapa riesgos'!$AD$45="Media",'Mapa riesgos'!$AF$45="Leve"),CONCATENATE("R6C",'Mapa riesgos'!$T$45),"")</f>
        <v/>
      </c>
      <c r="M31" s="51" t="str">
        <f>IF(AND('Mapa riesgos'!$AD$46="Media",'Mapa riesgos'!$AF$46="Leve"),CONCATENATE("R6C",'Mapa riesgos'!$T$46),"")</f>
        <v/>
      </c>
      <c r="N31" s="51" t="str">
        <f>IF(AND('Mapa riesgos'!$AD$47="Media",'Mapa riesgos'!$AF$47="Leve"),CONCATENATE("R6C",'Mapa riesgos'!$T$47),"")</f>
        <v/>
      </c>
      <c r="O31" s="52" t="str">
        <f>IF(AND('Mapa riesgos'!$AD$48="Media",'Mapa riesgos'!$AF$48="Leve"),CONCATENATE("R6C",'Mapa riesgos'!$T$48),"")</f>
        <v/>
      </c>
      <c r="P31" s="50" t="str">
        <f>IF(AND('Mapa riesgos'!$AD$43="Media",'Mapa riesgos'!$AF$43="Menor"),CONCATENATE("R6C",'Mapa riesgos'!$T$43),"")</f>
        <v/>
      </c>
      <c r="Q31" s="51" t="str">
        <f>IF(AND('Mapa riesgos'!$AD$44="Media",'Mapa riesgos'!$AF$44="Menor"),CONCATENATE("R6C",'Mapa riesgos'!$T$44),"")</f>
        <v/>
      </c>
      <c r="R31" s="51" t="str">
        <f>IF(AND('Mapa riesgos'!$AD$45="Media",'Mapa riesgos'!$AF$45="Menor"),CONCATENATE("R6C",'Mapa riesgos'!$T$45),"")</f>
        <v/>
      </c>
      <c r="S31" s="51" t="str">
        <f>IF(AND('Mapa riesgos'!$AD$46="Media",'Mapa riesgos'!$AF$46="Menor"),CONCATENATE("R6C",'Mapa riesgos'!$T$46),"")</f>
        <v/>
      </c>
      <c r="T31" s="51" t="str">
        <f>IF(AND('Mapa riesgos'!$AD$47="Media",'Mapa riesgos'!$AF$47="Menor"),CONCATENATE("R6C",'Mapa riesgos'!$T$47),"")</f>
        <v/>
      </c>
      <c r="U31" s="52" t="str">
        <f>IF(AND('Mapa riesgos'!$AD$48="Media",'Mapa riesgos'!$AF$48="Menor"),CONCATENATE("R6C",'Mapa riesgos'!$T$48),"")</f>
        <v/>
      </c>
      <c r="V31" s="50" t="str">
        <f>IF(AND('Mapa riesgos'!$AD$43="Media",'Mapa riesgos'!$AF$43="Moderado"),CONCATENATE("R6C",'Mapa riesgos'!$T$43),"")</f>
        <v/>
      </c>
      <c r="W31" s="51" t="str">
        <f>IF(AND('Mapa riesgos'!$AD$44="Media",'Mapa riesgos'!$AF$44="Moderado"),CONCATENATE("R6C",'Mapa riesgos'!$T$44),"")</f>
        <v/>
      </c>
      <c r="X31" s="51" t="str">
        <f>IF(AND('Mapa riesgos'!$AD$45="Media",'Mapa riesgos'!$AF$45="Moderado"),CONCATENATE("R6C",'Mapa riesgos'!$T$45),"")</f>
        <v/>
      </c>
      <c r="Y31" s="51" t="str">
        <f>IF(AND('Mapa riesgos'!$AD$46="Media",'Mapa riesgos'!$AF$46="Moderado"),CONCATENATE("R6C",'Mapa riesgos'!$T$46),"")</f>
        <v/>
      </c>
      <c r="Z31" s="51" t="str">
        <f>IF(AND('Mapa riesgos'!$AD$47="Media",'Mapa riesgos'!$AF$47="Moderado"),CONCATENATE("R6C",'Mapa riesgos'!$T$47),"")</f>
        <v/>
      </c>
      <c r="AA31" s="52" t="str">
        <f>IF(AND('Mapa riesgos'!$AD$48="Media",'Mapa riesgos'!$AF$48="Moderado"),CONCATENATE("R6C",'Mapa riesgos'!$T$48),"")</f>
        <v/>
      </c>
      <c r="AB31" s="35" t="str">
        <f>IF(AND('Mapa riesgos'!$AD$43="Media",'Mapa riesgos'!$AF$43="Mayor"),CONCATENATE("R6C",'Mapa riesgos'!$T$43),"")</f>
        <v/>
      </c>
      <c r="AC31" s="36" t="str">
        <f>IF(AND('Mapa riesgos'!$AD$44="Media",'Mapa riesgos'!$AF$44="Mayor"),CONCATENATE("R6C",'Mapa riesgos'!$T$44),"")</f>
        <v/>
      </c>
      <c r="AD31" s="36" t="str">
        <f>IF(AND('Mapa riesgos'!$AD$45="Media",'Mapa riesgos'!$AF$45="Mayor"),CONCATENATE("R6C",'Mapa riesgos'!$T$45),"")</f>
        <v/>
      </c>
      <c r="AE31" s="36" t="str">
        <f>IF(AND('Mapa riesgos'!$AD$46="Media",'Mapa riesgos'!$AF$46="Mayor"),CONCATENATE("R6C",'Mapa riesgos'!$T$46),"")</f>
        <v/>
      </c>
      <c r="AF31" s="36" t="str">
        <f>IF(AND('Mapa riesgos'!$AD$47="Media",'Mapa riesgos'!$AF$47="Mayor"),CONCATENATE("R6C",'Mapa riesgos'!$T$47),"")</f>
        <v/>
      </c>
      <c r="AG31" s="37" t="str">
        <f>IF(AND('Mapa riesgos'!$AD$48="Media",'Mapa riesgos'!$AF$48="Mayor"),CONCATENATE("R6C",'Mapa riesgos'!$T$48),"")</f>
        <v/>
      </c>
      <c r="AH31" s="38" t="str">
        <f>IF(AND('Mapa riesgos'!$AD$43="Media",'Mapa riesgos'!$AF$43="Catastrófico"),CONCATENATE("R6C",'Mapa riesgos'!$T$43),"")</f>
        <v/>
      </c>
      <c r="AI31" s="39" t="str">
        <f>IF(AND('Mapa riesgos'!$AD$44="Media",'Mapa riesgos'!$AF$44="Catastrófico"),CONCATENATE("R6C",'Mapa riesgos'!$T$44),"")</f>
        <v/>
      </c>
      <c r="AJ31" s="39" t="str">
        <f>IF(AND('Mapa riesgos'!$AD$45="Media",'Mapa riesgos'!$AF$45="Catastrófico"),CONCATENATE("R6C",'Mapa riesgos'!$T$45),"")</f>
        <v/>
      </c>
      <c r="AK31" s="39" t="str">
        <f>IF(AND('Mapa riesgos'!$AD$46="Media",'Mapa riesgos'!$AF$46="Catastrófico"),CONCATENATE("R6C",'Mapa riesgos'!$T$46),"")</f>
        <v/>
      </c>
      <c r="AL31" s="39" t="str">
        <f>IF(AND('Mapa riesgos'!$AD$47="Media",'Mapa riesgos'!$AF$47="Catastrófico"),CONCATENATE("R6C",'Mapa riesgos'!$T$47),"")</f>
        <v/>
      </c>
      <c r="AM31" s="40" t="str">
        <f>IF(AND('Mapa riesgos'!$AD$48="Media",'Mapa riesgos'!$AF$48="Catastrófico"),CONCATENATE("R6C",'Mapa riesgos'!$T$48),"")</f>
        <v/>
      </c>
      <c r="AN31" s="66"/>
      <c r="AO31" s="550"/>
      <c r="AP31" s="551"/>
      <c r="AQ31" s="551"/>
      <c r="AR31" s="551"/>
      <c r="AS31" s="551"/>
      <c r="AT31" s="552"/>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row>
    <row r="32" spans="1:76" ht="15" customHeight="1" x14ac:dyDescent="0.25">
      <c r="A32" s="66"/>
      <c r="B32" s="422"/>
      <c r="C32" s="422"/>
      <c r="D32" s="423"/>
      <c r="E32" s="521"/>
      <c r="F32" s="520"/>
      <c r="G32" s="520"/>
      <c r="H32" s="520"/>
      <c r="I32" s="536"/>
      <c r="J32" s="50" t="str">
        <f>IF(AND('Mapa riesgos'!$AD$49="Media",'Mapa riesgos'!$AF$49="Leve"),CONCATENATE("R7C",'Mapa riesgos'!$T$49),"")</f>
        <v/>
      </c>
      <c r="K32" s="51" t="str">
        <f>IF(AND('Mapa riesgos'!$AD$50="Media",'Mapa riesgos'!$AF$50="Leve"),CONCATENATE("R7C",'Mapa riesgos'!$T$50),"")</f>
        <v/>
      </c>
      <c r="L32" s="51" t="str">
        <f>IF(AND('Mapa riesgos'!$AD$51="Media",'Mapa riesgos'!$AF$51="Leve"),CONCATENATE("R7C",'Mapa riesgos'!$T$51),"")</f>
        <v/>
      </c>
      <c r="M32" s="51" t="str">
        <f>IF(AND('Mapa riesgos'!$AD$52="Media",'Mapa riesgos'!$AF$52="Leve"),CONCATENATE("R7C",'Mapa riesgos'!$T$52),"")</f>
        <v/>
      </c>
      <c r="N32" s="51" t="str">
        <f>IF(AND('Mapa riesgos'!$AD$53="Media",'Mapa riesgos'!$AF$53="Leve"),CONCATENATE("R7C",'Mapa riesgos'!$T$53),"")</f>
        <v/>
      </c>
      <c r="O32" s="52" t="str">
        <f>IF(AND('Mapa riesgos'!$AD$54="Media",'Mapa riesgos'!$AF$54="Leve"),CONCATENATE("R7C",'Mapa riesgos'!$T$54),"")</f>
        <v/>
      </c>
      <c r="P32" s="50" t="str">
        <f>IF(AND('Mapa riesgos'!$AD$49="Media",'Mapa riesgos'!$AF$49="Menor"),CONCATENATE("R7C",'Mapa riesgos'!$T$49),"")</f>
        <v/>
      </c>
      <c r="Q32" s="51" t="str">
        <f>IF(AND('Mapa riesgos'!$AD$50="Media",'Mapa riesgos'!$AF$50="Menor"),CONCATENATE("R7C",'Mapa riesgos'!$T$50),"")</f>
        <v/>
      </c>
      <c r="R32" s="51" t="str">
        <f>IF(AND('Mapa riesgos'!$AD$51="Media",'Mapa riesgos'!$AF$51="Menor"),CONCATENATE("R7C",'Mapa riesgos'!$T$51),"")</f>
        <v/>
      </c>
      <c r="S32" s="51" t="str">
        <f>IF(AND('Mapa riesgos'!$AD$52="Media",'Mapa riesgos'!$AF$52="Menor"),CONCATENATE("R7C",'Mapa riesgos'!$T$52),"")</f>
        <v/>
      </c>
      <c r="T32" s="51" t="str">
        <f>IF(AND('Mapa riesgos'!$AD$53="Media",'Mapa riesgos'!$AF$53="Menor"),CONCATENATE("R7C",'Mapa riesgos'!$T$53),"")</f>
        <v/>
      </c>
      <c r="U32" s="52" t="str">
        <f>IF(AND('Mapa riesgos'!$AD$54="Media",'Mapa riesgos'!$AF$54="Menor"),CONCATENATE("R7C",'Mapa riesgos'!$T$54),"")</f>
        <v/>
      </c>
      <c r="V32" s="50" t="str">
        <f>IF(AND('Mapa riesgos'!$AD$49="Media",'Mapa riesgos'!$AF$49="Moderado"),CONCATENATE("R7C",'Mapa riesgos'!$T$49),"")</f>
        <v/>
      </c>
      <c r="W32" s="51" t="str">
        <f>IF(AND('Mapa riesgos'!$AD$50="Media",'Mapa riesgos'!$AF$50="Moderado"),CONCATENATE("R7C",'Mapa riesgos'!$T$50),"")</f>
        <v/>
      </c>
      <c r="X32" s="51" t="str">
        <f>IF(AND('Mapa riesgos'!$AD$51="Media",'Mapa riesgos'!$AF$51="Moderado"),CONCATENATE("R7C",'Mapa riesgos'!$T$51),"")</f>
        <v/>
      </c>
      <c r="Y32" s="51" t="str">
        <f>IF(AND('Mapa riesgos'!$AD$52="Media",'Mapa riesgos'!$AF$52="Moderado"),CONCATENATE("R7C",'Mapa riesgos'!$T$52),"")</f>
        <v/>
      </c>
      <c r="Z32" s="51" t="str">
        <f>IF(AND('Mapa riesgos'!$AD$53="Media",'Mapa riesgos'!$AF$53="Moderado"),CONCATENATE("R7C",'Mapa riesgos'!$T$53),"")</f>
        <v/>
      </c>
      <c r="AA32" s="52" t="str">
        <f>IF(AND('Mapa riesgos'!$AD$54="Media",'Mapa riesgos'!$AF$54="Moderado"),CONCATENATE("R7C",'Mapa riesgos'!$T$54),"")</f>
        <v/>
      </c>
      <c r="AB32" s="35" t="str">
        <f>IF(AND('Mapa riesgos'!$AD$49="Media",'Mapa riesgos'!$AF$49="Mayor"),CONCATENATE("R7C",'Mapa riesgos'!$T$49),"")</f>
        <v/>
      </c>
      <c r="AC32" s="36" t="str">
        <f>IF(AND('Mapa riesgos'!$AD$50="Media",'Mapa riesgos'!$AF$50="Mayor"),CONCATENATE("R7C",'Mapa riesgos'!$T$50),"")</f>
        <v/>
      </c>
      <c r="AD32" s="36" t="str">
        <f>IF(AND('Mapa riesgos'!$AD$51="Media",'Mapa riesgos'!$AF$51="Mayor"),CONCATENATE("R7C",'Mapa riesgos'!$T$51),"")</f>
        <v/>
      </c>
      <c r="AE32" s="36" t="str">
        <f>IF(AND('Mapa riesgos'!$AD$52="Media",'Mapa riesgos'!$AF$52="Mayor"),CONCATENATE("R7C",'Mapa riesgos'!$T$52),"")</f>
        <v/>
      </c>
      <c r="AF32" s="36" t="str">
        <f>IF(AND('Mapa riesgos'!$AD$53="Media",'Mapa riesgos'!$AF$53="Mayor"),CONCATENATE("R7C",'Mapa riesgos'!$T$53),"")</f>
        <v/>
      </c>
      <c r="AG32" s="37" t="str">
        <f>IF(AND('Mapa riesgos'!$AD$54="Media",'Mapa riesgos'!$AF$54="Mayor"),CONCATENATE("R7C",'Mapa riesgos'!$T$54),"")</f>
        <v/>
      </c>
      <c r="AH32" s="38" t="str">
        <f>IF(AND('Mapa riesgos'!$AD$49="Media",'Mapa riesgos'!$AF$49="Catastrófico"),CONCATENATE("R7C",'Mapa riesgos'!$T$49),"")</f>
        <v/>
      </c>
      <c r="AI32" s="39" t="str">
        <f>IF(AND('Mapa riesgos'!$AD$50="Media",'Mapa riesgos'!$AF$50="Catastrófico"),CONCATENATE("R7C",'Mapa riesgos'!$T$50),"")</f>
        <v/>
      </c>
      <c r="AJ32" s="39" t="str">
        <f>IF(AND('Mapa riesgos'!$AD$51="Media",'Mapa riesgos'!$AF$51="Catastrófico"),CONCATENATE("R7C",'Mapa riesgos'!$T$51),"")</f>
        <v/>
      </c>
      <c r="AK32" s="39" t="str">
        <f>IF(AND('Mapa riesgos'!$AD$52="Media",'Mapa riesgos'!$AF$52="Catastrófico"),CONCATENATE("R7C",'Mapa riesgos'!$T$52),"")</f>
        <v/>
      </c>
      <c r="AL32" s="39" t="str">
        <f>IF(AND('Mapa riesgos'!$AD$53="Media",'Mapa riesgos'!$AF$53="Catastrófico"),CONCATENATE("R7C",'Mapa riesgos'!$T$53),"")</f>
        <v/>
      </c>
      <c r="AM32" s="40" t="str">
        <f>IF(AND('Mapa riesgos'!$AD$54="Media",'Mapa riesgos'!$AF$54="Catastrófico"),CONCATENATE("R7C",'Mapa riesgos'!$T$54),"")</f>
        <v/>
      </c>
      <c r="AN32" s="66"/>
      <c r="AO32" s="550"/>
      <c r="AP32" s="551"/>
      <c r="AQ32" s="551"/>
      <c r="AR32" s="551"/>
      <c r="AS32" s="551"/>
      <c r="AT32" s="552"/>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row>
    <row r="33" spans="1:80" ht="15" customHeight="1" x14ac:dyDescent="0.25">
      <c r="A33" s="66"/>
      <c r="B33" s="422"/>
      <c r="C33" s="422"/>
      <c r="D33" s="423"/>
      <c r="E33" s="521"/>
      <c r="F33" s="520"/>
      <c r="G33" s="520"/>
      <c r="H33" s="520"/>
      <c r="I33" s="536"/>
      <c r="J33" s="50" t="str">
        <f>IF(AND('Mapa riesgos'!$AD$55="Media",'Mapa riesgos'!$AF$55="Leve"),CONCATENATE("R8C",'Mapa riesgos'!$T$55),"")</f>
        <v/>
      </c>
      <c r="K33" s="51" t="str">
        <f>IF(AND('Mapa riesgos'!$AD$56="Media",'Mapa riesgos'!$AF$56="Leve"),CONCATENATE("R8C",'Mapa riesgos'!$T$56),"")</f>
        <v/>
      </c>
      <c r="L33" s="51" t="str">
        <f>IF(AND('Mapa riesgos'!$AD$57="Media",'Mapa riesgos'!$AF$57="Leve"),CONCATENATE("R8C",'Mapa riesgos'!$T$57),"")</f>
        <v/>
      </c>
      <c r="M33" s="51" t="str">
        <f>IF(AND('Mapa riesgos'!$AD$58="Media",'Mapa riesgos'!$AF$58="Leve"),CONCATENATE("R8C",'Mapa riesgos'!$T$58),"")</f>
        <v/>
      </c>
      <c r="N33" s="51" t="str">
        <f>IF(AND('Mapa riesgos'!$AD$59="Media",'Mapa riesgos'!$AF$59="Leve"),CONCATENATE("R8C",'Mapa riesgos'!$T$59),"")</f>
        <v/>
      </c>
      <c r="O33" s="52" t="str">
        <f>IF(AND('Mapa riesgos'!$AD$60="Media",'Mapa riesgos'!$AF$60="Leve"),CONCATENATE("R8C",'Mapa riesgos'!$T$60),"")</f>
        <v/>
      </c>
      <c r="P33" s="50" t="str">
        <f>IF(AND('Mapa riesgos'!$AD$55="Media",'Mapa riesgos'!$AF$55="Menor"),CONCATENATE("R8C",'Mapa riesgos'!$T$55),"")</f>
        <v/>
      </c>
      <c r="Q33" s="51" t="str">
        <f>IF(AND('Mapa riesgos'!$AD$56="Media",'Mapa riesgos'!$AF$56="Menor"),CONCATENATE("R8C",'Mapa riesgos'!$T$56),"")</f>
        <v/>
      </c>
      <c r="R33" s="51" t="str">
        <f>IF(AND('Mapa riesgos'!$AD$57="Media",'Mapa riesgos'!$AF$57="Menor"),CONCATENATE("R8C",'Mapa riesgos'!$T$57),"")</f>
        <v/>
      </c>
      <c r="S33" s="51" t="str">
        <f>IF(AND('Mapa riesgos'!$AD$58="Media",'Mapa riesgos'!$AF$58="Menor"),CONCATENATE("R8C",'Mapa riesgos'!$T$58),"")</f>
        <v/>
      </c>
      <c r="T33" s="51" t="str">
        <f>IF(AND('Mapa riesgos'!$AD$59="Media",'Mapa riesgos'!$AF$59="Menor"),CONCATENATE("R8C",'Mapa riesgos'!$T$59),"")</f>
        <v/>
      </c>
      <c r="U33" s="52" t="str">
        <f>IF(AND('Mapa riesgos'!$AD$60="Media",'Mapa riesgos'!$AF$60="Menor"),CONCATENATE("R8C",'Mapa riesgos'!$T$60),"")</f>
        <v/>
      </c>
      <c r="V33" s="50" t="str">
        <f>IF(AND('Mapa riesgos'!$AD$55="Media",'Mapa riesgos'!$AF$55="Moderado"),CONCATENATE("R8C",'Mapa riesgos'!$T$55),"")</f>
        <v/>
      </c>
      <c r="W33" s="51" t="str">
        <f>IF(AND('Mapa riesgos'!$AD$56="Media",'Mapa riesgos'!$AF$56="Moderado"),CONCATENATE("R8C",'Mapa riesgos'!$T$56),"")</f>
        <v/>
      </c>
      <c r="X33" s="51" t="str">
        <f>IF(AND('Mapa riesgos'!$AD$57="Media",'Mapa riesgos'!$AF$57="Moderado"),CONCATENATE("R8C",'Mapa riesgos'!$T$57),"")</f>
        <v/>
      </c>
      <c r="Y33" s="51" t="str">
        <f>IF(AND('Mapa riesgos'!$AD$58="Media",'Mapa riesgos'!$AF$58="Moderado"),CONCATENATE("R8C",'Mapa riesgos'!$T$58),"")</f>
        <v/>
      </c>
      <c r="Z33" s="51" t="str">
        <f>IF(AND('Mapa riesgos'!$AD$59="Media",'Mapa riesgos'!$AF$59="Moderado"),CONCATENATE("R8C",'Mapa riesgos'!$T$59),"")</f>
        <v/>
      </c>
      <c r="AA33" s="52" t="str">
        <f>IF(AND('Mapa riesgos'!$AD$60="Media",'Mapa riesgos'!$AF$60="Moderado"),CONCATENATE("R8C",'Mapa riesgos'!$T$60),"")</f>
        <v/>
      </c>
      <c r="AB33" s="35" t="str">
        <f>IF(AND('Mapa riesgos'!$AD$55="Media",'Mapa riesgos'!$AF$55="Mayor"),CONCATENATE("R8C",'Mapa riesgos'!$T$55),"")</f>
        <v/>
      </c>
      <c r="AC33" s="36" t="str">
        <f>IF(AND('Mapa riesgos'!$AD$56="Media",'Mapa riesgos'!$AF$56="Mayor"),CONCATENATE("R8C",'Mapa riesgos'!$T$56),"")</f>
        <v/>
      </c>
      <c r="AD33" s="36" t="str">
        <f>IF(AND('Mapa riesgos'!$AD$57="Media",'Mapa riesgos'!$AF$57="Mayor"),CONCATENATE("R8C",'Mapa riesgos'!$T$57),"")</f>
        <v/>
      </c>
      <c r="AE33" s="36" t="str">
        <f>IF(AND('Mapa riesgos'!$AD$58="Media",'Mapa riesgos'!$AF$58="Mayor"),CONCATENATE("R8C",'Mapa riesgos'!$T$58),"")</f>
        <v/>
      </c>
      <c r="AF33" s="36" t="str">
        <f>IF(AND('Mapa riesgos'!$AD$59="Media",'Mapa riesgos'!$AF$59="Mayor"),CONCATENATE("R8C",'Mapa riesgos'!$T$59),"")</f>
        <v/>
      </c>
      <c r="AG33" s="37" t="str">
        <f>IF(AND('Mapa riesgos'!$AD$60="Media",'Mapa riesgos'!$AF$60="Mayor"),CONCATENATE("R8C",'Mapa riesgos'!$T$60),"")</f>
        <v/>
      </c>
      <c r="AH33" s="38" t="str">
        <f>IF(AND('Mapa riesgos'!$AD$55="Media",'Mapa riesgos'!$AF$55="Catastrófico"),CONCATENATE("R8C",'Mapa riesgos'!$T$55),"")</f>
        <v/>
      </c>
      <c r="AI33" s="39" t="str">
        <f>IF(AND('Mapa riesgos'!$AD$56="Media",'Mapa riesgos'!$AF$56="Catastrófico"),CONCATENATE("R8C",'Mapa riesgos'!$T$56),"")</f>
        <v/>
      </c>
      <c r="AJ33" s="39" t="str">
        <f>IF(AND('Mapa riesgos'!$AD$57="Media",'Mapa riesgos'!$AF$57="Catastrófico"),CONCATENATE("R8C",'Mapa riesgos'!$T$57),"")</f>
        <v/>
      </c>
      <c r="AK33" s="39" t="str">
        <f>IF(AND('Mapa riesgos'!$AD$58="Media",'Mapa riesgos'!$AF$58="Catastrófico"),CONCATENATE("R8C",'Mapa riesgos'!$T$58),"")</f>
        <v/>
      </c>
      <c r="AL33" s="39" t="str">
        <f>IF(AND('Mapa riesgos'!$AD$59="Media",'Mapa riesgos'!$AF$59="Catastrófico"),CONCATENATE("R8C",'Mapa riesgos'!$T$59),"")</f>
        <v/>
      </c>
      <c r="AM33" s="40" t="str">
        <f>IF(AND('Mapa riesgos'!$AD$60="Media",'Mapa riesgos'!$AF$60="Catastrófico"),CONCATENATE("R8C",'Mapa riesgos'!$T$60),"")</f>
        <v/>
      </c>
      <c r="AN33" s="66"/>
      <c r="AO33" s="550"/>
      <c r="AP33" s="551"/>
      <c r="AQ33" s="551"/>
      <c r="AR33" s="551"/>
      <c r="AS33" s="551"/>
      <c r="AT33" s="552"/>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row>
    <row r="34" spans="1:80" ht="15" customHeight="1" x14ac:dyDescent="0.25">
      <c r="A34" s="66"/>
      <c r="B34" s="422"/>
      <c r="C34" s="422"/>
      <c r="D34" s="423"/>
      <c r="E34" s="521"/>
      <c r="F34" s="520"/>
      <c r="G34" s="520"/>
      <c r="H34" s="520"/>
      <c r="I34" s="536"/>
      <c r="J34" s="50" t="str">
        <f>IF(AND('Mapa riesgos'!$AD$61="Media",'Mapa riesgos'!$AF$61="Leve"),CONCATENATE("R9C",'Mapa riesgos'!$T$61),"")</f>
        <v/>
      </c>
      <c r="K34" s="51" t="str">
        <f>IF(AND('Mapa riesgos'!$AD$62="Media",'Mapa riesgos'!$AF$62="Leve"),CONCATENATE("R9C",'Mapa riesgos'!$T$62),"")</f>
        <v/>
      </c>
      <c r="L34" s="51" t="str">
        <f>IF(AND('Mapa riesgos'!$AD$63="Media",'Mapa riesgos'!$AF$63="Leve"),CONCATENATE("R9C",'Mapa riesgos'!$T$63),"")</f>
        <v/>
      </c>
      <c r="M34" s="51" t="str">
        <f>IF(AND('Mapa riesgos'!$AD$64="Media",'Mapa riesgos'!$AF$64="Leve"),CONCATENATE("R9C",'Mapa riesgos'!$T$64),"")</f>
        <v/>
      </c>
      <c r="N34" s="51" t="str">
        <f>IF(AND('Mapa riesgos'!$AD$65="Media",'Mapa riesgos'!$AF$65="Leve"),CONCATENATE("R9C",'Mapa riesgos'!$T$65),"")</f>
        <v/>
      </c>
      <c r="O34" s="52" t="str">
        <f>IF(AND('Mapa riesgos'!$AD$66="Media",'Mapa riesgos'!$AF$66="Leve"),CONCATENATE("R9C",'Mapa riesgos'!$T$66),"")</f>
        <v/>
      </c>
      <c r="P34" s="50" t="str">
        <f>IF(AND('Mapa riesgos'!$AD$61="Media",'Mapa riesgos'!$AF$61="Menor"),CONCATENATE("R9C",'Mapa riesgos'!$T$61),"")</f>
        <v/>
      </c>
      <c r="Q34" s="51" t="str">
        <f>IF(AND('Mapa riesgos'!$AD$62="Media",'Mapa riesgos'!$AF$62="Menor"),CONCATENATE("R9C",'Mapa riesgos'!$T$62),"")</f>
        <v/>
      </c>
      <c r="R34" s="51" t="str">
        <f>IF(AND('Mapa riesgos'!$AD$63="Media",'Mapa riesgos'!$AF$63="Menor"),CONCATENATE("R9C",'Mapa riesgos'!$T$63),"")</f>
        <v/>
      </c>
      <c r="S34" s="51" t="str">
        <f>IF(AND('Mapa riesgos'!$AD$64="Media",'Mapa riesgos'!$AF$64="Menor"),CONCATENATE("R9C",'Mapa riesgos'!$T$64),"")</f>
        <v/>
      </c>
      <c r="T34" s="51" t="str">
        <f>IF(AND('Mapa riesgos'!$AD$65="Media",'Mapa riesgos'!$AF$65="Menor"),CONCATENATE("R9C",'Mapa riesgos'!$T$65),"")</f>
        <v/>
      </c>
      <c r="U34" s="52" t="str">
        <f>IF(AND('Mapa riesgos'!$AD$66="Media",'Mapa riesgos'!$AF$66="Menor"),CONCATENATE("R9C",'Mapa riesgos'!$T$66),"")</f>
        <v/>
      </c>
      <c r="V34" s="50" t="str">
        <f>IF(AND('Mapa riesgos'!$AD$61="Media",'Mapa riesgos'!$AF$61="Moderado"),CONCATENATE("R9C",'Mapa riesgos'!$T$61),"")</f>
        <v/>
      </c>
      <c r="W34" s="51" t="str">
        <f>IF(AND('Mapa riesgos'!$AD$62="Media",'Mapa riesgos'!$AF$62="Moderado"),CONCATENATE("R9C",'Mapa riesgos'!$T$62),"")</f>
        <v/>
      </c>
      <c r="X34" s="51" t="str">
        <f>IF(AND('Mapa riesgos'!$AD$63="Media",'Mapa riesgos'!$AF$63="Moderado"),CONCATENATE("R9C",'Mapa riesgos'!$T$63),"")</f>
        <v/>
      </c>
      <c r="Y34" s="51" t="str">
        <f>IF(AND('Mapa riesgos'!$AD$64="Media",'Mapa riesgos'!$AF$64="Moderado"),CONCATENATE("R9C",'Mapa riesgos'!$T$64),"")</f>
        <v/>
      </c>
      <c r="Z34" s="51" t="str">
        <f>IF(AND('Mapa riesgos'!$AD$65="Media",'Mapa riesgos'!$AF$65="Moderado"),CONCATENATE("R9C",'Mapa riesgos'!$T$65),"")</f>
        <v/>
      </c>
      <c r="AA34" s="52" t="str">
        <f>IF(AND('Mapa riesgos'!$AD$66="Media",'Mapa riesgos'!$AF$66="Moderado"),CONCATENATE("R9C",'Mapa riesgos'!$T$66),"")</f>
        <v/>
      </c>
      <c r="AB34" s="35" t="str">
        <f>IF(AND('Mapa riesgos'!$AD$61="Media",'Mapa riesgos'!$AF$61="Mayor"),CONCATENATE("R9C",'Mapa riesgos'!$T$61),"")</f>
        <v/>
      </c>
      <c r="AC34" s="36" t="str">
        <f>IF(AND('Mapa riesgos'!$AD$62="Media",'Mapa riesgos'!$AF$62="Mayor"),CONCATENATE("R9C",'Mapa riesgos'!$T$62),"")</f>
        <v/>
      </c>
      <c r="AD34" s="36" t="str">
        <f>IF(AND('Mapa riesgos'!$AD$63="Media",'Mapa riesgos'!$AF$63="Mayor"),CONCATENATE("R9C",'Mapa riesgos'!$T$63),"")</f>
        <v/>
      </c>
      <c r="AE34" s="36" t="str">
        <f>IF(AND('Mapa riesgos'!$AD$64="Media",'Mapa riesgos'!$AF$64="Mayor"),CONCATENATE("R9C",'Mapa riesgos'!$T$64),"")</f>
        <v/>
      </c>
      <c r="AF34" s="36" t="str">
        <f>IF(AND('Mapa riesgos'!$AD$65="Media",'Mapa riesgos'!$AF$65="Mayor"),CONCATENATE("R9C",'Mapa riesgos'!$T$65),"")</f>
        <v/>
      </c>
      <c r="AG34" s="37" t="str">
        <f>IF(AND('Mapa riesgos'!$AD$66="Media",'Mapa riesgos'!$AF$66="Mayor"),CONCATENATE("R9C",'Mapa riesgos'!$T$66),"")</f>
        <v/>
      </c>
      <c r="AH34" s="38" t="str">
        <f>IF(AND('Mapa riesgos'!$AD$61="Media",'Mapa riesgos'!$AF$61="Catastrófico"),CONCATENATE("R9C",'Mapa riesgos'!$T$61),"")</f>
        <v/>
      </c>
      <c r="AI34" s="39" t="str">
        <f>IF(AND('Mapa riesgos'!$AD$62="Media",'Mapa riesgos'!$AF$62="Catastrófico"),CONCATENATE("R9C",'Mapa riesgos'!$T$62),"")</f>
        <v/>
      </c>
      <c r="AJ34" s="39" t="str">
        <f>IF(AND('Mapa riesgos'!$AD$63="Media",'Mapa riesgos'!$AF$63="Catastrófico"),CONCATENATE("R9C",'Mapa riesgos'!$T$63),"")</f>
        <v/>
      </c>
      <c r="AK34" s="39" t="str">
        <f>IF(AND('Mapa riesgos'!$AD$64="Media",'Mapa riesgos'!$AF$64="Catastrófico"),CONCATENATE("R9C",'Mapa riesgos'!$T$64),"")</f>
        <v/>
      </c>
      <c r="AL34" s="39" t="str">
        <f>IF(AND('Mapa riesgos'!$AD$65="Media",'Mapa riesgos'!$AF$65="Catastrófico"),CONCATENATE("R9C",'Mapa riesgos'!$T$65),"")</f>
        <v/>
      </c>
      <c r="AM34" s="40" t="str">
        <f>IF(AND('Mapa riesgos'!$AD$66="Media",'Mapa riesgos'!$AF$66="Catastrófico"),CONCATENATE("R9C",'Mapa riesgos'!$T$66),"")</f>
        <v/>
      </c>
      <c r="AN34" s="66"/>
      <c r="AO34" s="550"/>
      <c r="AP34" s="551"/>
      <c r="AQ34" s="551"/>
      <c r="AR34" s="551"/>
      <c r="AS34" s="551"/>
      <c r="AT34" s="552"/>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row>
    <row r="35" spans="1:80" ht="15.75" customHeight="1" thickBot="1" x14ac:dyDescent="0.3">
      <c r="A35" s="66"/>
      <c r="B35" s="422"/>
      <c r="C35" s="422"/>
      <c r="D35" s="423"/>
      <c r="E35" s="522"/>
      <c r="F35" s="523"/>
      <c r="G35" s="523"/>
      <c r="H35" s="523"/>
      <c r="I35" s="537"/>
      <c r="J35" s="50" t="str">
        <f>IF(AND('Mapa riesgos'!$AD$67="Media",'Mapa riesgos'!$AF$67="Leve"),CONCATENATE("R10C",'Mapa riesgos'!$T$67),"")</f>
        <v/>
      </c>
      <c r="K35" s="51" t="str">
        <f>IF(AND('Mapa riesgos'!$AD$68="Media",'Mapa riesgos'!$AF$68="Leve"),CONCATENATE("R10C",'Mapa riesgos'!$T$68),"")</f>
        <v/>
      </c>
      <c r="L35" s="51" t="str">
        <f>IF(AND('Mapa riesgos'!$AD$69="Media",'Mapa riesgos'!$AF$69="Leve"),CONCATENATE("R10C",'Mapa riesgos'!$T$69),"")</f>
        <v/>
      </c>
      <c r="M35" s="51" t="str">
        <f>IF(AND('Mapa riesgos'!$AD$70="Media",'Mapa riesgos'!$AF$70="Leve"),CONCATENATE("R10C",'Mapa riesgos'!$T$70),"")</f>
        <v/>
      </c>
      <c r="N35" s="51" t="str">
        <f>IF(AND('Mapa riesgos'!$AD$71="Media",'Mapa riesgos'!$AF$71="Leve"),CONCATENATE("R10C",'Mapa riesgos'!$T$71),"")</f>
        <v/>
      </c>
      <c r="O35" s="52" t="str">
        <f>IF(AND('Mapa riesgos'!$AD$72="Media",'Mapa riesgos'!$AF$72="Leve"),CONCATENATE("R10C",'Mapa riesgos'!$T$72),"")</f>
        <v/>
      </c>
      <c r="P35" s="50" t="str">
        <f>IF(AND('Mapa riesgos'!$AD$67="Media",'Mapa riesgos'!$AF$67="Menor"),CONCATENATE("R10C",'Mapa riesgos'!$T$67),"")</f>
        <v/>
      </c>
      <c r="Q35" s="51" t="str">
        <f>IF(AND('Mapa riesgos'!$AD$68="Media",'Mapa riesgos'!$AF$68="Menor"),CONCATENATE("R10C",'Mapa riesgos'!$T$68),"")</f>
        <v/>
      </c>
      <c r="R35" s="51" t="str">
        <f>IF(AND('Mapa riesgos'!$AD$69="Media",'Mapa riesgos'!$AF$69="Menor"),CONCATENATE("R10C",'Mapa riesgos'!$T$69),"")</f>
        <v/>
      </c>
      <c r="S35" s="51" t="str">
        <f>IF(AND('Mapa riesgos'!$AD$70="Media",'Mapa riesgos'!$AF$70="Menor"),CONCATENATE("R10C",'Mapa riesgos'!$T$70),"")</f>
        <v/>
      </c>
      <c r="T35" s="51" t="str">
        <f>IF(AND('Mapa riesgos'!$AD$71="Media",'Mapa riesgos'!$AF$71="Menor"),CONCATENATE("R10C",'Mapa riesgos'!$T$71),"")</f>
        <v/>
      </c>
      <c r="U35" s="52" t="str">
        <f>IF(AND('Mapa riesgos'!$AD$72="Media",'Mapa riesgos'!$AF$72="Menor"),CONCATENATE("R10C",'Mapa riesgos'!$T$72),"")</f>
        <v/>
      </c>
      <c r="V35" s="50" t="str">
        <f>IF(AND('Mapa riesgos'!$AD$67="Media",'Mapa riesgos'!$AF$67="Moderado"),CONCATENATE("R10C",'Mapa riesgos'!$T$67),"")</f>
        <v/>
      </c>
      <c r="W35" s="51" t="str">
        <f>IF(AND('Mapa riesgos'!$AD$68="Media",'Mapa riesgos'!$AF$68="Moderado"),CONCATENATE("R10C",'Mapa riesgos'!$T$68),"")</f>
        <v/>
      </c>
      <c r="X35" s="51" t="str">
        <f>IF(AND('Mapa riesgos'!$AD$69="Media",'Mapa riesgos'!$AF$69="Moderado"),CONCATENATE("R10C",'Mapa riesgos'!$T$69),"")</f>
        <v/>
      </c>
      <c r="Y35" s="51" t="str">
        <f>IF(AND('Mapa riesgos'!$AD$70="Media",'Mapa riesgos'!$AF$70="Moderado"),CONCATENATE("R10C",'Mapa riesgos'!$T$70),"")</f>
        <v/>
      </c>
      <c r="Z35" s="51" t="str">
        <f>IF(AND('Mapa riesgos'!$AD$71="Media",'Mapa riesgos'!$AF$71="Moderado"),CONCATENATE("R10C",'Mapa riesgos'!$T$71),"")</f>
        <v/>
      </c>
      <c r="AA35" s="52" t="str">
        <f>IF(AND('Mapa riesgos'!$AD$72="Media",'Mapa riesgos'!$AF$72="Moderado"),CONCATENATE("R10C",'Mapa riesgos'!$T$72),"")</f>
        <v/>
      </c>
      <c r="AB35" s="41" t="str">
        <f>IF(AND('Mapa riesgos'!$AD$67="Media",'Mapa riesgos'!$AF$67="Mayor"),CONCATENATE("R10C",'Mapa riesgos'!$T$67),"")</f>
        <v/>
      </c>
      <c r="AC35" s="42" t="str">
        <f>IF(AND('Mapa riesgos'!$AD$68="Media",'Mapa riesgos'!$AF$68="Mayor"),CONCATENATE("R10C",'Mapa riesgos'!$T$68),"")</f>
        <v/>
      </c>
      <c r="AD35" s="42" t="str">
        <f>IF(AND('Mapa riesgos'!$AD$69="Media",'Mapa riesgos'!$AF$69="Mayor"),CONCATENATE("R10C",'Mapa riesgos'!$T$69),"")</f>
        <v/>
      </c>
      <c r="AE35" s="42" t="str">
        <f>IF(AND('Mapa riesgos'!$AD$70="Media",'Mapa riesgos'!$AF$70="Mayor"),CONCATENATE("R10C",'Mapa riesgos'!$T$70),"")</f>
        <v/>
      </c>
      <c r="AF35" s="42" t="str">
        <f>IF(AND('Mapa riesgos'!$AD$71="Media",'Mapa riesgos'!$AF$71="Mayor"),CONCATENATE("R10C",'Mapa riesgos'!$T$71),"")</f>
        <v/>
      </c>
      <c r="AG35" s="43" t="str">
        <f>IF(AND('Mapa riesgos'!$AD$72="Media",'Mapa riesgos'!$AF$72="Mayor"),CONCATENATE("R10C",'Mapa riesgos'!$T$72),"")</f>
        <v/>
      </c>
      <c r="AH35" s="44" t="str">
        <f>IF(AND('Mapa riesgos'!$AD$67="Media",'Mapa riesgos'!$AF$67="Catastrófico"),CONCATENATE("R10C",'Mapa riesgos'!$T$67),"")</f>
        <v/>
      </c>
      <c r="AI35" s="45" t="str">
        <f>IF(AND('Mapa riesgos'!$AD$68="Media",'Mapa riesgos'!$AF$68="Catastrófico"),CONCATENATE("R10C",'Mapa riesgos'!$T$68),"")</f>
        <v/>
      </c>
      <c r="AJ35" s="45" t="str">
        <f>IF(AND('Mapa riesgos'!$AD$69="Media",'Mapa riesgos'!$AF$69="Catastrófico"),CONCATENATE("R10C",'Mapa riesgos'!$T$69),"")</f>
        <v/>
      </c>
      <c r="AK35" s="45" t="str">
        <f>IF(AND('Mapa riesgos'!$AD$70="Media",'Mapa riesgos'!$AF$70="Catastrófico"),CONCATENATE("R10C",'Mapa riesgos'!$T$70),"")</f>
        <v/>
      </c>
      <c r="AL35" s="45" t="str">
        <f>IF(AND('Mapa riesgos'!$AD$71="Media",'Mapa riesgos'!$AF$71="Catastrófico"),CONCATENATE("R10C",'Mapa riesgos'!$T$71),"")</f>
        <v/>
      </c>
      <c r="AM35" s="46" t="str">
        <f>IF(AND('Mapa riesgos'!$AD$72="Media",'Mapa riesgos'!$AF$72="Catastrófico"),CONCATENATE("R10C",'Mapa riesgos'!$T$72),"")</f>
        <v/>
      </c>
      <c r="AN35" s="66"/>
      <c r="AO35" s="553"/>
      <c r="AP35" s="554"/>
      <c r="AQ35" s="554"/>
      <c r="AR35" s="554"/>
      <c r="AS35" s="554"/>
      <c r="AT35" s="555"/>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row>
    <row r="36" spans="1:80" ht="15" customHeight="1" x14ac:dyDescent="0.25">
      <c r="A36" s="66"/>
      <c r="B36" s="422"/>
      <c r="C36" s="422"/>
      <c r="D36" s="423"/>
      <c r="E36" s="517" t="s">
        <v>183</v>
      </c>
      <c r="F36" s="518"/>
      <c r="G36" s="518"/>
      <c r="H36" s="518"/>
      <c r="I36" s="518"/>
      <c r="J36" s="56" t="str">
        <f>IF(AND('Mapa riesgos'!$AD$13="Baja",'Mapa riesgos'!$AF$13="Leve"),CONCATENATE("R1C",'Mapa riesgos'!$T$13),"")</f>
        <v/>
      </c>
      <c r="K36" s="57" t="str">
        <f>IF(AND('Mapa riesgos'!$AD$14="Baja",'Mapa riesgos'!$AF$14="Leve"),CONCATENATE("R1C",'Mapa riesgos'!$T$14),"")</f>
        <v>R1C2</v>
      </c>
      <c r="L36" s="57" t="str">
        <f>IF(AND('Mapa riesgos'!$AD$15="Baja",'Mapa riesgos'!$AF$15="Leve"),CONCATENATE("R1C",'Mapa riesgos'!$T$15),"")</f>
        <v/>
      </c>
      <c r="M36" s="57" t="str">
        <f>IF(AND('Mapa riesgos'!$AD$16="Baja",'Mapa riesgos'!$AF$16="Leve"),CONCATENATE("R1C",'Mapa riesgos'!$T$16),"")</f>
        <v/>
      </c>
      <c r="N36" s="57" t="str">
        <f>IF(AND('Mapa riesgos'!$AD$17="Baja",'Mapa riesgos'!$AF$17="Leve"),CONCATENATE("R1C",'Mapa riesgos'!$T$17),"")</f>
        <v/>
      </c>
      <c r="O36" s="58" t="str">
        <f>IF(AND('Mapa riesgos'!$AD$18="Baja",'Mapa riesgos'!$AF$18="Leve"),CONCATENATE("R1C",'Mapa riesgos'!$T$18),"")</f>
        <v/>
      </c>
      <c r="P36" s="47" t="str">
        <f>IF(AND('Mapa riesgos'!$AD$13="Baja",'Mapa riesgos'!$AF$13="Menor"),CONCATENATE("R1C",'Mapa riesgos'!$T$13),"")</f>
        <v/>
      </c>
      <c r="Q36" s="48" t="str">
        <f>IF(AND('Mapa riesgos'!$AD$14="Baja",'Mapa riesgos'!$AF$14="Menor"),CONCATENATE("R1C",'Mapa riesgos'!$T$14),"")</f>
        <v/>
      </c>
      <c r="R36" s="48" t="str">
        <f>IF(AND('Mapa riesgos'!$AD$15="Baja",'Mapa riesgos'!$AF$15="Menor"),CONCATENATE("R1C",'Mapa riesgos'!$T$15),"")</f>
        <v/>
      </c>
      <c r="S36" s="48" t="str">
        <f>IF(AND('Mapa riesgos'!$AD$16="Baja",'Mapa riesgos'!$AF$16="Menor"),CONCATENATE("R1C",'Mapa riesgos'!$T$16),"")</f>
        <v/>
      </c>
      <c r="T36" s="48" t="str">
        <f>IF(AND('Mapa riesgos'!$AD$17="Baja",'Mapa riesgos'!$AF$17="Menor"),CONCATENATE("R1C",'Mapa riesgos'!$T$17),"")</f>
        <v/>
      </c>
      <c r="U36" s="49" t="str">
        <f>IF(AND('Mapa riesgos'!$AD$18="Baja",'Mapa riesgos'!$AF$18="Menor"),CONCATENATE("R1C",'Mapa riesgos'!$T$18),"")</f>
        <v/>
      </c>
      <c r="V36" s="47" t="str">
        <f>IF(AND('Mapa riesgos'!$AD$13="Baja",'Mapa riesgos'!$AF$13="Moderado"),CONCATENATE("R1C",'Mapa riesgos'!$T$13),"")</f>
        <v/>
      </c>
      <c r="W36" s="48" t="str">
        <f>IF(AND('Mapa riesgos'!$AD$14="Baja",'Mapa riesgos'!$AF$14="Moderado"),CONCATENATE("R1C",'Mapa riesgos'!$T$14),"")</f>
        <v/>
      </c>
      <c r="X36" s="48" t="str">
        <f>IF(AND('Mapa riesgos'!$AD$15="Baja",'Mapa riesgos'!$AF$15="Moderado"),CONCATENATE("R1C",'Mapa riesgos'!$T$15),"")</f>
        <v/>
      </c>
      <c r="Y36" s="48" t="str">
        <f>IF(AND('Mapa riesgos'!$AD$16="Baja",'Mapa riesgos'!$AF$16="Moderado"),CONCATENATE("R1C",'Mapa riesgos'!$T$16),"")</f>
        <v/>
      </c>
      <c r="Z36" s="48" t="str">
        <f>IF(AND('Mapa riesgos'!$AD$17="Baja",'Mapa riesgos'!$AF$17="Moderado"),CONCATENATE("R1C",'Mapa riesgos'!$T$17),"")</f>
        <v/>
      </c>
      <c r="AA36" s="49" t="str">
        <f>IF(AND('Mapa riesgos'!$AD$18="Baja",'Mapa riesgos'!$AF$18="Moderado"),CONCATENATE("R1C",'Mapa riesgos'!$T$18),"")</f>
        <v/>
      </c>
      <c r="AB36" s="29" t="str">
        <f>IF(AND('Mapa riesgos'!$AD$13="Baja",'Mapa riesgos'!$AF$13="Mayor"),CONCATENATE("R1C",'Mapa riesgos'!$T$13),"")</f>
        <v/>
      </c>
      <c r="AC36" s="30" t="str">
        <f>IF(AND('Mapa riesgos'!$AD$14="Baja",'Mapa riesgos'!$AF$14="Mayor"),CONCATENATE("R1C",'Mapa riesgos'!$T$14),"")</f>
        <v/>
      </c>
      <c r="AD36" s="30" t="str">
        <f>IF(AND('Mapa riesgos'!$AD$15="Baja",'Mapa riesgos'!$AF$15="Mayor"),CONCATENATE("R1C",'Mapa riesgos'!$T$15),"")</f>
        <v/>
      </c>
      <c r="AE36" s="30" t="str">
        <f>IF(AND('Mapa riesgos'!$AD$16="Baja",'Mapa riesgos'!$AF$16="Mayor"),CONCATENATE("R1C",'Mapa riesgos'!$T$16),"")</f>
        <v/>
      </c>
      <c r="AF36" s="30" t="str">
        <f>IF(AND('Mapa riesgos'!$AD$17="Baja",'Mapa riesgos'!$AF$17="Mayor"),CONCATENATE("R1C",'Mapa riesgos'!$T$17),"")</f>
        <v/>
      </c>
      <c r="AG36" s="31" t="str">
        <f>IF(AND('Mapa riesgos'!$AD$18="Baja",'Mapa riesgos'!$AF$18="Mayor"),CONCATENATE("R1C",'Mapa riesgos'!$T$18),"")</f>
        <v/>
      </c>
      <c r="AH36" s="32" t="str">
        <f>IF(AND('Mapa riesgos'!$AD$13="Baja",'Mapa riesgos'!$AF$13="Catastrófico"),CONCATENATE("R1C",'Mapa riesgos'!$T$13),"")</f>
        <v/>
      </c>
      <c r="AI36" s="33" t="str">
        <f>IF(AND('Mapa riesgos'!$AD$14="Baja",'Mapa riesgos'!$AF$14="Catastrófico"),CONCATENATE("R1C",'Mapa riesgos'!$T$14),"")</f>
        <v/>
      </c>
      <c r="AJ36" s="33" t="str">
        <f>IF(AND('Mapa riesgos'!$AD$15="Baja",'Mapa riesgos'!$AF$15="Catastrófico"),CONCATENATE("R1C",'Mapa riesgos'!$T$15),"")</f>
        <v/>
      </c>
      <c r="AK36" s="33" t="str">
        <f>IF(AND('Mapa riesgos'!$AD$16="Baja",'Mapa riesgos'!$AF$16="Catastrófico"),CONCATENATE("R1C",'Mapa riesgos'!$T$16),"")</f>
        <v/>
      </c>
      <c r="AL36" s="33" t="str">
        <f>IF(AND('Mapa riesgos'!$AD$17="Baja",'Mapa riesgos'!$AF$17="Catastrófico"),CONCATENATE("R1C",'Mapa riesgos'!$T$17),"")</f>
        <v/>
      </c>
      <c r="AM36" s="34" t="str">
        <f>IF(AND('Mapa riesgos'!$AD$18="Baja",'Mapa riesgos'!$AF$18="Catastrófico"),CONCATENATE("R1C",'Mapa riesgos'!$T$18),"")</f>
        <v/>
      </c>
      <c r="AN36" s="66"/>
      <c r="AO36" s="538" t="s">
        <v>184</v>
      </c>
      <c r="AP36" s="539"/>
      <c r="AQ36" s="539"/>
      <c r="AR36" s="539"/>
      <c r="AS36" s="539"/>
      <c r="AT36" s="540"/>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row>
    <row r="37" spans="1:80" ht="15" customHeight="1" x14ac:dyDescent="0.25">
      <c r="A37" s="66"/>
      <c r="B37" s="422"/>
      <c r="C37" s="422"/>
      <c r="D37" s="423"/>
      <c r="E37" s="519"/>
      <c r="F37" s="520"/>
      <c r="G37" s="520"/>
      <c r="H37" s="520"/>
      <c r="I37" s="520"/>
      <c r="J37" s="59" t="str">
        <f>IF(AND('Mapa riesgos'!$AD$19="Baja",'Mapa riesgos'!$AF$19="Leve"),CONCATENATE("R2C",'Mapa riesgos'!$T$19),"")</f>
        <v>R2C1</v>
      </c>
      <c r="K37" s="60" t="str">
        <f>IF(AND('Mapa riesgos'!$AD$20="Baja",'Mapa riesgos'!$AF$20="Leve"),CONCATENATE("R2C",'Mapa riesgos'!$T$20),"")</f>
        <v>R2C2</v>
      </c>
      <c r="L37" s="60" t="str">
        <f>IF(AND('Mapa riesgos'!$AD$21="Baja",'Mapa riesgos'!$AF$21="Leve"),CONCATENATE("R2C",'Mapa riesgos'!$T$21),"")</f>
        <v/>
      </c>
      <c r="M37" s="60" t="str">
        <f>IF(AND('Mapa riesgos'!$AD$22="Baja",'Mapa riesgos'!$AF$22="Leve"),CONCATENATE("R2C",'Mapa riesgos'!$T$22),"")</f>
        <v/>
      </c>
      <c r="N37" s="60" t="str">
        <f>IF(AND('Mapa riesgos'!$AD$23="Baja",'Mapa riesgos'!$AF$23="Leve"),CONCATENATE("R2C",'Mapa riesgos'!$T$23),"")</f>
        <v/>
      </c>
      <c r="O37" s="61" t="str">
        <f>IF(AND('Mapa riesgos'!$AD$24="Baja",'Mapa riesgos'!$AF$24="Leve"),CONCATENATE("R2C",'Mapa riesgos'!$T$24),"")</f>
        <v/>
      </c>
      <c r="P37" s="50" t="str">
        <f>IF(AND('Mapa riesgos'!$AD$19="Baja",'Mapa riesgos'!$AF$19="Menor"),CONCATENATE("R2C",'Mapa riesgos'!$T$19),"")</f>
        <v/>
      </c>
      <c r="Q37" s="51" t="str">
        <f>IF(AND('Mapa riesgos'!$AD$20="Baja",'Mapa riesgos'!$AF$20="Menor"),CONCATENATE("R2C",'Mapa riesgos'!$T$20),"")</f>
        <v/>
      </c>
      <c r="R37" s="51" t="str">
        <f>IF(AND('Mapa riesgos'!$AD$21="Baja",'Mapa riesgos'!$AF$21="Menor"),CONCATENATE("R2C",'Mapa riesgos'!$T$21),"")</f>
        <v/>
      </c>
      <c r="S37" s="51" t="str">
        <f>IF(AND('Mapa riesgos'!$AD$22="Baja",'Mapa riesgos'!$AF$22="Menor"),CONCATENATE("R2C",'Mapa riesgos'!$T$22),"")</f>
        <v/>
      </c>
      <c r="T37" s="51" t="str">
        <f>IF(AND('Mapa riesgos'!$AD$23="Baja",'Mapa riesgos'!$AF$23="Menor"),CONCATENATE("R2C",'Mapa riesgos'!$T$23),"")</f>
        <v/>
      </c>
      <c r="U37" s="52" t="str">
        <f>IF(AND('Mapa riesgos'!$AD$24="Baja",'Mapa riesgos'!$AF$24="Menor"),CONCATENATE("R2C",'Mapa riesgos'!$T$24),"")</f>
        <v/>
      </c>
      <c r="V37" s="50" t="str">
        <f>IF(AND('Mapa riesgos'!$AD$19="Baja",'Mapa riesgos'!$AF$19="Moderado"),CONCATENATE("R2C",'Mapa riesgos'!$T$19),"")</f>
        <v/>
      </c>
      <c r="W37" s="51" t="str">
        <f>IF(AND('Mapa riesgos'!$AD$20="Baja",'Mapa riesgos'!$AF$20="Moderado"),CONCATENATE("R2C",'Mapa riesgos'!$T$20),"")</f>
        <v/>
      </c>
      <c r="X37" s="51" t="str">
        <f>IF(AND('Mapa riesgos'!$AD$21="Baja",'Mapa riesgos'!$AF$21="Moderado"),CONCATENATE("R2C",'Mapa riesgos'!$T$21),"")</f>
        <v/>
      </c>
      <c r="Y37" s="51" t="str">
        <f>IF(AND('Mapa riesgos'!$AD$22="Baja",'Mapa riesgos'!$AF$22="Moderado"),CONCATENATE("R2C",'Mapa riesgos'!$T$22),"")</f>
        <v/>
      </c>
      <c r="Z37" s="51" t="str">
        <f>IF(AND('Mapa riesgos'!$AD$23="Baja",'Mapa riesgos'!$AF$23="Moderado"),CONCATENATE("R2C",'Mapa riesgos'!$T$23),"")</f>
        <v/>
      </c>
      <c r="AA37" s="52" t="str">
        <f>IF(AND('Mapa riesgos'!$AD$24="Baja",'Mapa riesgos'!$AF$24="Moderado"),CONCATENATE("R2C",'Mapa riesgos'!$T$24),"")</f>
        <v/>
      </c>
      <c r="AB37" s="35" t="str">
        <f>IF(AND('Mapa riesgos'!$AD$19="Baja",'Mapa riesgos'!$AF$19="Mayor"),CONCATENATE("R2C",'Mapa riesgos'!$T$19),"")</f>
        <v/>
      </c>
      <c r="AC37" s="36" t="str">
        <f>IF(AND('Mapa riesgos'!$AD$20="Baja",'Mapa riesgos'!$AF$20="Mayor"),CONCATENATE("R2C",'Mapa riesgos'!$T$20),"")</f>
        <v/>
      </c>
      <c r="AD37" s="36" t="str">
        <f>IF(AND('Mapa riesgos'!$AD$21="Baja",'Mapa riesgos'!$AF$21="Mayor"),CONCATENATE("R2C",'Mapa riesgos'!$T$21),"")</f>
        <v/>
      </c>
      <c r="AE37" s="36" t="str">
        <f>IF(AND('Mapa riesgos'!$AD$22="Baja",'Mapa riesgos'!$AF$22="Mayor"),CONCATENATE("R2C",'Mapa riesgos'!$T$22),"")</f>
        <v/>
      </c>
      <c r="AF37" s="36" t="str">
        <f>IF(AND('Mapa riesgos'!$AD$23="Baja",'Mapa riesgos'!$AF$23="Mayor"),CONCATENATE("R2C",'Mapa riesgos'!$T$23),"")</f>
        <v/>
      </c>
      <c r="AG37" s="37" t="str">
        <f>IF(AND('Mapa riesgos'!$AD$24="Baja",'Mapa riesgos'!$AF$24="Mayor"),CONCATENATE("R2C",'Mapa riesgos'!$T$24),"")</f>
        <v/>
      </c>
      <c r="AH37" s="38" t="str">
        <f>IF(AND('Mapa riesgos'!$AD$19="Baja",'Mapa riesgos'!$AF$19="Catastrófico"),CONCATENATE("R2C",'Mapa riesgos'!$T$19),"")</f>
        <v/>
      </c>
      <c r="AI37" s="39" t="str">
        <f>IF(AND('Mapa riesgos'!$AD$20="Baja",'Mapa riesgos'!$AF$20="Catastrófico"),CONCATENATE("R2C",'Mapa riesgos'!$T$20),"")</f>
        <v/>
      </c>
      <c r="AJ37" s="39" t="str">
        <f>IF(AND('Mapa riesgos'!$AD$21="Baja",'Mapa riesgos'!$AF$21="Catastrófico"),CONCATENATE("R2C",'Mapa riesgos'!$T$21),"")</f>
        <v/>
      </c>
      <c r="AK37" s="39" t="str">
        <f>IF(AND('Mapa riesgos'!$AD$22="Baja",'Mapa riesgos'!$AF$22="Catastrófico"),CONCATENATE("R2C",'Mapa riesgos'!$T$22),"")</f>
        <v/>
      </c>
      <c r="AL37" s="39" t="str">
        <f>IF(AND('Mapa riesgos'!$AD$23="Baja",'Mapa riesgos'!$AF$23="Catastrófico"),CONCATENATE("R2C",'Mapa riesgos'!$T$23),"")</f>
        <v/>
      </c>
      <c r="AM37" s="40" t="str">
        <f>IF(AND('Mapa riesgos'!$AD$24="Baja",'Mapa riesgos'!$AF$24="Catastrófico"),CONCATENATE("R2C",'Mapa riesgos'!$T$24),"")</f>
        <v/>
      </c>
      <c r="AN37" s="66"/>
      <c r="AO37" s="541"/>
      <c r="AP37" s="542"/>
      <c r="AQ37" s="542"/>
      <c r="AR37" s="542"/>
      <c r="AS37" s="542"/>
      <c r="AT37" s="543"/>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row>
    <row r="38" spans="1:80" ht="15" customHeight="1" x14ac:dyDescent="0.25">
      <c r="A38" s="66"/>
      <c r="B38" s="422"/>
      <c r="C38" s="422"/>
      <c r="D38" s="423"/>
      <c r="E38" s="521"/>
      <c r="F38" s="520"/>
      <c r="G38" s="520"/>
      <c r="H38" s="520"/>
      <c r="I38" s="520"/>
      <c r="J38" s="59" t="str">
        <f>IF(AND('Mapa riesgos'!$AD$25="Baja",'Mapa riesgos'!$AF$25="Leve"),CONCATENATE("R3C",'Mapa riesgos'!$T$25),"")</f>
        <v/>
      </c>
      <c r="K38" s="60" t="str">
        <f>IF(AND('Mapa riesgos'!$AD$26="Baja",'Mapa riesgos'!$AF$26="Leve"),CONCATENATE("R3C",'Mapa riesgos'!$T$26),"")</f>
        <v/>
      </c>
      <c r="L38" s="60" t="str">
        <f>IF(AND('Mapa riesgos'!$AD$27="Baja",'Mapa riesgos'!$AF$27="Leve"),CONCATENATE("R3C",'Mapa riesgos'!$T$27),"")</f>
        <v/>
      </c>
      <c r="M38" s="60" t="str">
        <f>IF(AND('Mapa riesgos'!$AD$28="Baja",'Mapa riesgos'!$AF$28="Leve"),CONCATENATE("R3C",'Mapa riesgos'!$T$28),"")</f>
        <v/>
      </c>
      <c r="N38" s="60" t="str">
        <f>IF(AND('Mapa riesgos'!$AD$29="Baja",'Mapa riesgos'!$AF$29="Leve"),CONCATENATE("R3C",'Mapa riesgos'!$T$29),"")</f>
        <v/>
      </c>
      <c r="O38" s="61" t="str">
        <f>IF(AND('Mapa riesgos'!$AD$30="Baja",'Mapa riesgos'!$AF$30="Leve"),CONCATENATE("R3C",'Mapa riesgos'!$T$30),"")</f>
        <v/>
      </c>
      <c r="P38" s="50" t="str">
        <f>IF(AND('Mapa riesgos'!$AD$25="Baja",'Mapa riesgos'!$AF$25="Menor"),CONCATENATE("R3C",'Mapa riesgos'!$T$25),"")</f>
        <v/>
      </c>
      <c r="Q38" s="51" t="str">
        <f>IF(AND('Mapa riesgos'!$AD$26="Baja",'Mapa riesgos'!$AF$26="Menor"),CONCATENATE("R3C",'Mapa riesgos'!$T$26),"")</f>
        <v/>
      </c>
      <c r="R38" s="51" t="str">
        <f>IF(AND('Mapa riesgos'!$AD$27="Baja",'Mapa riesgos'!$AF$27="Menor"),CONCATENATE("R3C",'Mapa riesgos'!$T$27),"")</f>
        <v/>
      </c>
      <c r="S38" s="51" t="str">
        <f>IF(AND('Mapa riesgos'!$AD$28="Baja",'Mapa riesgos'!$AF$28="Menor"),CONCATENATE("R3C",'Mapa riesgos'!$T$28),"")</f>
        <v/>
      </c>
      <c r="T38" s="51" t="str">
        <f>IF(AND('Mapa riesgos'!$AD$29="Baja",'Mapa riesgos'!$AF$29="Menor"),CONCATENATE("R3C",'Mapa riesgos'!$T$29),"")</f>
        <v/>
      </c>
      <c r="U38" s="52" t="str">
        <f>IF(AND('Mapa riesgos'!$AD$30="Baja",'Mapa riesgos'!$AF$30="Menor"),CONCATENATE("R3C",'Mapa riesgos'!$T$30),"")</f>
        <v/>
      </c>
      <c r="V38" s="50" t="str">
        <f>IF(AND('Mapa riesgos'!$AD$25="Baja",'Mapa riesgos'!$AF$25="Moderado"),CONCATENATE("R3C",'Mapa riesgos'!$T$25),"")</f>
        <v/>
      </c>
      <c r="W38" s="51" t="str">
        <f>IF(AND('Mapa riesgos'!$AD$26="Baja",'Mapa riesgos'!$AF$26="Moderado"),CONCATENATE("R3C",'Mapa riesgos'!$T$26),"")</f>
        <v/>
      </c>
      <c r="X38" s="51" t="str">
        <f>IF(AND('Mapa riesgos'!$AD$27="Baja",'Mapa riesgos'!$AF$27="Moderado"),CONCATENATE("R3C",'Mapa riesgos'!$T$27),"")</f>
        <v/>
      </c>
      <c r="Y38" s="51" t="str">
        <f>IF(AND('Mapa riesgos'!$AD$28="Baja",'Mapa riesgos'!$AF$28="Moderado"),CONCATENATE("R3C",'Mapa riesgos'!$T$28),"")</f>
        <v/>
      </c>
      <c r="Z38" s="51" t="str">
        <f>IF(AND('Mapa riesgos'!$AD$29="Baja",'Mapa riesgos'!$AF$29="Moderado"),CONCATENATE("R3C",'Mapa riesgos'!$T$29),"")</f>
        <v/>
      </c>
      <c r="AA38" s="52" t="str">
        <f>IF(AND('Mapa riesgos'!$AD$30="Baja",'Mapa riesgos'!$AF$30="Moderado"),CONCATENATE("R3C",'Mapa riesgos'!$T$30),"")</f>
        <v/>
      </c>
      <c r="AB38" s="35" t="str">
        <f>IF(AND('Mapa riesgos'!$AD$25="Baja",'Mapa riesgos'!$AF$25="Mayor"),CONCATENATE("R3C",'Mapa riesgos'!$T$25),"")</f>
        <v/>
      </c>
      <c r="AC38" s="36" t="str">
        <f>IF(AND('Mapa riesgos'!$AD$26="Baja",'Mapa riesgos'!$AF$26="Mayor"),CONCATENATE("R3C",'Mapa riesgos'!$T$26),"")</f>
        <v>R3C2</v>
      </c>
      <c r="AD38" s="36" t="str">
        <f>IF(AND('Mapa riesgos'!$AD$27="Baja",'Mapa riesgos'!$AF$27="Mayor"),CONCATENATE("R3C",'Mapa riesgos'!$T$27),"")</f>
        <v/>
      </c>
      <c r="AE38" s="36" t="str">
        <f>IF(AND('Mapa riesgos'!$AD$28="Baja",'Mapa riesgos'!$AF$28="Mayor"),CONCATENATE("R3C",'Mapa riesgos'!$T$28),"")</f>
        <v/>
      </c>
      <c r="AF38" s="36" t="str">
        <f>IF(AND('Mapa riesgos'!$AD$29="Baja",'Mapa riesgos'!$AF$29="Mayor"),CONCATENATE("R3C",'Mapa riesgos'!$T$29),"")</f>
        <v/>
      </c>
      <c r="AG38" s="37" t="str">
        <f>IF(AND('Mapa riesgos'!$AD$30="Baja",'Mapa riesgos'!$AF$30="Mayor"),CONCATENATE("R3C",'Mapa riesgos'!$T$30),"")</f>
        <v/>
      </c>
      <c r="AH38" s="38" t="str">
        <f>IF(AND('Mapa riesgos'!$AD$25="Baja",'Mapa riesgos'!$AF$25="Catastrófico"),CONCATENATE("R3C",'Mapa riesgos'!$T$25),"")</f>
        <v/>
      </c>
      <c r="AI38" s="39" t="str">
        <f>IF(AND('Mapa riesgos'!$AD$26="Baja",'Mapa riesgos'!$AF$26="Catastrófico"),CONCATENATE("R3C",'Mapa riesgos'!$T$26),"")</f>
        <v/>
      </c>
      <c r="AJ38" s="39" t="str">
        <f>IF(AND('Mapa riesgos'!$AD$27="Baja",'Mapa riesgos'!$AF$27="Catastrófico"),CONCATENATE("R3C",'Mapa riesgos'!$T$27),"")</f>
        <v/>
      </c>
      <c r="AK38" s="39" t="str">
        <f>IF(AND('Mapa riesgos'!$AD$28="Baja",'Mapa riesgos'!$AF$28="Catastrófico"),CONCATENATE("R3C",'Mapa riesgos'!$T$28),"")</f>
        <v/>
      </c>
      <c r="AL38" s="39" t="str">
        <f>IF(AND('Mapa riesgos'!$AD$29="Baja",'Mapa riesgos'!$AF$29="Catastrófico"),CONCATENATE("R3C",'Mapa riesgos'!$T$29),"")</f>
        <v/>
      </c>
      <c r="AM38" s="40" t="str">
        <f>IF(AND('Mapa riesgos'!$AD$30="Baja",'Mapa riesgos'!$AF$30="Catastrófico"),CONCATENATE("R3C",'Mapa riesgos'!$T$30),"")</f>
        <v/>
      </c>
      <c r="AN38" s="66"/>
      <c r="AO38" s="541"/>
      <c r="AP38" s="542"/>
      <c r="AQ38" s="542"/>
      <c r="AR38" s="542"/>
      <c r="AS38" s="542"/>
      <c r="AT38" s="543"/>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row>
    <row r="39" spans="1:80" ht="15" customHeight="1" x14ac:dyDescent="0.25">
      <c r="A39" s="66"/>
      <c r="B39" s="422"/>
      <c r="C39" s="422"/>
      <c r="D39" s="423"/>
      <c r="E39" s="521"/>
      <c r="F39" s="520"/>
      <c r="G39" s="520"/>
      <c r="H39" s="520"/>
      <c r="I39" s="520"/>
      <c r="J39" s="59" t="str">
        <f>IF(AND('Mapa riesgos'!$AD$31="Baja",'Mapa riesgos'!$AF$31="Leve"),CONCATENATE("R4C",'Mapa riesgos'!$T$31),"")</f>
        <v/>
      </c>
      <c r="K39" s="60" t="str">
        <f>IF(AND('Mapa riesgos'!$AD$32="Baja",'Mapa riesgos'!$AF$32="Leve"),CONCATENATE("R4C",'Mapa riesgos'!$T$32),"")</f>
        <v/>
      </c>
      <c r="L39" s="60" t="str">
        <f>IF(AND('Mapa riesgos'!$AD$33="Baja",'Mapa riesgos'!$AF$33="Leve"),CONCATENATE("R4C",'Mapa riesgos'!$T$33),"")</f>
        <v/>
      </c>
      <c r="M39" s="60" t="str">
        <f>IF(AND('Mapa riesgos'!$AD$34="Baja",'Mapa riesgos'!$AF$34="Leve"),CONCATENATE("R4C",'Mapa riesgos'!$T$34),"")</f>
        <v/>
      </c>
      <c r="N39" s="60" t="str">
        <f>IF(AND('Mapa riesgos'!$AD$35="Baja",'Mapa riesgos'!$AF$35="Leve"),CONCATENATE("R4C",'Mapa riesgos'!$T$35),"")</f>
        <v/>
      </c>
      <c r="O39" s="61" t="str">
        <f>IF(AND('Mapa riesgos'!$AD$36="Baja",'Mapa riesgos'!$AF$36="Leve"),CONCATENATE("R4C",'Mapa riesgos'!$T$36),"")</f>
        <v/>
      </c>
      <c r="P39" s="50" t="str">
        <f>IF(AND('Mapa riesgos'!$AD$31="Baja",'Mapa riesgos'!$AF$31="Menor"),CONCATENATE("R4C",'Mapa riesgos'!$T$31),"")</f>
        <v/>
      </c>
      <c r="Q39" s="51" t="str">
        <f>IF(AND('Mapa riesgos'!$AD$32="Baja",'Mapa riesgos'!$AF$32="Menor"),CONCATENATE("R4C",'Mapa riesgos'!$T$32),"")</f>
        <v/>
      </c>
      <c r="R39" s="51" t="str">
        <f>IF(AND('Mapa riesgos'!$AD$33="Baja",'Mapa riesgos'!$AF$33="Menor"),CONCATENATE("R4C",'Mapa riesgos'!$T$33),"")</f>
        <v/>
      </c>
      <c r="S39" s="51" t="str">
        <f>IF(AND('Mapa riesgos'!$AD$34="Baja",'Mapa riesgos'!$AF$34="Menor"),CONCATENATE("R4C",'Mapa riesgos'!$T$34),"")</f>
        <v/>
      </c>
      <c r="T39" s="51" t="str">
        <f>IF(AND('Mapa riesgos'!$AD$35="Baja",'Mapa riesgos'!$AF$35="Menor"),CONCATENATE("R4C",'Mapa riesgos'!$T$35),"")</f>
        <v/>
      </c>
      <c r="U39" s="52" t="str">
        <f>IF(AND('Mapa riesgos'!$AD$36="Baja",'Mapa riesgos'!$AF$36="Menor"),CONCATENATE("R4C",'Mapa riesgos'!$T$36),"")</f>
        <v/>
      </c>
      <c r="V39" s="50" t="str">
        <f>IF(AND('Mapa riesgos'!$AD$31="Baja",'Mapa riesgos'!$AF$31="Moderado"),CONCATENATE("R4C",'Mapa riesgos'!$T$31),"")</f>
        <v/>
      </c>
      <c r="W39" s="51" t="str">
        <f>IF(AND('Mapa riesgos'!$AD$32="Baja",'Mapa riesgos'!$AF$32="Moderado"),CONCATENATE("R4C",'Mapa riesgos'!$T$32),"")</f>
        <v/>
      </c>
      <c r="X39" s="51" t="str">
        <f>IF(AND('Mapa riesgos'!$AD$33="Baja",'Mapa riesgos'!$AF$33="Moderado"),CONCATENATE("R4C",'Mapa riesgos'!$T$33),"")</f>
        <v/>
      </c>
      <c r="Y39" s="51" t="str">
        <f>IF(AND('Mapa riesgos'!$AD$34="Baja",'Mapa riesgos'!$AF$34="Moderado"),CONCATENATE("R4C",'Mapa riesgos'!$T$34),"")</f>
        <v/>
      </c>
      <c r="Z39" s="51" t="str">
        <f>IF(AND('Mapa riesgos'!$AD$35="Baja",'Mapa riesgos'!$AF$35="Moderado"),CONCATENATE("R4C",'Mapa riesgos'!$T$35),"")</f>
        <v/>
      </c>
      <c r="AA39" s="52" t="str">
        <f>IF(AND('Mapa riesgos'!$AD$36="Baja",'Mapa riesgos'!$AF$36="Moderado"),CONCATENATE("R4C",'Mapa riesgos'!$T$36),"")</f>
        <v/>
      </c>
      <c r="AB39" s="35" t="str">
        <f>IF(AND('Mapa riesgos'!$AD$31="Baja",'Mapa riesgos'!$AF$31="Mayor"),CONCATENATE("R4C",'Mapa riesgos'!$T$31),"")</f>
        <v/>
      </c>
      <c r="AC39" s="36" t="str">
        <f>IF(AND('Mapa riesgos'!$AD$32="Baja",'Mapa riesgos'!$AF$32="Mayor"),CONCATENATE("R4C",'Mapa riesgos'!$T$32),"")</f>
        <v/>
      </c>
      <c r="AD39" s="36" t="str">
        <f>IF(AND('Mapa riesgos'!$AD$33="Baja",'Mapa riesgos'!$AF$33="Mayor"),CONCATENATE("R4C",'Mapa riesgos'!$T$33),"")</f>
        <v/>
      </c>
      <c r="AE39" s="36" t="str">
        <f>IF(AND('Mapa riesgos'!$AD$34="Baja",'Mapa riesgos'!$AF$34="Mayor"),CONCATENATE("R4C",'Mapa riesgos'!$T$34),"")</f>
        <v/>
      </c>
      <c r="AF39" s="36" t="str">
        <f>IF(AND('Mapa riesgos'!$AD$35="Baja",'Mapa riesgos'!$AF$35="Mayor"),CONCATENATE("R4C",'Mapa riesgos'!$T$35),"")</f>
        <v/>
      </c>
      <c r="AG39" s="37" t="str">
        <f>IF(AND('Mapa riesgos'!$AD$36="Baja",'Mapa riesgos'!$AF$36="Mayor"),CONCATENATE("R4C",'Mapa riesgos'!$T$36),"")</f>
        <v/>
      </c>
      <c r="AH39" s="38" t="str">
        <f>IF(AND('Mapa riesgos'!$AD$31="Baja",'Mapa riesgos'!$AF$31="Catastrófico"),CONCATENATE("R4C",'Mapa riesgos'!$T$31),"")</f>
        <v/>
      </c>
      <c r="AI39" s="39" t="str">
        <f>IF(AND('Mapa riesgos'!$AD$32="Baja",'Mapa riesgos'!$AF$32="Catastrófico"),CONCATENATE("R4C",'Mapa riesgos'!$T$32),"")</f>
        <v/>
      </c>
      <c r="AJ39" s="39" t="str">
        <f>IF(AND('Mapa riesgos'!$AD$33="Baja",'Mapa riesgos'!$AF$33="Catastrófico"),CONCATENATE("R4C",'Mapa riesgos'!$T$33),"")</f>
        <v/>
      </c>
      <c r="AK39" s="39" t="str">
        <f>IF(AND('Mapa riesgos'!$AD$34="Baja",'Mapa riesgos'!$AF$34="Catastrófico"),CONCATENATE("R4C",'Mapa riesgos'!$T$34),"")</f>
        <v/>
      </c>
      <c r="AL39" s="39" t="str">
        <f>IF(AND('Mapa riesgos'!$AD$35="Baja",'Mapa riesgos'!$AF$35="Catastrófico"),CONCATENATE("R4C",'Mapa riesgos'!$T$35),"")</f>
        <v/>
      </c>
      <c r="AM39" s="40" t="str">
        <f>IF(AND('Mapa riesgos'!$AD$36="Baja",'Mapa riesgos'!$AF$36="Catastrófico"),CONCATENATE("R4C",'Mapa riesgos'!$T$36),"")</f>
        <v/>
      </c>
      <c r="AN39" s="66"/>
      <c r="AO39" s="541"/>
      <c r="AP39" s="542"/>
      <c r="AQ39" s="542"/>
      <c r="AR39" s="542"/>
      <c r="AS39" s="542"/>
      <c r="AT39" s="543"/>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row>
    <row r="40" spans="1:80" ht="15" customHeight="1" x14ac:dyDescent="0.25">
      <c r="A40" s="66"/>
      <c r="B40" s="422"/>
      <c r="C40" s="422"/>
      <c r="D40" s="423"/>
      <c r="E40" s="521"/>
      <c r="F40" s="520"/>
      <c r="G40" s="520"/>
      <c r="H40" s="520"/>
      <c r="I40" s="520"/>
      <c r="J40" s="59" t="str">
        <f>IF(AND('Mapa riesgos'!$AD$37="Baja",'Mapa riesgos'!$AF$37="Leve"),CONCATENATE("R5C",'Mapa riesgos'!$T$37),"")</f>
        <v/>
      </c>
      <c r="K40" s="60" t="str">
        <f>IF(AND('Mapa riesgos'!$AD$38="Baja",'Mapa riesgos'!$AF$38="Leve"),CONCATENATE("R5C",'Mapa riesgos'!$T$38),"")</f>
        <v/>
      </c>
      <c r="L40" s="60" t="str">
        <f>IF(AND('Mapa riesgos'!$AD$39="Baja",'Mapa riesgos'!$AF$39="Leve"),CONCATENATE("R5C",'Mapa riesgos'!$T$39),"")</f>
        <v/>
      </c>
      <c r="M40" s="60" t="str">
        <f>IF(AND('Mapa riesgos'!$AD$40="Baja",'Mapa riesgos'!$AF$40="Leve"),CONCATENATE("R5C",'Mapa riesgos'!$T$40),"")</f>
        <v/>
      </c>
      <c r="N40" s="60" t="str">
        <f>IF(AND('Mapa riesgos'!$AD$41="Baja",'Mapa riesgos'!$AF$41="Leve"),CONCATENATE("R5C",'Mapa riesgos'!$T$41),"")</f>
        <v/>
      </c>
      <c r="O40" s="61" t="str">
        <f>IF(AND('Mapa riesgos'!$AD$42="Baja",'Mapa riesgos'!$AF$42="Leve"),CONCATENATE("R5C",'Mapa riesgos'!$T$42),"")</f>
        <v/>
      </c>
      <c r="P40" s="50" t="str">
        <f>IF(AND('Mapa riesgos'!$AD$37="Baja",'Mapa riesgos'!$AF$37="Menor"),CONCATENATE("R5C",'Mapa riesgos'!$T$37),"")</f>
        <v/>
      </c>
      <c r="Q40" s="51" t="str">
        <f>IF(AND('Mapa riesgos'!$AD$38="Baja",'Mapa riesgos'!$AF$38="Menor"),CONCATENATE("R5C",'Mapa riesgos'!$T$38),"")</f>
        <v/>
      </c>
      <c r="R40" s="51" t="str">
        <f>IF(AND('Mapa riesgos'!$AD$39="Baja",'Mapa riesgos'!$AF$39="Menor"),CONCATENATE("R5C",'Mapa riesgos'!$T$39),"")</f>
        <v/>
      </c>
      <c r="S40" s="51" t="str">
        <f>IF(AND('Mapa riesgos'!$AD$40="Baja",'Mapa riesgos'!$AF$40="Menor"),CONCATENATE("R5C",'Mapa riesgos'!$T$40),"")</f>
        <v/>
      </c>
      <c r="T40" s="51" t="str">
        <f>IF(AND('Mapa riesgos'!$AD$41="Baja",'Mapa riesgos'!$AF$41="Menor"),CONCATENATE("R5C",'Mapa riesgos'!$T$41),"")</f>
        <v/>
      </c>
      <c r="U40" s="52" t="str">
        <f>IF(AND('Mapa riesgos'!$AD$42="Baja",'Mapa riesgos'!$AF$42="Menor"),CONCATENATE("R5C",'Mapa riesgos'!$T$42),"")</f>
        <v/>
      </c>
      <c r="V40" s="50" t="str">
        <f>IF(AND('Mapa riesgos'!$AD$37="Baja",'Mapa riesgos'!$AF$37="Moderado"),CONCATENATE("R5C",'Mapa riesgos'!$T$37),"")</f>
        <v/>
      </c>
      <c r="W40" s="51" t="str">
        <f>IF(AND('Mapa riesgos'!$AD$38="Baja",'Mapa riesgos'!$AF$38="Moderado"),CONCATENATE("R5C",'Mapa riesgos'!$T$38),"")</f>
        <v/>
      </c>
      <c r="X40" s="51" t="str">
        <f>IF(AND('Mapa riesgos'!$AD$39="Baja",'Mapa riesgos'!$AF$39="Moderado"),CONCATENATE("R5C",'Mapa riesgos'!$T$39),"")</f>
        <v/>
      </c>
      <c r="Y40" s="51" t="str">
        <f>IF(AND('Mapa riesgos'!$AD$40="Baja",'Mapa riesgos'!$AF$40="Moderado"),CONCATENATE("R5C",'Mapa riesgos'!$T$40),"")</f>
        <v/>
      </c>
      <c r="Z40" s="51" t="str">
        <f>IF(AND('Mapa riesgos'!$AD$41="Baja",'Mapa riesgos'!$AF$41="Moderado"),CONCATENATE("R5C",'Mapa riesgos'!$T$41),"")</f>
        <v/>
      </c>
      <c r="AA40" s="52" t="str">
        <f>IF(AND('Mapa riesgos'!$AD$42="Baja",'Mapa riesgos'!$AF$42="Moderado"),CONCATENATE("R5C",'Mapa riesgos'!$T$42),"")</f>
        <v/>
      </c>
      <c r="AB40" s="35" t="str">
        <f>IF(AND('Mapa riesgos'!$AD$37="Baja",'Mapa riesgos'!$AF$37="Mayor"),CONCATENATE("R5C",'Mapa riesgos'!$T$37),"")</f>
        <v/>
      </c>
      <c r="AC40" s="36" t="str">
        <f>IF(AND('Mapa riesgos'!$AD$38="Baja",'Mapa riesgos'!$AF$38="Mayor"),CONCATENATE("R5C",'Mapa riesgos'!$T$38),"")</f>
        <v>R5C2</v>
      </c>
      <c r="AD40" s="36" t="str">
        <f>IF(AND('Mapa riesgos'!$AD$39="Baja",'Mapa riesgos'!$AF$39="Mayor"),CONCATENATE("R5C",'Mapa riesgos'!$T$39),"")</f>
        <v/>
      </c>
      <c r="AE40" s="36" t="str">
        <f>IF(AND('Mapa riesgos'!$AD$40="Baja",'Mapa riesgos'!$AF$40="Mayor"),CONCATENATE("R5C",'Mapa riesgos'!$T$40),"")</f>
        <v/>
      </c>
      <c r="AF40" s="36" t="str">
        <f>IF(AND('Mapa riesgos'!$AD$41="Baja",'Mapa riesgos'!$AF$41="Mayor"),CONCATENATE("R5C",'Mapa riesgos'!$T$41),"")</f>
        <v/>
      </c>
      <c r="AG40" s="37" t="str">
        <f>IF(AND('Mapa riesgos'!$AD$42="Baja",'Mapa riesgos'!$AF$42="Mayor"),CONCATENATE("R5C",'Mapa riesgos'!$T$42),"")</f>
        <v/>
      </c>
      <c r="AH40" s="38" t="str">
        <f>IF(AND('Mapa riesgos'!$AD$37="Baja",'Mapa riesgos'!$AF$37="Catastrófico"),CONCATENATE("R5C",'Mapa riesgos'!$T$37),"")</f>
        <v/>
      </c>
      <c r="AI40" s="39" t="str">
        <f>IF(AND('Mapa riesgos'!$AD$38="Baja",'Mapa riesgos'!$AF$38="Catastrófico"),CONCATENATE("R5C",'Mapa riesgos'!$T$38),"")</f>
        <v/>
      </c>
      <c r="AJ40" s="39" t="str">
        <f>IF(AND('Mapa riesgos'!$AD$39="Baja",'Mapa riesgos'!$AF$39="Catastrófico"),CONCATENATE("R5C",'Mapa riesgos'!$T$39),"")</f>
        <v/>
      </c>
      <c r="AK40" s="39" t="str">
        <f>IF(AND('Mapa riesgos'!$AD$40="Baja",'Mapa riesgos'!$AF$40="Catastrófico"),CONCATENATE("R5C",'Mapa riesgos'!$T$40),"")</f>
        <v/>
      </c>
      <c r="AL40" s="39" t="str">
        <f>IF(AND('Mapa riesgos'!$AD$41="Baja",'Mapa riesgos'!$AF$41="Catastrófico"),CONCATENATE("R5C",'Mapa riesgos'!$T$41),"")</f>
        <v/>
      </c>
      <c r="AM40" s="40" t="str">
        <f>IF(AND('Mapa riesgos'!$AD$42="Baja",'Mapa riesgos'!$AF$42="Catastrófico"),CONCATENATE("R5C",'Mapa riesgos'!$T$42),"")</f>
        <v/>
      </c>
      <c r="AN40" s="66"/>
      <c r="AO40" s="541"/>
      <c r="AP40" s="542"/>
      <c r="AQ40" s="542"/>
      <c r="AR40" s="542"/>
      <c r="AS40" s="542"/>
      <c r="AT40" s="543"/>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row>
    <row r="41" spans="1:80" ht="15" customHeight="1" x14ac:dyDescent="0.25">
      <c r="A41" s="66"/>
      <c r="B41" s="422"/>
      <c r="C41" s="422"/>
      <c r="D41" s="423"/>
      <c r="E41" s="521"/>
      <c r="F41" s="520"/>
      <c r="G41" s="520"/>
      <c r="H41" s="520"/>
      <c r="I41" s="520"/>
      <c r="J41" s="59" t="str">
        <f>IF(AND('Mapa riesgos'!$AD$43="Baja",'Mapa riesgos'!$AF$43="Leve"),CONCATENATE("R6C",'Mapa riesgos'!$T$43),"")</f>
        <v/>
      </c>
      <c r="K41" s="60" t="str">
        <f>IF(AND('Mapa riesgos'!$AD$44="Baja",'Mapa riesgos'!$AF$44="Leve"),CONCATENATE("R6C",'Mapa riesgos'!$T$44),"")</f>
        <v/>
      </c>
      <c r="L41" s="60" t="str">
        <f>IF(AND('Mapa riesgos'!$AD$45="Baja",'Mapa riesgos'!$AF$45="Leve"),CONCATENATE("R6C",'Mapa riesgos'!$T$45),"")</f>
        <v/>
      </c>
      <c r="M41" s="60" t="str">
        <f>IF(AND('Mapa riesgos'!$AD$46="Baja",'Mapa riesgos'!$AF$46="Leve"),CONCATENATE("R6C",'Mapa riesgos'!$T$46),"")</f>
        <v/>
      </c>
      <c r="N41" s="60" t="str">
        <f>IF(AND('Mapa riesgos'!$AD$47="Baja",'Mapa riesgos'!$AF$47="Leve"),CONCATENATE("R6C",'Mapa riesgos'!$T$47),"")</f>
        <v/>
      </c>
      <c r="O41" s="61" t="str">
        <f>IF(AND('Mapa riesgos'!$AD$48="Baja",'Mapa riesgos'!$AF$48="Leve"),CONCATENATE("R6C",'Mapa riesgos'!$T$48),"")</f>
        <v/>
      </c>
      <c r="P41" s="50" t="str">
        <f>IF(AND('Mapa riesgos'!$AD$43="Baja",'Mapa riesgos'!$AF$43="Menor"),CONCATENATE("R6C",'Mapa riesgos'!$T$43),"")</f>
        <v/>
      </c>
      <c r="Q41" s="51" t="str">
        <f>IF(AND('Mapa riesgos'!$AD$44="Baja",'Mapa riesgos'!$AF$44="Menor"),CONCATENATE("R6C",'Mapa riesgos'!$T$44),"")</f>
        <v/>
      </c>
      <c r="R41" s="51" t="str">
        <f>IF(AND('Mapa riesgos'!$AD$45="Baja",'Mapa riesgos'!$AF$45="Menor"),CONCATENATE("R6C",'Mapa riesgos'!$T$45),"")</f>
        <v/>
      </c>
      <c r="S41" s="51" t="str">
        <f>IF(AND('Mapa riesgos'!$AD$46="Baja",'Mapa riesgos'!$AF$46="Menor"),CONCATENATE("R6C",'Mapa riesgos'!$T$46),"")</f>
        <v/>
      </c>
      <c r="T41" s="51" t="str">
        <f>IF(AND('Mapa riesgos'!$AD$47="Baja",'Mapa riesgos'!$AF$47="Menor"),CONCATENATE("R6C",'Mapa riesgos'!$T$47),"")</f>
        <v/>
      </c>
      <c r="U41" s="52" t="str">
        <f>IF(AND('Mapa riesgos'!$AD$48="Baja",'Mapa riesgos'!$AF$48="Menor"),CONCATENATE("R6C",'Mapa riesgos'!$T$48),"")</f>
        <v/>
      </c>
      <c r="V41" s="50" t="str">
        <f>IF(AND('Mapa riesgos'!$AD$43="Baja",'Mapa riesgos'!$AF$43="Moderado"),CONCATENATE("R6C",'Mapa riesgos'!$T$43),"")</f>
        <v/>
      </c>
      <c r="W41" s="51" t="str">
        <f>IF(AND('Mapa riesgos'!$AD$44="Baja",'Mapa riesgos'!$AF$44="Moderado"),CONCATENATE("R6C",'Mapa riesgos'!$T$44),"")</f>
        <v/>
      </c>
      <c r="X41" s="51" t="str">
        <f>IF(AND('Mapa riesgos'!$AD$45="Baja",'Mapa riesgos'!$AF$45="Moderado"),CONCATENATE("R6C",'Mapa riesgos'!$T$45),"")</f>
        <v/>
      </c>
      <c r="Y41" s="51" t="str">
        <f>IF(AND('Mapa riesgos'!$AD$46="Baja",'Mapa riesgos'!$AF$46="Moderado"),CONCATENATE("R6C",'Mapa riesgos'!$T$46),"")</f>
        <v/>
      </c>
      <c r="Z41" s="51" t="str">
        <f>IF(AND('Mapa riesgos'!$AD$47="Baja",'Mapa riesgos'!$AF$47="Moderado"),CONCATENATE("R6C",'Mapa riesgos'!$T$47),"")</f>
        <v/>
      </c>
      <c r="AA41" s="52" t="str">
        <f>IF(AND('Mapa riesgos'!$AD$48="Baja",'Mapa riesgos'!$AF$48="Moderado"),CONCATENATE("R6C",'Mapa riesgos'!$T$48),"")</f>
        <v/>
      </c>
      <c r="AB41" s="35" t="str">
        <f>IF(AND('Mapa riesgos'!$AD$43="Baja",'Mapa riesgos'!$AF$43="Mayor"),CONCATENATE("R6C",'Mapa riesgos'!$T$43),"")</f>
        <v/>
      </c>
      <c r="AC41" s="36" t="str">
        <f>IF(AND('Mapa riesgos'!$AD$44="Baja",'Mapa riesgos'!$AF$44="Mayor"),CONCATENATE("R6C",'Mapa riesgos'!$T$44),"")</f>
        <v/>
      </c>
      <c r="AD41" s="36" t="str">
        <f>IF(AND('Mapa riesgos'!$AD$45="Baja",'Mapa riesgos'!$AF$45="Mayor"),CONCATENATE("R6C",'Mapa riesgos'!$T$45),"")</f>
        <v/>
      </c>
      <c r="AE41" s="36" t="str">
        <f>IF(AND('Mapa riesgos'!$AD$46="Baja",'Mapa riesgos'!$AF$46="Mayor"),CONCATENATE("R6C",'Mapa riesgos'!$T$46),"")</f>
        <v/>
      </c>
      <c r="AF41" s="36" t="str">
        <f>IF(AND('Mapa riesgos'!$AD$47="Baja",'Mapa riesgos'!$AF$47="Mayor"),CONCATENATE("R6C",'Mapa riesgos'!$T$47),"")</f>
        <v/>
      </c>
      <c r="AG41" s="37" t="str">
        <f>IF(AND('Mapa riesgos'!$AD$48="Baja",'Mapa riesgos'!$AF$48="Mayor"),CONCATENATE("R6C",'Mapa riesgos'!$T$48),"")</f>
        <v/>
      </c>
      <c r="AH41" s="38" t="str">
        <f>IF(AND('Mapa riesgos'!$AD$43="Baja",'Mapa riesgos'!$AF$43="Catastrófico"),CONCATENATE("R6C",'Mapa riesgos'!$T$43),"")</f>
        <v/>
      </c>
      <c r="AI41" s="39" t="str">
        <f>IF(AND('Mapa riesgos'!$AD$44="Baja",'Mapa riesgos'!$AF$44="Catastrófico"),CONCATENATE("R6C",'Mapa riesgos'!$T$44),"")</f>
        <v/>
      </c>
      <c r="AJ41" s="39" t="str">
        <f>IF(AND('Mapa riesgos'!$AD$45="Baja",'Mapa riesgos'!$AF$45="Catastrófico"),CONCATENATE("R6C",'Mapa riesgos'!$T$45),"")</f>
        <v/>
      </c>
      <c r="AK41" s="39" t="str">
        <f>IF(AND('Mapa riesgos'!$AD$46="Baja",'Mapa riesgos'!$AF$46="Catastrófico"),CONCATENATE("R6C",'Mapa riesgos'!$T$46),"")</f>
        <v/>
      </c>
      <c r="AL41" s="39" t="str">
        <f>IF(AND('Mapa riesgos'!$AD$47="Baja",'Mapa riesgos'!$AF$47="Catastrófico"),CONCATENATE("R6C",'Mapa riesgos'!$T$47),"")</f>
        <v/>
      </c>
      <c r="AM41" s="40" t="str">
        <f>IF(AND('Mapa riesgos'!$AD$48="Baja",'Mapa riesgos'!$AF$48="Catastrófico"),CONCATENATE("R6C",'Mapa riesgos'!$T$48),"")</f>
        <v/>
      </c>
      <c r="AN41" s="66"/>
      <c r="AO41" s="541"/>
      <c r="AP41" s="542"/>
      <c r="AQ41" s="542"/>
      <c r="AR41" s="542"/>
      <c r="AS41" s="542"/>
      <c r="AT41" s="543"/>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row>
    <row r="42" spans="1:80" ht="15" customHeight="1" x14ac:dyDescent="0.25">
      <c r="A42" s="66"/>
      <c r="B42" s="422"/>
      <c r="C42" s="422"/>
      <c r="D42" s="423"/>
      <c r="E42" s="521"/>
      <c r="F42" s="520"/>
      <c r="G42" s="520"/>
      <c r="H42" s="520"/>
      <c r="I42" s="520"/>
      <c r="J42" s="59" t="str">
        <f>IF(AND('Mapa riesgos'!$AD$49="Baja",'Mapa riesgos'!$AF$49="Leve"),CONCATENATE("R7C",'Mapa riesgos'!$T$49),"")</f>
        <v/>
      </c>
      <c r="K42" s="60" t="str">
        <f>IF(AND('Mapa riesgos'!$AD$50="Baja",'Mapa riesgos'!$AF$50="Leve"),CONCATENATE("R7C",'Mapa riesgos'!$T$50),"")</f>
        <v/>
      </c>
      <c r="L42" s="60" t="str">
        <f>IF(AND('Mapa riesgos'!$AD$51="Baja",'Mapa riesgos'!$AF$51="Leve"),CONCATENATE("R7C",'Mapa riesgos'!$T$51),"")</f>
        <v/>
      </c>
      <c r="M42" s="60" t="str">
        <f>IF(AND('Mapa riesgos'!$AD$52="Baja",'Mapa riesgos'!$AF$52="Leve"),CONCATENATE("R7C",'Mapa riesgos'!$T$52),"")</f>
        <v/>
      </c>
      <c r="N42" s="60" t="str">
        <f>IF(AND('Mapa riesgos'!$AD$53="Baja",'Mapa riesgos'!$AF$53="Leve"),CONCATENATE("R7C",'Mapa riesgos'!$T$53),"")</f>
        <v/>
      </c>
      <c r="O42" s="61" t="str">
        <f>IF(AND('Mapa riesgos'!$AD$54="Baja",'Mapa riesgos'!$AF$54="Leve"),CONCATENATE("R7C",'Mapa riesgos'!$T$54),"")</f>
        <v/>
      </c>
      <c r="P42" s="50" t="str">
        <f>IF(AND('Mapa riesgos'!$AD$49="Baja",'Mapa riesgos'!$AF$49="Menor"),CONCATENATE("R7C",'Mapa riesgos'!$T$49),"")</f>
        <v/>
      </c>
      <c r="Q42" s="51" t="str">
        <f>IF(AND('Mapa riesgos'!$AD$50="Baja",'Mapa riesgos'!$AF$50="Menor"),CONCATENATE("R7C",'Mapa riesgos'!$T$50),"")</f>
        <v/>
      </c>
      <c r="R42" s="51" t="str">
        <f>IF(AND('Mapa riesgos'!$AD$51="Baja",'Mapa riesgos'!$AF$51="Menor"),CONCATENATE("R7C",'Mapa riesgos'!$T$51),"")</f>
        <v/>
      </c>
      <c r="S42" s="51" t="str">
        <f>IF(AND('Mapa riesgos'!$AD$52="Baja",'Mapa riesgos'!$AF$52="Menor"),CONCATENATE("R7C",'Mapa riesgos'!$T$52),"")</f>
        <v/>
      </c>
      <c r="T42" s="51" t="str">
        <f>IF(AND('Mapa riesgos'!$AD$53="Baja",'Mapa riesgos'!$AF$53="Menor"),CONCATENATE("R7C",'Mapa riesgos'!$T$53),"")</f>
        <v/>
      </c>
      <c r="U42" s="52" t="str">
        <f>IF(AND('Mapa riesgos'!$AD$54="Baja",'Mapa riesgos'!$AF$54="Menor"),CONCATENATE("R7C",'Mapa riesgos'!$T$54),"")</f>
        <v/>
      </c>
      <c r="V42" s="50" t="str">
        <f>IF(AND('Mapa riesgos'!$AD$49="Baja",'Mapa riesgos'!$AF$49="Moderado"),CONCATENATE("R7C",'Mapa riesgos'!$T$49),"")</f>
        <v/>
      </c>
      <c r="W42" s="51" t="str">
        <f>IF(AND('Mapa riesgos'!$AD$50="Baja",'Mapa riesgos'!$AF$50="Moderado"),CONCATENATE("R7C",'Mapa riesgos'!$T$50),"")</f>
        <v/>
      </c>
      <c r="X42" s="51" t="str">
        <f>IF(AND('Mapa riesgos'!$AD$51="Baja",'Mapa riesgos'!$AF$51="Moderado"),CONCATENATE("R7C",'Mapa riesgos'!$T$51),"")</f>
        <v/>
      </c>
      <c r="Y42" s="51" t="str">
        <f>IF(AND('Mapa riesgos'!$AD$52="Baja",'Mapa riesgos'!$AF$52="Moderado"),CONCATENATE("R7C",'Mapa riesgos'!$T$52),"")</f>
        <v/>
      </c>
      <c r="Z42" s="51" t="str">
        <f>IF(AND('Mapa riesgos'!$AD$53="Baja",'Mapa riesgos'!$AF$53="Moderado"),CONCATENATE("R7C",'Mapa riesgos'!$T$53),"")</f>
        <v/>
      </c>
      <c r="AA42" s="52" t="str">
        <f>IF(AND('Mapa riesgos'!$AD$54="Baja",'Mapa riesgos'!$AF$54="Moderado"),CONCATENATE("R7C",'Mapa riesgos'!$T$54),"")</f>
        <v/>
      </c>
      <c r="AB42" s="35" t="str">
        <f>IF(AND('Mapa riesgos'!$AD$49="Baja",'Mapa riesgos'!$AF$49="Mayor"),CONCATENATE("R7C",'Mapa riesgos'!$T$49),"")</f>
        <v/>
      </c>
      <c r="AC42" s="36" t="str">
        <f>IF(AND('Mapa riesgos'!$AD$50="Baja",'Mapa riesgos'!$AF$50="Mayor"),CONCATENATE("R7C",'Mapa riesgos'!$T$50),"")</f>
        <v/>
      </c>
      <c r="AD42" s="36" t="str">
        <f>IF(AND('Mapa riesgos'!$AD$51="Baja",'Mapa riesgos'!$AF$51="Mayor"),CONCATENATE("R7C",'Mapa riesgos'!$T$51),"")</f>
        <v/>
      </c>
      <c r="AE42" s="36" t="str">
        <f>IF(AND('Mapa riesgos'!$AD$52="Baja",'Mapa riesgos'!$AF$52="Mayor"),CONCATENATE("R7C",'Mapa riesgos'!$T$52),"")</f>
        <v/>
      </c>
      <c r="AF42" s="36" t="str">
        <f>IF(AND('Mapa riesgos'!$AD$53="Baja",'Mapa riesgos'!$AF$53="Mayor"),CONCATENATE("R7C",'Mapa riesgos'!$T$53),"")</f>
        <v/>
      </c>
      <c r="AG42" s="37" t="str">
        <f>IF(AND('Mapa riesgos'!$AD$54="Baja",'Mapa riesgos'!$AF$54="Mayor"),CONCATENATE("R7C",'Mapa riesgos'!$T$54),"")</f>
        <v/>
      </c>
      <c r="AH42" s="38" t="str">
        <f>IF(AND('Mapa riesgos'!$AD$49="Baja",'Mapa riesgos'!$AF$49="Catastrófico"),CONCATENATE("R7C",'Mapa riesgos'!$T$49),"")</f>
        <v/>
      </c>
      <c r="AI42" s="39" t="str">
        <f>IF(AND('Mapa riesgos'!$AD$50="Baja",'Mapa riesgos'!$AF$50="Catastrófico"),CONCATENATE("R7C",'Mapa riesgos'!$T$50),"")</f>
        <v/>
      </c>
      <c r="AJ42" s="39" t="str">
        <f>IF(AND('Mapa riesgos'!$AD$51="Baja",'Mapa riesgos'!$AF$51="Catastrófico"),CONCATENATE("R7C",'Mapa riesgos'!$T$51),"")</f>
        <v/>
      </c>
      <c r="AK42" s="39" t="str">
        <f>IF(AND('Mapa riesgos'!$AD$52="Baja",'Mapa riesgos'!$AF$52="Catastrófico"),CONCATENATE("R7C",'Mapa riesgos'!$T$52),"")</f>
        <v/>
      </c>
      <c r="AL42" s="39" t="str">
        <f>IF(AND('Mapa riesgos'!$AD$53="Baja",'Mapa riesgos'!$AF$53="Catastrófico"),CONCATENATE("R7C",'Mapa riesgos'!$T$53),"")</f>
        <v/>
      </c>
      <c r="AM42" s="40" t="str">
        <f>IF(AND('Mapa riesgos'!$AD$54="Baja",'Mapa riesgos'!$AF$54="Catastrófico"),CONCATENATE("R7C",'Mapa riesgos'!$T$54),"")</f>
        <v/>
      </c>
      <c r="AN42" s="66"/>
      <c r="AO42" s="541"/>
      <c r="AP42" s="542"/>
      <c r="AQ42" s="542"/>
      <c r="AR42" s="542"/>
      <c r="AS42" s="542"/>
      <c r="AT42" s="543"/>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row>
    <row r="43" spans="1:80" ht="15" customHeight="1" x14ac:dyDescent="0.25">
      <c r="A43" s="66"/>
      <c r="B43" s="422"/>
      <c r="C43" s="422"/>
      <c r="D43" s="423"/>
      <c r="E43" s="521"/>
      <c r="F43" s="520"/>
      <c r="G43" s="520"/>
      <c r="H43" s="520"/>
      <c r="I43" s="520"/>
      <c r="J43" s="59" t="str">
        <f>IF(AND('Mapa riesgos'!$AD$55="Baja",'Mapa riesgos'!$AF$55="Leve"),CONCATENATE("R8C",'Mapa riesgos'!$T$55),"")</f>
        <v/>
      </c>
      <c r="K43" s="60" t="str">
        <f>IF(AND('Mapa riesgos'!$AD$56="Baja",'Mapa riesgos'!$AF$56="Leve"),CONCATENATE("R8C",'Mapa riesgos'!$T$56),"")</f>
        <v/>
      </c>
      <c r="L43" s="60" t="str">
        <f>IF(AND('Mapa riesgos'!$AD$57="Baja",'Mapa riesgos'!$AF$57="Leve"),CONCATENATE("R8C",'Mapa riesgos'!$T$57),"")</f>
        <v/>
      </c>
      <c r="M43" s="60" t="str">
        <f>IF(AND('Mapa riesgos'!$AD$58="Baja",'Mapa riesgos'!$AF$58="Leve"),CONCATENATE("R8C",'Mapa riesgos'!$T$58),"")</f>
        <v/>
      </c>
      <c r="N43" s="60" t="str">
        <f>IF(AND('Mapa riesgos'!$AD$59="Baja",'Mapa riesgos'!$AF$59="Leve"),CONCATENATE("R8C",'Mapa riesgos'!$T$59),"")</f>
        <v/>
      </c>
      <c r="O43" s="61" t="str">
        <f>IF(AND('Mapa riesgos'!$AD$60="Baja",'Mapa riesgos'!$AF$60="Leve"),CONCATENATE("R8C",'Mapa riesgos'!$T$60),"")</f>
        <v/>
      </c>
      <c r="P43" s="50" t="str">
        <f>IF(AND('Mapa riesgos'!$AD$55="Baja",'Mapa riesgos'!$AF$55="Menor"),CONCATENATE("R8C",'Mapa riesgos'!$T$55),"")</f>
        <v/>
      </c>
      <c r="Q43" s="51" t="str">
        <f>IF(AND('Mapa riesgos'!$AD$56="Baja",'Mapa riesgos'!$AF$56="Menor"),CONCATENATE("R8C",'Mapa riesgos'!$T$56),"")</f>
        <v/>
      </c>
      <c r="R43" s="51" t="str">
        <f>IF(AND('Mapa riesgos'!$AD$57="Baja",'Mapa riesgos'!$AF$57="Menor"),CONCATENATE("R8C",'Mapa riesgos'!$T$57),"")</f>
        <v/>
      </c>
      <c r="S43" s="51" t="str">
        <f>IF(AND('Mapa riesgos'!$AD$58="Baja",'Mapa riesgos'!$AF$58="Menor"),CONCATENATE("R8C",'Mapa riesgos'!$T$58),"")</f>
        <v/>
      </c>
      <c r="T43" s="51" t="str">
        <f>IF(AND('Mapa riesgos'!$AD$59="Baja",'Mapa riesgos'!$AF$59="Menor"),CONCATENATE("R8C",'Mapa riesgos'!$T$59),"")</f>
        <v/>
      </c>
      <c r="U43" s="52" t="str">
        <f>IF(AND('Mapa riesgos'!$AD$60="Baja",'Mapa riesgos'!$AF$60="Menor"),CONCATENATE("R8C",'Mapa riesgos'!$T$60),"")</f>
        <v/>
      </c>
      <c r="V43" s="50" t="str">
        <f>IF(AND('Mapa riesgos'!$AD$55="Baja",'Mapa riesgos'!$AF$55="Moderado"),CONCATENATE("R8C",'Mapa riesgos'!$T$55),"")</f>
        <v/>
      </c>
      <c r="W43" s="51" t="str">
        <f>IF(AND('Mapa riesgos'!$AD$56="Baja",'Mapa riesgos'!$AF$56="Moderado"),CONCATENATE("R8C",'Mapa riesgos'!$T$56),"")</f>
        <v/>
      </c>
      <c r="X43" s="51" t="str">
        <f>IF(AND('Mapa riesgos'!$AD$57="Baja",'Mapa riesgos'!$AF$57="Moderado"),CONCATENATE("R8C",'Mapa riesgos'!$T$57),"")</f>
        <v/>
      </c>
      <c r="Y43" s="51" t="str">
        <f>IF(AND('Mapa riesgos'!$AD$58="Baja",'Mapa riesgos'!$AF$58="Moderado"),CONCATENATE("R8C",'Mapa riesgos'!$T$58),"")</f>
        <v/>
      </c>
      <c r="Z43" s="51" t="str">
        <f>IF(AND('Mapa riesgos'!$AD$59="Baja",'Mapa riesgos'!$AF$59="Moderado"),CONCATENATE("R8C",'Mapa riesgos'!$T$59),"")</f>
        <v/>
      </c>
      <c r="AA43" s="52" t="str">
        <f>IF(AND('Mapa riesgos'!$AD$60="Baja",'Mapa riesgos'!$AF$60="Moderado"),CONCATENATE("R8C",'Mapa riesgos'!$T$60),"")</f>
        <v/>
      </c>
      <c r="AB43" s="35" t="str">
        <f>IF(AND('Mapa riesgos'!$AD$55="Baja",'Mapa riesgos'!$AF$55="Mayor"),CONCATENATE("R8C",'Mapa riesgos'!$T$55),"")</f>
        <v/>
      </c>
      <c r="AC43" s="36" t="str">
        <f>IF(AND('Mapa riesgos'!$AD$56="Baja",'Mapa riesgos'!$AF$56="Mayor"),CONCATENATE("R8C",'Mapa riesgos'!$T$56),"")</f>
        <v/>
      </c>
      <c r="AD43" s="36" t="str">
        <f>IF(AND('Mapa riesgos'!$AD$57="Baja",'Mapa riesgos'!$AF$57="Mayor"),CONCATENATE("R8C",'Mapa riesgos'!$T$57),"")</f>
        <v/>
      </c>
      <c r="AE43" s="36" t="str">
        <f>IF(AND('Mapa riesgos'!$AD$58="Baja",'Mapa riesgos'!$AF$58="Mayor"),CONCATENATE("R8C",'Mapa riesgos'!$T$58),"")</f>
        <v/>
      </c>
      <c r="AF43" s="36" t="str">
        <f>IF(AND('Mapa riesgos'!$AD$59="Baja",'Mapa riesgos'!$AF$59="Mayor"),CONCATENATE("R8C",'Mapa riesgos'!$T$59),"")</f>
        <v/>
      </c>
      <c r="AG43" s="37" t="str">
        <f>IF(AND('Mapa riesgos'!$AD$60="Baja",'Mapa riesgos'!$AF$60="Mayor"),CONCATENATE("R8C",'Mapa riesgos'!$T$60),"")</f>
        <v/>
      </c>
      <c r="AH43" s="38" t="str">
        <f>IF(AND('Mapa riesgos'!$AD$55="Baja",'Mapa riesgos'!$AF$55="Catastrófico"),CONCATENATE("R8C",'Mapa riesgos'!$T$55),"")</f>
        <v/>
      </c>
      <c r="AI43" s="39" t="str">
        <f>IF(AND('Mapa riesgos'!$AD$56="Baja",'Mapa riesgos'!$AF$56="Catastrófico"),CONCATENATE("R8C",'Mapa riesgos'!$T$56),"")</f>
        <v/>
      </c>
      <c r="AJ43" s="39" t="str">
        <f>IF(AND('Mapa riesgos'!$AD$57="Baja",'Mapa riesgos'!$AF$57="Catastrófico"),CONCATENATE("R8C",'Mapa riesgos'!$T$57),"")</f>
        <v/>
      </c>
      <c r="AK43" s="39" t="str">
        <f>IF(AND('Mapa riesgos'!$AD$58="Baja",'Mapa riesgos'!$AF$58="Catastrófico"),CONCATENATE("R8C",'Mapa riesgos'!$T$58),"")</f>
        <v/>
      </c>
      <c r="AL43" s="39" t="str">
        <f>IF(AND('Mapa riesgos'!$AD$59="Baja",'Mapa riesgos'!$AF$59="Catastrófico"),CONCATENATE("R8C",'Mapa riesgos'!$T$59),"")</f>
        <v/>
      </c>
      <c r="AM43" s="40" t="str">
        <f>IF(AND('Mapa riesgos'!$AD$60="Baja",'Mapa riesgos'!$AF$60="Catastrófico"),CONCATENATE("R8C",'Mapa riesgos'!$T$60),"")</f>
        <v/>
      </c>
      <c r="AN43" s="66"/>
      <c r="AO43" s="541"/>
      <c r="AP43" s="542"/>
      <c r="AQ43" s="542"/>
      <c r="AR43" s="542"/>
      <c r="AS43" s="542"/>
      <c r="AT43" s="543"/>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row>
    <row r="44" spans="1:80" ht="15" customHeight="1" x14ac:dyDescent="0.25">
      <c r="A44" s="66"/>
      <c r="B44" s="422"/>
      <c r="C44" s="422"/>
      <c r="D44" s="423"/>
      <c r="E44" s="521"/>
      <c r="F44" s="520"/>
      <c r="G44" s="520"/>
      <c r="H44" s="520"/>
      <c r="I44" s="520"/>
      <c r="J44" s="59" t="str">
        <f>IF(AND('Mapa riesgos'!$AD$61="Baja",'Mapa riesgos'!$AF$61="Leve"),CONCATENATE("R9C",'Mapa riesgos'!$T$61),"")</f>
        <v/>
      </c>
      <c r="K44" s="60" t="str">
        <f>IF(AND('Mapa riesgos'!$AD$62="Baja",'Mapa riesgos'!$AF$62="Leve"),CONCATENATE("R9C",'Mapa riesgos'!$T$62),"")</f>
        <v/>
      </c>
      <c r="L44" s="60" t="str">
        <f>IF(AND('Mapa riesgos'!$AD$63="Baja",'Mapa riesgos'!$AF$63="Leve"),CONCATENATE("R9C",'Mapa riesgos'!$T$63),"")</f>
        <v/>
      </c>
      <c r="M44" s="60" t="str">
        <f>IF(AND('Mapa riesgos'!$AD$64="Baja",'Mapa riesgos'!$AF$64="Leve"),CONCATENATE("R9C",'Mapa riesgos'!$T$64),"")</f>
        <v/>
      </c>
      <c r="N44" s="60" t="str">
        <f>IF(AND('Mapa riesgos'!$AD$65="Baja",'Mapa riesgos'!$AF$65="Leve"),CONCATENATE("R9C",'Mapa riesgos'!$T$65),"")</f>
        <v/>
      </c>
      <c r="O44" s="61" t="str">
        <f>IF(AND('Mapa riesgos'!$AD$66="Baja",'Mapa riesgos'!$AF$66="Leve"),CONCATENATE("R9C",'Mapa riesgos'!$T$66),"")</f>
        <v/>
      </c>
      <c r="P44" s="50" t="str">
        <f>IF(AND('Mapa riesgos'!$AD$61="Baja",'Mapa riesgos'!$AF$61="Menor"),CONCATENATE("R9C",'Mapa riesgos'!$T$61),"")</f>
        <v/>
      </c>
      <c r="Q44" s="51" t="str">
        <f>IF(AND('Mapa riesgos'!$AD$62="Baja",'Mapa riesgos'!$AF$62="Menor"),CONCATENATE("R9C",'Mapa riesgos'!$T$62),"")</f>
        <v/>
      </c>
      <c r="R44" s="51" t="str">
        <f>IF(AND('Mapa riesgos'!$AD$63="Baja",'Mapa riesgos'!$AF$63="Menor"),CONCATENATE("R9C",'Mapa riesgos'!$T$63),"")</f>
        <v/>
      </c>
      <c r="S44" s="51" t="str">
        <f>IF(AND('Mapa riesgos'!$AD$64="Baja",'Mapa riesgos'!$AF$64="Menor"),CONCATENATE("R9C",'Mapa riesgos'!$T$64),"")</f>
        <v/>
      </c>
      <c r="T44" s="51" t="str">
        <f>IF(AND('Mapa riesgos'!$AD$65="Baja",'Mapa riesgos'!$AF$65="Menor"),CONCATENATE("R9C",'Mapa riesgos'!$T$65),"")</f>
        <v/>
      </c>
      <c r="U44" s="52" t="str">
        <f>IF(AND('Mapa riesgos'!$AD$66="Baja",'Mapa riesgos'!$AF$66="Menor"),CONCATENATE("R9C",'Mapa riesgos'!$T$66),"")</f>
        <v/>
      </c>
      <c r="V44" s="50" t="str">
        <f>IF(AND('Mapa riesgos'!$AD$61="Baja",'Mapa riesgos'!$AF$61="Moderado"),CONCATENATE("R9C",'Mapa riesgos'!$T$61),"")</f>
        <v/>
      </c>
      <c r="W44" s="51" t="str">
        <f>IF(AND('Mapa riesgos'!$AD$62="Baja",'Mapa riesgos'!$AF$62="Moderado"),CONCATENATE("R9C",'Mapa riesgos'!$T$62),"")</f>
        <v/>
      </c>
      <c r="X44" s="51" t="str">
        <f>IF(AND('Mapa riesgos'!$AD$63="Baja",'Mapa riesgos'!$AF$63="Moderado"),CONCATENATE("R9C",'Mapa riesgos'!$T$63),"")</f>
        <v/>
      </c>
      <c r="Y44" s="51" t="str">
        <f>IF(AND('Mapa riesgos'!$AD$64="Baja",'Mapa riesgos'!$AF$64="Moderado"),CONCATENATE("R9C",'Mapa riesgos'!$T$64),"")</f>
        <v/>
      </c>
      <c r="Z44" s="51" t="str">
        <f>IF(AND('Mapa riesgos'!$AD$65="Baja",'Mapa riesgos'!$AF$65="Moderado"),CONCATENATE("R9C",'Mapa riesgos'!$T$65),"")</f>
        <v/>
      </c>
      <c r="AA44" s="52" t="str">
        <f>IF(AND('Mapa riesgos'!$AD$66="Baja",'Mapa riesgos'!$AF$66="Moderado"),CONCATENATE("R9C",'Mapa riesgos'!$T$66),"")</f>
        <v/>
      </c>
      <c r="AB44" s="35" t="str">
        <f>IF(AND('Mapa riesgos'!$AD$61="Baja",'Mapa riesgos'!$AF$61="Mayor"),CONCATENATE("R9C",'Mapa riesgos'!$T$61),"")</f>
        <v/>
      </c>
      <c r="AC44" s="36" t="str">
        <f>IF(AND('Mapa riesgos'!$AD$62="Baja",'Mapa riesgos'!$AF$62="Mayor"),CONCATENATE("R9C",'Mapa riesgos'!$T$62),"")</f>
        <v/>
      </c>
      <c r="AD44" s="36" t="str">
        <f>IF(AND('Mapa riesgos'!$AD$63="Baja",'Mapa riesgos'!$AF$63="Mayor"),CONCATENATE("R9C",'Mapa riesgos'!$T$63),"")</f>
        <v/>
      </c>
      <c r="AE44" s="36" t="str">
        <f>IF(AND('Mapa riesgos'!$AD$64="Baja",'Mapa riesgos'!$AF$64="Mayor"),CONCATENATE("R9C",'Mapa riesgos'!$T$64),"")</f>
        <v/>
      </c>
      <c r="AF44" s="36" t="str">
        <f>IF(AND('Mapa riesgos'!$AD$65="Baja",'Mapa riesgos'!$AF$65="Mayor"),CONCATENATE("R9C",'Mapa riesgos'!$T$65),"")</f>
        <v/>
      </c>
      <c r="AG44" s="37" t="str">
        <f>IF(AND('Mapa riesgos'!$AD$66="Baja",'Mapa riesgos'!$AF$66="Mayor"),CONCATENATE("R9C",'Mapa riesgos'!$T$66),"")</f>
        <v/>
      </c>
      <c r="AH44" s="38" t="str">
        <f>IF(AND('Mapa riesgos'!$AD$61="Baja",'Mapa riesgos'!$AF$61="Catastrófico"),CONCATENATE("R9C",'Mapa riesgos'!$T$61),"")</f>
        <v/>
      </c>
      <c r="AI44" s="39" t="str">
        <f>IF(AND('Mapa riesgos'!$AD$62="Baja",'Mapa riesgos'!$AF$62="Catastrófico"),CONCATENATE("R9C",'Mapa riesgos'!$T$62),"")</f>
        <v/>
      </c>
      <c r="AJ44" s="39" t="str">
        <f>IF(AND('Mapa riesgos'!$AD$63="Baja",'Mapa riesgos'!$AF$63="Catastrófico"),CONCATENATE("R9C",'Mapa riesgos'!$T$63),"")</f>
        <v/>
      </c>
      <c r="AK44" s="39" t="str">
        <f>IF(AND('Mapa riesgos'!$AD$64="Baja",'Mapa riesgos'!$AF$64="Catastrófico"),CONCATENATE("R9C",'Mapa riesgos'!$T$64),"")</f>
        <v/>
      </c>
      <c r="AL44" s="39" t="str">
        <f>IF(AND('Mapa riesgos'!$AD$65="Baja",'Mapa riesgos'!$AF$65="Catastrófico"),CONCATENATE("R9C",'Mapa riesgos'!$T$65),"")</f>
        <v/>
      </c>
      <c r="AM44" s="40" t="str">
        <f>IF(AND('Mapa riesgos'!$AD$66="Baja",'Mapa riesgos'!$AF$66="Catastrófico"),CONCATENATE("R9C",'Mapa riesgos'!$T$66),"")</f>
        <v/>
      </c>
      <c r="AN44" s="66"/>
      <c r="AO44" s="541"/>
      <c r="AP44" s="542"/>
      <c r="AQ44" s="542"/>
      <c r="AR44" s="542"/>
      <c r="AS44" s="542"/>
      <c r="AT44" s="543"/>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row>
    <row r="45" spans="1:80" ht="15.75" customHeight="1" thickBot="1" x14ac:dyDescent="0.3">
      <c r="A45" s="66"/>
      <c r="B45" s="422"/>
      <c r="C45" s="422"/>
      <c r="D45" s="423"/>
      <c r="E45" s="522"/>
      <c r="F45" s="523"/>
      <c r="G45" s="523"/>
      <c r="H45" s="523"/>
      <c r="I45" s="523"/>
      <c r="J45" s="62" t="str">
        <f>IF(AND('Mapa riesgos'!$AD$67="Baja",'Mapa riesgos'!$AF$67="Leve"),CONCATENATE("R10C",'Mapa riesgos'!$T$67),"")</f>
        <v/>
      </c>
      <c r="K45" s="63" t="str">
        <f>IF(AND('Mapa riesgos'!$AD$68="Baja",'Mapa riesgos'!$AF$68="Leve"),CONCATENATE("R10C",'Mapa riesgos'!$T$68),"")</f>
        <v/>
      </c>
      <c r="L45" s="63" t="str">
        <f>IF(AND('Mapa riesgos'!$AD$69="Baja",'Mapa riesgos'!$AF$69="Leve"),CONCATENATE("R10C",'Mapa riesgos'!$T$69),"")</f>
        <v/>
      </c>
      <c r="M45" s="63" t="str">
        <f>IF(AND('Mapa riesgos'!$AD$70="Baja",'Mapa riesgos'!$AF$70="Leve"),CONCATENATE("R10C",'Mapa riesgos'!$T$70),"")</f>
        <v/>
      </c>
      <c r="N45" s="63" t="str">
        <f>IF(AND('Mapa riesgos'!$AD$71="Baja",'Mapa riesgos'!$AF$71="Leve"),CONCATENATE("R10C",'Mapa riesgos'!$T$71),"")</f>
        <v/>
      </c>
      <c r="O45" s="64" t="str">
        <f>IF(AND('Mapa riesgos'!$AD$72="Baja",'Mapa riesgos'!$AF$72="Leve"),CONCATENATE("R10C",'Mapa riesgos'!$T$72),"")</f>
        <v/>
      </c>
      <c r="P45" s="50" t="str">
        <f>IF(AND('Mapa riesgos'!$AD$67="Baja",'Mapa riesgos'!$AF$67="Menor"),CONCATENATE("R10C",'Mapa riesgos'!$T$67),"")</f>
        <v/>
      </c>
      <c r="Q45" s="51" t="str">
        <f>IF(AND('Mapa riesgos'!$AD$68="Baja",'Mapa riesgos'!$AF$68="Menor"),CONCATENATE("R10C",'Mapa riesgos'!$T$68),"")</f>
        <v/>
      </c>
      <c r="R45" s="51" t="str">
        <f>IF(AND('Mapa riesgos'!$AD$69="Baja",'Mapa riesgos'!$AF$69="Menor"),CONCATENATE("R10C",'Mapa riesgos'!$T$69),"")</f>
        <v/>
      </c>
      <c r="S45" s="51" t="str">
        <f>IF(AND('Mapa riesgos'!$AD$70="Baja",'Mapa riesgos'!$AF$70="Menor"),CONCATENATE("R10C",'Mapa riesgos'!$T$70),"")</f>
        <v/>
      </c>
      <c r="T45" s="51" t="str">
        <f>IF(AND('Mapa riesgos'!$AD$71="Baja",'Mapa riesgos'!$AF$71="Menor"),CONCATENATE("R10C",'Mapa riesgos'!$T$71),"")</f>
        <v/>
      </c>
      <c r="U45" s="52" t="str">
        <f>IF(AND('Mapa riesgos'!$AD$72="Baja",'Mapa riesgos'!$AF$72="Menor"),CONCATENATE("R10C",'Mapa riesgos'!$T$72),"")</f>
        <v/>
      </c>
      <c r="V45" s="53" t="str">
        <f>IF(AND('Mapa riesgos'!$AD$67="Baja",'Mapa riesgos'!$AF$67="Moderado"),CONCATENATE("R10C",'Mapa riesgos'!$T$67),"")</f>
        <v/>
      </c>
      <c r="W45" s="54" t="str">
        <f>IF(AND('Mapa riesgos'!$AD$68="Baja",'Mapa riesgos'!$AF$68="Moderado"),CONCATENATE("R10C",'Mapa riesgos'!$T$68),"")</f>
        <v/>
      </c>
      <c r="X45" s="54" t="str">
        <f>IF(AND('Mapa riesgos'!$AD$69="Baja",'Mapa riesgos'!$AF$69="Moderado"),CONCATENATE("R10C",'Mapa riesgos'!$T$69),"")</f>
        <v/>
      </c>
      <c r="Y45" s="54" t="str">
        <f>IF(AND('Mapa riesgos'!$AD$70="Baja",'Mapa riesgos'!$AF$70="Moderado"),CONCATENATE("R10C",'Mapa riesgos'!$T$70),"")</f>
        <v/>
      </c>
      <c r="Z45" s="54" t="str">
        <f>IF(AND('Mapa riesgos'!$AD$71="Baja",'Mapa riesgos'!$AF$71="Moderado"),CONCATENATE("R10C",'Mapa riesgos'!$T$71),"")</f>
        <v/>
      </c>
      <c r="AA45" s="55" t="str">
        <f>IF(AND('Mapa riesgos'!$AD$72="Baja",'Mapa riesgos'!$AF$72="Moderado"),CONCATENATE("R10C",'Mapa riesgos'!$T$72),"")</f>
        <v/>
      </c>
      <c r="AB45" s="41" t="str">
        <f>IF(AND('Mapa riesgos'!$AD$67="Baja",'Mapa riesgos'!$AF$67="Mayor"),CONCATENATE("R10C",'Mapa riesgos'!$T$67),"")</f>
        <v/>
      </c>
      <c r="AC45" s="42" t="str">
        <f>IF(AND('Mapa riesgos'!$AD$68="Baja",'Mapa riesgos'!$AF$68="Mayor"),CONCATENATE("R10C",'Mapa riesgos'!$T$68),"")</f>
        <v/>
      </c>
      <c r="AD45" s="42" t="str">
        <f>IF(AND('Mapa riesgos'!$AD$69="Baja",'Mapa riesgos'!$AF$69="Mayor"),CONCATENATE("R10C",'Mapa riesgos'!$T$69),"")</f>
        <v/>
      </c>
      <c r="AE45" s="42" t="str">
        <f>IF(AND('Mapa riesgos'!$AD$70="Baja",'Mapa riesgos'!$AF$70="Mayor"),CONCATENATE("R10C",'Mapa riesgos'!$T$70),"")</f>
        <v/>
      </c>
      <c r="AF45" s="42" t="str">
        <f>IF(AND('Mapa riesgos'!$AD$71="Baja",'Mapa riesgos'!$AF$71="Mayor"),CONCATENATE("R10C",'Mapa riesgos'!$T$71),"")</f>
        <v/>
      </c>
      <c r="AG45" s="43" t="str">
        <f>IF(AND('Mapa riesgos'!$AD$72="Baja",'Mapa riesgos'!$AF$72="Mayor"),CONCATENATE("R10C",'Mapa riesgos'!$T$72),"")</f>
        <v/>
      </c>
      <c r="AH45" s="44" t="str">
        <f>IF(AND('Mapa riesgos'!$AD$67="Baja",'Mapa riesgos'!$AF$67="Catastrófico"),CONCATENATE("R10C",'Mapa riesgos'!$T$67),"")</f>
        <v/>
      </c>
      <c r="AI45" s="45" t="str">
        <f>IF(AND('Mapa riesgos'!$AD$68="Baja",'Mapa riesgos'!$AF$68="Catastrófico"),CONCATENATE("R10C",'Mapa riesgos'!$T$68),"")</f>
        <v/>
      </c>
      <c r="AJ45" s="45" t="str">
        <f>IF(AND('Mapa riesgos'!$AD$69="Baja",'Mapa riesgos'!$AF$69="Catastrófico"),CONCATENATE("R10C",'Mapa riesgos'!$T$69),"")</f>
        <v/>
      </c>
      <c r="AK45" s="45" t="str">
        <f>IF(AND('Mapa riesgos'!$AD$70="Baja",'Mapa riesgos'!$AF$70="Catastrófico"),CONCATENATE("R10C",'Mapa riesgos'!$T$70),"")</f>
        <v/>
      </c>
      <c r="AL45" s="45" t="str">
        <f>IF(AND('Mapa riesgos'!$AD$71="Baja",'Mapa riesgos'!$AF$71="Catastrófico"),CONCATENATE("R10C",'Mapa riesgos'!$T$71),"")</f>
        <v/>
      </c>
      <c r="AM45" s="46" t="str">
        <f>IF(AND('Mapa riesgos'!$AD$72="Baja",'Mapa riesgos'!$AF$72="Catastrófico"),CONCATENATE("R10C",'Mapa riesgos'!$T$72),"")</f>
        <v/>
      </c>
      <c r="AN45" s="66"/>
      <c r="AO45" s="544"/>
      <c r="AP45" s="545"/>
      <c r="AQ45" s="545"/>
      <c r="AR45" s="545"/>
      <c r="AS45" s="545"/>
      <c r="AT45" s="546"/>
    </row>
    <row r="46" spans="1:80" ht="46.5" customHeight="1" x14ac:dyDescent="0.35">
      <c r="A46" s="66"/>
      <c r="B46" s="422"/>
      <c r="C46" s="422"/>
      <c r="D46" s="423"/>
      <c r="E46" s="517" t="s">
        <v>185</v>
      </c>
      <c r="F46" s="518"/>
      <c r="G46" s="518"/>
      <c r="H46" s="518"/>
      <c r="I46" s="535"/>
      <c r="J46" s="56" t="str">
        <f>IF(AND('Mapa riesgos'!$AD$13="Muy Baja",'Mapa riesgos'!$AF$13="Leve"),CONCATENATE("R1C",'Mapa riesgos'!$T$13),"")</f>
        <v/>
      </c>
      <c r="K46" s="57" t="str">
        <f>IF(AND('Mapa riesgos'!$AD$14="Muy Baja",'Mapa riesgos'!$AF$14="Leve"),CONCATENATE("R1C",'Mapa riesgos'!$T$14),"")</f>
        <v/>
      </c>
      <c r="L46" s="57" t="str">
        <f>IF(AND('Mapa riesgos'!$AD$15="Muy Baja",'Mapa riesgos'!$AF$15="Leve"),CONCATENATE("R1C",'Mapa riesgos'!$T$15),"")</f>
        <v/>
      </c>
      <c r="M46" s="57" t="str">
        <f>IF(AND('Mapa riesgos'!$AD$16="Muy Baja",'Mapa riesgos'!$AF$16="Leve"),CONCATENATE("R1C",'Mapa riesgos'!$T$16),"")</f>
        <v/>
      </c>
      <c r="N46" s="57" t="str">
        <f>IF(AND('Mapa riesgos'!$AD$17="Muy Baja",'Mapa riesgos'!$AF$17="Leve"),CONCATENATE("R1C",'Mapa riesgos'!$T$17),"")</f>
        <v/>
      </c>
      <c r="O46" s="58" t="str">
        <f>IF(AND('Mapa riesgos'!$AD$18="Muy Baja",'Mapa riesgos'!$AF$18="Leve"),CONCATENATE("R1C",'Mapa riesgos'!$T$18),"")</f>
        <v/>
      </c>
      <c r="P46" s="56" t="str">
        <f>IF(AND('Mapa riesgos'!$AD$13="Muy Baja",'Mapa riesgos'!$AF$13="Menor"),CONCATENATE("R1C",'Mapa riesgos'!$T$13),"")</f>
        <v/>
      </c>
      <c r="Q46" s="57" t="str">
        <f>IF(AND('Mapa riesgos'!$AD$14="Muy Baja",'Mapa riesgos'!$AF$14="Menor"),CONCATENATE("R1C",'Mapa riesgos'!$T$14),"")</f>
        <v/>
      </c>
      <c r="R46" s="57" t="str">
        <f>IF(AND('Mapa riesgos'!$AD$15="Muy Baja",'Mapa riesgos'!$AF$15="Menor"),CONCATENATE("R1C",'Mapa riesgos'!$T$15),"")</f>
        <v/>
      </c>
      <c r="S46" s="57" t="str">
        <f>IF(AND('Mapa riesgos'!$AD$16="Muy Baja",'Mapa riesgos'!$AF$16="Menor"),CONCATENATE("R1C",'Mapa riesgos'!$T$16),"")</f>
        <v/>
      </c>
      <c r="T46" s="57" t="str">
        <f>IF(AND('Mapa riesgos'!$AD$17="Muy Baja",'Mapa riesgos'!$AF$17="Menor"),CONCATENATE("R1C",'Mapa riesgos'!$T$17),"")</f>
        <v/>
      </c>
      <c r="U46" s="58" t="str">
        <f>IF(AND('Mapa riesgos'!$AD$18="Muy Baja",'Mapa riesgos'!$AF$18="Menor"),CONCATENATE("R1C",'Mapa riesgos'!$T$18),"")</f>
        <v/>
      </c>
      <c r="V46" s="47" t="str">
        <f>IF(AND('Mapa riesgos'!$AD$13="Muy Baja",'Mapa riesgos'!$AF$13="Moderado"),CONCATENATE("R1C",'Mapa riesgos'!$T$13),"")</f>
        <v/>
      </c>
      <c r="W46" s="65" t="str">
        <f>IF(AND('Mapa riesgos'!$AD$14="Muy Baja",'Mapa riesgos'!$AF$14="Moderado"),CONCATENATE("R1C",'Mapa riesgos'!$T$14),"")</f>
        <v/>
      </c>
      <c r="X46" s="48" t="str">
        <f>IF(AND('Mapa riesgos'!$AD$15="Muy Baja",'Mapa riesgos'!$AF$15="Moderado"),CONCATENATE("R1C",'Mapa riesgos'!$T$15),"")</f>
        <v/>
      </c>
      <c r="Y46" s="48" t="str">
        <f>IF(AND('Mapa riesgos'!$AD$16="Muy Baja",'Mapa riesgos'!$AF$16="Moderado"),CONCATENATE("R1C",'Mapa riesgos'!$T$16),"")</f>
        <v/>
      </c>
      <c r="Z46" s="48" t="str">
        <f>IF(AND('Mapa riesgos'!$AD$17="Muy Baja",'Mapa riesgos'!$AF$17="Moderado"),CONCATENATE("R1C",'Mapa riesgos'!$T$17),"")</f>
        <v/>
      </c>
      <c r="AA46" s="49" t="str">
        <f>IF(AND('Mapa riesgos'!$AD$18="Muy Baja",'Mapa riesgos'!$AF$18="Moderado"),CONCATENATE("R1C",'Mapa riesgos'!$T$18),"")</f>
        <v/>
      </c>
      <c r="AB46" s="29" t="str">
        <f>IF(AND('Mapa riesgos'!$AD$13="Muy Baja",'Mapa riesgos'!$AF$13="Mayor"),CONCATENATE("R1C",'Mapa riesgos'!$T$13),"")</f>
        <v/>
      </c>
      <c r="AC46" s="30" t="str">
        <f>IF(AND('Mapa riesgos'!$AD$14="Muy Baja",'Mapa riesgos'!$AF$14="Mayor"),CONCATENATE("R1C",'Mapa riesgos'!$T$14),"")</f>
        <v/>
      </c>
      <c r="AD46" s="30" t="str">
        <f>IF(AND('Mapa riesgos'!$AD$15="Muy Baja",'Mapa riesgos'!$AF$15="Mayor"),CONCATENATE("R1C",'Mapa riesgos'!$T$15),"")</f>
        <v/>
      </c>
      <c r="AE46" s="30" t="str">
        <f>IF(AND('Mapa riesgos'!$AD$16="Muy Baja",'Mapa riesgos'!$AF$16="Mayor"),CONCATENATE("R1C",'Mapa riesgos'!$T$16),"")</f>
        <v/>
      </c>
      <c r="AF46" s="30" t="str">
        <f>IF(AND('Mapa riesgos'!$AD$17="Muy Baja",'Mapa riesgos'!$AF$17="Mayor"),CONCATENATE("R1C",'Mapa riesgos'!$T$17),"")</f>
        <v/>
      </c>
      <c r="AG46" s="31" t="str">
        <f>IF(AND('Mapa riesgos'!$AD$18="Muy Baja",'Mapa riesgos'!$AF$18="Mayor"),CONCATENATE("R1C",'Mapa riesgos'!$T$18),"")</f>
        <v/>
      </c>
      <c r="AH46" s="32" t="str">
        <f>IF(AND('Mapa riesgos'!$AD$13="Muy Baja",'Mapa riesgos'!$AF$13="Catastrófico"),CONCATENATE("R1C",'Mapa riesgos'!$T$13),"")</f>
        <v/>
      </c>
      <c r="AI46" s="33" t="str">
        <f>IF(AND('Mapa riesgos'!$AD$14="Muy Baja",'Mapa riesgos'!$AF$14="Catastrófico"),CONCATENATE("R1C",'Mapa riesgos'!$T$14),"")</f>
        <v/>
      </c>
      <c r="AJ46" s="33" t="str">
        <f>IF(AND('Mapa riesgos'!$AD$15="Muy Baja",'Mapa riesgos'!$AF$15="Catastrófico"),CONCATENATE("R1C",'Mapa riesgos'!$T$15),"")</f>
        <v/>
      </c>
      <c r="AK46" s="33" t="str">
        <f>IF(AND('Mapa riesgos'!$AD$16="Muy Baja",'Mapa riesgos'!$AF$16="Catastrófico"),CONCATENATE("R1C",'Mapa riesgos'!$T$16),"")</f>
        <v/>
      </c>
      <c r="AL46" s="33" t="str">
        <f>IF(AND('Mapa riesgos'!$AD$17="Muy Baja",'Mapa riesgos'!$AF$17="Catastrófico"),CONCATENATE("R1C",'Mapa riesgos'!$T$17),"")</f>
        <v/>
      </c>
      <c r="AM46" s="34" t="str">
        <f>IF(AND('Mapa riesgos'!$AD$18="Muy Baja",'Mapa riesgos'!$AF$18="Catastrófico"),CONCATENATE("R1C",'Mapa riesgos'!$T$18),"")</f>
        <v/>
      </c>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row>
    <row r="47" spans="1:80" ht="46.5" customHeight="1" x14ac:dyDescent="0.25">
      <c r="A47" s="66"/>
      <c r="B47" s="422"/>
      <c r="C47" s="422"/>
      <c r="D47" s="423"/>
      <c r="E47" s="519"/>
      <c r="F47" s="520"/>
      <c r="G47" s="520"/>
      <c r="H47" s="520"/>
      <c r="I47" s="536"/>
      <c r="J47" s="59" t="str">
        <f>IF(AND('Mapa riesgos'!$AD$19="Muy Baja",'Mapa riesgos'!$AF$19="Leve"),CONCATENATE("R2C",'Mapa riesgos'!$T$19),"")</f>
        <v/>
      </c>
      <c r="K47" s="60" t="str">
        <f>IF(AND('Mapa riesgos'!$AD$20="Muy Baja",'Mapa riesgos'!$AF$20="Leve"),CONCATENATE("R2C",'Mapa riesgos'!$T$20),"")</f>
        <v/>
      </c>
      <c r="L47" s="60" t="str">
        <f>IF(AND('Mapa riesgos'!$AD$21="Muy Baja",'Mapa riesgos'!$AF$21="Leve"),CONCATENATE("R2C",'Mapa riesgos'!$T$21),"")</f>
        <v/>
      </c>
      <c r="M47" s="60" t="str">
        <f>IF(AND('Mapa riesgos'!$AD$22="Muy Baja",'Mapa riesgos'!$AF$22="Leve"),CONCATENATE("R2C",'Mapa riesgos'!$T$22),"")</f>
        <v/>
      </c>
      <c r="N47" s="60" t="str">
        <f>IF(AND('Mapa riesgos'!$AD$23="Muy Baja",'Mapa riesgos'!$AF$23="Leve"),CONCATENATE("R2C",'Mapa riesgos'!$T$23),"")</f>
        <v/>
      </c>
      <c r="O47" s="61" t="str">
        <f>IF(AND('Mapa riesgos'!$AD$24="Muy Baja",'Mapa riesgos'!$AF$24="Leve"),CONCATENATE("R2C",'Mapa riesgos'!$T$24),"")</f>
        <v/>
      </c>
      <c r="P47" s="59" t="str">
        <f>IF(AND('Mapa riesgos'!$AD$19="Muy Baja",'Mapa riesgos'!$AF$19="Menor"),CONCATENATE("R2C",'Mapa riesgos'!$T$19),"")</f>
        <v/>
      </c>
      <c r="Q47" s="60" t="str">
        <f>IF(AND('Mapa riesgos'!$AD$20="Muy Baja",'Mapa riesgos'!$AF$20="Menor"),CONCATENATE("R2C",'Mapa riesgos'!$T$20),"")</f>
        <v/>
      </c>
      <c r="R47" s="60" t="str">
        <f>IF(AND('Mapa riesgos'!$AD$21="Muy Baja",'Mapa riesgos'!$AF$21="Menor"),CONCATENATE("R2C",'Mapa riesgos'!$T$21),"")</f>
        <v/>
      </c>
      <c r="S47" s="60" t="str">
        <f>IF(AND('Mapa riesgos'!$AD$22="Muy Baja",'Mapa riesgos'!$AF$22="Menor"),CONCATENATE("R2C",'Mapa riesgos'!$T$22),"")</f>
        <v/>
      </c>
      <c r="T47" s="60" t="str">
        <f>IF(AND('Mapa riesgos'!$AD$23="Muy Baja",'Mapa riesgos'!$AF$23="Menor"),CONCATENATE("R2C",'Mapa riesgos'!$T$23),"")</f>
        <v/>
      </c>
      <c r="U47" s="61" t="str">
        <f>IF(AND('Mapa riesgos'!$AD$24="Muy Baja",'Mapa riesgos'!$AF$24="Menor"),CONCATENATE("R2C",'Mapa riesgos'!$T$24),"")</f>
        <v/>
      </c>
      <c r="V47" s="50" t="str">
        <f>IF(AND('Mapa riesgos'!$AD$19="Muy Baja",'Mapa riesgos'!$AF$19="Moderado"),CONCATENATE("R2C",'Mapa riesgos'!$T$19),"")</f>
        <v/>
      </c>
      <c r="W47" s="51" t="str">
        <f>IF(AND('Mapa riesgos'!$AD$20="Muy Baja",'Mapa riesgos'!$AF$20="Moderado"),CONCATENATE("R2C",'Mapa riesgos'!$T$20),"")</f>
        <v/>
      </c>
      <c r="X47" s="51" t="str">
        <f>IF(AND('Mapa riesgos'!$AD$21="Muy Baja",'Mapa riesgos'!$AF$21="Moderado"),CONCATENATE("R2C",'Mapa riesgos'!$T$21),"")</f>
        <v/>
      </c>
      <c r="Y47" s="51" t="str">
        <f>IF(AND('Mapa riesgos'!$AD$22="Muy Baja",'Mapa riesgos'!$AF$22="Moderado"),CONCATENATE("R2C",'Mapa riesgos'!$T$22),"")</f>
        <v/>
      </c>
      <c r="Z47" s="51" t="str">
        <f>IF(AND('Mapa riesgos'!$AD$23="Muy Baja",'Mapa riesgos'!$AF$23="Moderado"),CONCATENATE("R2C",'Mapa riesgos'!$T$23),"")</f>
        <v/>
      </c>
      <c r="AA47" s="52" t="str">
        <f>IF(AND('Mapa riesgos'!$AD$24="Muy Baja",'Mapa riesgos'!$AF$24="Moderado"),CONCATENATE("R2C",'Mapa riesgos'!$T$24),"")</f>
        <v/>
      </c>
      <c r="AB47" s="35" t="str">
        <f>IF(AND('Mapa riesgos'!$AD$19="Muy Baja",'Mapa riesgos'!$AF$19="Mayor"),CONCATENATE("R2C",'Mapa riesgos'!$T$19),"")</f>
        <v/>
      </c>
      <c r="AC47" s="36" t="str">
        <f>IF(AND('Mapa riesgos'!$AD$20="Muy Baja",'Mapa riesgos'!$AF$20="Mayor"),CONCATENATE("R2C",'Mapa riesgos'!$T$20),"")</f>
        <v/>
      </c>
      <c r="AD47" s="36" t="str">
        <f>IF(AND('Mapa riesgos'!$AD$21="Muy Baja",'Mapa riesgos'!$AF$21="Mayor"),CONCATENATE("R2C",'Mapa riesgos'!$T$21),"")</f>
        <v/>
      </c>
      <c r="AE47" s="36" t="str">
        <f>IF(AND('Mapa riesgos'!$AD$22="Muy Baja",'Mapa riesgos'!$AF$22="Mayor"),CONCATENATE("R2C",'Mapa riesgos'!$T$22),"")</f>
        <v/>
      </c>
      <c r="AF47" s="36" t="str">
        <f>IF(AND('Mapa riesgos'!$AD$23="Muy Baja",'Mapa riesgos'!$AF$23="Mayor"),CONCATENATE("R2C",'Mapa riesgos'!$T$23),"")</f>
        <v/>
      </c>
      <c r="AG47" s="37" t="str">
        <f>IF(AND('Mapa riesgos'!$AD$24="Muy Baja",'Mapa riesgos'!$AF$24="Mayor"),CONCATENATE("R2C",'Mapa riesgos'!$T$24),"")</f>
        <v/>
      </c>
      <c r="AH47" s="38" t="str">
        <f>IF(AND('Mapa riesgos'!$AD$19="Muy Baja",'Mapa riesgos'!$AF$19="Catastrófico"),CONCATENATE("R2C",'Mapa riesgos'!$T$19),"")</f>
        <v/>
      </c>
      <c r="AI47" s="39" t="str">
        <f>IF(AND('Mapa riesgos'!$AD$20="Muy Baja",'Mapa riesgos'!$AF$20="Catastrófico"),CONCATENATE("R2C",'Mapa riesgos'!$T$20),"")</f>
        <v/>
      </c>
      <c r="AJ47" s="39" t="str">
        <f>IF(AND('Mapa riesgos'!$AD$21="Muy Baja",'Mapa riesgos'!$AF$21="Catastrófico"),CONCATENATE("R2C",'Mapa riesgos'!$T$21),"")</f>
        <v/>
      </c>
      <c r="AK47" s="39" t="str">
        <f>IF(AND('Mapa riesgos'!$AD$22="Muy Baja",'Mapa riesgos'!$AF$22="Catastrófico"),CONCATENATE("R2C",'Mapa riesgos'!$T$22),"")</f>
        <v/>
      </c>
      <c r="AL47" s="39" t="str">
        <f>IF(AND('Mapa riesgos'!$AD$23="Muy Baja",'Mapa riesgos'!$AF$23="Catastrófico"),CONCATENATE("R2C",'Mapa riesgos'!$T$23),"")</f>
        <v/>
      </c>
      <c r="AM47" s="40" t="str">
        <f>IF(AND('Mapa riesgos'!$AD$24="Muy Baja",'Mapa riesgos'!$AF$24="Catastrófico"),CONCATENATE("R2C",'Mapa riesgos'!$T$24),"")</f>
        <v/>
      </c>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row>
    <row r="48" spans="1:80" ht="15" customHeight="1" x14ac:dyDescent="0.25">
      <c r="A48" s="66"/>
      <c r="B48" s="422"/>
      <c r="C48" s="422"/>
      <c r="D48" s="423"/>
      <c r="E48" s="519"/>
      <c r="F48" s="520"/>
      <c r="G48" s="520"/>
      <c r="H48" s="520"/>
      <c r="I48" s="536"/>
      <c r="J48" s="59" t="str">
        <f>IF(AND('Mapa riesgos'!$AD$25="Muy Baja",'Mapa riesgos'!$AF$25="Leve"),CONCATENATE("R3C",'Mapa riesgos'!$T$25),"")</f>
        <v/>
      </c>
      <c r="K48" s="60" t="str">
        <f>IF(AND('Mapa riesgos'!$AD$26="Muy Baja",'Mapa riesgos'!$AF$26="Leve"),CONCATENATE("R3C",'Mapa riesgos'!$T$26),"")</f>
        <v/>
      </c>
      <c r="L48" s="60" t="str">
        <f>IF(AND('Mapa riesgos'!$AD$27="Muy Baja",'Mapa riesgos'!$AF$27="Leve"),CONCATENATE("R3C",'Mapa riesgos'!$T$27),"")</f>
        <v/>
      </c>
      <c r="M48" s="60" t="str">
        <f>IF(AND('Mapa riesgos'!$AD$28="Muy Baja",'Mapa riesgos'!$AF$28="Leve"),CONCATENATE("R3C",'Mapa riesgos'!$T$28),"")</f>
        <v/>
      </c>
      <c r="N48" s="60" t="str">
        <f>IF(AND('Mapa riesgos'!$AD$29="Muy Baja",'Mapa riesgos'!$AF$29="Leve"),CONCATENATE("R3C",'Mapa riesgos'!$T$29),"")</f>
        <v/>
      </c>
      <c r="O48" s="61" t="str">
        <f>IF(AND('Mapa riesgos'!$AD$30="Muy Baja",'Mapa riesgos'!$AF$30="Leve"),CONCATENATE("R3C",'Mapa riesgos'!$T$30),"")</f>
        <v/>
      </c>
      <c r="P48" s="59" t="str">
        <f>IF(AND('Mapa riesgos'!$AD$25="Muy Baja",'Mapa riesgos'!$AF$25="Menor"),CONCATENATE("R3C",'Mapa riesgos'!$T$25),"")</f>
        <v/>
      </c>
      <c r="Q48" s="60" t="str">
        <f>IF(AND('Mapa riesgos'!$AD$26="Muy Baja",'Mapa riesgos'!$AF$26="Menor"),CONCATENATE("R3C",'Mapa riesgos'!$T$26),"")</f>
        <v/>
      </c>
      <c r="R48" s="60" t="str">
        <f>IF(AND('Mapa riesgos'!$AD$27="Muy Baja",'Mapa riesgos'!$AF$27="Menor"),CONCATENATE("R3C",'Mapa riesgos'!$T$27),"")</f>
        <v/>
      </c>
      <c r="S48" s="60" t="str">
        <f>IF(AND('Mapa riesgos'!$AD$28="Muy Baja",'Mapa riesgos'!$AF$28="Menor"),CONCATENATE("R3C",'Mapa riesgos'!$T$28),"")</f>
        <v/>
      </c>
      <c r="T48" s="60" t="str">
        <f>IF(AND('Mapa riesgos'!$AD$29="Muy Baja",'Mapa riesgos'!$AF$29="Menor"),CONCATENATE("R3C",'Mapa riesgos'!$T$29),"")</f>
        <v/>
      </c>
      <c r="U48" s="61" t="str">
        <f>IF(AND('Mapa riesgos'!$AD$30="Muy Baja",'Mapa riesgos'!$AF$30="Menor"),CONCATENATE("R3C",'Mapa riesgos'!$T$30),"")</f>
        <v/>
      </c>
      <c r="V48" s="50" t="str">
        <f>IF(AND('Mapa riesgos'!$AD$25="Muy Baja",'Mapa riesgos'!$AF$25="Moderado"),CONCATENATE("R3C",'Mapa riesgos'!$T$25),"")</f>
        <v/>
      </c>
      <c r="W48" s="51" t="str">
        <f>IF(AND('Mapa riesgos'!$AD$26="Muy Baja",'Mapa riesgos'!$AF$26="Moderado"),CONCATENATE("R3C",'Mapa riesgos'!$T$26),"")</f>
        <v/>
      </c>
      <c r="X48" s="51" t="str">
        <f>IF(AND('Mapa riesgos'!$AD$27="Muy Baja",'Mapa riesgos'!$AF$27="Moderado"),CONCATENATE("R3C",'Mapa riesgos'!$T$27),"")</f>
        <v/>
      </c>
      <c r="Y48" s="51" t="str">
        <f>IF(AND('Mapa riesgos'!$AD$28="Muy Baja",'Mapa riesgos'!$AF$28="Moderado"),CONCATENATE("R3C",'Mapa riesgos'!$T$28),"")</f>
        <v/>
      </c>
      <c r="Z48" s="51" t="str">
        <f>IF(AND('Mapa riesgos'!$AD$29="Muy Baja",'Mapa riesgos'!$AF$29="Moderado"),CONCATENATE("R3C",'Mapa riesgos'!$T$29),"")</f>
        <v/>
      </c>
      <c r="AA48" s="52" t="str">
        <f>IF(AND('Mapa riesgos'!$AD$30="Muy Baja",'Mapa riesgos'!$AF$30="Moderado"),CONCATENATE("R3C",'Mapa riesgos'!$T$30),"")</f>
        <v/>
      </c>
      <c r="AB48" s="35" t="str">
        <f>IF(AND('Mapa riesgos'!$AD$25="Muy Baja",'Mapa riesgos'!$AF$25="Mayor"),CONCATENATE("R3C",'Mapa riesgos'!$T$25),"")</f>
        <v/>
      </c>
      <c r="AC48" s="36" t="str">
        <f>IF(AND('Mapa riesgos'!$AD$26="Muy Baja",'Mapa riesgos'!$AF$26="Mayor"),CONCATENATE("R3C",'Mapa riesgos'!$T$26),"")</f>
        <v/>
      </c>
      <c r="AD48" s="36" t="str">
        <f>IF(AND('Mapa riesgos'!$AD$27="Muy Baja",'Mapa riesgos'!$AF$27="Mayor"),CONCATENATE("R3C",'Mapa riesgos'!$T$27),"")</f>
        <v/>
      </c>
      <c r="AE48" s="36" t="str">
        <f>IF(AND('Mapa riesgos'!$AD$28="Muy Baja",'Mapa riesgos'!$AF$28="Mayor"),CONCATENATE("R3C",'Mapa riesgos'!$T$28),"")</f>
        <v/>
      </c>
      <c r="AF48" s="36" t="str">
        <f>IF(AND('Mapa riesgos'!$AD$29="Muy Baja",'Mapa riesgos'!$AF$29="Mayor"),CONCATENATE("R3C",'Mapa riesgos'!$T$29),"")</f>
        <v/>
      </c>
      <c r="AG48" s="37" t="str">
        <f>IF(AND('Mapa riesgos'!$AD$30="Muy Baja",'Mapa riesgos'!$AF$30="Mayor"),CONCATENATE("R3C",'Mapa riesgos'!$T$30),"")</f>
        <v/>
      </c>
      <c r="AH48" s="38" t="str">
        <f>IF(AND('Mapa riesgos'!$AD$25="Muy Baja",'Mapa riesgos'!$AF$25="Catastrófico"),CONCATENATE("R3C",'Mapa riesgos'!$T$25),"")</f>
        <v/>
      </c>
      <c r="AI48" s="39" t="str">
        <f>IF(AND('Mapa riesgos'!$AD$26="Muy Baja",'Mapa riesgos'!$AF$26="Catastrófico"),CONCATENATE("R3C",'Mapa riesgos'!$T$26),"")</f>
        <v/>
      </c>
      <c r="AJ48" s="39" t="str">
        <f>IF(AND('Mapa riesgos'!$AD$27="Muy Baja",'Mapa riesgos'!$AF$27="Catastrófico"),CONCATENATE("R3C",'Mapa riesgos'!$T$27),"")</f>
        <v/>
      </c>
      <c r="AK48" s="39" t="str">
        <f>IF(AND('Mapa riesgos'!$AD$28="Muy Baja",'Mapa riesgos'!$AF$28="Catastrófico"),CONCATENATE("R3C",'Mapa riesgos'!$T$28),"")</f>
        <v/>
      </c>
      <c r="AL48" s="39" t="str">
        <f>IF(AND('Mapa riesgos'!$AD$29="Muy Baja",'Mapa riesgos'!$AF$29="Catastrófico"),CONCATENATE("R3C",'Mapa riesgos'!$T$29),"")</f>
        <v/>
      </c>
      <c r="AM48" s="40" t="str">
        <f>IF(AND('Mapa riesgos'!$AD$30="Muy Baja",'Mapa riesgos'!$AF$30="Catastrófico"),CONCATENATE("R3C",'Mapa riesgos'!$T$30),"")</f>
        <v/>
      </c>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row>
    <row r="49" spans="1:80" ht="15" customHeight="1" x14ac:dyDescent="0.25">
      <c r="A49" s="66"/>
      <c r="B49" s="422"/>
      <c r="C49" s="422"/>
      <c r="D49" s="423"/>
      <c r="E49" s="521"/>
      <c r="F49" s="520"/>
      <c r="G49" s="520"/>
      <c r="H49" s="520"/>
      <c r="I49" s="536"/>
      <c r="J49" s="59" t="str">
        <f>IF(AND('Mapa riesgos'!$AD$31="Muy Baja",'Mapa riesgos'!$AF$31="Leve"),CONCATENATE("R4C",'Mapa riesgos'!$T$31),"")</f>
        <v/>
      </c>
      <c r="K49" s="60" t="str">
        <f>IF(AND('Mapa riesgos'!$AD$32="Muy Baja",'Mapa riesgos'!$AF$32="Leve"),CONCATENATE("R4C",'Mapa riesgos'!$T$32),"")</f>
        <v/>
      </c>
      <c r="L49" s="60" t="str">
        <f>IF(AND('Mapa riesgos'!$AD$33="Muy Baja",'Mapa riesgos'!$AF$33="Leve"),CONCATENATE("R4C",'Mapa riesgos'!$T$33),"")</f>
        <v/>
      </c>
      <c r="M49" s="60" t="str">
        <f>IF(AND('Mapa riesgos'!$AD$34="Muy Baja",'Mapa riesgos'!$AF$34="Leve"),CONCATENATE("R4C",'Mapa riesgos'!$T$34),"")</f>
        <v/>
      </c>
      <c r="N49" s="60" t="str">
        <f>IF(AND('Mapa riesgos'!$AD$35="Muy Baja",'Mapa riesgos'!$AF$35="Leve"),CONCATENATE("R4C",'Mapa riesgos'!$T$35),"")</f>
        <v/>
      </c>
      <c r="O49" s="61" t="str">
        <f>IF(AND('Mapa riesgos'!$AD$36="Muy Baja",'Mapa riesgos'!$AF$36="Leve"),CONCATENATE("R4C",'Mapa riesgos'!$T$36),"")</f>
        <v/>
      </c>
      <c r="P49" s="59" t="str">
        <f>IF(AND('Mapa riesgos'!$AD$31="Muy Baja",'Mapa riesgos'!$AF$31="Menor"),CONCATENATE("R4C",'Mapa riesgos'!$T$31),"")</f>
        <v/>
      </c>
      <c r="Q49" s="60" t="str">
        <f>IF(AND('Mapa riesgos'!$AD$32="Muy Baja",'Mapa riesgos'!$AF$32="Menor"),CONCATENATE("R4C",'Mapa riesgos'!$T$32),"")</f>
        <v/>
      </c>
      <c r="R49" s="60" t="str">
        <f>IF(AND('Mapa riesgos'!$AD$33="Muy Baja",'Mapa riesgos'!$AF$33="Menor"),CONCATENATE("R4C",'Mapa riesgos'!$T$33),"")</f>
        <v/>
      </c>
      <c r="S49" s="60" t="str">
        <f>IF(AND('Mapa riesgos'!$AD$34="Muy Baja",'Mapa riesgos'!$AF$34="Menor"),CONCATENATE("R4C",'Mapa riesgos'!$T$34),"")</f>
        <v/>
      </c>
      <c r="T49" s="60" t="str">
        <f>IF(AND('Mapa riesgos'!$AD$35="Muy Baja",'Mapa riesgos'!$AF$35="Menor"),CONCATENATE("R4C",'Mapa riesgos'!$T$35),"")</f>
        <v/>
      </c>
      <c r="U49" s="61" t="str">
        <f>IF(AND('Mapa riesgos'!$AD$36="Muy Baja",'Mapa riesgos'!$AF$36="Menor"),CONCATENATE("R4C",'Mapa riesgos'!$T$36),"")</f>
        <v/>
      </c>
      <c r="V49" s="50" t="str">
        <f>IF(AND('Mapa riesgos'!$AD$31="Muy Baja",'Mapa riesgos'!$AF$31="Moderado"),CONCATENATE("R4C",'Mapa riesgos'!$T$31),"")</f>
        <v/>
      </c>
      <c r="W49" s="51" t="str">
        <f>IF(AND('Mapa riesgos'!$AD$32="Muy Baja",'Mapa riesgos'!$AF$32="Moderado"),CONCATENATE("R4C",'Mapa riesgos'!$T$32),"")</f>
        <v/>
      </c>
      <c r="X49" s="51" t="str">
        <f>IF(AND('Mapa riesgos'!$AD$33="Muy Baja",'Mapa riesgos'!$AF$33="Moderado"),CONCATENATE("R4C",'Mapa riesgos'!$T$33),"")</f>
        <v/>
      </c>
      <c r="Y49" s="51" t="str">
        <f>IF(AND('Mapa riesgos'!$AD$34="Muy Baja",'Mapa riesgos'!$AF$34="Moderado"),CONCATENATE("R4C",'Mapa riesgos'!$T$34),"")</f>
        <v/>
      </c>
      <c r="Z49" s="51" t="str">
        <f>IF(AND('Mapa riesgos'!$AD$35="Muy Baja",'Mapa riesgos'!$AF$35="Moderado"),CONCATENATE("R4C",'Mapa riesgos'!$T$35),"")</f>
        <v/>
      </c>
      <c r="AA49" s="52" t="str">
        <f>IF(AND('Mapa riesgos'!$AD$36="Muy Baja",'Mapa riesgos'!$AF$36="Moderado"),CONCATENATE("R4C",'Mapa riesgos'!$T$36),"")</f>
        <v/>
      </c>
      <c r="AB49" s="35" t="str">
        <f>IF(AND('Mapa riesgos'!$AD$31="Muy Baja",'Mapa riesgos'!$AF$31="Mayor"),CONCATENATE("R4C",'Mapa riesgos'!$T$31),"")</f>
        <v/>
      </c>
      <c r="AC49" s="36" t="str">
        <f>IF(AND('Mapa riesgos'!$AD$32="Muy Baja",'Mapa riesgos'!$AF$32="Mayor"),CONCATENATE("R4C",'Mapa riesgos'!$T$32),"")</f>
        <v/>
      </c>
      <c r="AD49" s="36" t="str">
        <f>IF(AND('Mapa riesgos'!$AD$33="Muy Baja",'Mapa riesgos'!$AF$33="Mayor"),CONCATENATE("R4C",'Mapa riesgos'!$T$33),"")</f>
        <v/>
      </c>
      <c r="AE49" s="36" t="str">
        <f>IF(AND('Mapa riesgos'!$AD$34="Muy Baja",'Mapa riesgos'!$AF$34="Mayor"),CONCATENATE("R4C",'Mapa riesgos'!$T$34),"")</f>
        <v/>
      </c>
      <c r="AF49" s="36" t="str">
        <f>IF(AND('Mapa riesgos'!$AD$35="Muy Baja",'Mapa riesgos'!$AF$35="Mayor"),CONCATENATE("R4C",'Mapa riesgos'!$T$35),"")</f>
        <v/>
      </c>
      <c r="AG49" s="37" t="str">
        <f>IF(AND('Mapa riesgos'!$AD$36="Muy Baja",'Mapa riesgos'!$AF$36="Mayor"),CONCATENATE("R4C",'Mapa riesgos'!$T$36),"")</f>
        <v/>
      </c>
      <c r="AH49" s="38" t="str">
        <f>IF(AND('Mapa riesgos'!$AD$31="Muy Baja",'Mapa riesgos'!$AF$31="Catastrófico"),CONCATENATE("R4C",'Mapa riesgos'!$T$31),"")</f>
        <v/>
      </c>
      <c r="AI49" s="39" t="str">
        <f>IF(AND('Mapa riesgos'!$AD$32="Muy Baja",'Mapa riesgos'!$AF$32="Catastrófico"),CONCATENATE("R4C",'Mapa riesgos'!$T$32),"")</f>
        <v/>
      </c>
      <c r="AJ49" s="39" t="str">
        <f>IF(AND('Mapa riesgos'!$AD$33="Muy Baja",'Mapa riesgos'!$AF$33="Catastrófico"),CONCATENATE("R4C",'Mapa riesgos'!$T$33),"")</f>
        <v/>
      </c>
      <c r="AK49" s="39" t="str">
        <f>IF(AND('Mapa riesgos'!$AD$34="Muy Baja",'Mapa riesgos'!$AF$34="Catastrófico"),CONCATENATE("R4C",'Mapa riesgos'!$T$34),"")</f>
        <v/>
      </c>
      <c r="AL49" s="39" t="str">
        <f>IF(AND('Mapa riesgos'!$AD$35="Muy Baja",'Mapa riesgos'!$AF$35="Catastrófico"),CONCATENATE("R4C",'Mapa riesgos'!$T$35),"")</f>
        <v/>
      </c>
      <c r="AM49" s="40" t="str">
        <f>IF(AND('Mapa riesgos'!$AD$36="Muy Baja",'Mapa riesgos'!$AF$36="Catastrófico"),CONCATENATE("R4C",'Mapa riesgos'!$T$36),"")</f>
        <v/>
      </c>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row>
    <row r="50" spans="1:80" ht="15" customHeight="1" x14ac:dyDescent="0.25">
      <c r="A50" s="66"/>
      <c r="B50" s="422"/>
      <c r="C50" s="422"/>
      <c r="D50" s="423"/>
      <c r="E50" s="521"/>
      <c r="F50" s="520"/>
      <c r="G50" s="520"/>
      <c r="H50" s="520"/>
      <c r="I50" s="536"/>
      <c r="J50" s="59" t="str">
        <f>IF(AND('Mapa riesgos'!$AD$37="Muy Baja",'Mapa riesgos'!$AF$37="Leve"),CONCATENATE("R5C",'Mapa riesgos'!$T$37),"")</f>
        <v/>
      </c>
      <c r="K50" s="60" t="str">
        <f>IF(AND('Mapa riesgos'!$AD$38="Muy Baja",'Mapa riesgos'!$AF$38="Leve"),CONCATENATE("R5C",'Mapa riesgos'!$T$38),"")</f>
        <v/>
      </c>
      <c r="L50" s="60" t="str">
        <f>IF(AND('Mapa riesgos'!$AD$39="Muy Baja",'Mapa riesgos'!$AF$39="Leve"),CONCATENATE("R5C",'Mapa riesgos'!$T$39),"")</f>
        <v/>
      </c>
      <c r="M50" s="60" t="str">
        <f>IF(AND('Mapa riesgos'!$AD$40="Muy Baja",'Mapa riesgos'!$AF$40="Leve"),CONCATENATE("R5C",'Mapa riesgos'!$T$40),"")</f>
        <v/>
      </c>
      <c r="N50" s="60" t="str">
        <f>IF(AND('Mapa riesgos'!$AD$41="Muy Baja",'Mapa riesgos'!$AF$41="Leve"),CONCATENATE("R5C",'Mapa riesgos'!$T$41),"")</f>
        <v/>
      </c>
      <c r="O50" s="61" t="str">
        <f>IF(AND('Mapa riesgos'!$AD$42="Muy Baja",'Mapa riesgos'!$AF$42="Leve"),CONCATENATE("R5C",'Mapa riesgos'!$T$42),"")</f>
        <v/>
      </c>
      <c r="P50" s="59" t="str">
        <f>IF(AND('Mapa riesgos'!$AD$37="Muy Baja",'Mapa riesgos'!$AF$37="Menor"),CONCATENATE("R5C",'Mapa riesgos'!$T$37),"")</f>
        <v/>
      </c>
      <c r="Q50" s="60" t="str">
        <f>IF(AND('Mapa riesgos'!$AD$38="Muy Baja",'Mapa riesgos'!$AF$38="Menor"),CONCATENATE("R5C",'Mapa riesgos'!$T$38),"")</f>
        <v/>
      </c>
      <c r="R50" s="60" t="str">
        <f>IF(AND('Mapa riesgos'!$AD$39="Muy Baja",'Mapa riesgos'!$AF$39="Menor"),CONCATENATE("R5C",'Mapa riesgos'!$T$39),"")</f>
        <v/>
      </c>
      <c r="S50" s="60" t="str">
        <f>IF(AND('Mapa riesgos'!$AD$40="Muy Baja",'Mapa riesgos'!$AF$40="Menor"),CONCATENATE("R5C",'Mapa riesgos'!$T$40),"")</f>
        <v/>
      </c>
      <c r="T50" s="60" t="str">
        <f>IF(AND('Mapa riesgos'!$AD$41="Muy Baja",'Mapa riesgos'!$AF$41="Menor"),CONCATENATE("R5C",'Mapa riesgos'!$T$41),"")</f>
        <v/>
      </c>
      <c r="U50" s="61" t="str">
        <f>IF(AND('Mapa riesgos'!$AD$42="Muy Baja",'Mapa riesgos'!$AF$42="Menor"),CONCATENATE("R5C",'Mapa riesgos'!$T$42),"")</f>
        <v/>
      </c>
      <c r="V50" s="50" t="str">
        <f>IF(AND('Mapa riesgos'!$AD$37="Muy Baja",'Mapa riesgos'!$AF$37="Moderado"),CONCATENATE("R5C",'Mapa riesgos'!$T$37),"")</f>
        <v/>
      </c>
      <c r="W50" s="51" t="str">
        <f>IF(AND('Mapa riesgos'!$AD$38="Muy Baja",'Mapa riesgos'!$AF$38="Moderado"),CONCATENATE("R5C",'Mapa riesgos'!$T$38),"")</f>
        <v/>
      </c>
      <c r="X50" s="51" t="str">
        <f>IF(AND('Mapa riesgos'!$AD$39="Muy Baja",'Mapa riesgos'!$AF$39="Moderado"),CONCATENATE("R5C",'Mapa riesgos'!$T$39),"")</f>
        <v/>
      </c>
      <c r="Y50" s="51" t="str">
        <f>IF(AND('Mapa riesgos'!$AD$40="Muy Baja",'Mapa riesgos'!$AF$40="Moderado"),CONCATENATE("R5C",'Mapa riesgos'!$T$40),"")</f>
        <v/>
      </c>
      <c r="Z50" s="51" t="str">
        <f>IF(AND('Mapa riesgos'!$AD$41="Muy Baja",'Mapa riesgos'!$AF$41="Moderado"),CONCATENATE("R5C",'Mapa riesgos'!$T$41),"")</f>
        <v/>
      </c>
      <c r="AA50" s="52" t="str">
        <f>IF(AND('Mapa riesgos'!$AD$42="Muy Baja",'Mapa riesgos'!$AF$42="Moderado"),CONCATENATE("R5C",'Mapa riesgos'!$T$42),"")</f>
        <v/>
      </c>
      <c r="AB50" s="35" t="str">
        <f>IF(AND('Mapa riesgos'!$AD$37="Muy Baja",'Mapa riesgos'!$AF$37="Mayor"),CONCATENATE("R5C",'Mapa riesgos'!$T$37),"")</f>
        <v/>
      </c>
      <c r="AC50" s="36" t="str">
        <f>IF(AND('Mapa riesgos'!$AD$38="Muy Baja",'Mapa riesgos'!$AF$38="Mayor"),CONCATENATE("R5C",'Mapa riesgos'!$T$38),"")</f>
        <v/>
      </c>
      <c r="AD50" s="36" t="str">
        <f>IF(AND('Mapa riesgos'!$AD$39="Muy Baja",'Mapa riesgos'!$AF$39="Mayor"),CONCATENATE("R5C",'Mapa riesgos'!$T$39),"")</f>
        <v/>
      </c>
      <c r="AE50" s="36" t="str">
        <f>IF(AND('Mapa riesgos'!$AD$40="Muy Baja",'Mapa riesgos'!$AF$40="Mayor"),CONCATENATE("R5C",'Mapa riesgos'!$T$40),"")</f>
        <v/>
      </c>
      <c r="AF50" s="36" t="str">
        <f>IF(AND('Mapa riesgos'!$AD$41="Muy Baja",'Mapa riesgos'!$AF$41="Mayor"),CONCATENATE("R5C",'Mapa riesgos'!$T$41),"")</f>
        <v/>
      </c>
      <c r="AG50" s="37" t="str">
        <f>IF(AND('Mapa riesgos'!$AD$42="Muy Baja",'Mapa riesgos'!$AF$42="Mayor"),CONCATENATE("R5C",'Mapa riesgos'!$T$42),"")</f>
        <v/>
      </c>
      <c r="AH50" s="38" t="str">
        <f>IF(AND('Mapa riesgos'!$AD$37="Muy Baja",'Mapa riesgos'!$AF$37="Catastrófico"),CONCATENATE("R5C",'Mapa riesgos'!$T$37),"")</f>
        <v/>
      </c>
      <c r="AI50" s="39" t="str">
        <f>IF(AND('Mapa riesgos'!$AD$38="Muy Baja",'Mapa riesgos'!$AF$38="Catastrófico"),CONCATENATE("R5C",'Mapa riesgos'!$T$38),"")</f>
        <v/>
      </c>
      <c r="AJ50" s="39" t="str">
        <f>IF(AND('Mapa riesgos'!$AD$39="Muy Baja",'Mapa riesgos'!$AF$39="Catastrófico"),CONCATENATE("R5C",'Mapa riesgos'!$T$39),"")</f>
        <v/>
      </c>
      <c r="AK50" s="39" t="str">
        <f>IF(AND('Mapa riesgos'!$AD$40="Muy Baja",'Mapa riesgos'!$AF$40="Catastrófico"),CONCATENATE("R5C",'Mapa riesgos'!$T$40),"")</f>
        <v/>
      </c>
      <c r="AL50" s="39" t="str">
        <f>IF(AND('Mapa riesgos'!$AD$41="Muy Baja",'Mapa riesgos'!$AF$41="Catastrófico"),CONCATENATE("R5C",'Mapa riesgos'!$T$41),"")</f>
        <v/>
      </c>
      <c r="AM50" s="40" t="str">
        <f>IF(AND('Mapa riesgos'!$AD$42="Muy Baja",'Mapa riesgos'!$AF$42="Catastrófico"),CONCATENATE("R5C",'Mapa riesgos'!$T$42),"")</f>
        <v/>
      </c>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row>
    <row r="51" spans="1:80" ht="15" customHeight="1" x14ac:dyDescent="0.25">
      <c r="A51" s="66"/>
      <c r="B51" s="422"/>
      <c r="C51" s="422"/>
      <c r="D51" s="423"/>
      <c r="E51" s="521"/>
      <c r="F51" s="520"/>
      <c r="G51" s="520"/>
      <c r="H51" s="520"/>
      <c r="I51" s="536"/>
      <c r="J51" s="59" t="str">
        <f>IF(AND('Mapa riesgos'!$AD$43="Muy Baja",'Mapa riesgos'!$AF$43="Leve"),CONCATENATE("R6C",'Mapa riesgos'!$T$43),"")</f>
        <v/>
      </c>
      <c r="K51" s="60" t="str">
        <f>IF(AND('Mapa riesgos'!$AD$44="Muy Baja",'Mapa riesgos'!$AF$44="Leve"),CONCATENATE("R6C",'Mapa riesgos'!$T$44),"")</f>
        <v/>
      </c>
      <c r="L51" s="60" t="str">
        <f>IF(AND('Mapa riesgos'!$AD$45="Muy Baja",'Mapa riesgos'!$AF$45="Leve"),CONCATENATE("R6C",'Mapa riesgos'!$T$45),"")</f>
        <v/>
      </c>
      <c r="M51" s="60" t="str">
        <f>IF(AND('Mapa riesgos'!$AD$46="Muy Baja",'Mapa riesgos'!$AF$46="Leve"),CONCATENATE("R6C",'Mapa riesgos'!$T$46),"")</f>
        <v/>
      </c>
      <c r="N51" s="60" t="str">
        <f>IF(AND('Mapa riesgos'!$AD$47="Muy Baja",'Mapa riesgos'!$AF$47="Leve"),CONCATENATE("R6C",'Mapa riesgos'!$T$47),"")</f>
        <v/>
      </c>
      <c r="O51" s="61" t="str">
        <f>IF(AND('Mapa riesgos'!$AD$48="Muy Baja",'Mapa riesgos'!$AF$48="Leve"),CONCATENATE("R6C",'Mapa riesgos'!$T$48),"")</f>
        <v/>
      </c>
      <c r="P51" s="59" t="str">
        <f>IF(AND('Mapa riesgos'!$AD$43="Muy Baja",'Mapa riesgos'!$AF$43="Menor"),CONCATENATE("R6C",'Mapa riesgos'!$T$43),"")</f>
        <v/>
      </c>
      <c r="Q51" s="60" t="str">
        <f>IF(AND('Mapa riesgos'!$AD$44="Muy Baja",'Mapa riesgos'!$AF$44="Menor"),CONCATENATE("R6C",'Mapa riesgos'!$T$44),"")</f>
        <v/>
      </c>
      <c r="R51" s="60" t="str">
        <f>IF(AND('Mapa riesgos'!$AD$45="Muy Baja",'Mapa riesgos'!$AF$45="Menor"),CONCATENATE("R6C",'Mapa riesgos'!$T$45),"")</f>
        <v/>
      </c>
      <c r="S51" s="60" t="str">
        <f>IF(AND('Mapa riesgos'!$AD$46="Muy Baja",'Mapa riesgos'!$AF$46="Menor"),CONCATENATE("R6C",'Mapa riesgos'!$T$46),"")</f>
        <v/>
      </c>
      <c r="T51" s="60" t="str">
        <f>IF(AND('Mapa riesgos'!$AD$47="Muy Baja",'Mapa riesgos'!$AF$47="Menor"),CONCATENATE("R6C",'Mapa riesgos'!$T$47),"")</f>
        <v/>
      </c>
      <c r="U51" s="61" t="str">
        <f>IF(AND('Mapa riesgos'!$AD$48="Muy Baja",'Mapa riesgos'!$AF$48="Menor"),CONCATENATE("R6C",'Mapa riesgos'!$T$48),"")</f>
        <v/>
      </c>
      <c r="V51" s="50" t="str">
        <f>IF(AND('Mapa riesgos'!$AD$43="Muy Baja",'Mapa riesgos'!$AF$43="Moderado"),CONCATENATE("R6C",'Mapa riesgos'!$T$43),"")</f>
        <v/>
      </c>
      <c r="W51" s="51" t="str">
        <f>IF(AND('Mapa riesgos'!$AD$44="Muy Baja",'Mapa riesgos'!$AF$44="Moderado"),CONCATENATE("R6C",'Mapa riesgos'!$T$44),"")</f>
        <v/>
      </c>
      <c r="X51" s="51" t="str">
        <f>IF(AND('Mapa riesgos'!$AD$45="Muy Baja",'Mapa riesgos'!$AF$45="Moderado"),CONCATENATE("R6C",'Mapa riesgos'!$T$45),"")</f>
        <v/>
      </c>
      <c r="Y51" s="51" t="str">
        <f>IF(AND('Mapa riesgos'!$AD$46="Muy Baja",'Mapa riesgos'!$AF$46="Moderado"),CONCATENATE("R6C",'Mapa riesgos'!$T$46),"")</f>
        <v/>
      </c>
      <c r="Z51" s="51" t="str">
        <f>IF(AND('Mapa riesgos'!$AD$47="Muy Baja",'Mapa riesgos'!$AF$47="Moderado"),CONCATENATE("R6C",'Mapa riesgos'!$T$47),"")</f>
        <v/>
      </c>
      <c r="AA51" s="52" t="str">
        <f>IF(AND('Mapa riesgos'!$AD$48="Muy Baja",'Mapa riesgos'!$AF$48="Moderado"),CONCATENATE("R6C",'Mapa riesgos'!$T$48),"")</f>
        <v/>
      </c>
      <c r="AB51" s="35" t="str">
        <f>IF(AND('Mapa riesgos'!$AD$43="Muy Baja",'Mapa riesgos'!$AF$43="Mayor"),CONCATENATE("R6C",'Mapa riesgos'!$T$43),"")</f>
        <v/>
      </c>
      <c r="AC51" s="36" t="str">
        <f>IF(AND('Mapa riesgos'!$AD$44="Muy Baja",'Mapa riesgos'!$AF$44="Mayor"),CONCATENATE("R6C",'Mapa riesgos'!$T$44),"")</f>
        <v/>
      </c>
      <c r="AD51" s="36" t="str">
        <f>IF(AND('Mapa riesgos'!$AD$45="Muy Baja",'Mapa riesgos'!$AF$45="Mayor"),CONCATENATE("R6C",'Mapa riesgos'!$T$45),"")</f>
        <v/>
      </c>
      <c r="AE51" s="36" t="str">
        <f>IF(AND('Mapa riesgos'!$AD$46="Muy Baja",'Mapa riesgos'!$AF$46="Mayor"),CONCATENATE("R6C",'Mapa riesgos'!$T$46),"")</f>
        <v/>
      </c>
      <c r="AF51" s="36" t="str">
        <f>IF(AND('Mapa riesgos'!$AD$47="Muy Baja",'Mapa riesgos'!$AF$47="Mayor"),CONCATENATE("R6C",'Mapa riesgos'!$T$47),"")</f>
        <v/>
      </c>
      <c r="AG51" s="37" t="str">
        <f>IF(AND('Mapa riesgos'!$AD$48="Muy Baja",'Mapa riesgos'!$AF$48="Mayor"),CONCATENATE("R6C",'Mapa riesgos'!$T$48),"")</f>
        <v/>
      </c>
      <c r="AH51" s="38" t="str">
        <f>IF(AND('Mapa riesgos'!$AD$43="Muy Baja",'Mapa riesgos'!$AF$43="Catastrófico"),CONCATENATE("R6C",'Mapa riesgos'!$T$43),"")</f>
        <v/>
      </c>
      <c r="AI51" s="39" t="str">
        <f>IF(AND('Mapa riesgos'!$AD$44="Muy Baja",'Mapa riesgos'!$AF$44="Catastrófico"),CONCATENATE("R6C",'Mapa riesgos'!$T$44),"")</f>
        <v/>
      </c>
      <c r="AJ51" s="39" t="str">
        <f>IF(AND('Mapa riesgos'!$AD$45="Muy Baja",'Mapa riesgos'!$AF$45="Catastrófico"),CONCATENATE("R6C",'Mapa riesgos'!$T$45),"")</f>
        <v/>
      </c>
      <c r="AK51" s="39" t="str">
        <f>IF(AND('Mapa riesgos'!$AD$46="Muy Baja",'Mapa riesgos'!$AF$46="Catastrófico"),CONCATENATE("R6C",'Mapa riesgos'!$T$46),"")</f>
        <v/>
      </c>
      <c r="AL51" s="39" t="str">
        <f>IF(AND('Mapa riesgos'!$AD$47="Muy Baja",'Mapa riesgos'!$AF$47="Catastrófico"),CONCATENATE("R6C",'Mapa riesgos'!$T$47),"")</f>
        <v/>
      </c>
      <c r="AM51" s="40" t="str">
        <f>IF(AND('Mapa riesgos'!$AD$48="Muy Baja",'Mapa riesgos'!$AF$48="Catastrófico"),CONCATENATE("R6C",'Mapa riesgos'!$T$48),"")</f>
        <v/>
      </c>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row>
    <row r="52" spans="1:80" ht="15" customHeight="1" x14ac:dyDescent="0.25">
      <c r="A52" s="66"/>
      <c r="B52" s="422"/>
      <c r="C52" s="422"/>
      <c r="D52" s="423"/>
      <c r="E52" s="521"/>
      <c r="F52" s="520"/>
      <c r="G52" s="520"/>
      <c r="H52" s="520"/>
      <c r="I52" s="536"/>
      <c r="J52" s="59" t="str">
        <f>IF(AND('Mapa riesgos'!$AD$49="Muy Baja",'Mapa riesgos'!$AF$49="Leve"),CONCATENATE("R7C",'Mapa riesgos'!$T$49),"")</f>
        <v/>
      </c>
      <c r="K52" s="60" t="str">
        <f>IF(AND('Mapa riesgos'!$AD$50="Muy Baja",'Mapa riesgos'!$AF$50="Leve"),CONCATENATE("R7C",'Mapa riesgos'!$T$50),"")</f>
        <v/>
      </c>
      <c r="L52" s="60" t="str">
        <f>IF(AND('Mapa riesgos'!$AD$51="Muy Baja",'Mapa riesgos'!$AF$51="Leve"),CONCATENATE("R7C",'Mapa riesgos'!$T$51),"")</f>
        <v/>
      </c>
      <c r="M52" s="60" t="str">
        <f>IF(AND('Mapa riesgos'!$AD$52="Muy Baja",'Mapa riesgos'!$AF$52="Leve"),CONCATENATE("R7C",'Mapa riesgos'!$T$52),"")</f>
        <v/>
      </c>
      <c r="N52" s="60" t="str">
        <f>IF(AND('Mapa riesgos'!$AD$53="Muy Baja",'Mapa riesgos'!$AF$53="Leve"),CONCATENATE("R7C",'Mapa riesgos'!$T$53),"")</f>
        <v/>
      </c>
      <c r="O52" s="61" t="str">
        <f>IF(AND('Mapa riesgos'!$AD$54="Muy Baja",'Mapa riesgos'!$AF$54="Leve"),CONCATENATE("R7C",'Mapa riesgos'!$T$54),"")</f>
        <v/>
      </c>
      <c r="P52" s="59" t="str">
        <f>IF(AND('Mapa riesgos'!$AD$49="Muy Baja",'Mapa riesgos'!$AF$49="Menor"),CONCATENATE("R7C",'Mapa riesgos'!$T$49),"")</f>
        <v/>
      </c>
      <c r="Q52" s="60" t="str">
        <f>IF(AND('Mapa riesgos'!$AD$50="Muy Baja",'Mapa riesgos'!$AF$50="Menor"),CONCATENATE("R7C",'Mapa riesgos'!$T$50),"")</f>
        <v/>
      </c>
      <c r="R52" s="60" t="str">
        <f>IF(AND('Mapa riesgos'!$AD$51="Muy Baja",'Mapa riesgos'!$AF$51="Menor"),CONCATENATE("R7C",'Mapa riesgos'!$T$51),"")</f>
        <v/>
      </c>
      <c r="S52" s="60" t="str">
        <f>IF(AND('Mapa riesgos'!$AD$52="Muy Baja",'Mapa riesgos'!$AF$52="Menor"),CONCATENATE("R7C",'Mapa riesgos'!$T$52),"")</f>
        <v/>
      </c>
      <c r="T52" s="60" t="str">
        <f>IF(AND('Mapa riesgos'!$AD$53="Muy Baja",'Mapa riesgos'!$AF$53="Menor"),CONCATENATE("R7C",'Mapa riesgos'!$T$53),"")</f>
        <v/>
      </c>
      <c r="U52" s="61" t="str">
        <f>IF(AND('Mapa riesgos'!$AD$54="Muy Baja",'Mapa riesgos'!$AF$54="Menor"),CONCATENATE("R7C",'Mapa riesgos'!$T$54),"")</f>
        <v/>
      </c>
      <c r="V52" s="50" t="str">
        <f>IF(AND('Mapa riesgos'!$AD$49="Muy Baja",'Mapa riesgos'!$AF$49="Moderado"),CONCATENATE("R7C",'Mapa riesgos'!$T$49),"")</f>
        <v/>
      </c>
      <c r="W52" s="51" t="str">
        <f>IF(AND('Mapa riesgos'!$AD$50="Muy Baja",'Mapa riesgos'!$AF$50="Moderado"),CONCATENATE("R7C",'Mapa riesgos'!$T$50),"")</f>
        <v/>
      </c>
      <c r="X52" s="51" t="str">
        <f>IF(AND('Mapa riesgos'!$AD$51="Muy Baja",'Mapa riesgos'!$AF$51="Moderado"),CONCATENATE("R7C",'Mapa riesgos'!$T$51),"")</f>
        <v/>
      </c>
      <c r="Y52" s="51" t="str">
        <f>IF(AND('Mapa riesgos'!$AD$52="Muy Baja",'Mapa riesgos'!$AF$52="Moderado"),CONCATENATE("R7C",'Mapa riesgos'!$T$52),"")</f>
        <v/>
      </c>
      <c r="Z52" s="51" t="str">
        <f>IF(AND('Mapa riesgos'!$AD$53="Muy Baja",'Mapa riesgos'!$AF$53="Moderado"),CONCATENATE("R7C",'Mapa riesgos'!$T$53),"")</f>
        <v/>
      </c>
      <c r="AA52" s="52" t="str">
        <f>IF(AND('Mapa riesgos'!$AD$54="Muy Baja",'Mapa riesgos'!$AF$54="Moderado"),CONCATENATE("R7C",'Mapa riesgos'!$T$54),"")</f>
        <v/>
      </c>
      <c r="AB52" s="35" t="str">
        <f>IF(AND('Mapa riesgos'!$AD$49="Muy Baja",'Mapa riesgos'!$AF$49="Mayor"),CONCATENATE("R7C",'Mapa riesgos'!$T$49),"")</f>
        <v/>
      </c>
      <c r="AC52" s="36" t="str">
        <f>IF(AND('Mapa riesgos'!$AD$50="Muy Baja",'Mapa riesgos'!$AF$50="Mayor"),CONCATENATE("R7C",'Mapa riesgos'!$T$50),"")</f>
        <v/>
      </c>
      <c r="AD52" s="36" t="str">
        <f>IF(AND('Mapa riesgos'!$AD$51="Muy Baja",'Mapa riesgos'!$AF$51="Mayor"),CONCATENATE("R7C",'Mapa riesgos'!$T$51),"")</f>
        <v/>
      </c>
      <c r="AE52" s="36" t="str">
        <f>IF(AND('Mapa riesgos'!$AD$52="Muy Baja",'Mapa riesgos'!$AF$52="Mayor"),CONCATENATE("R7C",'Mapa riesgos'!$T$52),"")</f>
        <v/>
      </c>
      <c r="AF52" s="36" t="str">
        <f>IF(AND('Mapa riesgos'!$AD$53="Muy Baja",'Mapa riesgos'!$AF$53="Mayor"),CONCATENATE("R7C",'Mapa riesgos'!$T$53),"")</f>
        <v/>
      </c>
      <c r="AG52" s="37" t="str">
        <f>IF(AND('Mapa riesgos'!$AD$54="Muy Baja",'Mapa riesgos'!$AF$54="Mayor"),CONCATENATE("R7C",'Mapa riesgos'!$T$54),"")</f>
        <v/>
      </c>
      <c r="AH52" s="38" t="str">
        <f>IF(AND('Mapa riesgos'!$AD$49="Muy Baja",'Mapa riesgos'!$AF$49="Catastrófico"),CONCATENATE("R7C",'Mapa riesgos'!$T$49),"")</f>
        <v/>
      </c>
      <c r="AI52" s="39" t="str">
        <f>IF(AND('Mapa riesgos'!$AD$50="Muy Baja",'Mapa riesgos'!$AF$50="Catastrófico"),CONCATENATE("R7C",'Mapa riesgos'!$T$50),"")</f>
        <v/>
      </c>
      <c r="AJ52" s="39" t="str">
        <f>IF(AND('Mapa riesgos'!$AD$51="Muy Baja",'Mapa riesgos'!$AF$51="Catastrófico"),CONCATENATE("R7C",'Mapa riesgos'!$T$51),"")</f>
        <v/>
      </c>
      <c r="AK52" s="39" t="str">
        <f>IF(AND('Mapa riesgos'!$AD$52="Muy Baja",'Mapa riesgos'!$AF$52="Catastrófico"),CONCATENATE("R7C",'Mapa riesgos'!$T$52),"")</f>
        <v/>
      </c>
      <c r="AL52" s="39" t="str">
        <f>IF(AND('Mapa riesgos'!$AD$53="Muy Baja",'Mapa riesgos'!$AF$53="Catastrófico"),CONCATENATE("R7C",'Mapa riesgos'!$T$53),"")</f>
        <v/>
      </c>
      <c r="AM52" s="40" t="str">
        <f>IF(AND('Mapa riesgos'!$AD$54="Muy Baja",'Mapa riesgos'!$AF$54="Catastrófico"),CONCATENATE("R7C",'Mapa riesgos'!$T$54),"")</f>
        <v/>
      </c>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row>
    <row r="53" spans="1:80" ht="15" customHeight="1" x14ac:dyDescent="0.25">
      <c r="A53" s="66"/>
      <c r="B53" s="422"/>
      <c r="C53" s="422"/>
      <c r="D53" s="423"/>
      <c r="E53" s="521"/>
      <c r="F53" s="520"/>
      <c r="G53" s="520"/>
      <c r="H53" s="520"/>
      <c r="I53" s="536"/>
      <c r="J53" s="59" t="str">
        <f>IF(AND('Mapa riesgos'!$AD$55="Muy Baja",'Mapa riesgos'!$AF$55="Leve"),CONCATENATE("R8C",'Mapa riesgos'!$T$55),"")</f>
        <v/>
      </c>
      <c r="K53" s="60" t="str">
        <f>IF(AND('Mapa riesgos'!$AD$56="Muy Baja",'Mapa riesgos'!$AF$56="Leve"),CONCATENATE("R8C",'Mapa riesgos'!$T$56),"")</f>
        <v/>
      </c>
      <c r="L53" s="60" t="str">
        <f>IF(AND('Mapa riesgos'!$AD$57="Muy Baja",'Mapa riesgos'!$AF$57="Leve"),CONCATENATE("R8C",'Mapa riesgos'!$T$57),"")</f>
        <v/>
      </c>
      <c r="M53" s="60" t="str">
        <f>IF(AND('Mapa riesgos'!$AD$58="Muy Baja",'Mapa riesgos'!$AF$58="Leve"),CONCATENATE("R8C",'Mapa riesgos'!$T$58),"")</f>
        <v/>
      </c>
      <c r="N53" s="60" t="str">
        <f>IF(AND('Mapa riesgos'!$AD$59="Muy Baja",'Mapa riesgos'!$AF$59="Leve"),CONCATENATE("R8C",'Mapa riesgos'!$T$59),"")</f>
        <v/>
      </c>
      <c r="O53" s="61" t="str">
        <f>IF(AND('Mapa riesgos'!$AD$60="Muy Baja",'Mapa riesgos'!$AF$60="Leve"),CONCATENATE("R8C",'Mapa riesgos'!$T$60),"")</f>
        <v/>
      </c>
      <c r="P53" s="59" t="str">
        <f>IF(AND('Mapa riesgos'!$AD$55="Muy Baja",'Mapa riesgos'!$AF$55="Menor"),CONCATENATE("R8C",'Mapa riesgos'!$T$55),"")</f>
        <v/>
      </c>
      <c r="Q53" s="60" t="str">
        <f>IF(AND('Mapa riesgos'!$AD$56="Muy Baja",'Mapa riesgos'!$AF$56="Menor"),CONCATENATE("R8C",'Mapa riesgos'!$T$56),"")</f>
        <v/>
      </c>
      <c r="R53" s="60" t="str">
        <f>IF(AND('Mapa riesgos'!$AD$57="Muy Baja",'Mapa riesgos'!$AF$57="Menor"),CONCATENATE("R8C",'Mapa riesgos'!$T$57),"")</f>
        <v/>
      </c>
      <c r="S53" s="60" t="str">
        <f>IF(AND('Mapa riesgos'!$AD$58="Muy Baja",'Mapa riesgos'!$AF$58="Menor"),CONCATENATE("R8C",'Mapa riesgos'!$T$58),"")</f>
        <v/>
      </c>
      <c r="T53" s="60" t="str">
        <f>IF(AND('Mapa riesgos'!$AD$59="Muy Baja",'Mapa riesgos'!$AF$59="Menor"),CONCATENATE("R8C",'Mapa riesgos'!$T$59),"")</f>
        <v/>
      </c>
      <c r="U53" s="61" t="str">
        <f>IF(AND('Mapa riesgos'!$AD$60="Muy Baja",'Mapa riesgos'!$AF$60="Menor"),CONCATENATE("R8C",'Mapa riesgos'!$T$60),"")</f>
        <v/>
      </c>
      <c r="V53" s="50" t="str">
        <f>IF(AND('Mapa riesgos'!$AD$55="Muy Baja",'Mapa riesgos'!$AF$55="Moderado"),CONCATENATE("R8C",'Mapa riesgos'!$T$55),"")</f>
        <v/>
      </c>
      <c r="W53" s="51" t="str">
        <f>IF(AND('Mapa riesgos'!$AD$56="Muy Baja",'Mapa riesgos'!$AF$56="Moderado"),CONCATENATE("R8C",'Mapa riesgos'!$T$56),"")</f>
        <v/>
      </c>
      <c r="X53" s="51" t="str">
        <f>IF(AND('Mapa riesgos'!$AD$57="Muy Baja",'Mapa riesgos'!$AF$57="Moderado"),CONCATENATE("R8C",'Mapa riesgos'!$T$57),"")</f>
        <v/>
      </c>
      <c r="Y53" s="51" t="str">
        <f>IF(AND('Mapa riesgos'!$AD$58="Muy Baja",'Mapa riesgos'!$AF$58="Moderado"),CONCATENATE("R8C",'Mapa riesgos'!$T$58),"")</f>
        <v/>
      </c>
      <c r="Z53" s="51" t="str">
        <f>IF(AND('Mapa riesgos'!$AD$59="Muy Baja",'Mapa riesgos'!$AF$59="Moderado"),CONCATENATE("R8C",'Mapa riesgos'!$T$59),"")</f>
        <v/>
      </c>
      <c r="AA53" s="52" t="str">
        <f>IF(AND('Mapa riesgos'!$AD$60="Muy Baja",'Mapa riesgos'!$AF$60="Moderado"),CONCATENATE("R8C",'Mapa riesgos'!$T$60),"")</f>
        <v/>
      </c>
      <c r="AB53" s="35" t="str">
        <f>IF(AND('Mapa riesgos'!$AD$55="Muy Baja",'Mapa riesgos'!$AF$55="Mayor"),CONCATENATE("R8C",'Mapa riesgos'!$T$55),"")</f>
        <v/>
      </c>
      <c r="AC53" s="36" t="str">
        <f>IF(AND('Mapa riesgos'!$AD$56="Muy Baja",'Mapa riesgos'!$AF$56="Mayor"),CONCATENATE("R8C",'Mapa riesgos'!$T$56),"")</f>
        <v/>
      </c>
      <c r="AD53" s="36" t="str">
        <f>IF(AND('Mapa riesgos'!$AD$57="Muy Baja",'Mapa riesgos'!$AF$57="Mayor"),CONCATENATE("R8C",'Mapa riesgos'!$T$57),"")</f>
        <v/>
      </c>
      <c r="AE53" s="36" t="str">
        <f>IF(AND('Mapa riesgos'!$AD$58="Muy Baja",'Mapa riesgos'!$AF$58="Mayor"),CONCATENATE("R8C",'Mapa riesgos'!$T$58),"")</f>
        <v/>
      </c>
      <c r="AF53" s="36" t="str">
        <f>IF(AND('Mapa riesgos'!$AD$59="Muy Baja",'Mapa riesgos'!$AF$59="Mayor"),CONCATENATE("R8C",'Mapa riesgos'!$T$59),"")</f>
        <v/>
      </c>
      <c r="AG53" s="37" t="str">
        <f>IF(AND('Mapa riesgos'!$AD$60="Muy Baja",'Mapa riesgos'!$AF$60="Mayor"),CONCATENATE("R8C",'Mapa riesgos'!$T$60),"")</f>
        <v/>
      </c>
      <c r="AH53" s="38" t="str">
        <f>IF(AND('Mapa riesgos'!$AD$55="Muy Baja",'Mapa riesgos'!$AF$55="Catastrófico"),CONCATENATE("R8C",'Mapa riesgos'!$T$55),"")</f>
        <v/>
      </c>
      <c r="AI53" s="39" t="str">
        <f>IF(AND('Mapa riesgos'!$AD$56="Muy Baja",'Mapa riesgos'!$AF$56="Catastrófico"),CONCATENATE("R8C",'Mapa riesgos'!$T$56),"")</f>
        <v/>
      </c>
      <c r="AJ53" s="39" t="str">
        <f>IF(AND('Mapa riesgos'!$AD$57="Muy Baja",'Mapa riesgos'!$AF$57="Catastrófico"),CONCATENATE("R8C",'Mapa riesgos'!$T$57),"")</f>
        <v/>
      </c>
      <c r="AK53" s="39" t="str">
        <f>IF(AND('Mapa riesgos'!$AD$58="Muy Baja",'Mapa riesgos'!$AF$58="Catastrófico"),CONCATENATE("R8C",'Mapa riesgos'!$T$58),"")</f>
        <v/>
      </c>
      <c r="AL53" s="39" t="str">
        <f>IF(AND('Mapa riesgos'!$AD$59="Muy Baja",'Mapa riesgos'!$AF$59="Catastrófico"),CONCATENATE("R8C",'Mapa riesgos'!$T$59),"")</f>
        <v/>
      </c>
      <c r="AM53" s="40" t="str">
        <f>IF(AND('Mapa riesgos'!$AD$60="Muy Baja",'Mapa riesgos'!$AF$60="Catastrófico"),CONCATENATE("R8C",'Mapa riesgos'!$T$60),"")</f>
        <v/>
      </c>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row>
    <row r="54" spans="1:80" ht="15" customHeight="1" x14ac:dyDescent="0.25">
      <c r="A54" s="66"/>
      <c r="B54" s="422"/>
      <c r="C54" s="422"/>
      <c r="D54" s="423"/>
      <c r="E54" s="521"/>
      <c r="F54" s="520"/>
      <c r="G54" s="520"/>
      <c r="H54" s="520"/>
      <c r="I54" s="536"/>
      <c r="J54" s="59" t="str">
        <f>IF(AND('Mapa riesgos'!$AD$61="Muy Baja",'Mapa riesgos'!$AF$61="Leve"),CONCATENATE("R9C",'Mapa riesgos'!$T$61),"")</f>
        <v/>
      </c>
      <c r="K54" s="60" t="str">
        <f>IF(AND('Mapa riesgos'!$AD$62="Muy Baja",'Mapa riesgos'!$AF$62="Leve"),CONCATENATE("R9C",'Mapa riesgos'!$T$62),"")</f>
        <v/>
      </c>
      <c r="L54" s="60" t="str">
        <f>IF(AND('Mapa riesgos'!$AD$63="Muy Baja",'Mapa riesgos'!$AF$63="Leve"),CONCATENATE("R9C",'Mapa riesgos'!$T$63),"")</f>
        <v/>
      </c>
      <c r="M54" s="60" t="str">
        <f>IF(AND('Mapa riesgos'!$AD$64="Muy Baja",'Mapa riesgos'!$AF$64="Leve"),CONCATENATE("R9C",'Mapa riesgos'!$T$64),"")</f>
        <v/>
      </c>
      <c r="N54" s="60" t="str">
        <f>IF(AND('Mapa riesgos'!$AD$65="Muy Baja",'Mapa riesgos'!$AF$65="Leve"),CONCATENATE("R9C",'Mapa riesgos'!$T$65),"")</f>
        <v/>
      </c>
      <c r="O54" s="61" t="str">
        <f>IF(AND('Mapa riesgos'!$AD$66="Muy Baja",'Mapa riesgos'!$AF$66="Leve"),CONCATENATE("R9C",'Mapa riesgos'!$T$66),"")</f>
        <v/>
      </c>
      <c r="P54" s="59" t="str">
        <f>IF(AND('Mapa riesgos'!$AD$61="Muy Baja",'Mapa riesgos'!$AF$61="Menor"),CONCATENATE("R9C",'Mapa riesgos'!$T$61),"")</f>
        <v/>
      </c>
      <c r="Q54" s="60" t="str">
        <f>IF(AND('Mapa riesgos'!$AD$62="Muy Baja",'Mapa riesgos'!$AF$62="Menor"),CONCATENATE("R9C",'Mapa riesgos'!$T$62),"")</f>
        <v/>
      </c>
      <c r="R54" s="60" t="str">
        <f>IF(AND('Mapa riesgos'!$AD$63="Muy Baja",'Mapa riesgos'!$AF$63="Menor"),CONCATENATE("R9C",'Mapa riesgos'!$T$63),"")</f>
        <v/>
      </c>
      <c r="S54" s="60" t="str">
        <f>IF(AND('Mapa riesgos'!$AD$64="Muy Baja",'Mapa riesgos'!$AF$64="Menor"),CONCATENATE("R9C",'Mapa riesgos'!$T$64),"")</f>
        <v/>
      </c>
      <c r="T54" s="60" t="str">
        <f>IF(AND('Mapa riesgos'!$AD$65="Muy Baja",'Mapa riesgos'!$AF$65="Menor"),CONCATENATE("R9C",'Mapa riesgos'!$T$65),"")</f>
        <v/>
      </c>
      <c r="U54" s="61" t="str">
        <f>IF(AND('Mapa riesgos'!$AD$66="Muy Baja",'Mapa riesgos'!$AF$66="Menor"),CONCATENATE("R9C",'Mapa riesgos'!$T$66),"")</f>
        <v/>
      </c>
      <c r="V54" s="50" t="str">
        <f>IF(AND('Mapa riesgos'!$AD$61="Muy Baja",'Mapa riesgos'!$AF$61="Moderado"),CONCATENATE("R9C",'Mapa riesgos'!$T$61),"")</f>
        <v/>
      </c>
      <c r="W54" s="51" t="str">
        <f>IF(AND('Mapa riesgos'!$AD$62="Muy Baja",'Mapa riesgos'!$AF$62="Moderado"),CONCATENATE("R9C",'Mapa riesgos'!$T$62),"")</f>
        <v/>
      </c>
      <c r="X54" s="51" t="str">
        <f>IF(AND('Mapa riesgos'!$AD$63="Muy Baja",'Mapa riesgos'!$AF$63="Moderado"),CONCATENATE("R9C",'Mapa riesgos'!$T$63),"")</f>
        <v/>
      </c>
      <c r="Y54" s="51" t="str">
        <f>IF(AND('Mapa riesgos'!$AD$64="Muy Baja",'Mapa riesgos'!$AF$64="Moderado"),CONCATENATE("R9C",'Mapa riesgos'!$T$64),"")</f>
        <v/>
      </c>
      <c r="Z54" s="51" t="str">
        <f>IF(AND('Mapa riesgos'!$AD$65="Muy Baja",'Mapa riesgos'!$AF$65="Moderado"),CONCATENATE("R9C",'Mapa riesgos'!$T$65),"")</f>
        <v/>
      </c>
      <c r="AA54" s="52" t="str">
        <f>IF(AND('Mapa riesgos'!$AD$66="Muy Baja",'Mapa riesgos'!$AF$66="Moderado"),CONCATENATE("R9C",'Mapa riesgos'!$T$66),"")</f>
        <v/>
      </c>
      <c r="AB54" s="35" t="str">
        <f>IF(AND('Mapa riesgos'!$AD$61="Muy Baja",'Mapa riesgos'!$AF$61="Mayor"),CONCATENATE("R9C",'Mapa riesgos'!$T$61),"")</f>
        <v/>
      </c>
      <c r="AC54" s="36" t="str">
        <f>IF(AND('Mapa riesgos'!$AD$62="Muy Baja",'Mapa riesgos'!$AF$62="Mayor"),CONCATENATE("R9C",'Mapa riesgos'!$T$62),"")</f>
        <v/>
      </c>
      <c r="AD54" s="36" t="str">
        <f>IF(AND('Mapa riesgos'!$AD$63="Muy Baja",'Mapa riesgos'!$AF$63="Mayor"),CONCATENATE("R9C",'Mapa riesgos'!$T$63),"")</f>
        <v/>
      </c>
      <c r="AE54" s="36" t="str">
        <f>IF(AND('Mapa riesgos'!$AD$64="Muy Baja",'Mapa riesgos'!$AF$64="Mayor"),CONCATENATE("R9C",'Mapa riesgos'!$T$64),"")</f>
        <v/>
      </c>
      <c r="AF54" s="36" t="str">
        <f>IF(AND('Mapa riesgos'!$AD$65="Muy Baja",'Mapa riesgos'!$AF$65="Mayor"),CONCATENATE("R9C",'Mapa riesgos'!$T$65),"")</f>
        <v/>
      </c>
      <c r="AG54" s="37" t="str">
        <f>IF(AND('Mapa riesgos'!$AD$66="Muy Baja",'Mapa riesgos'!$AF$66="Mayor"),CONCATENATE("R9C",'Mapa riesgos'!$T$66),"")</f>
        <v/>
      </c>
      <c r="AH54" s="38" t="str">
        <f>IF(AND('Mapa riesgos'!$AD$61="Muy Baja",'Mapa riesgos'!$AF$61="Catastrófico"),CONCATENATE("R9C",'Mapa riesgos'!$T$61),"")</f>
        <v/>
      </c>
      <c r="AI54" s="39" t="str">
        <f>IF(AND('Mapa riesgos'!$AD$62="Muy Baja",'Mapa riesgos'!$AF$62="Catastrófico"),CONCATENATE("R9C",'Mapa riesgos'!$T$62),"")</f>
        <v/>
      </c>
      <c r="AJ54" s="39" t="str">
        <f>IF(AND('Mapa riesgos'!$AD$63="Muy Baja",'Mapa riesgos'!$AF$63="Catastrófico"),CONCATENATE("R9C",'Mapa riesgos'!$T$63),"")</f>
        <v/>
      </c>
      <c r="AK54" s="39" t="str">
        <f>IF(AND('Mapa riesgos'!$AD$64="Muy Baja",'Mapa riesgos'!$AF$64="Catastrófico"),CONCATENATE("R9C",'Mapa riesgos'!$T$64),"")</f>
        <v/>
      </c>
      <c r="AL54" s="39" t="str">
        <f>IF(AND('Mapa riesgos'!$AD$65="Muy Baja",'Mapa riesgos'!$AF$65="Catastrófico"),CONCATENATE("R9C",'Mapa riesgos'!$T$65),"")</f>
        <v/>
      </c>
      <c r="AM54" s="40" t="str">
        <f>IF(AND('Mapa riesgos'!$AD$66="Muy Baja",'Mapa riesgos'!$AF$66="Catastrófico"),CONCATENATE("R9C",'Mapa riesgos'!$T$66),"")</f>
        <v/>
      </c>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row>
    <row r="55" spans="1:80" ht="15.75" customHeight="1" thickBot="1" x14ac:dyDescent="0.3">
      <c r="A55" s="66"/>
      <c r="B55" s="422"/>
      <c r="C55" s="422"/>
      <c r="D55" s="423"/>
      <c r="E55" s="522"/>
      <c r="F55" s="523"/>
      <c r="G55" s="523"/>
      <c r="H55" s="523"/>
      <c r="I55" s="537"/>
      <c r="J55" s="62" t="str">
        <f>IF(AND('Mapa riesgos'!$AD$67="Muy Baja",'Mapa riesgos'!$AF$67="Leve"),CONCATENATE("R10C",'Mapa riesgos'!$T$67),"")</f>
        <v/>
      </c>
      <c r="K55" s="63" t="str">
        <f>IF(AND('Mapa riesgos'!$AD$68="Muy Baja",'Mapa riesgos'!$AF$68="Leve"),CONCATENATE("R10C",'Mapa riesgos'!$T$68),"")</f>
        <v/>
      </c>
      <c r="L55" s="63" t="str">
        <f>IF(AND('Mapa riesgos'!$AD$69="Muy Baja",'Mapa riesgos'!$AF$69="Leve"),CONCATENATE("R10C",'Mapa riesgos'!$T$69),"")</f>
        <v/>
      </c>
      <c r="M55" s="63" t="str">
        <f>IF(AND('Mapa riesgos'!$AD$70="Muy Baja",'Mapa riesgos'!$AF$70="Leve"),CONCATENATE("R10C",'Mapa riesgos'!$T$70),"")</f>
        <v/>
      </c>
      <c r="N55" s="63" t="str">
        <f>IF(AND('Mapa riesgos'!$AD$71="Muy Baja",'Mapa riesgos'!$AF$71="Leve"),CONCATENATE("R10C",'Mapa riesgos'!$T$71),"")</f>
        <v/>
      </c>
      <c r="O55" s="64" t="str">
        <f>IF(AND('Mapa riesgos'!$AD$72="Muy Baja",'Mapa riesgos'!$AF$72="Leve"),CONCATENATE("R10C",'Mapa riesgos'!$T$72),"")</f>
        <v/>
      </c>
      <c r="P55" s="62" t="str">
        <f>IF(AND('Mapa riesgos'!$AD$67="Muy Baja",'Mapa riesgos'!$AF$67="Menor"),CONCATENATE("R10C",'Mapa riesgos'!$T$67),"")</f>
        <v/>
      </c>
      <c r="Q55" s="63" t="str">
        <f>IF(AND('Mapa riesgos'!$AD$68="Muy Baja",'Mapa riesgos'!$AF$68="Menor"),CONCATENATE("R10C",'Mapa riesgos'!$T$68),"")</f>
        <v/>
      </c>
      <c r="R55" s="63" t="str">
        <f>IF(AND('Mapa riesgos'!$AD$69="Muy Baja",'Mapa riesgos'!$AF$69="Menor"),CONCATENATE("R10C",'Mapa riesgos'!$T$69),"")</f>
        <v/>
      </c>
      <c r="S55" s="63" t="str">
        <f>IF(AND('Mapa riesgos'!$AD$70="Muy Baja",'Mapa riesgos'!$AF$70="Menor"),CONCATENATE("R10C",'Mapa riesgos'!$T$70),"")</f>
        <v/>
      </c>
      <c r="T55" s="63" t="str">
        <f>IF(AND('Mapa riesgos'!$AD$71="Muy Baja",'Mapa riesgos'!$AF$71="Menor"),CONCATENATE("R10C",'Mapa riesgos'!$T$71),"")</f>
        <v/>
      </c>
      <c r="U55" s="64" t="str">
        <f>IF(AND('Mapa riesgos'!$AD$72="Muy Baja",'Mapa riesgos'!$AF$72="Menor"),CONCATENATE("R10C",'Mapa riesgos'!$T$72),"")</f>
        <v/>
      </c>
      <c r="V55" s="53" t="str">
        <f>IF(AND('Mapa riesgos'!$AD$67="Muy Baja",'Mapa riesgos'!$AF$67="Moderado"),CONCATENATE("R10C",'Mapa riesgos'!$T$67),"")</f>
        <v/>
      </c>
      <c r="W55" s="54" t="str">
        <f>IF(AND('Mapa riesgos'!$AD$68="Muy Baja",'Mapa riesgos'!$AF$68="Moderado"),CONCATENATE("R10C",'Mapa riesgos'!$T$68),"")</f>
        <v/>
      </c>
      <c r="X55" s="54" t="str">
        <f>IF(AND('Mapa riesgos'!$AD$69="Muy Baja",'Mapa riesgos'!$AF$69="Moderado"),CONCATENATE("R10C",'Mapa riesgos'!$T$69),"")</f>
        <v/>
      </c>
      <c r="Y55" s="54" t="str">
        <f>IF(AND('Mapa riesgos'!$AD$70="Muy Baja",'Mapa riesgos'!$AF$70="Moderado"),CONCATENATE("R10C",'Mapa riesgos'!$T$70),"")</f>
        <v/>
      </c>
      <c r="Z55" s="54" t="str">
        <f>IF(AND('Mapa riesgos'!$AD$71="Muy Baja",'Mapa riesgos'!$AF$71="Moderado"),CONCATENATE("R10C",'Mapa riesgos'!$T$71),"")</f>
        <v/>
      </c>
      <c r="AA55" s="55" t="str">
        <f>IF(AND('Mapa riesgos'!$AD$72="Muy Baja",'Mapa riesgos'!$AF$72="Moderado"),CONCATENATE("R10C",'Mapa riesgos'!$T$72),"")</f>
        <v/>
      </c>
      <c r="AB55" s="41" t="str">
        <f>IF(AND('Mapa riesgos'!$AD$67="Muy Baja",'Mapa riesgos'!$AF$67="Mayor"),CONCATENATE("R10C",'Mapa riesgos'!$T$67),"")</f>
        <v/>
      </c>
      <c r="AC55" s="42" t="str">
        <f>IF(AND('Mapa riesgos'!$AD$68="Muy Baja",'Mapa riesgos'!$AF$68="Mayor"),CONCATENATE("R10C",'Mapa riesgos'!$T$68),"")</f>
        <v/>
      </c>
      <c r="AD55" s="42" t="str">
        <f>IF(AND('Mapa riesgos'!$AD$69="Muy Baja",'Mapa riesgos'!$AF$69="Mayor"),CONCATENATE("R10C",'Mapa riesgos'!$T$69),"")</f>
        <v/>
      </c>
      <c r="AE55" s="42" t="str">
        <f>IF(AND('Mapa riesgos'!$AD$70="Muy Baja",'Mapa riesgos'!$AF$70="Mayor"),CONCATENATE("R10C",'Mapa riesgos'!$T$70),"")</f>
        <v/>
      </c>
      <c r="AF55" s="42" t="str">
        <f>IF(AND('Mapa riesgos'!$AD$71="Muy Baja",'Mapa riesgos'!$AF$71="Mayor"),CONCATENATE("R10C",'Mapa riesgos'!$T$71),"")</f>
        <v/>
      </c>
      <c r="AG55" s="43" t="str">
        <f>IF(AND('Mapa riesgos'!$AD$72="Muy Baja",'Mapa riesgos'!$AF$72="Mayor"),CONCATENATE("R10C",'Mapa riesgos'!$T$72),"")</f>
        <v/>
      </c>
      <c r="AH55" s="44" t="str">
        <f>IF(AND('Mapa riesgos'!$AD$67="Muy Baja",'Mapa riesgos'!$AF$67="Catastrófico"),CONCATENATE("R10C",'Mapa riesgos'!$T$67),"")</f>
        <v/>
      </c>
      <c r="AI55" s="45" t="str">
        <f>IF(AND('Mapa riesgos'!$AD$68="Muy Baja",'Mapa riesgos'!$AF$68="Catastrófico"),CONCATENATE("R10C",'Mapa riesgos'!$T$68),"")</f>
        <v/>
      </c>
      <c r="AJ55" s="45" t="str">
        <f>IF(AND('Mapa riesgos'!$AD$69="Muy Baja",'Mapa riesgos'!$AF$69="Catastrófico"),CONCATENATE("R10C",'Mapa riesgos'!$T$69),"")</f>
        <v/>
      </c>
      <c r="AK55" s="45" t="str">
        <f>IF(AND('Mapa riesgos'!$AD$70="Muy Baja",'Mapa riesgos'!$AF$70="Catastrófico"),CONCATENATE("R10C",'Mapa riesgos'!$T$70),"")</f>
        <v/>
      </c>
      <c r="AL55" s="45" t="str">
        <f>IF(AND('Mapa riesgos'!$AD$71="Muy Baja",'Mapa riesgos'!$AF$71="Catastrófico"),CONCATENATE("R10C",'Mapa riesgos'!$T$71),"")</f>
        <v/>
      </c>
      <c r="AM55" s="46" t="str">
        <f>IF(AND('Mapa riesgos'!$AD$72="Muy Baja",'Mapa riesgos'!$AF$72="Catastrófico"),CONCATENATE("R10C",'Mapa riesgos'!$T$72),"")</f>
        <v/>
      </c>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row>
    <row r="56" spans="1:80" x14ac:dyDescent="0.25">
      <c r="A56" s="66"/>
      <c r="B56" s="66"/>
      <c r="C56" s="66"/>
      <c r="D56" s="66"/>
      <c r="E56" s="66"/>
      <c r="F56" s="66"/>
      <c r="G56" s="66"/>
      <c r="H56" s="66"/>
      <c r="I56" s="66"/>
      <c r="J56" s="517" t="s">
        <v>186</v>
      </c>
      <c r="K56" s="518"/>
      <c r="L56" s="518"/>
      <c r="M56" s="518"/>
      <c r="N56" s="518"/>
      <c r="O56" s="535"/>
      <c r="P56" s="517" t="s">
        <v>187</v>
      </c>
      <c r="Q56" s="518"/>
      <c r="R56" s="518"/>
      <c r="S56" s="518"/>
      <c r="T56" s="518"/>
      <c r="U56" s="535"/>
      <c r="V56" s="517" t="s">
        <v>188</v>
      </c>
      <c r="W56" s="518"/>
      <c r="X56" s="518"/>
      <c r="Y56" s="518"/>
      <c r="Z56" s="518"/>
      <c r="AA56" s="535"/>
      <c r="AB56" s="517" t="s">
        <v>189</v>
      </c>
      <c r="AC56" s="556"/>
      <c r="AD56" s="518"/>
      <c r="AE56" s="518"/>
      <c r="AF56" s="518"/>
      <c r="AG56" s="535"/>
      <c r="AH56" s="517" t="s">
        <v>190</v>
      </c>
      <c r="AI56" s="518"/>
      <c r="AJ56" s="518"/>
      <c r="AK56" s="518"/>
      <c r="AL56" s="518"/>
      <c r="AM56" s="535"/>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row>
    <row r="57" spans="1:80" x14ac:dyDescent="0.25">
      <c r="A57" s="66"/>
      <c r="B57" s="66"/>
      <c r="C57" s="66"/>
      <c r="D57" s="66"/>
      <c r="E57" s="66"/>
      <c r="F57" s="66"/>
      <c r="G57" s="66"/>
      <c r="H57" s="66"/>
      <c r="I57" s="66"/>
      <c r="J57" s="521"/>
      <c r="K57" s="520"/>
      <c r="L57" s="520"/>
      <c r="M57" s="520"/>
      <c r="N57" s="520"/>
      <c r="O57" s="536"/>
      <c r="P57" s="521"/>
      <c r="Q57" s="520"/>
      <c r="R57" s="520"/>
      <c r="S57" s="520"/>
      <c r="T57" s="520"/>
      <c r="U57" s="536"/>
      <c r="V57" s="521"/>
      <c r="W57" s="520"/>
      <c r="X57" s="520"/>
      <c r="Y57" s="520"/>
      <c r="Z57" s="520"/>
      <c r="AA57" s="536"/>
      <c r="AB57" s="521"/>
      <c r="AC57" s="520"/>
      <c r="AD57" s="520"/>
      <c r="AE57" s="520"/>
      <c r="AF57" s="520"/>
      <c r="AG57" s="536"/>
      <c r="AH57" s="521"/>
      <c r="AI57" s="520"/>
      <c r="AJ57" s="520"/>
      <c r="AK57" s="520"/>
      <c r="AL57" s="520"/>
      <c r="AM57" s="53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row>
    <row r="58" spans="1:80" x14ac:dyDescent="0.25">
      <c r="A58" s="66"/>
      <c r="B58" s="66"/>
      <c r="C58" s="66"/>
      <c r="D58" s="66"/>
      <c r="E58" s="66"/>
      <c r="F58" s="66"/>
      <c r="G58" s="66"/>
      <c r="H58" s="66"/>
      <c r="I58" s="66"/>
      <c r="J58" s="521"/>
      <c r="K58" s="520"/>
      <c r="L58" s="520"/>
      <c r="M58" s="520"/>
      <c r="N58" s="520"/>
      <c r="O58" s="536"/>
      <c r="P58" s="521"/>
      <c r="Q58" s="520"/>
      <c r="R58" s="520"/>
      <c r="S58" s="520"/>
      <c r="T58" s="520"/>
      <c r="U58" s="536"/>
      <c r="V58" s="521"/>
      <c r="W58" s="520"/>
      <c r="X58" s="520"/>
      <c r="Y58" s="520"/>
      <c r="Z58" s="520"/>
      <c r="AA58" s="536"/>
      <c r="AB58" s="521"/>
      <c r="AC58" s="520"/>
      <c r="AD58" s="520"/>
      <c r="AE58" s="520"/>
      <c r="AF58" s="520"/>
      <c r="AG58" s="536"/>
      <c r="AH58" s="521"/>
      <c r="AI58" s="520"/>
      <c r="AJ58" s="520"/>
      <c r="AK58" s="520"/>
      <c r="AL58" s="520"/>
      <c r="AM58" s="53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row>
    <row r="59" spans="1:80" x14ac:dyDescent="0.25">
      <c r="A59" s="66"/>
      <c r="B59" s="66"/>
      <c r="C59" s="66"/>
      <c r="D59" s="66"/>
      <c r="E59" s="66"/>
      <c r="F59" s="66"/>
      <c r="G59" s="66"/>
      <c r="H59" s="66"/>
      <c r="I59" s="66"/>
      <c r="J59" s="521"/>
      <c r="K59" s="520"/>
      <c r="L59" s="520"/>
      <c r="M59" s="520"/>
      <c r="N59" s="520"/>
      <c r="O59" s="536"/>
      <c r="P59" s="521"/>
      <c r="Q59" s="520"/>
      <c r="R59" s="520"/>
      <c r="S59" s="520"/>
      <c r="T59" s="520"/>
      <c r="U59" s="536"/>
      <c r="V59" s="521"/>
      <c r="W59" s="520"/>
      <c r="X59" s="520"/>
      <c r="Y59" s="520"/>
      <c r="Z59" s="520"/>
      <c r="AA59" s="536"/>
      <c r="AB59" s="521"/>
      <c r="AC59" s="520"/>
      <c r="AD59" s="520"/>
      <c r="AE59" s="520"/>
      <c r="AF59" s="520"/>
      <c r="AG59" s="536"/>
      <c r="AH59" s="521"/>
      <c r="AI59" s="520"/>
      <c r="AJ59" s="520"/>
      <c r="AK59" s="520"/>
      <c r="AL59" s="520"/>
      <c r="AM59" s="53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row>
    <row r="60" spans="1:80" x14ac:dyDescent="0.25">
      <c r="A60" s="66"/>
      <c r="B60" s="66"/>
      <c r="C60" s="66"/>
      <c r="D60" s="66"/>
      <c r="E60" s="66"/>
      <c r="F60" s="66"/>
      <c r="G60" s="66"/>
      <c r="H60" s="66"/>
      <c r="I60" s="66"/>
      <c r="J60" s="521"/>
      <c r="K60" s="520"/>
      <c r="L60" s="520"/>
      <c r="M60" s="520"/>
      <c r="N60" s="520"/>
      <c r="O60" s="536"/>
      <c r="P60" s="521"/>
      <c r="Q60" s="520"/>
      <c r="R60" s="520"/>
      <c r="S60" s="520"/>
      <c r="T60" s="520"/>
      <c r="U60" s="536"/>
      <c r="V60" s="521"/>
      <c r="W60" s="520"/>
      <c r="X60" s="520"/>
      <c r="Y60" s="520"/>
      <c r="Z60" s="520"/>
      <c r="AA60" s="536"/>
      <c r="AB60" s="521"/>
      <c r="AC60" s="520"/>
      <c r="AD60" s="520"/>
      <c r="AE60" s="520"/>
      <c r="AF60" s="520"/>
      <c r="AG60" s="536"/>
      <c r="AH60" s="521"/>
      <c r="AI60" s="520"/>
      <c r="AJ60" s="520"/>
      <c r="AK60" s="520"/>
      <c r="AL60" s="520"/>
      <c r="AM60" s="53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row>
    <row r="61" spans="1:80" ht="15.75" thickBot="1" x14ac:dyDescent="0.3">
      <c r="A61" s="66"/>
      <c r="B61" s="66"/>
      <c r="C61" s="66"/>
      <c r="D61" s="66"/>
      <c r="E61" s="66"/>
      <c r="F61" s="66"/>
      <c r="G61" s="66"/>
      <c r="H61" s="66"/>
      <c r="I61" s="66"/>
      <c r="J61" s="522"/>
      <c r="K61" s="523"/>
      <c r="L61" s="523"/>
      <c r="M61" s="523"/>
      <c r="N61" s="523"/>
      <c r="O61" s="537"/>
      <c r="P61" s="522"/>
      <c r="Q61" s="523"/>
      <c r="R61" s="523"/>
      <c r="S61" s="523"/>
      <c r="T61" s="523"/>
      <c r="U61" s="537"/>
      <c r="V61" s="522"/>
      <c r="W61" s="523"/>
      <c r="X61" s="523"/>
      <c r="Y61" s="523"/>
      <c r="Z61" s="523"/>
      <c r="AA61" s="537"/>
      <c r="AB61" s="522"/>
      <c r="AC61" s="523"/>
      <c r="AD61" s="523"/>
      <c r="AE61" s="523"/>
      <c r="AF61" s="523"/>
      <c r="AG61" s="537"/>
      <c r="AH61" s="522"/>
      <c r="AI61" s="523"/>
      <c r="AJ61" s="523"/>
      <c r="AK61" s="523"/>
      <c r="AL61" s="523"/>
      <c r="AM61" s="537"/>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row>
    <row r="62" spans="1:80"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row>
    <row r="63" spans="1:80" ht="15" customHeight="1" x14ac:dyDescent="0.25">
      <c r="A63" s="6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66"/>
      <c r="AV63" s="66"/>
      <c r="AW63" s="66"/>
      <c r="AX63" s="66"/>
      <c r="AY63" s="66"/>
      <c r="AZ63" s="66"/>
      <c r="BA63" s="66"/>
      <c r="BB63" s="66"/>
      <c r="BC63" s="66"/>
      <c r="BD63" s="66"/>
      <c r="BE63" s="66"/>
      <c r="BF63" s="66"/>
      <c r="BG63" s="66"/>
      <c r="BH63" s="66"/>
    </row>
    <row r="64" spans="1:80" ht="15" customHeight="1" x14ac:dyDescent="0.25">
      <c r="A64" s="66"/>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66"/>
      <c r="AV64" s="66"/>
      <c r="AW64" s="66"/>
      <c r="AX64" s="66"/>
      <c r="AY64" s="66"/>
      <c r="AZ64" s="66"/>
      <c r="BA64" s="66"/>
      <c r="BB64" s="66"/>
      <c r="BC64" s="66"/>
      <c r="BD64" s="66"/>
      <c r="BE64" s="66"/>
      <c r="BF64" s="66"/>
      <c r="BG64" s="66"/>
      <c r="BH64" s="66"/>
    </row>
    <row r="65" spans="1:60"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row>
    <row r="66" spans="1:60"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row>
    <row r="67" spans="1:60"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row>
    <row r="68" spans="1:60"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row>
    <row r="69" spans="1:60"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row>
    <row r="70" spans="1:60"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row>
    <row r="71" spans="1:60"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row>
    <row r="72" spans="1:60"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row>
    <row r="73" spans="1:60"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row>
    <row r="74" spans="1:60"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row>
    <row r="75" spans="1:60"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row>
    <row r="76" spans="1:60"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row>
    <row r="77" spans="1:60"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row>
    <row r="78" spans="1:60"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row>
    <row r="79" spans="1:60"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row>
    <row r="80" spans="1:60"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row>
    <row r="81" spans="1:60"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row>
    <row r="82" spans="1:60"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row>
    <row r="83" spans="1:60"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row>
    <row r="84" spans="1:60"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row>
    <row r="85" spans="1:60"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row>
    <row r="86" spans="1:60"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row>
    <row r="87" spans="1:60"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row>
    <row r="88" spans="1:60"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row>
    <row r="89" spans="1:60"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row>
    <row r="90" spans="1:60"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row>
    <row r="91" spans="1:60"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row>
    <row r="92" spans="1:60"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row>
    <row r="93" spans="1:60"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row>
    <row r="94" spans="1:60"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row>
    <row r="95" spans="1:60"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row>
    <row r="96" spans="1:60"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row>
    <row r="97" spans="1:60"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row>
    <row r="98" spans="1:60"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row>
    <row r="99" spans="1:60"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row>
    <row r="100" spans="1:60"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row>
    <row r="101" spans="1:60"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row>
    <row r="102" spans="1:60"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row>
    <row r="103" spans="1:60"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row>
    <row r="104" spans="1:60"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row>
    <row r="105" spans="1:60"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row>
    <row r="106" spans="1:60"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row>
    <row r="107" spans="1:60"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row>
    <row r="108" spans="1:60"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row>
    <row r="109" spans="1:60"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row>
    <row r="110" spans="1:60"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row>
    <row r="111" spans="1:60"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row>
    <row r="112" spans="1:60"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row>
    <row r="113" spans="1:60"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row>
    <row r="114" spans="1:60"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row>
    <row r="115" spans="1:60"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row>
    <row r="116" spans="1:60"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row>
    <row r="117" spans="1:60"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row>
    <row r="118" spans="1:60"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row>
    <row r="119" spans="1:60"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row>
    <row r="120" spans="1:60"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row>
    <row r="121" spans="1:60"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row>
    <row r="122" spans="1:60"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row>
    <row r="123" spans="1:60"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row>
    <row r="124" spans="1:60"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row>
    <row r="125" spans="1:60"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row>
    <row r="126" spans="1:60"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row>
    <row r="127" spans="1:60"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row>
    <row r="128" spans="1:60"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row>
    <row r="129" spans="1:60"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row>
    <row r="130" spans="1:60"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row>
    <row r="131" spans="1:60"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row>
    <row r="132" spans="1:60"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row>
    <row r="133" spans="1:60"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row>
    <row r="134" spans="1:60"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row>
    <row r="135" spans="1:60"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row>
    <row r="136" spans="1:60"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row>
    <row r="137" spans="1:60"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row>
    <row r="138" spans="1:60"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row>
    <row r="139" spans="1:60"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row>
    <row r="140" spans="1:60"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row>
    <row r="141" spans="1:60"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row>
    <row r="142" spans="1:60"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row>
    <row r="143" spans="1:60"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row>
    <row r="144" spans="1:60"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row>
    <row r="145" spans="1:60"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row>
    <row r="146" spans="1:60"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row>
    <row r="147" spans="1:60"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row>
    <row r="148" spans="1:60"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row>
    <row r="149" spans="1:60"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row>
    <row r="150" spans="1:60"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row>
    <row r="151" spans="1:60"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row>
    <row r="152" spans="1:60"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row>
    <row r="153" spans="1:60"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row>
    <row r="154" spans="1:60"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row>
    <row r="155" spans="1:60"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row>
    <row r="156" spans="1:60"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row>
    <row r="157" spans="1:60"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row>
    <row r="158" spans="1:60"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row>
    <row r="159" spans="1:60"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row>
    <row r="160" spans="1:60"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row>
    <row r="161" spans="1:60"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row>
    <row r="162" spans="1:60"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row>
    <row r="163" spans="1:60"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row>
    <row r="164" spans="1:60"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row>
    <row r="165" spans="1:60"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row>
    <row r="166" spans="1:60"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row>
    <row r="167" spans="1:60"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row>
    <row r="168" spans="1:60"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row>
    <row r="169" spans="1:60"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row>
    <row r="170" spans="1:60"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row>
    <row r="171" spans="1:60"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row>
    <row r="172" spans="1:60"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row>
    <row r="173" spans="1:60"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row>
    <row r="174" spans="1:60"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row>
    <row r="175" spans="1:60"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row>
    <row r="176" spans="1:60"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row>
    <row r="177" spans="1:60"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row>
    <row r="178" spans="1:60"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row>
    <row r="179" spans="1:60"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row>
    <row r="180" spans="1:60"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row>
    <row r="181" spans="1:60"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row>
    <row r="182" spans="1:60"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row>
    <row r="183" spans="1:60"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row>
    <row r="184" spans="1:60"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row>
    <row r="185" spans="1:60"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row>
    <row r="186" spans="1:60"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row>
    <row r="187" spans="1:60"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row>
    <row r="188" spans="1:60"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row>
    <row r="189" spans="1:60"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row>
    <row r="190" spans="1:60"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row>
    <row r="191" spans="1:60" x14ac:dyDescent="0.25">
      <c r="A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row>
    <row r="192" spans="1:60" x14ac:dyDescent="0.25">
      <c r="A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row>
    <row r="193" spans="1:60" x14ac:dyDescent="0.25">
      <c r="A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row>
    <row r="194" spans="1:60" x14ac:dyDescent="0.25">
      <c r="A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row>
    <row r="195" spans="1:60" x14ac:dyDescent="0.25">
      <c r="A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row>
    <row r="196" spans="1:60" x14ac:dyDescent="0.25">
      <c r="A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row>
    <row r="197" spans="1:60" x14ac:dyDescent="0.25">
      <c r="A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row>
    <row r="198" spans="1:60" x14ac:dyDescent="0.25">
      <c r="A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row>
    <row r="199" spans="1:60" x14ac:dyDescent="0.25">
      <c r="A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row>
    <row r="200" spans="1:60" x14ac:dyDescent="0.25">
      <c r="A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row>
    <row r="201" spans="1:60" x14ac:dyDescent="0.25">
      <c r="A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row>
    <row r="202" spans="1:60" x14ac:dyDescent="0.25">
      <c r="A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row>
    <row r="203" spans="1:60" x14ac:dyDescent="0.25">
      <c r="A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row>
    <row r="204" spans="1:60" x14ac:dyDescent="0.25">
      <c r="A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row>
    <row r="205" spans="1:60" x14ac:dyDescent="0.25">
      <c r="A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row>
    <row r="206" spans="1:60" x14ac:dyDescent="0.25">
      <c r="A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row>
    <row r="207" spans="1:60" x14ac:dyDescent="0.25">
      <c r="A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row>
    <row r="208" spans="1:60" x14ac:dyDescent="0.25">
      <c r="A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row>
    <row r="209" spans="1:60" x14ac:dyDescent="0.25">
      <c r="A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row>
    <row r="210" spans="1:60" x14ac:dyDescent="0.25">
      <c r="A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row>
    <row r="211" spans="1:60" x14ac:dyDescent="0.25">
      <c r="A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row>
    <row r="212" spans="1:60" x14ac:dyDescent="0.25">
      <c r="A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row>
    <row r="213" spans="1:60" x14ac:dyDescent="0.25">
      <c r="A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row>
    <row r="214" spans="1:60" x14ac:dyDescent="0.25">
      <c r="A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row>
    <row r="215" spans="1:60" x14ac:dyDescent="0.25">
      <c r="A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row>
    <row r="216" spans="1:60" x14ac:dyDescent="0.25">
      <c r="A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row>
    <row r="217" spans="1:60" x14ac:dyDescent="0.25">
      <c r="A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row>
    <row r="218" spans="1:60" x14ac:dyDescent="0.25">
      <c r="A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row>
    <row r="219" spans="1:60" x14ac:dyDescent="0.25">
      <c r="A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row>
    <row r="220" spans="1:60" x14ac:dyDescent="0.25">
      <c r="A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row>
    <row r="221" spans="1:60" x14ac:dyDescent="0.25">
      <c r="A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row>
    <row r="222" spans="1:60" x14ac:dyDescent="0.25">
      <c r="A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row>
    <row r="223" spans="1:60" x14ac:dyDescent="0.25">
      <c r="A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row>
    <row r="224" spans="1:60" x14ac:dyDescent="0.25">
      <c r="A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row>
    <row r="225" spans="1:60" x14ac:dyDescent="0.25">
      <c r="A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row>
    <row r="226" spans="1:60" x14ac:dyDescent="0.25">
      <c r="A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row>
    <row r="227" spans="1:60" x14ac:dyDescent="0.25">
      <c r="A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row>
    <row r="228" spans="1:60" x14ac:dyDescent="0.25">
      <c r="A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row>
    <row r="229" spans="1:60" x14ac:dyDescent="0.25">
      <c r="A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row>
    <row r="230" spans="1:60" x14ac:dyDescent="0.25">
      <c r="A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row>
    <row r="231" spans="1:60" x14ac:dyDescent="0.25">
      <c r="A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row>
    <row r="232" spans="1:60" x14ac:dyDescent="0.25">
      <c r="A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row>
    <row r="233" spans="1:60" x14ac:dyDescent="0.25">
      <c r="A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row>
    <row r="234" spans="1:60" x14ac:dyDescent="0.25">
      <c r="A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row>
    <row r="235" spans="1:60" x14ac:dyDescent="0.25">
      <c r="A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row>
    <row r="236" spans="1:60" x14ac:dyDescent="0.25">
      <c r="A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row>
    <row r="237" spans="1:60" x14ac:dyDescent="0.25">
      <c r="A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row>
    <row r="238" spans="1:60" x14ac:dyDescent="0.25">
      <c r="A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row>
    <row r="239" spans="1:60" x14ac:dyDescent="0.25">
      <c r="A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row>
    <row r="240" spans="1:60" x14ac:dyDescent="0.25">
      <c r="A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row>
    <row r="241" spans="1:60" x14ac:dyDescent="0.25">
      <c r="A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row>
    <row r="242" spans="1:60" x14ac:dyDescent="0.25">
      <c r="A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row>
    <row r="243" spans="1:60" x14ac:dyDescent="0.25">
      <c r="A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row>
    <row r="244" spans="1:60" x14ac:dyDescent="0.25">
      <c r="A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row>
    <row r="245" spans="1:60" x14ac:dyDescent="0.25">
      <c r="A245" s="66"/>
    </row>
    <row r="246" spans="1:60" x14ac:dyDescent="0.25">
      <c r="A246" s="66"/>
    </row>
    <row r="247" spans="1:60" x14ac:dyDescent="0.25">
      <c r="A247" s="66"/>
    </row>
    <row r="248" spans="1:60" x14ac:dyDescent="0.25">
      <c r="A248" s="66"/>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zoomScale="90" zoomScaleNormal="90" workbookViewId="0">
      <selection activeCell="C7" sqref="C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66"/>
      <c r="B1" s="557" t="s">
        <v>192</v>
      </c>
      <c r="C1" s="557"/>
      <c r="D1" s="557"/>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1:37" x14ac:dyDescent="0.2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7" ht="25.5" x14ac:dyDescent="0.25">
      <c r="A3" s="66"/>
      <c r="B3" s="3"/>
      <c r="C3" s="4" t="s">
        <v>193</v>
      </c>
      <c r="D3" s="4" t="s">
        <v>176</v>
      </c>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1:37" ht="51" x14ac:dyDescent="0.25">
      <c r="A4" s="66"/>
      <c r="B4" s="5" t="s">
        <v>194</v>
      </c>
      <c r="C4" s="6" t="s">
        <v>195</v>
      </c>
      <c r="D4" s="7">
        <v>0.2</v>
      </c>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7" ht="51" x14ac:dyDescent="0.25">
      <c r="A5" s="66"/>
      <c r="B5" s="8" t="s">
        <v>196</v>
      </c>
      <c r="C5" s="9" t="s">
        <v>197</v>
      </c>
      <c r="D5" s="10">
        <v>0.4</v>
      </c>
      <c r="E5" s="66"/>
      <c r="F5" s="66"/>
      <c r="G5" s="66"/>
      <c r="H5" s="66"/>
      <c r="I5" s="66"/>
      <c r="J5" s="66"/>
      <c r="K5" s="66"/>
      <c r="L5" s="66"/>
      <c r="M5" s="66"/>
      <c r="N5" s="66"/>
      <c r="O5" s="66"/>
      <c r="P5" s="66"/>
      <c r="Q5" s="66"/>
      <c r="R5" s="66"/>
      <c r="S5" s="66"/>
      <c r="T5" s="66"/>
      <c r="U5" s="66"/>
      <c r="V5" s="66"/>
      <c r="W5" s="66"/>
      <c r="X5" s="66"/>
      <c r="Y5" s="66"/>
      <c r="Z5" s="66"/>
      <c r="AA5" s="66"/>
      <c r="AB5" s="66"/>
      <c r="AC5" s="66"/>
      <c r="AD5" s="66"/>
      <c r="AE5" s="66"/>
    </row>
    <row r="6" spans="1:37" ht="51" x14ac:dyDescent="0.25">
      <c r="A6" s="66"/>
      <c r="B6" s="11" t="s">
        <v>198</v>
      </c>
      <c r="C6" s="9" t="s">
        <v>199</v>
      </c>
      <c r="D6" s="10">
        <v>0.6</v>
      </c>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7" ht="76.5" x14ac:dyDescent="0.25">
      <c r="A7" s="66"/>
      <c r="B7" s="12" t="s">
        <v>200</v>
      </c>
      <c r="C7" s="9" t="s">
        <v>201</v>
      </c>
      <c r="D7" s="10">
        <v>0.8</v>
      </c>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7" ht="51" x14ac:dyDescent="0.25">
      <c r="A8" s="66"/>
      <c r="B8" s="13" t="s">
        <v>202</v>
      </c>
      <c r="C8" s="9" t="s">
        <v>203</v>
      </c>
      <c r="D8" s="10">
        <v>1</v>
      </c>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7" x14ac:dyDescent="0.25">
      <c r="A9" s="66"/>
      <c r="B9" s="88"/>
      <c r="C9" s="88"/>
      <c r="D9" s="88"/>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row>
    <row r="10" spans="1:37" ht="16.5" x14ac:dyDescent="0.25">
      <c r="A10" s="66"/>
      <c r="B10" s="89"/>
      <c r="C10" s="88"/>
      <c r="D10" s="88"/>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row>
    <row r="11" spans="1:37" x14ac:dyDescent="0.25">
      <c r="A11" s="66"/>
      <c r="B11" s="88"/>
      <c r="C11" s="88"/>
      <c r="D11" s="88"/>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row>
    <row r="12" spans="1:37" x14ac:dyDescent="0.25">
      <c r="A12" s="66"/>
      <c r="B12" s="88"/>
      <c r="C12" s="88"/>
      <c r="D12" s="88"/>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row>
    <row r="13" spans="1:37" x14ac:dyDescent="0.25">
      <c r="A13" s="66"/>
      <c r="B13" s="88"/>
      <c r="C13" s="88"/>
      <c r="D13" s="88"/>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row>
    <row r="14" spans="1:37" x14ac:dyDescent="0.25">
      <c r="A14" s="66"/>
      <c r="B14" s="88"/>
      <c r="C14" s="88"/>
      <c r="D14" s="88"/>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row>
    <row r="15" spans="1:37" x14ac:dyDescent="0.25">
      <c r="A15" s="66"/>
      <c r="B15" s="88"/>
      <c r="C15" s="88"/>
      <c r="D15" s="88"/>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row>
    <row r="16" spans="1:37" x14ac:dyDescent="0.25">
      <c r="A16" s="66"/>
      <c r="B16" s="88"/>
      <c r="C16" s="88"/>
      <c r="D16" s="88"/>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row>
    <row r="17" spans="1:37" x14ac:dyDescent="0.25">
      <c r="A17" s="66"/>
      <c r="B17" s="88"/>
      <c r="C17" s="88"/>
      <c r="D17" s="88"/>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row>
    <row r="18" spans="1:37" x14ac:dyDescent="0.25">
      <c r="A18" s="66"/>
      <c r="B18" s="88"/>
      <c r="C18" s="88"/>
      <c r="D18" s="88"/>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row>
    <row r="19" spans="1:37" x14ac:dyDescent="0.2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row>
    <row r="20" spans="1:37" x14ac:dyDescent="0.2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row>
    <row r="21" spans="1:37" x14ac:dyDescent="0.2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row>
    <row r="22" spans="1:37" x14ac:dyDescent="0.2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row>
    <row r="23" spans="1:37" x14ac:dyDescent="0.2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row>
    <row r="24" spans="1:37" x14ac:dyDescent="0.2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row>
    <row r="25" spans="1:37" x14ac:dyDescent="0.2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row>
    <row r="26" spans="1:37" x14ac:dyDescent="0.2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row>
    <row r="27" spans="1:37" x14ac:dyDescent="0.2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row>
    <row r="28" spans="1:37"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row>
    <row r="29" spans="1:37" x14ac:dyDescent="0.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row>
    <row r="30" spans="1:37" x14ac:dyDescent="0.2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row>
    <row r="31" spans="1:37"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row>
    <row r="32" spans="1:37"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row>
    <row r="33" spans="1:31" x14ac:dyDescent="0.25">
      <c r="A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row>
    <row r="34" spans="1:31" x14ac:dyDescent="0.25">
      <c r="A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row>
    <row r="35" spans="1:31" x14ac:dyDescent="0.25">
      <c r="A35" s="66"/>
    </row>
    <row r="36" spans="1:31" x14ac:dyDescent="0.25">
      <c r="A36" s="66"/>
    </row>
    <row r="37" spans="1:31" x14ac:dyDescent="0.25">
      <c r="A37" s="66"/>
    </row>
    <row r="38" spans="1:31" x14ac:dyDescent="0.25">
      <c r="A38" s="66"/>
    </row>
    <row r="39" spans="1:31" x14ac:dyDescent="0.25">
      <c r="A39" s="66"/>
    </row>
    <row r="40" spans="1:31" x14ac:dyDescent="0.25">
      <c r="A40" s="66"/>
    </row>
    <row r="41" spans="1:31" x14ac:dyDescent="0.25">
      <c r="A41" s="66"/>
    </row>
    <row r="42" spans="1:31" x14ac:dyDescent="0.25">
      <c r="A42" s="66"/>
    </row>
    <row r="43" spans="1:31" x14ac:dyDescent="0.25">
      <c r="A43" s="66"/>
    </row>
    <row r="44" spans="1:31" x14ac:dyDescent="0.25">
      <c r="A44" s="66"/>
    </row>
    <row r="45" spans="1:31" x14ac:dyDescent="0.25">
      <c r="A45" s="66"/>
    </row>
    <row r="46" spans="1:31" x14ac:dyDescent="0.25">
      <c r="A46" s="66"/>
    </row>
    <row r="47" spans="1:31" x14ac:dyDescent="0.25">
      <c r="A47" s="66"/>
    </row>
    <row r="48" spans="1:31" x14ac:dyDescent="0.25">
      <c r="A48" s="66"/>
    </row>
    <row r="49" spans="1:1" x14ac:dyDescent="0.25">
      <c r="A49" s="66"/>
    </row>
    <row r="50" spans="1:1" x14ac:dyDescent="0.25">
      <c r="A50" s="66"/>
    </row>
    <row r="51" spans="1:1" x14ac:dyDescent="0.25">
      <c r="A51" s="66"/>
    </row>
    <row r="52" spans="1:1" x14ac:dyDescent="0.25">
      <c r="A52" s="66"/>
    </row>
    <row r="53" spans="1:1" x14ac:dyDescent="0.25">
      <c r="A53" s="66"/>
    </row>
    <row r="54" spans="1:1" x14ac:dyDescent="0.25">
      <c r="A54" s="66"/>
    </row>
    <row r="55" spans="1:1" x14ac:dyDescent="0.25">
      <c r="A55" s="66"/>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33"/>
  <sheetViews>
    <sheetView topLeftCell="A5" zoomScale="50" zoomScaleNormal="50" workbookViewId="0">
      <selection activeCell="E8" sqref="E8"/>
    </sheetView>
  </sheetViews>
  <sheetFormatPr baseColWidth="10" defaultColWidth="11.42578125" defaultRowHeight="15" x14ac:dyDescent="0.25"/>
  <cols>
    <col min="1" max="1" width="5.28515625" customWidth="1"/>
    <col min="2" max="2" width="56.85546875" customWidth="1"/>
    <col min="3" max="3" width="75.140625" customWidth="1"/>
    <col min="4" max="4" width="87.5703125" customWidth="1"/>
    <col min="5" max="5" width="46.42578125" customWidth="1"/>
    <col min="6" max="6" width="23.42578125" style="114" customWidth="1"/>
    <col min="7" max="7" width="26.85546875" customWidth="1"/>
  </cols>
  <sheetData>
    <row r="2" spans="1:21" s="189" customFormat="1" ht="45.75" customHeight="1" x14ac:dyDescent="0.25">
      <c r="A2" s="187"/>
      <c r="B2" s="558" t="s">
        <v>204</v>
      </c>
      <c r="C2" s="558"/>
      <c r="D2" s="558"/>
      <c r="E2" s="558"/>
      <c r="F2" s="188"/>
      <c r="G2" s="187"/>
      <c r="H2" s="187"/>
      <c r="I2" s="187"/>
      <c r="J2" s="187"/>
      <c r="K2" s="187"/>
      <c r="L2" s="187"/>
      <c r="M2" s="187"/>
      <c r="N2" s="187"/>
      <c r="O2" s="187"/>
      <c r="P2" s="187"/>
      <c r="Q2" s="187"/>
      <c r="R2" s="187"/>
      <c r="S2" s="187"/>
      <c r="T2" s="187"/>
      <c r="U2" s="187"/>
    </row>
    <row r="3" spans="1:21" s="189" customFormat="1" ht="18.75" customHeight="1" x14ac:dyDescent="0.25">
      <c r="A3" s="187"/>
      <c r="B3" s="190"/>
      <c r="C3" s="187"/>
      <c r="D3" s="187"/>
      <c r="E3" s="187"/>
      <c r="F3" s="188"/>
      <c r="G3" s="187"/>
      <c r="H3" s="187"/>
      <c r="I3" s="187"/>
      <c r="J3" s="187"/>
      <c r="K3" s="187"/>
      <c r="L3" s="187"/>
      <c r="M3" s="187"/>
      <c r="N3" s="187"/>
      <c r="O3" s="187"/>
      <c r="P3" s="187"/>
      <c r="Q3" s="187"/>
      <c r="R3" s="187"/>
      <c r="S3" s="187"/>
      <c r="T3" s="187"/>
      <c r="U3" s="187"/>
    </row>
    <row r="4" spans="1:21" ht="67.5" customHeight="1" x14ac:dyDescent="0.25">
      <c r="A4" s="66"/>
      <c r="B4" s="106"/>
      <c r="C4" s="21" t="s">
        <v>205</v>
      </c>
      <c r="D4" s="21" t="s">
        <v>206</v>
      </c>
      <c r="E4" s="21" t="s">
        <v>394</v>
      </c>
      <c r="F4" s="112"/>
      <c r="G4" s="66"/>
      <c r="H4" s="66"/>
      <c r="I4" s="66"/>
      <c r="J4" s="66"/>
      <c r="K4" s="66"/>
      <c r="L4" s="66"/>
      <c r="M4" s="66"/>
      <c r="N4" s="66"/>
      <c r="O4" s="66"/>
      <c r="P4" s="66"/>
      <c r="Q4" s="66"/>
      <c r="R4" s="66"/>
      <c r="S4" s="66"/>
      <c r="T4" s="66"/>
      <c r="U4" s="66"/>
    </row>
    <row r="5" spans="1:21" ht="67.5" customHeight="1" x14ac:dyDescent="0.25">
      <c r="A5" s="86" t="s">
        <v>207</v>
      </c>
      <c r="B5" s="22" t="s">
        <v>208</v>
      </c>
      <c r="C5" s="27" t="s">
        <v>209</v>
      </c>
      <c r="D5" s="104" t="s">
        <v>210</v>
      </c>
      <c r="E5" s="257">
        <f>908526*130</f>
        <v>118108380</v>
      </c>
      <c r="F5" s="66"/>
      <c r="G5" s="66"/>
      <c r="H5" s="66"/>
      <c r="I5" s="66"/>
      <c r="J5" s="66"/>
      <c r="K5" s="66"/>
      <c r="L5" s="66"/>
      <c r="M5" s="66"/>
      <c r="N5" s="66"/>
      <c r="O5" s="66"/>
      <c r="P5" s="66"/>
      <c r="Q5" s="66"/>
      <c r="R5" s="66"/>
      <c r="S5" s="66"/>
      <c r="T5" s="66"/>
      <c r="U5" s="66"/>
    </row>
    <row r="6" spans="1:21" ht="129" customHeight="1" x14ac:dyDescent="0.25">
      <c r="A6" s="86" t="s">
        <v>211</v>
      </c>
      <c r="B6" s="23" t="s">
        <v>212</v>
      </c>
      <c r="C6" s="28" t="s">
        <v>213</v>
      </c>
      <c r="D6" s="105" t="s">
        <v>214</v>
      </c>
      <c r="E6" s="257">
        <f>908526*650</f>
        <v>590541900</v>
      </c>
      <c r="F6" s="66"/>
      <c r="G6" s="66"/>
      <c r="H6" s="66"/>
      <c r="I6" s="66"/>
      <c r="J6" s="66"/>
      <c r="K6" s="66"/>
      <c r="L6" s="66"/>
      <c r="M6" s="66"/>
      <c r="N6" s="66"/>
      <c r="O6" s="66"/>
      <c r="P6" s="66"/>
      <c r="Q6" s="66"/>
      <c r="R6" s="66"/>
      <c r="S6" s="66"/>
      <c r="T6" s="66"/>
      <c r="U6" s="66"/>
    </row>
    <row r="7" spans="1:21" ht="101.25" x14ac:dyDescent="0.25">
      <c r="A7" s="86" t="s">
        <v>182</v>
      </c>
      <c r="B7" s="24" t="s">
        <v>215</v>
      </c>
      <c r="C7" s="28" t="s">
        <v>216</v>
      </c>
      <c r="D7" s="105" t="s">
        <v>217</v>
      </c>
      <c r="E7" s="257">
        <f>908526*1300</f>
        <v>1181083800</v>
      </c>
      <c r="F7" s="66"/>
      <c r="G7" s="66"/>
      <c r="H7" s="66"/>
      <c r="I7" s="66"/>
      <c r="J7" s="66"/>
      <c r="K7" s="66"/>
      <c r="L7" s="66"/>
      <c r="M7" s="66"/>
      <c r="N7" s="66"/>
      <c r="O7" s="66"/>
      <c r="P7" s="66"/>
      <c r="Q7" s="66"/>
      <c r="R7" s="66"/>
      <c r="S7" s="66"/>
      <c r="T7" s="66"/>
      <c r="U7" s="66"/>
    </row>
    <row r="8" spans="1:21" ht="135" x14ac:dyDescent="0.25">
      <c r="A8" s="86" t="s">
        <v>218</v>
      </c>
      <c r="B8" s="25" t="s">
        <v>219</v>
      </c>
      <c r="C8" s="28" t="s">
        <v>220</v>
      </c>
      <c r="D8" s="105" t="s">
        <v>221</v>
      </c>
      <c r="E8" s="257">
        <f>908526*6500</f>
        <v>5905419000</v>
      </c>
      <c r="F8" s="66"/>
      <c r="G8" s="66"/>
      <c r="H8" s="66"/>
      <c r="I8" s="66"/>
      <c r="J8" s="66"/>
      <c r="K8" s="66"/>
      <c r="L8" s="66"/>
      <c r="M8" s="66"/>
      <c r="N8" s="66"/>
      <c r="O8" s="66"/>
      <c r="P8" s="66"/>
      <c r="Q8" s="66"/>
      <c r="R8" s="66"/>
      <c r="S8" s="66"/>
      <c r="T8" s="66"/>
      <c r="U8" s="66"/>
    </row>
    <row r="9" spans="1:21" ht="101.25" x14ac:dyDescent="0.25">
      <c r="A9" s="86" t="s">
        <v>222</v>
      </c>
      <c r="B9" s="26" t="s">
        <v>223</v>
      </c>
      <c r="C9" s="28" t="s">
        <v>224</v>
      </c>
      <c r="D9" s="105" t="s">
        <v>225</v>
      </c>
      <c r="E9" s="257"/>
      <c r="F9" s="107"/>
      <c r="G9" s="107"/>
      <c r="H9" s="66"/>
      <c r="I9" s="66"/>
      <c r="J9" s="66"/>
      <c r="K9" s="66"/>
      <c r="L9" s="66"/>
      <c r="M9" s="66"/>
      <c r="N9" s="66"/>
      <c r="O9" s="66"/>
      <c r="P9" s="66"/>
      <c r="Q9" s="66"/>
      <c r="R9" s="66"/>
      <c r="S9" s="66"/>
      <c r="T9" s="66"/>
      <c r="U9" s="66"/>
    </row>
    <row r="10" spans="1:21" s="110" customFormat="1" ht="20.25" hidden="1" x14ac:dyDescent="0.25">
      <c r="A10" s="108"/>
      <c r="B10" s="108"/>
      <c r="C10" s="109"/>
      <c r="D10" s="109"/>
      <c r="E10" s="108"/>
      <c r="F10" s="108"/>
      <c r="G10" s="108"/>
      <c r="H10" s="108"/>
      <c r="I10" s="108"/>
      <c r="J10" s="108"/>
      <c r="K10" s="108"/>
      <c r="L10" s="108"/>
      <c r="M10" s="108"/>
      <c r="N10" s="108"/>
      <c r="O10" s="108"/>
      <c r="P10" s="108"/>
      <c r="Q10" s="108"/>
      <c r="R10" s="108"/>
      <c r="S10" s="108"/>
      <c r="T10" s="108"/>
      <c r="U10" s="108"/>
    </row>
    <row r="11" spans="1:21" s="110" customFormat="1" ht="16.5" hidden="1" x14ac:dyDescent="0.25">
      <c r="A11" s="108"/>
      <c r="B11" s="111"/>
      <c r="C11" s="111"/>
      <c r="D11" s="111"/>
      <c r="E11" s="108"/>
      <c r="F11" s="108"/>
      <c r="G11" s="108"/>
      <c r="H11" s="108"/>
      <c r="I11" s="108"/>
      <c r="J11" s="108"/>
      <c r="K11" s="108"/>
      <c r="L11" s="108"/>
      <c r="M11" s="108"/>
      <c r="N11" s="108"/>
      <c r="O11" s="108"/>
      <c r="P11" s="108"/>
      <c r="Q11" s="108"/>
      <c r="R11" s="108"/>
      <c r="S11" s="108"/>
      <c r="T11" s="108"/>
      <c r="U11" s="108"/>
    </row>
    <row r="12" spans="1:21" s="110" customFormat="1" hidden="1" x14ac:dyDescent="0.25">
      <c r="A12" s="108"/>
      <c r="B12" s="108" t="s">
        <v>226</v>
      </c>
      <c r="C12" s="108" t="s">
        <v>227</v>
      </c>
      <c r="D12" s="108" t="s">
        <v>228</v>
      </c>
      <c r="E12" s="108"/>
      <c r="F12" s="108"/>
      <c r="G12" s="108"/>
      <c r="H12" s="108"/>
      <c r="I12" s="108"/>
      <c r="J12" s="108"/>
      <c r="K12" s="108"/>
      <c r="L12" s="108"/>
      <c r="M12" s="108"/>
      <c r="N12" s="108"/>
      <c r="O12" s="108"/>
      <c r="P12" s="108"/>
      <c r="Q12" s="108"/>
      <c r="R12" s="108"/>
      <c r="S12" s="108"/>
      <c r="T12" s="108"/>
      <c r="U12" s="108"/>
    </row>
    <row r="13" spans="1:21" s="110" customFormat="1" hidden="1" x14ac:dyDescent="0.25">
      <c r="A13" s="108"/>
      <c r="B13" s="108" t="s">
        <v>229</v>
      </c>
      <c r="C13" s="108" t="s">
        <v>230</v>
      </c>
      <c r="D13" s="108" t="s">
        <v>231</v>
      </c>
      <c r="E13" s="108"/>
      <c r="F13" s="108"/>
      <c r="G13" s="108"/>
      <c r="H13" s="108"/>
      <c r="I13" s="108"/>
      <c r="J13" s="108"/>
      <c r="K13" s="108"/>
      <c r="L13" s="108"/>
      <c r="M13" s="108"/>
      <c r="N13" s="108"/>
      <c r="O13" s="108"/>
      <c r="P13" s="108"/>
      <c r="Q13" s="108"/>
      <c r="R13" s="108"/>
      <c r="S13" s="108"/>
      <c r="T13" s="108"/>
      <c r="U13" s="108"/>
    </row>
    <row r="14" spans="1:21" s="110" customFormat="1" hidden="1" x14ac:dyDescent="0.25">
      <c r="A14" s="108"/>
      <c r="B14" s="108"/>
      <c r="C14" s="108" t="s">
        <v>232</v>
      </c>
      <c r="D14" s="108" t="s">
        <v>155</v>
      </c>
      <c r="E14" s="108"/>
      <c r="F14" s="108"/>
      <c r="G14" s="108"/>
      <c r="H14" s="108"/>
      <c r="I14" s="108"/>
      <c r="J14" s="108"/>
      <c r="K14" s="108"/>
      <c r="L14" s="108"/>
      <c r="M14" s="108"/>
      <c r="N14" s="108"/>
      <c r="O14" s="108"/>
      <c r="P14" s="108"/>
      <c r="Q14" s="108"/>
      <c r="R14" s="108"/>
      <c r="S14" s="108"/>
      <c r="T14" s="108"/>
      <c r="U14" s="108"/>
    </row>
    <row r="15" spans="1:21" s="110" customFormat="1" hidden="1" x14ac:dyDescent="0.25">
      <c r="A15" s="108"/>
      <c r="B15" s="108"/>
      <c r="C15" s="108" t="s">
        <v>233</v>
      </c>
      <c r="D15" s="108" t="s">
        <v>234</v>
      </c>
      <c r="E15" s="108"/>
      <c r="F15" s="108"/>
      <c r="G15" s="108"/>
      <c r="H15" s="108"/>
      <c r="I15" s="108"/>
      <c r="J15" s="108"/>
      <c r="K15" s="108"/>
      <c r="L15" s="108"/>
      <c r="M15" s="108"/>
      <c r="N15" s="108"/>
      <c r="O15" s="108"/>
      <c r="P15" s="108"/>
      <c r="Q15" s="108"/>
      <c r="R15" s="108"/>
      <c r="S15" s="108"/>
      <c r="T15" s="108"/>
      <c r="U15" s="108"/>
    </row>
    <row r="16" spans="1:21" s="110" customFormat="1" hidden="1" x14ac:dyDescent="0.25">
      <c r="A16" s="108"/>
      <c r="B16" s="108"/>
      <c r="C16" s="108" t="s">
        <v>235</v>
      </c>
      <c r="D16" s="108" t="s">
        <v>236</v>
      </c>
      <c r="E16" s="108"/>
      <c r="F16" s="108"/>
      <c r="G16" s="108"/>
      <c r="H16" s="108"/>
      <c r="I16" s="108"/>
      <c r="J16" s="108"/>
      <c r="K16" s="108"/>
      <c r="L16" s="108"/>
      <c r="M16" s="108"/>
      <c r="N16" s="108"/>
      <c r="O16" s="108"/>
      <c r="P16" s="108"/>
      <c r="Q16" s="108"/>
      <c r="R16" s="108"/>
      <c r="S16" s="108"/>
      <c r="T16" s="108"/>
      <c r="U16" s="108"/>
    </row>
    <row r="17" spans="1:15" s="110" customFormat="1" hidden="1" x14ac:dyDescent="0.25">
      <c r="A17" s="108"/>
      <c r="B17" s="108"/>
      <c r="C17" s="108"/>
      <c r="D17" s="108"/>
      <c r="E17" s="108"/>
      <c r="F17" s="108"/>
      <c r="G17" s="108"/>
      <c r="H17" s="108"/>
      <c r="I17" s="108"/>
      <c r="J17" s="108"/>
      <c r="K17" s="108"/>
      <c r="L17" s="108"/>
      <c r="M17" s="108"/>
      <c r="N17" s="108"/>
      <c r="O17" s="108"/>
    </row>
    <row r="18" spans="1:15" s="110" customFormat="1" x14ac:dyDescent="0.25">
      <c r="A18" s="108"/>
      <c r="B18" s="108"/>
      <c r="C18" s="108"/>
      <c r="D18" s="108"/>
      <c r="E18" s="108"/>
      <c r="F18" s="108"/>
      <c r="G18" s="108"/>
      <c r="H18" s="108"/>
      <c r="I18" s="108"/>
      <c r="J18" s="108"/>
      <c r="K18" s="108"/>
      <c r="L18" s="108"/>
      <c r="M18" s="108"/>
      <c r="N18" s="108"/>
      <c r="O18" s="108"/>
    </row>
    <row r="19" spans="1:15" s="110" customFormat="1" x14ac:dyDescent="0.25">
      <c r="A19" s="108"/>
      <c r="B19" s="108"/>
      <c r="C19" s="108"/>
      <c r="D19" s="108"/>
      <c r="E19" s="108"/>
      <c r="F19" s="108"/>
      <c r="G19" s="108"/>
      <c r="H19" s="108"/>
      <c r="I19" s="108"/>
      <c r="J19" s="108"/>
      <c r="K19" s="108"/>
      <c r="L19" s="108"/>
      <c r="M19" s="108"/>
      <c r="N19" s="108"/>
      <c r="O19" s="108"/>
    </row>
    <row r="20" spans="1:15" s="110" customFormat="1" x14ac:dyDescent="0.25">
      <c r="A20" s="108"/>
      <c r="B20" s="108"/>
      <c r="C20" s="108"/>
      <c r="D20" s="108"/>
      <c r="E20" s="108"/>
      <c r="F20" s="108"/>
      <c r="G20" s="108"/>
      <c r="H20" s="108"/>
      <c r="I20" s="108"/>
      <c r="J20" s="108"/>
      <c r="K20" s="108"/>
      <c r="L20" s="108"/>
      <c r="M20" s="108"/>
      <c r="N20" s="108"/>
      <c r="O20" s="108"/>
    </row>
    <row r="21" spans="1:15" s="110" customFormat="1" x14ac:dyDescent="0.25">
      <c r="A21" s="108"/>
      <c r="B21" s="108"/>
      <c r="C21" s="108"/>
      <c r="D21" s="108"/>
      <c r="E21" s="108"/>
      <c r="F21" s="113"/>
      <c r="G21" s="108"/>
      <c r="H21" s="108"/>
      <c r="I21" s="108"/>
      <c r="J21" s="108"/>
      <c r="K21" s="108"/>
      <c r="L21" s="108"/>
      <c r="M21" s="108"/>
      <c r="N21" s="108"/>
      <c r="O21" s="108"/>
    </row>
    <row r="22" spans="1:15" s="110" customFormat="1" x14ac:dyDescent="0.25">
      <c r="A22" s="108"/>
      <c r="B22" s="108"/>
      <c r="C22" s="108"/>
      <c r="D22" s="108"/>
      <c r="E22" s="108"/>
      <c r="F22" s="113"/>
      <c r="G22" s="108"/>
      <c r="H22" s="108"/>
      <c r="I22" s="108"/>
      <c r="J22" s="108"/>
      <c r="K22" s="108"/>
      <c r="L22" s="108"/>
      <c r="M22" s="108"/>
      <c r="N22" s="108"/>
      <c r="O22" s="108"/>
    </row>
    <row r="23" spans="1:15" s="110" customFormat="1" ht="20.25" x14ac:dyDescent="0.25">
      <c r="A23" s="108"/>
      <c r="B23" s="108"/>
      <c r="C23" s="109"/>
      <c r="D23" s="109"/>
      <c r="E23" s="108"/>
      <c r="F23" s="113"/>
      <c r="G23" s="108"/>
      <c r="H23" s="108"/>
      <c r="I23" s="108"/>
      <c r="J23" s="108"/>
      <c r="K23" s="108"/>
      <c r="L23" s="108"/>
      <c r="M23" s="108"/>
      <c r="N23" s="108"/>
      <c r="O23" s="108"/>
    </row>
    <row r="24" spans="1:15" s="110" customFormat="1" ht="20.25" x14ac:dyDescent="0.25">
      <c r="A24" s="108"/>
      <c r="B24" s="108"/>
      <c r="C24" s="109"/>
      <c r="D24" s="109"/>
      <c r="E24" s="108"/>
      <c r="F24" s="113"/>
      <c r="G24" s="108"/>
      <c r="H24" s="108"/>
      <c r="I24" s="108"/>
      <c r="J24" s="108"/>
      <c r="K24" s="108"/>
      <c r="L24" s="108"/>
      <c r="M24" s="108"/>
      <c r="N24" s="108"/>
      <c r="O24" s="108"/>
    </row>
    <row r="25" spans="1:15" s="110" customFormat="1" ht="20.25" x14ac:dyDescent="0.25">
      <c r="A25" s="108"/>
      <c r="B25" s="108"/>
      <c r="C25" s="109"/>
      <c r="D25" s="109"/>
      <c r="E25" s="108"/>
      <c r="F25" s="113"/>
      <c r="G25" s="108"/>
      <c r="H25" s="108"/>
      <c r="I25" s="108"/>
      <c r="J25" s="108"/>
      <c r="K25" s="108"/>
      <c r="L25" s="108"/>
      <c r="M25" s="108"/>
      <c r="N25" s="108"/>
      <c r="O25" s="108"/>
    </row>
    <row r="26" spans="1:15" s="110" customFormat="1" ht="20.25" x14ac:dyDescent="0.25">
      <c r="A26" s="108"/>
      <c r="B26" s="108"/>
      <c r="C26" s="109"/>
      <c r="D26" s="109"/>
      <c r="E26" s="108"/>
      <c r="F26" s="113"/>
      <c r="G26" s="108"/>
      <c r="H26" s="108"/>
      <c r="I26" s="108"/>
      <c r="J26" s="108"/>
      <c r="K26" s="108"/>
      <c r="L26" s="108"/>
      <c r="M26" s="108"/>
      <c r="N26" s="108"/>
      <c r="O26" s="108"/>
    </row>
    <row r="27" spans="1:15" s="110" customFormat="1" ht="20.25" x14ac:dyDescent="0.25">
      <c r="A27" s="108"/>
      <c r="B27" s="108"/>
      <c r="C27" s="109"/>
      <c r="D27" s="109"/>
      <c r="E27" s="108"/>
      <c r="F27" s="113"/>
      <c r="G27" s="108"/>
      <c r="H27" s="108"/>
      <c r="I27" s="108"/>
      <c r="J27" s="108"/>
      <c r="K27" s="108"/>
      <c r="L27" s="108"/>
      <c r="M27" s="108"/>
      <c r="N27" s="108"/>
      <c r="O27" s="108"/>
    </row>
    <row r="28" spans="1:15" s="110" customFormat="1" ht="20.25" x14ac:dyDescent="0.25">
      <c r="A28" s="108"/>
      <c r="B28" s="108"/>
      <c r="C28" s="109"/>
      <c r="D28" s="109"/>
      <c r="E28" s="108"/>
      <c r="F28" s="113"/>
      <c r="G28" s="108"/>
      <c r="H28" s="108"/>
      <c r="I28" s="108"/>
      <c r="J28" s="108"/>
      <c r="K28" s="108"/>
      <c r="L28" s="108"/>
      <c r="M28" s="108"/>
      <c r="N28" s="108"/>
      <c r="O28" s="108"/>
    </row>
    <row r="29" spans="1:15" s="110" customFormat="1" ht="20.25" x14ac:dyDescent="0.25">
      <c r="A29" s="108"/>
      <c r="B29" s="108"/>
      <c r="C29" s="109"/>
      <c r="D29" s="109"/>
      <c r="E29" s="108"/>
      <c r="F29" s="113"/>
      <c r="G29" s="108"/>
      <c r="H29" s="108"/>
      <c r="I29" s="108"/>
      <c r="J29" s="108"/>
      <c r="K29" s="108"/>
      <c r="L29" s="108"/>
      <c r="M29" s="108"/>
      <c r="N29" s="108"/>
      <c r="O29" s="108"/>
    </row>
    <row r="30" spans="1:15" s="110" customFormat="1" ht="20.25" x14ac:dyDescent="0.25">
      <c r="A30" s="108"/>
      <c r="B30" s="108"/>
      <c r="C30" s="109"/>
      <c r="D30" s="109"/>
      <c r="E30" s="108"/>
      <c r="F30" s="113"/>
      <c r="G30" s="108"/>
      <c r="H30" s="108"/>
      <c r="I30" s="108"/>
      <c r="J30" s="108"/>
      <c r="K30" s="108"/>
      <c r="L30" s="108"/>
      <c r="M30" s="108"/>
      <c r="N30" s="108"/>
      <c r="O30" s="108"/>
    </row>
    <row r="31" spans="1:15" s="110" customFormat="1" ht="20.25" x14ac:dyDescent="0.25">
      <c r="A31" s="108"/>
      <c r="B31" s="108"/>
      <c r="C31" s="109"/>
      <c r="D31" s="109"/>
      <c r="E31" s="108"/>
      <c r="F31" s="113"/>
      <c r="G31" s="108"/>
      <c r="H31" s="108"/>
      <c r="I31" s="108"/>
      <c r="J31" s="108"/>
      <c r="K31" s="108"/>
      <c r="L31" s="108"/>
      <c r="M31" s="108"/>
      <c r="N31" s="108"/>
      <c r="O31" s="108"/>
    </row>
    <row r="32" spans="1:15" s="110" customFormat="1" ht="20.25" x14ac:dyDescent="0.25">
      <c r="A32" s="108"/>
      <c r="B32" s="108"/>
      <c r="C32" s="109"/>
      <c r="D32" s="109"/>
      <c r="E32" s="108"/>
      <c r="F32" s="113"/>
      <c r="G32" s="108"/>
      <c r="H32" s="108"/>
      <c r="I32" s="108"/>
      <c r="J32" s="108"/>
      <c r="K32" s="108"/>
      <c r="L32" s="108"/>
      <c r="M32" s="108"/>
      <c r="N32" s="108"/>
      <c r="O32" s="108"/>
    </row>
    <row r="33" spans="1:15" s="110" customFormat="1" ht="20.25" x14ac:dyDescent="0.25">
      <c r="A33" s="108"/>
      <c r="B33" s="108"/>
      <c r="C33" s="109"/>
      <c r="D33" s="109"/>
      <c r="E33" s="108"/>
      <c r="F33" s="113"/>
      <c r="G33" s="108"/>
      <c r="H33" s="108"/>
      <c r="I33" s="108"/>
      <c r="J33" s="108"/>
      <c r="K33" s="108"/>
      <c r="L33" s="108"/>
      <c r="M33" s="108"/>
      <c r="N33" s="108"/>
      <c r="O33" s="108"/>
    </row>
    <row r="34" spans="1:15" s="110" customFormat="1" ht="20.25" x14ac:dyDescent="0.25">
      <c r="A34" s="108"/>
      <c r="B34" s="108"/>
      <c r="C34" s="109"/>
      <c r="D34" s="109"/>
      <c r="E34" s="108"/>
      <c r="F34" s="113"/>
      <c r="G34" s="108"/>
      <c r="H34" s="108"/>
      <c r="I34" s="108"/>
      <c r="J34" s="108"/>
      <c r="K34" s="108"/>
      <c r="L34" s="108"/>
      <c r="M34" s="108"/>
      <c r="N34" s="108"/>
      <c r="O34" s="108"/>
    </row>
    <row r="35" spans="1:15" s="110" customFormat="1" ht="20.25" x14ac:dyDescent="0.25">
      <c r="A35" s="108"/>
      <c r="B35" s="108"/>
      <c r="C35" s="109"/>
      <c r="D35" s="109"/>
      <c r="E35" s="108"/>
      <c r="F35" s="113"/>
      <c r="G35" s="108"/>
      <c r="H35" s="108"/>
      <c r="I35" s="108"/>
      <c r="J35" s="108"/>
      <c r="K35" s="108"/>
      <c r="L35" s="108"/>
      <c r="M35" s="108"/>
      <c r="N35" s="108"/>
      <c r="O35" s="108"/>
    </row>
    <row r="36" spans="1:15" s="110" customFormat="1" ht="20.25" x14ac:dyDescent="0.25">
      <c r="A36" s="108"/>
      <c r="B36" s="108"/>
      <c r="C36" s="109"/>
      <c r="D36" s="109"/>
      <c r="E36" s="108"/>
      <c r="F36" s="113"/>
      <c r="G36" s="108"/>
      <c r="H36" s="108"/>
      <c r="I36" s="108"/>
      <c r="J36" s="108"/>
      <c r="K36" s="108"/>
      <c r="L36" s="108"/>
      <c r="M36" s="108"/>
      <c r="N36" s="108"/>
      <c r="O36" s="108"/>
    </row>
    <row r="37" spans="1:15" s="110" customFormat="1" ht="20.25" x14ac:dyDescent="0.25">
      <c r="A37" s="108"/>
      <c r="B37" s="108"/>
      <c r="C37" s="109"/>
      <c r="D37" s="109"/>
      <c r="E37" s="108"/>
      <c r="F37" s="113"/>
      <c r="G37" s="108"/>
      <c r="H37" s="108"/>
      <c r="I37" s="108"/>
      <c r="J37" s="108"/>
      <c r="K37" s="108"/>
      <c r="L37" s="108"/>
      <c r="M37" s="108"/>
      <c r="N37" s="108"/>
      <c r="O37" s="108"/>
    </row>
    <row r="38" spans="1:15" s="110" customFormat="1" ht="20.25" x14ac:dyDescent="0.25">
      <c r="A38" s="108"/>
      <c r="B38" s="108"/>
      <c r="C38" s="109"/>
      <c r="D38" s="109"/>
      <c r="E38" s="108"/>
      <c r="F38" s="113"/>
      <c r="G38" s="108"/>
      <c r="H38" s="108"/>
      <c r="I38" s="108"/>
      <c r="J38" s="108"/>
      <c r="K38" s="108"/>
      <c r="L38" s="108"/>
      <c r="M38" s="108"/>
      <c r="N38" s="108"/>
      <c r="O38" s="108"/>
    </row>
    <row r="39" spans="1:15" s="110" customFormat="1" ht="20.25" x14ac:dyDescent="0.25">
      <c r="A39" s="108"/>
      <c r="B39" s="108"/>
      <c r="C39" s="109"/>
      <c r="D39" s="109"/>
      <c r="E39" s="108"/>
      <c r="F39" s="113"/>
      <c r="G39" s="108"/>
      <c r="H39" s="108"/>
      <c r="I39" s="108"/>
      <c r="J39" s="108"/>
      <c r="K39" s="108"/>
      <c r="L39" s="108"/>
      <c r="M39" s="108"/>
      <c r="N39" s="108"/>
      <c r="O39" s="108"/>
    </row>
    <row r="40" spans="1:15" s="110" customFormat="1" ht="20.25" x14ac:dyDescent="0.25">
      <c r="A40" s="108"/>
      <c r="B40" s="108"/>
      <c r="C40" s="109"/>
      <c r="D40" s="109"/>
      <c r="E40" s="108"/>
      <c r="F40" s="113"/>
      <c r="G40" s="108"/>
      <c r="H40" s="108"/>
      <c r="I40" s="108"/>
      <c r="J40" s="108"/>
      <c r="K40" s="108"/>
      <c r="L40" s="108"/>
      <c r="M40" s="108"/>
      <c r="N40" s="108"/>
      <c r="O40" s="108"/>
    </row>
    <row r="41" spans="1:15" s="110" customFormat="1" ht="20.25" x14ac:dyDescent="0.25">
      <c r="A41" s="108"/>
      <c r="B41" s="108"/>
      <c r="C41" s="109"/>
      <c r="D41" s="109"/>
      <c r="E41" s="108"/>
      <c r="F41" s="113"/>
      <c r="G41" s="108"/>
      <c r="H41" s="108"/>
      <c r="I41" s="108"/>
      <c r="J41" s="108"/>
      <c r="K41" s="108"/>
      <c r="L41" s="108"/>
      <c r="M41" s="108"/>
      <c r="N41" s="108"/>
      <c r="O41" s="108"/>
    </row>
    <row r="42" spans="1:15" s="110" customFormat="1" ht="20.25" x14ac:dyDescent="0.25">
      <c r="A42" s="108"/>
      <c r="B42" s="108"/>
      <c r="C42" s="109"/>
      <c r="D42" s="109"/>
      <c r="E42" s="108"/>
      <c r="F42" s="113"/>
      <c r="G42" s="108"/>
      <c r="H42" s="108"/>
      <c r="I42" s="108"/>
      <c r="J42" s="108"/>
      <c r="K42" s="108"/>
      <c r="L42" s="108"/>
      <c r="M42" s="108"/>
      <c r="N42" s="108"/>
      <c r="O42" s="108"/>
    </row>
    <row r="43" spans="1:15" s="110" customFormat="1" ht="20.25" x14ac:dyDescent="0.25">
      <c r="A43" s="108"/>
      <c r="B43" s="108"/>
      <c r="C43" s="109"/>
      <c r="D43" s="109"/>
      <c r="E43" s="108"/>
      <c r="F43" s="113"/>
      <c r="G43" s="108"/>
      <c r="H43" s="108"/>
      <c r="I43" s="108"/>
      <c r="J43" s="108"/>
      <c r="K43" s="108"/>
      <c r="L43" s="108"/>
      <c r="M43" s="108"/>
      <c r="N43" s="108"/>
      <c r="O43" s="108"/>
    </row>
    <row r="44" spans="1:15" s="110" customFormat="1" ht="20.25" x14ac:dyDescent="0.25">
      <c r="A44" s="108"/>
      <c r="B44" s="108"/>
      <c r="C44" s="109"/>
      <c r="D44" s="109"/>
      <c r="E44" s="108"/>
      <c r="F44" s="113"/>
      <c r="G44" s="108"/>
      <c r="H44" s="108"/>
      <c r="I44" s="108"/>
      <c r="J44" s="108"/>
      <c r="K44" s="108"/>
      <c r="L44" s="108"/>
      <c r="M44" s="108"/>
      <c r="N44" s="108"/>
      <c r="O44" s="108"/>
    </row>
    <row r="45" spans="1:15" s="110" customFormat="1" ht="20.25" x14ac:dyDescent="0.25">
      <c r="A45" s="108"/>
      <c r="B45" s="108"/>
      <c r="C45" s="109"/>
      <c r="D45" s="109"/>
      <c r="E45" s="108"/>
      <c r="F45" s="113"/>
      <c r="G45" s="108"/>
      <c r="H45" s="108"/>
      <c r="I45" s="108"/>
      <c r="J45" s="108"/>
      <c r="K45" s="108"/>
      <c r="L45" s="108"/>
      <c r="M45" s="108"/>
      <c r="N45" s="108"/>
      <c r="O45" s="108"/>
    </row>
    <row r="46" spans="1:15" s="110" customFormat="1" ht="20.25" x14ac:dyDescent="0.25">
      <c r="A46" s="108"/>
      <c r="B46" s="108"/>
      <c r="C46" s="109"/>
      <c r="D46" s="109"/>
      <c r="E46" s="108"/>
      <c r="F46" s="113"/>
      <c r="G46" s="108"/>
      <c r="H46" s="108"/>
      <c r="I46" s="108"/>
      <c r="J46" s="108"/>
      <c r="K46" s="108"/>
      <c r="L46" s="108"/>
      <c r="M46" s="108"/>
      <c r="N46" s="108"/>
      <c r="O46" s="108"/>
    </row>
    <row r="47" spans="1:15" ht="20.25" x14ac:dyDescent="0.25">
      <c r="A47" s="86"/>
      <c r="B47" s="86"/>
      <c r="C47" s="87"/>
      <c r="D47" s="87"/>
      <c r="E47" s="66"/>
      <c r="F47" s="112"/>
      <c r="G47" s="66"/>
      <c r="H47" s="66"/>
      <c r="I47" s="66"/>
      <c r="J47" s="66"/>
      <c r="K47" s="66"/>
      <c r="L47" s="66"/>
      <c r="M47" s="66"/>
      <c r="N47" s="66"/>
      <c r="O47" s="66"/>
    </row>
    <row r="48" spans="1:15" ht="20.25" x14ac:dyDescent="0.25">
      <c r="A48" s="86"/>
      <c r="B48" s="86"/>
      <c r="C48" s="87"/>
      <c r="D48" s="87"/>
      <c r="E48" s="66"/>
      <c r="F48" s="112"/>
      <c r="G48" s="66"/>
      <c r="H48" s="66"/>
      <c r="I48" s="66"/>
      <c r="J48" s="66"/>
      <c r="K48" s="66"/>
      <c r="L48" s="66"/>
      <c r="M48" s="66"/>
      <c r="N48" s="66"/>
      <c r="O48" s="66"/>
    </row>
    <row r="49" spans="1:15" ht="20.25" x14ac:dyDescent="0.25">
      <c r="A49" s="86"/>
      <c r="B49" s="86"/>
      <c r="C49" s="87"/>
      <c r="D49" s="87"/>
      <c r="E49" s="66"/>
      <c r="F49" s="112"/>
      <c r="G49" s="66"/>
      <c r="H49" s="66"/>
      <c r="I49" s="66"/>
      <c r="J49" s="66"/>
      <c r="K49" s="66"/>
      <c r="L49" s="66"/>
      <c r="M49" s="66"/>
      <c r="N49" s="66"/>
      <c r="O49" s="66"/>
    </row>
    <row r="50" spans="1:15" ht="20.25" x14ac:dyDescent="0.25">
      <c r="A50" s="86"/>
      <c r="B50" s="86"/>
      <c r="C50" s="87"/>
      <c r="D50" s="87"/>
      <c r="E50" s="66"/>
      <c r="F50" s="112"/>
      <c r="G50" s="66"/>
      <c r="H50" s="66"/>
      <c r="I50" s="66"/>
      <c r="J50" s="66"/>
      <c r="K50" s="66"/>
      <c r="L50" s="66"/>
      <c r="M50" s="66"/>
      <c r="N50" s="66"/>
      <c r="O50" s="66"/>
    </row>
    <row r="51" spans="1:15" ht="20.25" x14ac:dyDescent="0.25">
      <c r="A51" s="86"/>
      <c r="B51" s="86"/>
      <c r="C51" s="87"/>
      <c r="D51" s="87"/>
      <c r="E51" s="66"/>
      <c r="F51" s="112"/>
      <c r="G51" s="66"/>
      <c r="H51" s="66"/>
      <c r="I51" s="66"/>
      <c r="J51" s="66"/>
      <c r="K51" s="66"/>
      <c r="L51" s="66"/>
      <c r="M51" s="66"/>
      <c r="N51" s="66"/>
      <c r="O51" s="66"/>
    </row>
    <row r="52" spans="1:15" ht="20.25" x14ac:dyDescent="0.25">
      <c r="A52" s="86"/>
      <c r="B52" s="86"/>
      <c r="C52" s="87"/>
      <c r="D52" s="87"/>
      <c r="E52" s="66"/>
      <c r="F52" s="112"/>
      <c r="G52" s="66"/>
      <c r="H52" s="66"/>
      <c r="I52" s="66"/>
      <c r="J52" s="66"/>
      <c r="K52" s="66"/>
      <c r="L52" s="66"/>
      <c r="M52" s="66"/>
      <c r="N52" s="66"/>
      <c r="O52" s="66"/>
    </row>
    <row r="53" spans="1:15" ht="20.25" x14ac:dyDescent="0.25">
      <c r="A53" s="86"/>
      <c r="B53" s="15"/>
      <c r="C53" s="20"/>
      <c r="D53" s="20"/>
    </row>
    <row r="54" spans="1:15" ht="20.25" x14ac:dyDescent="0.25">
      <c r="A54" s="86"/>
      <c r="B54" s="15"/>
      <c r="C54" s="20"/>
      <c r="D54" s="20"/>
    </row>
    <row r="55" spans="1:15" ht="20.25" x14ac:dyDescent="0.25">
      <c r="A55" s="86"/>
      <c r="B55" s="15"/>
      <c r="C55" s="20"/>
      <c r="D55" s="20"/>
    </row>
    <row r="56" spans="1:15" ht="20.25" x14ac:dyDescent="0.25">
      <c r="A56" s="86"/>
      <c r="B56" s="15"/>
      <c r="C56" s="20"/>
      <c r="D56" s="20"/>
    </row>
    <row r="57" spans="1:15" ht="20.25" x14ac:dyDescent="0.25">
      <c r="A57" s="86"/>
      <c r="B57" s="15"/>
      <c r="C57" s="20"/>
      <c r="D57" s="20"/>
    </row>
    <row r="58" spans="1:15" ht="20.25" x14ac:dyDescent="0.25">
      <c r="A58" s="86"/>
      <c r="B58" s="15"/>
      <c r="C58" s="20"/>
      <c r="D58" s="20"/>
    </row>
    <row r="59" spans="1:15" ht="20.25" x14ac:dyDescent="0.25">
      <c r="A59" s="86"/>
      <c r="B59" s="15"/>
      <c r="C59" s="20"/>
      <c r="D59" s="20"/>
    </row>
    <row r="60" spans="1:15" ht="20.25" x14ac:dyDescent="0.25">
      <c r="A60" s="86"/>
      <c r="B60" s="15"/>
      <c r="C60" s="20"/>
      <c r="D60" s="20"/>
    </row>
    <row r="61" spans="1:15" ht="20.25" x14ac:dyDescent="0.25">
      <c r="A61" s="86"/>
      <c r="B61" s="15"/>
      <c r="C61" s="20"/>
      <c r="D61" s="20"/>
    </row>
    <row r="62" spans="1:15" ht="20.25" x14ac:dyDescent="0.25">
      <c r="A62" s="86"/>
      <c r="B62" s="15"/>
      <c r="C62" s="20"/>
      <c r="D62" s="20"/>
    </row>
    <row r="63" spans="1:15" ht="20.25" x14ac:dyDescent="0.25">
      <c r="A63" s="86"/>
      <c r="B63" s="15"/>
      <c r="C63" s="20"/>
      <c r="D63" s="20"/>
    </row>
    <row r="64" spans="1:15" ht="20.25" x14ac:dyDescent="0.25">
      <c r="A64" s="86"/>
      <c r="B64" s="15"/>
      <c r="C64" s="20"/>
      <c r="D64" s="20"/>
    </row>
    <row r="65" spans="1:4" ht="20.25" x14ac:dyDescent="0.25">
      <c r="A65" s="86"/>
      <c r="B65" s="15"/>
      <c r="C65" s="20"/>
      <c r="D65" s="20"/>
    </row>
    <row r="66" spans="1:4" ht="20.25" x14ac:dyDescent="0.25">
      <c r="A66" s="86"/>
      <c r="B66" s="15"/>
      <c r="C66" s="20"/>
      <c r="D66" s="20"/>
    </row>
    <row r="67" spans="1:4" ht="20.25" x14ac:dyDescent="0.25">
      <c r="A67" s="86"/>
      <c r="B67" s="15"/>
      <c r="C67" s="20"/>
      <c r="D67" s="20"/>
    </row>
    <row r="68" spans="1:4" ht="20.25" x14ac:dyDescent="0.25">
      <c r="A68" s="86"/>
      <c r="B68" s="15"/>
      <c r="C68" s="20"/>
      <c r="D68" s="20"/>
    </row>
    <row r="69" spans="1:4" ht="20.25" x14ac:dyDescent="0.25">
      <c r="A69" s="86"/>
      <c r="B69" s="15"/>
      <c r="C69" s="20"/>
      <c r="D69" s="20"/>
    </row>
    <row r="70" spans="1:4" ht="20.25" x14ac:dyDescent="0.25">
      <c r="A70" s="86"/>
      <c r="B70" s="15"/>
      <c r="C70" s="20"/>
      <c r="D70" s="20"/>
    </row>
    <row r="71" spans="1:4" ht="20.25" x14ac:dyDescent="0.25">
      <c r="A71" s="86"/>
      <c r="B71" s="15"/>
      <c r="C71" s="20"/>
      <c r="D71" s="20"/>
    </row>
    <row r="72" spans="1:4" ht="20.25" x14ac:dyDescent="0.25">
      <c r="A72" s="86"/>
      <c r="B72" s="15"/>
      <c r="C72" s="20"/>
      <c r="D72" s="20"/>
    </row>
    <row r="73" spans="1:4" ht="20.25" x14ac:dyDescent="0.25">
      <c r="A73" s="86"/>
      <c r="B73" s="15"/>
      <c r="C73" s="20"/>
      <c r="D73" s="20"/>
    </row>
    <row r="74" spans="1:4" ht="20.25" x14ac:dyDescent="0.25">
      <c r="A74" s="86"/>
      <c r="B74" s="15"/>
      <c r="C74" s="20"/>
      <c r="D74" s="20"/>
    </row>
    <row r="75" spans="1:4" ht="20.25" x14ac:dyDescent="0.25">
      <c r="A75" s="86"/>
      <c r="B75" s="15"/>
      <c r="C75" s="20"/>
      <c r="D75" s="20"/>
    </row>
    <row r="76" spans="1:4" ht="20.25" x14ac:dyDescent="0.25">
      <c r="A76" s="86"/>
      <c r="B76" s="15"/>
      <c r="C76" s="20"/>
      <c r="D76" s="20"/>
    </row>
    <row r="77" spans="1:4" ht="20.25" x14ac:dyDescent="0.25">
      <c r="A77" s="86"/>
      <c r="B77" s="15"/>
      <c r="C77" s="20"/>
      <c r="D77" s="20"/>
    </row>
    <row r="78" spans="1:4" ht="20.25" x14ac:dyDescent="0.25">
      <c r="A78" s="86"/>
      <c r="B78" s="15"/>
      <c r="C78" s="20"/>
      <c r="D78" s="20"/>
    </row>
    <row r="79" spans="1:4" ht="20.25" x14ac:dyDescent="0.25">
      <c r="A79" s="86"/>
      <c r="B79" s="15"/>
      <c r="C79" s="20"/>
      <c r="D79" s="20"/>
    </row>
    <row r="80" spans="1:4" ht="20.25" x14ac:dyDescent="0.25">
      <c r="A80" s="86"/>
      <c r="B80" s="15"/>
      <c r="C80" s="20"/>
      <c r="D80" s="20"/>
    </row>
    <row r="81" spans="1:4" ht="20.25" x14ac:dyDescent="0.25">
      <c r="A81" s="86"/>
      <c r="B81" s="15"/>
      <c r="C81" s="20"/>
      <c r="D81" s="20"/>
    </row>
    <row r="82" spans="1:4" ht="20.25" x14ac:dyDescent="0.25">
      <c r="A82" s="86"/>
      <c r="B82" s="15"/>
      <c r="C82" s="20"/>
      <c r="D82" s="20"/>
    </row>
    <row r="83" spans="1:4" ht="20.25" x14ac:dyDescent="0.25">
      <c r="A83" s="86"/>
      <c r="B83" s="15"/>
      <c r="C83" s="20"/>
      <c r="D83" s="20"/>
    </row>
    <row r="84" spans="1:4" ht="20.25" x14ac:dyDescent="0.25">
      <c r="A84" s="86"/>
      <c r="B84" s="15"/>
      <c r="C84" s="20"/>
      <c r="D84" s="20"/>
    </row>
    <row r="85" spans="1:4" ht="20.25" x14ac:dyDescent="0.25">
      <c r="A85" s="86"/>
      <c r="B85" s="15"/>
      <c r="C85" s="20"/>
      <c r="D85" s="20"/>
    </row>
    <row r="86" spans="1:4" ht="20.25" x14ac:dyDescent="0.25">
      <c r="A86" s="86"/>
      <c r="B86" s="15"/>
      <c r="C86" s="20"/>
      <c r="D86" s="20"/>
    </row>
    <row r="87" spans="1:4" ht="20.25" x14ac:dyDescent="0.25">
      <c r="A87" s="86"/>
      <c r="B87" s="15"/>
      <c r="C87" s="20"/>
      <c r="D87" s="20"/>
    </row>
    <row r="88" spans="1:4" ht="20.25" x14ac:dyDescent="0.25">
      <c r="A88" s="86"/>
      <c r="B88" s="15"/>
      <c r="C88" s="20"/>
      <c r="D88" s="20"/>
    </row>
    <row r="89" spans="1:4" ht="20.25" x14ac:dyDescent="0.25">
      <c r="A89" s="86"/>
      <c r="B89" s="15"/>
      <c r="C89" s="20"/>
      <c r="D89" s="20"/>
    </row>
    <row r="90" spans="1:4" ht="20.25" x14ac:dyDescent="0.25">
      <c r="A90" s="86"/>
      <c r="B90" s="15"/>
      <c r="C90" s="20"/>
      <c r="D90" s="20"/>
    </row>
    <row r="91" spans="1:4" ht="20.25" x14ac:dyDescent="0.25">
      <c r="A91" s="86"/>
      <c r="B91" s="15"/>
      <c r="C91" s="20"/>
      <c r="D91" s="20"/>
    </row>
    <row r="92" spans="1:4" ht="20.25" x14ac:dyDescent="0.25">
      <c r="A92" s="86"/>
      <c r="B92" s="15"/>
      <c r="C92" s="20"/>
      <c r="D92" s="20"/>
    </row>
    <row r="93" spans="1:4" ht="20.25" x14ac:dyDescent="0.25">
      <c r="A93" s="86"/>
      <c r="B93" s="15"/>
      <c r="C93" s="20"/>
      <c r="D93" s="20"/>
    </row>
    <row r="94" spans="1:4" ht="20.25" x14ac:dyDescent="0.25">
      <c r="A94" s="86"/>
      <c r="B94" s="15"/>
      <c r="C94" s="20"/>
      <c r="D94" s="20"/>
    </row>
    <row r="95" spans="1:4" ht="20.25" x14ac:dyDescent="0.25">
      <c r="A95" s="86"/>
      <c r="B95" s="15"/>
      <c r="C95" s="20"/>
      <c r="D95" s="20"/>
    </row>
    <row r="96" spans="1:4" ht="20.25" x14ac:dyDescent="0.25">
      <c r="A96" s="86"/>
      <c r="B96" s="15"/>
      <c r="C96" s="20"/>
      <c r="D96" s="20"/>
    </row>
    <row r="97" spans="1:4" ht="20.25" x14ac:dyDescent="0.25">
      <c r="A97" s="86"/>
      <c r="B97" s="15"/>
      <c r="C97" s="20"/>
      <c r="D97" s="20"/>
    </row>
    <row r="98" spans="1:4" ht="20.25" x14ac:dyDescent="0.25">
      <c r="A98" s="86"/>
      <c r="B98" s="15"/>
      <c r="C98" s="20"/>
      <c r="D98" s="20"/>
    </row>
    <row r="99" spans="1:4" ht="20.25" x14ac:dyDescent="0.25">
      <c r="A99" s="86"/>
      <c r="B99" s="15"/>
      <c r="C99" s="20"/>
      <c r="D99" s="20"/>
    </row>
    <row r="100" spans="1:4" ht="20.25" x14ac:dyDescent="0.25">
      <c r="A100" s="86"/>
      <c r="B100" s="15"/>
      <c r="C100" s="20"/>
      <c r="D100" s="20"/>
    </row>
    <row r="101" spans="1:4" ht="20.25" x14ac:dyDescent="0.25">
      <c r="A101" s="86"/>
      <c r="B101" s="15"/>
      <c r="C101" s="20"/>
      <c r="D101" s="20"/>
    </row>
    <row r="102" spans="1:4" ht="20.25" x14ac:dyDescent="0.25">
      <c r="A102" s="86"/>
      <c r="B102" s="15"/>
      <c r="C102" s="20"/>
      <c r="D102" s="20"/>
    </row>
    <row r="103" spans="1:4" ht="20.25" x14ac:dyDescent="0.25">
      <c r="A103" s="86"/>
      <c r="B103" s="15"/>
      <c r="C103" s="20"/>
      <c r="D103" s="20"/>
    </row>
    <row r="104" spans="1:4" ht="20.25" x14ac:dyDescent="0.25">
      <c r="A104" s="86"/>
      <c r="B104" s="15"/>
      <c r="C104" s="20"/>
      <c r="D104" s="20"/>
    </row>
    <row r="105" spans="1:4" ht="20.25" x14ac:dyDescent="0.25">
      <c r="A105" s="86"/>
      <c r="B105" s="15"/>
      <c r="C105" s="20"/>
      <c r="D105" s="20"/>
    </row>
    <row r="106" spans="1:4" ht="20.25" x14ac:dyDescent="0.25">
      <c r="A106" s="86"/>
      <c r="B106" s="15"/>
      <c r="C106" s="20"/>
      <c r="D106" s="20"/>
    </row>
    <row r="107" spans="1:4" ht="20.25" x14ac:dyDescent="0.25">
      <c r="A107" s="86"/>
      <c r="B107" s="15"/>
      <c r="C107" s="20"/>
      <c r="D107" s="20"/>
    </row>
    <row r="108" spans="1:4" ht="20.25" x14ac:dyDescent="0.25">
      <c r="A108" s="86"/>
      <c r="B108" s="15"/>
      <c r="C108" s="20"/>
      <c r="D108" s="20"/>
    </row>
    <row r="109" spans="1:4" ht="20.25" x14ac:dyDescent="0.25">
      <c r="A109" s="86"/>
      <c r="B109" s="15"/>
      <c r="C109" s="20"/>
      <c r="D109" s="20"/>
    </row>
    <row r="110" spans="1:4" ht="20.25" x14ac:dyDescent="0.25">
      <c r="A110" s="86"/>
      <c r="B110" s="15"/>
      <c r="C110" s="20"/>
      <c r="D110" s="20"/>
    </row>
    <row r="111" spans="1:4" ht="20.25" x14ac:dyDescent="0.25">
      <c r="A111" s="86"/>
      <c r="B111" s="15"/>
      <c r="C111" s="20"/>
      <c r="D111" s="20"/>
    </row>
    <row r="112" spans="1:4" ht="20.25" x14ac:dyDescent="0.25">
      <c r="A112" s="86"/>
      <c r="B112" s="15"/>
      <c r="C112" s="20"/>
      <c r="D112" s="20"/>
    </row>
    <row r="113" spans="1:4" ht="20.25" x14ac:dyDescent="0.25">
      <c r="A113" s="86"/>
      <c r="B113" s="15"/>
      <c r="C113" s="20"/>
      <c r="D113" s="20"/>
    </row>
    <row r="114" spans="1:4" ht="20.25" x14ac:dyDescent="0.25">
      <c r="A114" s="86"/>
      <c r="B114" s="15"/>
      <c r="C114" s="20"/>
      <c r="D114" s="20"/>
    </row>
    <row r="115" spans="1:4" ht="20.25" x14ac:dyDescent="0.25">
      <c r="A115" s="86"/>
      <c r="B115" s="15"/>
      <c r="C115" s="20"/>
      <c r="D115" s="20"/>
    </row>
    <row r="116" spans="1:4" ht="20.25" x14ac:dyDescent="0.25">
      <c r="A116" s="86"/>
      <c r="B116" s="15"/>
      <c r="C116" s="20"/>
      <c r="D116" s="20"/>
    </row>
    <row r="117" spans="1:4" ht="20.25" x14ac:dyDescent="0.25">
      <c r="A117" s="86"/>
      <c r="B117" s="15"/>
      <c r="C117" s="20"/>
      <c r="D117" s="20"/>
    </row>
    <row r="118" spans="1:4" ht="20.25" x14ac:dyDescent="0.25">
      <c r="A118" s="86"/>
      <c r="B118" s="15"/>
      <c r="C118" s="20"/>
      <c r="D118" s="20"/>
    </row>
    <row r="119" spans="1:4" ht="20.25" x14ac:dyDescent="0.25">
      <c r="A119" s="86"/>
      <c r="B119" s="15"/>
      <c r="C119" s="20"/>
      <c r="D119" s="20"/>
    </row>
    <row r="120" spans="1:4" ht="20.25" x14ac:dyDescent="0.25">
      <c r="A120" s="86"/>
      <c r="B120" s="15"/>
      <c r="C120" s="20"/>
      <c r="D120" s="20"/>
    </row>
    <row r="121" spans="1:4" ht="20.25" x14ac:dyDescent="0.25">
      <c r="A121" s="86"/>
      <c r="B121" s="15"/>
      <c r="C121" s="20"/>
      <c r="D121" s="20"/>
    </row>
    <row r="122" spans="1:4" ht="20.25" x14ac:dyDescent="0.25">
      <c r="A122" s="86"/>
      <c r="B122" s="15"/>
      <c r="C122" s="20"/>
      <c r="D122" s="20"/>
    </row>
    <row r="123" spans="1:4" ht="20.25" x14ac:dyDescent="0.25">
      <c r="A123" s="86"/>
      <c r="B123" s="15"/>
      <c r="C123" s="20"/>
      <c r="D123" s="20"/>
    </row>
    <row r="124" spans="1:4" ht="20.25" x14ac:dyDescent="0.25">
      <c r="A124" s="86"/>
      <c r="B124" s="15"/>
      <c r="C124" s="20"/>
      <c r="D124" s="20"/>
    </row>
    <row r="125" spans="1:4" ht="20.25" x14ac:dyDescent="0.25">
      <c r="A125" s="86"/>
      <c r="B125" s="15"/>
      <c r="C125" s="20"/>
      <c r="D125" s="20"/>
    </row>
    <row r="126" spans="1:4" ht="20.25" x14ac:dyDescent="0.25">
      <c r="A126" s="86"/>
      <c r="B126" s="15"/>
      <c r="C126" s="20"/>
      <c r="D126" s="20"/>
    </row>
    <row r="127" spans="1:4" ht="20.25" x14ac:dyDescent="0.25">
      <c r="A127" s="86"/>
      <c r="B127" s="15"/>
      <c r="C127" s="20"/>
      <c r="D127" s="20"/>
    </row>
    <row r="128" spans="1:4" ht="20.25" x14ac:dyDescent="0.25">
      <c r="A128" s="86"/>
      <c r="B128" s="15"/>
      <c r="C128" s="20"/>
      <c r="D128" s="20"/>
    </row>
    <row r="129" spans="1:4" ht="20.25" x14ac:dyDescent="0.25">
      <c r="A129" s="86"/>
      <c r="B129" s="15"/>
      <c r="C129" s="20"/>
      <c r="D129" s="20"/>
    </row>
    <row r="130" spans="1:4" ht="20.25" x14ac:dyDescent="0.25">
      <c r="A130" s="86"/>
      <c r="B130" s="15"/>
      <c r="C130" s="20"/>
      <c r="D130" s="20"/>
    </row>
    <row r="131" spans="1:4" ht="20.25" x14ac:dyDescent="0.25">
      <c r="A131" s="86"/>
      <c r="B131" s="15"/>
      <c r="C131" s="20"/>
      <c r="D131" s="20"/>
    </row>
    <row r="132" spans="1:4" ht="20.25" x14ac:dyDescent="0.25">
      <c r="A132" s="86"/>
      <c r="B132" s="15"/>
      <c r="C132" s="20"/>
      <c r="D132" s="20"/>
    </row>
    <row r="133" spans="1:4" ht="20.25" x14ac:dyDescent="0.25">
      <c r="A133" s="86"/>
      <c r="B133" s="15"/>
      <c r="C133" s="20"/>
      <c r="D133" s="20"/>
    </row>
    <row r="134" spans="1:4" ht="20.25" x14ac:dyDescent="0.25">
      <c r="A134" s="86"/>
      <c r="B134" s="15"/>
      <c r="C134" s="20"/>
      <c r="D134" s="20"/>
    </row>
    <row r="135" spans="1:4" ht="20.25" x14ac:dyDescent="0.25">
      <c r="A135" s="86"/>
      <c r="B135" s="15"/>
      <c r="C135" s="20"/>
      <c r="D135" s="20"/>
    </row>
    <row r="136" spans="1:4" ht="20.25" x14ac:dyDescent="0.25">
      <c r="A136" s="86"/>
      <c r="B136" s="15"/>
      <c r="C136" s="20"/>
      <c r="D136" s="20"/>
    </row>
    <row r="137" spans="1:4" ht="20.25" x14ac:dyDescent="0.25">
      <c r="A137" s="86"/>
      <c r="B137" s="15"/>
      <c r="C137" s="20"/>
      <c r="D137" s="20"/>
    </row>
    <row r="138" spans="1:4" ht="20.25" x14ac:dyDescent="0.25">
      <c r="A138" s="86"/>
      <c r="B138" s="15"/>
      <c r="C138" s="20"/>
      <c r="D138" s="20"/>
    </row>
    <row r="139" spans="1:4" ht="20.25" x14ac:dyDescent="0.25">
      <c r="A139" s="86"/>
      <c r="B139" s="15"/>
      <c r="C139" s="20"/>
      <c r="D139" s="20"/>
    </row>
    <row r="140" spans="1:4" ht="20.25" x14ac:dyDescent="0.25">
      <c r="A140" s="86"/>
      <c r="B140" s="15"/>
      <c r="C140" s="20"/>
      <c r="D140" s="20"/>
    </row>
    <row r="141" spans="1:4" ht="20.25" x14ac:dyDescent="0.25">
      <c r="A141" s="86"/>
      <c r="B141" s="15"/>
      <c r="C141" s="20"/>
      <c r="D141" s="20"/>
    </row>
    <row r="142" spans="1:4" ht="20.25" x14ac:dyDescent="0.25">
      <c r="A142" s="86"/>
      <c r="B142" s="15"/>
      <c r="C142" s="20"/>
      <c r="D142" s="20"/>
    </row>
    <row r="143" spans="1:4" ht="20.25" x14ac:dyDescent="0.25">
      <c r="A143" s="86"/>
      <c r="B143" s="15"/>
      <c r="C143" s="20"/>
      <c r="D143" s="20"/>
    </row>
    <row r="144" spans="1:4" ht="20.25" x14ac:dyDescent="0.25">
      <c r="A144" s="86"/>
      <c r="B144" s="15"/>
      <c r="C144" s="20"/>
      <c r="D144" s="20"/>
    </row>
    <row r="145" spans="1:4" ht="20.25" x14ac:dyDescent="0.25">
      <c r="A145" s="86"/>
      <c r="B145" s="15"/>
      <c r="C145" s="20"/>
      <c r="D145" s="20"/>
    </row>
    <row r="146" spans="1:4" ht="20.25" x14ac:dyDescent="0.25">
      <c r="A146" s="86"/>
      <c r="B146" s="15"/>
      <c r="C146" s="20"/>
      <c r="D146" s="20"/>
    </row>
    <row r="147" spans="1:4" ht="20.25" x14ac:dyDescent="0.25">
      <c r="A147" s="86"/>
      <c r="B147" s="15"/>
      <c r="C147" s="20"/>
      <c r="D147" s="20"/>
    </row>
    <row r="148" spans="1:4" ht="20.25" x14ac:dyDescent="0.25">
      <c r="A148" s="86"/>
      <c r="B148" s="15"/>
      <c r="C148" s="20"/>
      <c r="D148" s="20"/>
    </row>
    <row r="149" spans="1:4" ht="20.25" x14ac:dyDescent="0.25">
      <c r="A149" s="86"/>
      <c r="B149" s="15"/>
      <c r="C149" s="20"/>
      <c r="D149" s="20"/>
    </row>
    <row r="150" spans="1:4" ht="20.25" x14ac:dyDescent="0.25">
      <c r="A150" s="86"/>
      <c r="B150" s="15"/>
      <c r="C150" s="20"/>
      <c r="D150" s="20"/>
    </row>
    <row r="151" spans="1:4" ht="20.25" x14ac:dyDescent="0.25">
      <c r="A151" s="86"/>
      <c r="B151" s="15"/>
      <c r="C151" s="20"/>
      <c r="D151" s="20"/>
    </row>
    <row r="152" spans="1:4" ht="20.25" x14ac:dyDescent="0.25">
      <c r="A152" s="86"/>
      <c r="B152" s="15"/>
      <c r="C152" s="20"/>
      <c r="D152" s="20"/>
    </row>
    <row r="153" spans="1:4" ht="20.25" x14ac:dyDescent="0.25">
      <c r="A153" s="86"/>
      <c r="B153" s="15"/>
      <c r="C153" s="20"/>
      <c r="D153" s="20"/>
    </row>
    <row r="154" spans="1:4" ht="20.25" x14ac:dyDescent="0.25">
      <c r="A154" s="86"/>
      <c r="B154" s="15"/>
      <c r="C154" s="20"/>
      <c r="D154" s="20"/>
    </row>
    <row r="155" spans="1:4" ht="20.25" x14ac:dyDescent="0.25">
      <c r="A155" s="86"/>
      <c r="B155" s="15"/>
      <c r="C155" s="20"/>
      <c r="D155" s="20"/>
    </row>
    <row r="156" spans="1:4" ht="20.25" x14ac:dyDescent="0.25">
      <c r="A156" s="86"/>
      <c r="B156" s="15"/>
      <c r="C156" s="20"/>
      <c r="D156" s="20"/>
    </row>
    <row r="157" spans="1:4" ht="20.25" x14ac:dyDescent="0.25">
      <c r="A157" s="86"/>
      <c r="B157" s="15"/>
      <c r="C157" s="20"/>
      <c r="D157" s="20"/>
    </row>
    <row r="158" spans="1:4" ht="20.25" x14ac:dyDescent="0.25">
      <c r="A158" s="86"/>
      <c r="B158" s="15"/>
      <c r="C158" s="20"/>
      <c r="D158" s="20"/>
    </row>
    <row r="159" spans="1:4" ht="20.25" x14ac:dyDescent="0.25">
      <c r="A159" s="86"/>
      <c r="B159" s="15"/>
      <c r="C159" s="20"/>
      <c r="D159" s="20"/>
    </row>
    <row r="160" spans="1:4" ht="20.25" x14ac:dyDescent="0.25">
      <c r="A160" s="86"/>
      <c r="B160" s="15"/>
      <c r="C160" s="20"/>
      <c r="D160" s="20"/>
    </row>
    <row r="161" spans="1:4" ht="20.25" x14ac:dyDescent="0.25">
      <c r="A161" s="86"/>
      <c r="B161" s="15"/>
      <c r="C161" s="20"/>
      <c r="D161" s="20"/>
    </row>
    <row r="162" spans="1:4" ht="20.25" x14ac:dyDescent="0.25">
      <c r="A162" s="86"/>
      <c r="B162" s="15"/>
      <c r="C162" s="20"/>
      <c r="D162" s="20"/>
    </row>
    <row r="163" spans="1:4" ht="20.25" x14ac:dyDescent="0.25">
      <c r="A163" s="86"/>
      <c r="B163" s="15"/>
      <c r="C163" s="20"/>
      <c r="D163" s="20"/>
    </row>
    <row r="164" spans="1:4" ht="20.25" x14ac:dyDescent="0.25">
      <c r="A164" s="86"/>
      <c r="B164" s="15"/>
      <c r="C164" s="20"/>
      <c r="D164" s="20"/>
    </row>
    <row r="165" spans="1:4" ht="20.25" x14ac:dyDescent="0.25">
      <c r="A165" s="86"/>
      <c r="B165" s="15"/>
      <c r="C165" s="20"/>
      <c r="D165" s="20"/>
    </row>
    <row r="166" spans="1:4" ht="20.25" x14ac:dyDescent="0.25">
      <c r="A166" s="86"/>
      <c r="B166" s="15"/>
      <c r="C166" s="20"/>
      <c r="D166" s="20"/>
    </row>
    <row r="167" spans="1:4" ht="20.25" x14ac:dyDescent="0.25">
      <c r="A167" s="86"/>
      <c r="B167" s="15"/>
      <c r="C167" s="20"/>
      <c r="D167" s="20"/>
    </row>
    <row r="168" spans="1:4" ht="20.25" x14ac:dyDescent="0.25">
      <c r="A168" s="86"/>
      <c r="B168" s="15"/>
      <c r="C168" s="20"/>
      <c r="D168" s="20"/>
    </row>
    <row r="169" spans="1:4" ht="20.25" x14ac:dyDescent="0.25">
      <c r="A169" s="86"/>
      <c r="B169" s="15"/>
      <c r="C169" s="20"/>
      <c r="D169" s="20"/>
    </row>
    <row r="170" spans="1:4" ht="20.25" x14ac:dyDescent="0.25">
      <c r="A170" s="86"/>
      <c r="B170" s="15"/>
      <c r="C170" s="20"/>
      <c r="D170" s="20"/>
    </row>
    <row r="171" spans="1:4" ht="20.25" x14ac:dyDescent="0.25">
      <c r="A171" s="86"/>
      <c r="B171" s="15"/>
      <c r="C171" s="20"/>
      <c r="D171" s="20"/>
    </row>
    <row r="172" spans="1:4" ht="20.25" x14ac:dyDescent="0.25">
      <c r="A172" s="86"/>
      <c r="B172" s="15"/>
      <c r="C172" s="20"/>
      <c r="D172" s="20"/>
    </row>
    <row r="173" spans="1:4" ht="20.25" x14ac:dyDescent="0.25">
      <c r="A173" s="86"/>
      <c r="B173" s="15"/>
      <c r="C173" s="20"/>
      <c r="D173" s="20"/>
    </row>
    <row r="174" spans="1:4" ht="20.25" x14ac:dyDescent="0.25">
      <c r="A174" s="86"/>
      <c r="B174" s="15"/>
      <c r="C174" s="20"/>
      <c r="D174" s="20"/>
    </row>
    <row r="175" spans="1:4" ht="20.25" x14ac:dyDescent="0.25">
      <c r="A175" s="86"/>
      <c r="B175" s="15"/>
      <c r="C175" s="20"/>
      <c r="D175" s="20"/>
    </row>
    <row r="176" spans="1:4" ht="20.25" x14ac:dyDescent="0.25">
      <c r="A176" s="86"/>
      <c r="B176" s="15"/>
      <c r="C176" s="20"/>
      <c r="D176" s="20"/>
    </row>
    <row r="177" spans="1:4" ht="20.25" x14ac:dyDescent="0.25">
      <c r="A177" s="86"/>
      <c r="B177" s="15"/>
      <c r="C177" s="20"/>
      <c r="D177" s="20"/>
    </row>
    <row r="178" spans="1:4" ht="20.25" x14ac:dyDescent="0.25">
      <c r="A178" s="86"/>
      <c r="B178" s="15"/>
      <c r="C178" s="20"/>
      <c r="D178" s="20"/>
    </row>
    <row r="179" spans="1:4" ht="20.25" x14ac:dyDescent="0.25">
      <c r="A179" s="86"/>
      <c r="B179" s="15"/>
      <c r="C179" s="20"/>
      <c r="D179" s="20"/>
    </row>
    <row r="180" spans="1:4" ht="20.25" x14ac:dyDescent="0.25">
      <c r="A180" s="86"/>
      <c r="B180" s="15"/>
      <c r="C180" s="20"/>
      <c r="D180" s="20"/>
    </row>
    <row r="181" spans="1:4" ht="20.25" x14ac:dyDescent="0.25">
      <c r="A181" s="86"/>
      <c r="B181" s="15"/>
      <c r="C181" s="20"/>
      <c r="D181" s="20"/>
    </row>
    <row r="182" spans="1:4" ht="20.25" x14ac:dyDescent="0.25">
      <c r="A182" s="86"/>
      <c r="B182" s="15"/>
      <c r="C182" s="20"/>
      <c r="D182" s="20"/>
    </row>
    <row r="183" spans="1:4" ht="20.25" x14ac:dyDescent="0.25">
      <c r="A183" s="86"/>
      <c r="B183" s="15"/>
      <c r="C183" s="20"/>
      <c r="D183" s="20"/>
    </row>
    <row r="184" spans="1:4" ht="20.25" x14ac:dyDescent="0.25">
      <c r="A184" s="86"/>
      <c r="B184" s="15"/>
      <c r="C184" s="20"/>
      <c r="D184" s="20"/>
    </row>
    <row r="185" spans="1:4" ht="20.25" x14ac:dyDescent="0.25">
      <c r="A185" s="86"/>
      <c r="B185" s="15"/>
      <c r="C185" s="20"/>
      <c r="D185" s="20"/>
    </row>
    <row r="186" spans="1:4" ht="20.25" x14ac:dyDescent="0.25">
      <c r="A186" s="86"/>
      <c r="B186" s="15"/>
      <c r="C186" s="20"/>
      <c r="D186" s="20"/>
    </row>
    <row r="187" spans="1:4" ht="20.25" x14ac:dyDescent="0.25">
      <c r="A187" s="86"/>
      <c r="B187" s="15"/>
      <c r="C187" s="20"/>
      <c r="D187" s="20"/>
    </row>
    <row r="188" spans="1:4" ht="20.25" x14ac:dyDescent="0.25">
      <c r="A188" s="86"/>
      <c r="B188" s="15"/>
      <c r="C188" s="20"/>
      <c r="D188" s="20"/>
    </row>
    <row r="189" spans="1:4" ht="20.25" x14ac:dyDescent="0.25">
      <c r="A189" s="86"/>
      <c r="B189" s="15"/>
      <c r="C189" s="20"/>
      <c r="D189" s="20"/>
    </row>
    <row r="190" spans="1:4" ht="20.25" x14ac:dyDescent="0.25">
      <c r="A190" s="86"/>
      <c r="B190" s="15"/>
      <c r="C190" s="20"/>
      <c r="D190" s="20"/>
    </row>
    <row r="191" spans="1:4" ht="20.25" x14ac:dyDescent="0.25">
      <c r="A191" s="86"/>
      <c r="B191" s="15"/>
      <c r="C191" s="20"/>
      <c r="D191" s="20"/>
    </row>
    <row r="192" spans="1:4" ht="20.25" x14ac:dyDescent="0.25">
      <c r="A192" s="86"/>
      <c r="B192" s="15"/>
      <c r="C192" s="20"/>
      <c r="D192" s="20"/>
    </row>
    <row r="193" spans="1:6" ht="20.25" x14ac:dyDescent="0.25">
      <c r="A193" s="86"/>
      <c r="B193" s="15"/>
      <c r="C193" s="20"/>
      <c r="D193" s="20"/>
    </row>
    <row r="194" spans="1:6" ht="20.25" x14ac:dyDescent="0.25">
      <c r="A194" s="86"/>
      <c r="B194" s="15"/>
      <c r="C194" s="20"/>
      <c r="D194" s="20"/>
    </row>
    <row r="195" spans="1:6" ht="20.25" x14ac:dyDescent="0.25">
      <c r="A195" s="86"/>
      <c r="B195" s="15"/>
      <c r="C195" s="20"/>
      <c r="D195" s="20"/>
    </row>
    <row r="196" spans="1:6" ht="20.25" x14ac:dyDescent="0.25">
      <c r="A196" s="86"/>
      <c r="B196" s="15"/>
      <c r="C196" s="20"/>
      <c r="D196" s="20"/>
    </row>
    <row r="197" spans="1:6" ht="20.25" x14ac:dyDescent="0.25">
      <c r="A197" s="86"/>
      <c r="B197" s="15"/>
      <c r="C197" s="20"/>
      <c r="D197" s="20"/>
    </row>
    <row r="198" spans="1:6" ht="20.25" x14ac:dyDescent="0.25">
      <c r="A198" s="86"/>
      <c r="B198" s="15"/>
      <c r="C198" s="20"/>
      <c r="D198" s="20"/>
    </row>
    <row r="199" spans="1:6" ht="20.25" x14ac:dyDescent="0.25">
      <c r="A199" s="86"/>
      <c r="B199" s="15"/>
      <c r="C199" s="20"/>
      <c r="D199" s="20"/>
    </row>
    <row r="200" spans="1:6" ht="20.25" x14ac:dyDescent="0.25">
      <c r="A200" s="86"/>
      <c r="B200" s="15"/>
      <c r="C200" s="20"/>
      <c r="D200" s="20"/>
    </row>
    <row r="201" spans="1:6" ht="20.25" x14ac:dyDescent="0.25">
      <c r="A201" s="86"/>
      <c r="B201" s="15"/>
      <c r="C201" s="20"/>
      <c r="D201" s="20"/>
    </row>
    <row r="202" spans="1:6" ht="20.25" x14ac:dyDescent="0.25">
      <c r="A202" s="86"/>
      <c r="B202" s="15"/>
      <c r="C202" s="20"/>
      <c r="D202" s="20"/>
    </row>
    <row r="203" spans="1:6" ht="20.25" x14ac:dyDescent="0.25">
      <c r="A203" s="86"/>
      <c r="B203" s="15"/>
      <c r="C203" s="20"/>
      <c r="D203" s="20"/>
    </row>
    <row r="204" spans="1:6" ht="20.25" x14ac:dyDescent="0.25">
      <c r="A204" s="86"/>
      <c r="B204" s="15"/>
      <c r="C204" s="20"/>
      <c r="D204" s="20"/>
    </row>
    <row r="205" spans="1:6" ht="20.25" x14ac:dyDescent="0.25">
      <c r="A205" s="86"/>
      <c r="B205" s="15"/>
      <c r="C205" s="20"/>
      <c r="D205" s="20"/>
    </row>
    <row r="206" spans="1:6" ht="20.25" x14ac:dyDescent="0.25">
      <c r="A206" s="86"/>
      <c r="B206" s="15"/>
      <c r="C206" s="20"/>
      <c r="D206" s="20"/>
    </row>
    <row r="207" spans="1:6" ht="20.25" x14ac:dyDescent="0.25">
      <c r="A207" s="86"/>
      <c r="B207" s="15"/>
      <c r="C207" s="20"/>
      <c r="D207" s="20"/>
    </row>
    <row r="208" spans="1:6" ht="20.25" x14ac:dyDescent="0.25">
      <c r="A208" s="86"/>
      <c r="B208" s="15"/>
      <c r="C208" s="20"/>
      <c r="D208" s="20"/>
      <c r="F208" s="114" t="s">
        <v>182</v>
      </c>
    </row>
    <row r="209" spans="1:8" x14ac:dyDescent="0.25">
      <c r="A209" s="66"/>
      <c r="B209" s="15"/>
      <c r="C209" s="15"/>
      <c r="D209" s="15"/>
      <c r="F209" s="114" t="s">
        <v>218</v>
      </c>
    </row>
    <row r="210" spans="1:8" ht="20.25" x14ac:dyDescent="0.25">
      <c r="A210" s="66"/>
      <c r="B210" s="16" t="s">
        <v>237</v>
      </c>
      <c r="C210" s="16" t="s">
        <v>238</v>
      </c>
      <c r="D210" s="19" t="s">
        <v>237</v>
      </c>
      <c r="E210" s="19" t="s">
        <v>238</v>
      </c>
      <c r="F210" s="114" t="s">
        <v>239</v>
      </c>
    </row>
    <row r="211" spans="1:8" ht="21" x14ac:dyDescent="0.35">
      <c r="A211" s="66"/>
      <c r="B211" s="17" t="s">
        <v>240</v>
      </c>
      <c r="C211" s="117" t="s">
        <v>241</v>
      </c>
      <c r="D211" s="116" t="s">
        <v>240</v>
      </c>
      <c r="F211" s="114" t="str">
        <f>IF(NOT(ISBLANK(D211)),D211,IF(NOT(ISBLANK(E211)),"     "&amp;E211,FALSE))</f>
        <v>Afectación Económica o presupuestal</v>
      </c>
      <c r="G211" t="s">
        <v>240</v>
      </c>
      <c r="H211" t="str">
        <f>IF(NOT(ISERROR(MATCH(G211,_xlfn.ANCHORARRAY(B222),0))),F224&amp;"Por favor no seleccionar los criterios de impacto",G211)</f>
        <v>❌Por favor no seleccionar los criterios de impacto</v>
      </c>
    </row>
    <row r="212" spans="1:8" ht="21" x14ac:dyDescent="0.35">
      <c r="A212" s="66"/>
      <c r="B212" s="17" t="s">
        <v>240</v>
      </c>
      <c r="C212" s="117" t="s">
        <v>213</v>
      </c>
      <c r="E212" t="s">
        <v>241</v>
      </c>
      <c r="F212" s="114" t="str">
        <f t="shared" ref="F212:F222" si="0">IF(NOT(ISBLANK(D212)),D212,IF(NOT(ISBLANK(E212)),"     "&amp;E212,FALSE))</f>
        <v xml:space="preserve">     Afectación menor a 130 SMLMV .</v>
      </c>
    </row>
    <row r="213" spans="1:8" ht="21" x14ac:dyDescent="0.35">
      <c r="A213" s="66"/>
      <c r="B213" s="17" t="s">
        <v>240</v>
      </c>
      <c r="C213" s="117" t="s">
        <v>216</v>
      </c>
      <c r="E213" t="s">
        <v>213</v>
      </c>
      <c r="F213" s="114" t="str">
        <f t="shared" si="0"/>
        <v xml:space="preserve">     Entre 130 y 650 SMLMV </v>
      </c>
    </row>
    <row r="214" spans="1:8" ht="21" x14ac:dyDescent="0.35">
      <c r="A214" s="66"/>
      <c r="B214" s="17" t="s">
        <v>240</v>
      </c>
      <c r="C214" s="117" t="s">
        <v>220</v>
      </c>
      <c r="E214" t="s">
        <v>216</v>
      </c>
      <c r="F214" s="114" t="str">
        <f t="shared" si="0"/>
        <v xml:space="preserve">     Entre 650 y 1300 SMLMV </v>
      </c>
    </row>
    <row r="215" spans="1:8" ht="21" x14ac:dyDescent="0.35">
      <c r="A215" s="66"/>
      <c r="B215" s="17" t="s">
        <v>240</v>
      </c>
      <c r="C215" s="117" t="s">
        <v>224</v>
      </c>
      <c r="E215" t="s">
        <v>220</v>
      </c>
      <c r="F215" s="114" t="str">
        <f t="shared" si="0"/>
        <v xml:space="preserve">     Entre 1300 y 6500 SMLMV </v>
      </c>
    </row>
    <row r="216" spans="1:8" ht="42" x14ac:dyDescent="0.35">
      <c r="A216" s="66"/>
      <c r="B216" s="17" t="s">
        <v>206</v>
      </c>
      <c r="C216" s="117" t="s">
        <v>210</v>
      </c>
      <c r="E216" t="s">
        <v>224</v>
      </c>
      <c r="F216" s="114" t="str">
        <f t="shared" si="0"/>
        <v xml:space="preserve">     Mayor a 6500 SMLMV </v>
      </c>
    </row>
    <row r="217" spans="1:8" ht="63" x14ac:dyDescent="0.35">
      <c r="A217" s="66"/>
      <c r="B217" s="17" t="s">
        <v>206</v>
      </c>
      <c r="C217" s="117" t="s">
        <v>214</v>
      </c>
      <c r="D217" s="116" t="s">
        <v>206</v>
      </c>
      <c r="F217" s="114" t="str">
        <f t="shared" si="0"/>
        <v>Pérdida Reputacional</v>
      </c>
    </row>
    <row r="218" spans="1:8" ht="42" x14ac:dyDescent="0.35">
      <c r="A218" s="66"/>
      <c r="B218" s="17" t="s">
        <v>206</v>
      </c>
      <c r="C218" s="117" t="s">
        <v>217</v>
      </c>
      <c r="D218" s="116"/>
      <c r="E218" s="118" t="s">
        <v>210</v>
      </c>
      <c r="F218" s="114" t="str">
        <f t="shared" si="0"/>
        <v xml:space="preserve">     El riesgo afecta la imagen de alguna área de la organización</v>
      </c>
    </row>
    <row r="219" spans="1:8" ht="63" x14ac:dyDescent="0.35">
      <c r="A219" s="66"/>
      <c r="B219" s="17" t="s">
        <v>206</v>
      </c>
      <c r="C219" s="117" t="s">
        <v>242</v>
      </c>
      <c r="D219" s="116"/>
      <c r="E219" s="118" t="s">
        <v>214</v>
      </c>
      <c r="F219" s="114" t="str">
        <f t="shared" si="0"/>
        <v xml:space="preserve">     El riesgo afecta la imagen de la entidad internamente, de conocimiento general, nivel interno, de junta dircetiva y accionistas y/o de provedores</v>
      </c>
    </row>
    <row r="220" spans="1:8" ht="45" x14ac:dyDescent="0.35">
      <c r="A220" s="66"/>
      <c r="B220" s="17" t="s">
        <v>206</v>
      </c>
      <c r="C220" s="117" t="s">
        <v>225</v>
      </c>
      <c r="D220" s="116"/>
      <c r="E220" s="118" t="s">
        <v>217</v>
      </c>
      <c r="F220" s="114" t="str">
        <f t="shared" si="0"/>
        <v xml:space="preserve">     El riesgo afecta la imagen de la entidad con algunos usuarios de relevancia frente al logro de los objetivos</v>
      </c>
    </row>
    <row r="221" spans="1:8" ht="45" x14ac:dyDescent="0.25">
      <c r="A221" s="66"/>
      <c r="B221" s="18"/>
      <c r="C221" s="18"/>
      <c r="D221" s="116"/>
      <c r="E221" s="118" t="s">
        <v>242</v>
      </c>
      <c r="F221" s="114" t="str">
        <f t="shared" si="0"/>
        <v xml:space="preserve">     El riesgo afecta la imagen de de la entidad con efecto publicitario sostenido a nivel de sector administrativo, nivel departamental o municipal</v>
      </c>
    </row>
    <row r="222" spans="1:8" ht="58.5" customHeight="1" x14ac:dyDescent="0.25">
      <c r="A222" s="66"/>
      <c r="B222" s="18" t="str" cm="1">
        <f t="array" ref="B222:B224">_xlfn.UNIQUE(Tabla1[[#All],[Criterios]])</f>
        <v>Criterios</v>
      </c>
      <c r="C222" s="18"/>
      <c r="D222" s="116"/>
      <c r="E222" s="118" t="s">
        <v>225</v>
      </c>
      <c r="F222" s="114" t="str">
        <f t="shared" si="0"/>
        <v xml:space="preserve">     El riesgo afecta la imagen de la entidad a nivel nacional, con efecto publicitarios sostenible a nivel país</v>
      </c>
    </row>
    <row r="223" spans="1:8" x14ac:dyDescent="0.25">
      <c r="A223" s="66"/>
      <c r="B223" s="18" t="str">
        <v>Afectación Económica o presupuestal</v>
      </c>
      <c r="C223" s="18"/>
    </row>
    <row r="224" spans="1:8" x14ac:dyDescent="0.25">
      <c r="B224" s="18" t="str">
        <v>Pérdida Reputacional</v>
      </c>
      <c r="C224" s="18"/>
      <c r="F224" s="115" t="s">
        <v>243</v>
      </c>
    </row>
    <row r="225" spans="2:6" x14ac:dyDescent="0.25">
      <c r="B225" s="14"/>
      <c r="C225" s="14"/>
      <c r="F225" s="115" t="s">
        <v>244</v>
      </c>
    </row>
    <row r="226" spans="2:6" x14ac:dyDescent="0.25">
      <c r="B226" s="14"/>
      <c r="C226" s="14"/>
    </row>
    <row r="227" spans="2:6" x14ac:dyDescent="0.25">
      <c r="B227" s="14"/>
      <c r="C227" s="14"/>
    </row>
    <row r="228" spans="2:6" x14ac:dyDescent="0.25">
      <c r="B228" s="14"/>
      <c r="C228" s="14"/>
      <c r="D228" s="14"/>
    </row>
    <row r="229" spans="2:6" x14ac:dyDescent="0.25">
      <c r="B229" s="14"/>
      <c r="C229" s="14"/>
      <c r="D229" s="14"/>
    </row>
    <row r="230" spans="2:6" x14ac:dyDescent="0.25">
      <c r="B230" s="14"/>
      <c r="C230" s="14"/>
      <c r="D230" s="14"/>
    </row>
    <row r="231" spans="2:6" x14ac:dyDescent="0.25">
      <c r="B231" s="14"/>
      <c r="C231" s="14"/>
      <c r="D231" s="14"/>
    </row>
    <row r="232" spans="2:6" x14ac:dyDescent="0.25">
      <c r="B232" s="14"/>
      <c r="C232" s="14"/>
      <c r="D232" s="14"/>
    </row>
    <row r="233" spans="2:6" x14ac:dyDescent="0.25">
      <c r="B233" s="14"/>
      <c r="C233" s="14"/>
      <c r="D233" s="14"/>
    </row>
  </sheetData>
  <mergeCells count="1">
    <mergeCell ref="B2:E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6"/>
  <sheetViews>
    <sheetView topLeftCell="A15" zoomScaleNormal="100" zoomScaleSheetLayoutView="90" workbookViewId="0">
      <selection activeCell="F19" sqref="F19"/>
    </sheetView>
  </sheetViews>
  <sheetFormatPr baseColWidth="10" defaultColWidth="11.42578125" defaultRowHeight="14.25" x14ac:dyDescent="0.25"/>
  <cols>
    <col min="1" max="1" width="2.140625" style="148" customWidth="1"/>
    <col min="2" max="2" width="11.42578125" style="148"/>
    <col min="3" max="3" width="34.28515625" style="148" customWidth="1"/>
    <col min="4" max="4" width="36.42578125" style="148" customWidth="1"/>
    <col min="5" max="6" width="13.85546875" style="148" customWidth="1"/>
    <col min="7" max="7" width="1.28515625" style="148" customWidth="1"/>
    <col min="8" max="16384" width="11.42578125" style="148"/>
  </cols>
  <sheetData>
    <row r="1" spans="2:6" ht="11.25" customHeight="1" thickBot="1" x14ac:dyDescent="0.3"/>
    <row r="2" spans="2:6" ht="18.75" customHeight="1" thickBot="1" x14ac:dyDescent="0.3">
      <c r="B2" s="566" t="s">
        <v>245</v>
      </c>
      <c r="C2" s="567"/>
      <c r="D2" s="567"/>
      <c r="E2" s="567"/>
      <c r="F2" s="568"/>
    </row>
    <row r="3" spans="2:6" ht="31.9" customHeight="1" x14ac:dyDescent="0.25">
      <c r="B3" s="569" t="s">
        <v>246</v>
      </c>
      <c r="C3" s="571" t="s">
        <v>247</v>
      </c>
      <c r="D3" s="571"/>
      <c r="E3" s="571" t="s">
        <v>248</v>
      </c>
      <c r="F3" s="573"/>
    </row>
    <row r="4" spans="2:6" ht="28.15" customHeight="1" thickBot="1" x14ac:dyDescent="0.3">
      <c r="B4" s="570"/>
      <c r="C4" s="572"/>
      <c r="D4" s="572"/>
      <c r="E4" s="158" t="s">
        <v>249</v>
      </c>
      <c r="F4" s="159" t="s">
        <v>250</v>
      </c>
    </row>
    <row r="5" spans="2:6" ht="23.25" customHeight="1" x14ac:dyDescent="0.25">
      <c r="B5" s="149">
        <v>1</v>
      </c>
      <c r="C5" s="574" t="s">
        <v>251</v>
      </c>
      <c r="D5" s="574"/>
      <c r="E5" s="183" t="s">
        <v>480</v>
      </c>
      <c r="F5" s="184"/>
    </row>
    <row r="6" spans="2:6" ht="33" customHeight="1" x14ac:dyDescent="0.25">
      <c r="B6" s="150">
        <v>2</v>
      </c>
      <c r="C6" s="563" t="s">
        <v>252</v>
      </c>
      <c r="D6" s="563"/>
      <c r="E6" s="185" t="s">
        <v>480</v>
      </c>
      <c r="F6" s="186"/>
    </row>
    <row r="7" spans="2:6" ht="39" customHeight="1" x14ac:dyDescent="0.25">
      <c r="B7" s="150">
        <v>3</v>
      </c>
      <c r="C7" s="563" t="s">
        <v>253</v>
      </c>
      <c r="D7" s="563"/>
      <c r="E7" s="185"/>
      <c r="F7" s="186" t="s">
        <v>480</v>
      </c>
    </row>
    <row r="8" spans="2:6" ht="24.75" customHeight="1" x14ac:dyDescent="0.25">
      <c r="B8" s="150">
        <v>4</v>
      </c>
      <c r="C8" s="563" t="s">
        <v>254</v>
      </c>
      <c r="D8" s="563"/>
      <c r="E8" s="185"/>
      <c r="F8" s="186" t="s">
        <v>480</v>
      </c>
    </row>
    <row r="9" spans="2:6" ht="23.25" customHeight="1" x14ac:dyDescent="0.25">
      <c r="B9" s="150">
        <v>5</v>
      </c>
      <c r="C9" s="563" t="s">
        <v>255</v>
      </c>
      <c r="D9" s="563"/>
      <c r="E9" s="185" t="s">
        <v>480</v>
      </c>
      <c r="F9" s="186"/>
    </row>
    <row r="10" spans="2:6" ht="23.25" customHeight="1" x14ac:dyDescent="0.25">
      <c r="B10" s="150">
        <v>6</v>
      </c>
      <c r="C10" s="563" t="s">
        <v>256</v>
      </c>
      <c r="D10" s="563"/>
      <c r="E10" s="185"/>
      <c r="F10" s="186" t="s">
        <v>480</v>
      </c>
    </row>
    <row r="11" spans="2:6" ht="23.25" customHeight="1" x14ac:dyDescent="0.25">
      <c r="B11" s="150">
        <v>7</v>
      </c>
      <c r="C11" s="563" t="s">
        <v>257</v>
      </c>
      <c r="D11" s="563"/>
      <c r="E11" s="185" t="s">
        <v>480</v>
      </c>
      <c r="F11" s="186"/>
    </row>
    <row r="12" spans="2:6" ht="25.5" customHeight="1" x14ac:dyDescent="0.25">
      <c r="B12" s="150">
        <v>8</v>
      </c>
      <c r="C12" s="563" t="s">
        <v>258</v>
      </c>
      <c r="D12" s="563"/>
      <c r="E12" s="151"/>
      <c r="F12" s="152" t="s">
        <v>480</v>
      </c>
    </row>
    <row r="13" spans="2:6" ht="23.25" customHeight="1" x14ac:dyDescent="0.25">
      <c r="B13" s="150">
        <v>9</v>
      </c>
      <c r="C13" s="563" t="s">
        <v>259</v>
      </c>
      <c r="D13" s="563"/>
      <c r="E13" s="151"/>
      <c r="F13" s="152" t="s">
        <v>480</v>
      </c>
    </row>
    <row r="14" spans="2:6" ht="23.25" customHeight="1" x14ac:dyDescent="0.25">
      <c r="B14" s="150">
        <v>10</v>
      </c>
      <c r="C14" s="563" t="s">
        <v>260</v>
      </c>
      <c r="D14" s="563"/>
      <c r="E14" s="151" t="s">
        <v>480</v>
      </c>
      <c r="F14" s="152"/>
    </row>
    <row r="15" spans="2:6" ht="23.25" customHeight="1" x14ac:dyDescent="0.25">
      <c r="B15" s="150">
        <v>11</v>
      </c>
      <c r="C15" s="563" t="s">
        <v>261</v>
      </c>
      <c r="D15" s="563"/>
      <c r="E15" s="151" t="s">
        <v>480</v>
      </c>
      <c r="F15" s="152"/>
    </row>
    <row r="16" spans="2:6" ht="23.25" customHeight="1" x14ac:dyDescent="0.25">
      <c r="B16" s="150">
        <v>12</v>
      </c>
      <c r="C16" s="563" t="s">
        <v>262</v>
      </c>
      <c r="D16" s="563"/>
      <c r="E16" s="151" t="s">
        <v>480</v>
      </c>
      <c r="F16" s="152"/>
    </row>
    <row r="17" spans="2:6" ht="23.25" customHeight="1" x14ac:dyDescent="0.25">
      <c r="B17" s="150">
        <v>13</v>
      </c>
      <c r="C17" s="563" t="s">
        <v>263</v>
      </c>
      <c r="D17" s="563"/>
      <c r="E17" s="151" t="s">
        <v>480</v>
      </c>
      <c r="F17" s="152"/>
    </row>
    <row r="18" spans="2:6" ht="23.25" customHeight="1" x14ac:dyDescent="0.25">
      <c r="B18" s="150">
        <v>14</v>
      </c>
      <c r="C18" s="563" t="s">
        <v>264</v>
      </c>
      <c r="D18" s="563"/>
      <c r="E18" s="151"/>
      <c r="F18" s="152" t="s">
        <v>480</v>
      </c>
    </row>
    <row r="19" spans="2:6" ht="23.25" customHeight="1" x14ac:dyDescent="0.25">
      <c r="B19" s="150">
        <v>15</v>
      </c>
      <c r="C19" s="563" t="s">
        <v>265</v>
      </c>
      <c r="D19" s="563"/>
      <c r="E19" s="151"/>
      <c r="F19" s="152" t="s">
        <v>480</v>
      </c>
    </row>
    <row r="20" spans="2:6" ht="23.25" customHeight="1" x14ac:dyDescent="0.25">
      <c r="B20" s="150">
        <v>16</v>
      </c>
      <c r="C20" s="563" t="s">
        <v>266</v>
      </c>
      <c r="D20" s="563"/>
      <c r="E20" s="151"/>
      <c r="F20" s="152" t="s">
        <v>480</v>
      </c>
    </row>
    <row r="21" spans="2:6" ht="23.25" customHeight="1" x14ac:dyDescent="0.25">
      <c r="B21" s="150">
        <v>17</v>
      </c>
      <c r="C21" s="563" t="s">
        <v>267</v>
      </c>
      <c r="D21" s="563"/>
      <c r="E21" s="151"/>
      <c r="F21" s="152" t="s">
        <v>480</v>
      </c>
    </row>
    <row r="22" spans="2:6" ht="23.25" customHeight="1" x14ac:dyDescent="0.25">
      <c r="B22" s="150">
        <v>18</v>
      </c>
      <c r="C22" s="564" t="s">
        <v>268</v>
      </c>
      <c r="D22" s="564"/>
      <c r="E22" s="151"/>
      <c r="F22" s="152" t="s">
        <v>480</v>
      </c>
    </row>
    <row r="23" spans="2:6" ht="23.25" customHeight="1" thickBot="1" x14ac:dyDescent="0.3">
      <c r="B23" s="150">
        <v>19</v>
      </c>
      <c r="C23" s="563" t="s">
        <v>269</v>
      </c>
      <c r="D23" s="563"/>
      <c r="E23" s="151"/>
      <c r="F23" s="152" t="s">
        <v>480</v>
      </c>
    </row>
    <row r="24" spans="2:6" ht="15.75" customHeight="1" thickBot="1" x14ac:dyDescent="0.3">
      <c r="B24" s="565" t="s">
        <v>270</v>
      </c>
      <c r="C24" s="559"/>
      <c r="D24" s="559"/>
      <c r="E24" s="559">
        <f>COUNTIF(E5:E23,"X")</f>
        <v>8</v>
      </c>
      <c r="F24" s="560"/>
    </row>
    <row r="25" spans="2:6" ht="45.75" customHeight="1" x14ac:dyDescent="0.25">
      <c r="B25" s="561" t="s">
        <v>271</v>
      </c>
      <c r="C25" s="561"/>
      <c r="D25" s="561"/>
      <c r="E25" s="561"/>
      <c r="F25" s="561"/>
    </row>
    <row r="26" spans="2:6" ht="9.75" customHeight="1" x14ac:dyDescent="0.25">
      <c r="B26" s="562"/>
      <c r="C26" s="562"/>
      <c r="D26" s="562"/>
      <c r="E26" s="562"/>
      <c r="F26" s="562"/>
    </row>
  </sheetData>
  <mergeCells count="27">
    <mergeCell ref="C6:D6"/>
    <mergeCell ref="B2:F2"/>
    <mergeCell ref="B3:B4"/>
    <mergeCell ref="C3:D4"/>
    <mergeCell ref="E3:F3"/>
    <mergeCell ref="C5:D5"/>
    <mergeCell ref="C18:D18"/>
    <mergeCell ref="C7:D7"/>
    <mergeCell ref="C8:D8"/>
    <mergeCell ref="C9:D9"/>
    <mergeCell ref="C10:D10"/>
    <mergeCell ref="C11:D11"/>
    <mergeCell ref="C12:D12"/>
    <mergeCell ref="C13:D13"/>
    <mergeCell ref="C14:D14"/>
    <mergeCell ref="C15:D15"/>
    <mergeCell ref="C16:D16"/>
    <mergeCell ref="C17:D17"/>
    <mergeCell ref="E24:F24"/>
    <mergeCell ref="B25:F25"/>
    <mergeCell ref="B26:F26"/>
    <mergeCell ref="C19:D19"/>
    <mergeCell ref="C20:D20"/>
    <mergeCell ref="C21:D21"/>
    <mergeCell ref="C22:D22"/>
    <mergeCell ref="C23:D23"/>
    <mergeCell ref="B24:D24"/>
  </mergeCells>
  <dataValidations count="1">
    <dataValidation type="list" allowBlank="1" showInputMessage="1" showErrorMessage="1" sqref="E5:F23">
      <formula1>"X"</formula1>
    </dataValidation>
  </dataValidations>
  <printOptions horizontalCentered="1"/>
  <pageMargins left="0.25" right="0.25" top="0.75" bottom="0.75" header="0.3" footer="0.3"/>
  <pageSetup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7a02df7-de8f-4c48-b238-a1ac80ef7990">
      <UserInfo>
        <DisplayName>Stefany Ospino Cuellar</DisplayName>
        <AccountId>1659</AccountId>
        <AccountType/>
      </UserInfo>
      <UserInfo>
        <DisplayName>German Andres Hernandez Matiz</DisplayName>
        <AccountId>571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4A772FB98E7BA4B9E1B07CC8F693443" ma:contentTypeVersion="12" ma:contentTypeDescription="Crear nuevo documento." ma:contentTypeScope="" ma:versionID="4b35cf558c1634996998c74adf6cdf05">
  <xsd:schema xmlns:xsd="http://www.w3.org/2001/XMLSchema" xmlns:xs="http://www.w3.org/2001/XMLSchema" xmlns:p="http://schemas.microsoft.com/office/2006/metadata/properties" xmlns:ns2="4ab5e4fe-998f-4424-a00c-127c505be1d6" xmlns:ns3="f7a02df7-de8f-4c48-b238-a1ac80ef7990" targetNamespace="http://schemas.microsoft.com/office/2006/metadata/properties" ma:root="true" ma:fieldsID="ecbaef5bd7cc467d6e2cb50a14c684e8" ns2:_="" ns3:_="">
    <xsd:import namespace="4ab5e4fe-998f-4424-a00c-127c505be1d6"/>
    <xsd:import namespace="f7a02df7-de8f-4c48-b238-a1ac80ef79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5e4fe-998f-4424-a00c-127c505be1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a02df7-de8f-4c48-b238-a1ac80ef799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8E702-99CD-4A3A-A328-D1F3ADA68EBC}">
  <ds:schemaRefs>
    <ds:schemaRef ds:uri="http://schemas.microsoft.com/sharepoint/v3/contenttype/forms"/>
  </ds:schemaRefs>
</ds:datastoreItem>
</file>

<file path=customXml/itemProps2.xml><?xml version="1.0" encoding="utf-8"?>
<ds:datastoreItem xmlns:ds="http://schemas.openxmlformats.org/officeDocument/2006/customXml" ds:itemID="{D3D5E4EF-2809-49C9-8DCF-B2E4E5208101}">
  <ds:schemaRefs>
    <ds:schemaRef ds:uri="http://schemas.microsoft.com/sharepoint/v3"/>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 ds:uri="70eaac67-e064-433b-ba54-6f78c0f1ecb1"/>
    <ds:schemaRef ds:uri="64d77176-54eb-4753-be67-9b2e2fa23e0f"/>
    <ds:schemaRef ds:uri="http://schemas.microsoft.com/office/2006/metadata/properties"/>
    <ds:schemaRef ds:uri="http://purl.org/dc/terms/"/>
    <ds:schemaRef ds:uri="f7a02df7-de8f-4c48-b238-a1ac80ef7990"/>
  </ds:schemaRefs>
</ds:datastoreItem>
</file>

<file path=customXml/itemProps3.xml><?xml version="1.0" encoding="utf-8"?>
<ds:datastoreItem xmlns:ds="http://schemas.openxmlformats.org/officeDocument/2006/customXml" ds:itemID="{17D2EAD1-1CC9-45E1-AB0C-87A836234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5e4fe-998f-4424-a00c-127c505be1d6"/>
    <ds:schemaRef ds:uri="f7a02df7-de8f-4c48-b238-a1ac80ef7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5</vt:i4>
      </vt:variant>
    </vt:vector>
  </HeadingPairs>
  <TitlesOfParts>
    <vt:vector size="20" baseType="lpstr">
      <vt:lpstr>Intructivo</vt:lpstr>
      <vt:lpstr>DOFA </vt:lpstr>
      <vt:lpstr>Revisión DOFA</vt:lpstr>
      <vt:lpstr>Mapa riesgos</vt:lpstr>
      <vt:lpstr>Matriz Calor Inherente</vt:lpstr>
      <vt:lpstr>Matriz Calor Residual</vt:lpstr>
      <vt:lpstr>Tabla probabilidad</vt:lpstr>
      <vt:lpstr>Tabla Impacto</vt:lpstr>
      <vt:lpstr>Impacto Corrupción </vt:lpstr>
      <vt:lpstr>Tipo de riesgos</vt:lpstr>
      <vt:lpstr>Amenazas</vt:lpstr>
      <vt:lpstr>Ejemplos de riesgos</vt:lpstr>
      <vt:lpstr>Tabla Valoración controles</vt:lpstr>
      <vt:lpstr>Opciones Tratamiento</vt:lpstr>
      <vt:lpstr>Hoja1</vt:lpstr>
      <vt:lpstr>'DOFA '!Área_de_impresión</vt:lpstr>
      <vt:lpstr>'Impacto Corrupción '!Área_de_impresión</vt:lpstr>
      <vt:lpstr>'Mapa riesgos'!Área_de_impresión</vt:lpstr>
      <vt:lpstr>'DOFA '!Títulos_a_imprimir</vt:lpstr>
      <vt:lpstr>'Mapa riesgos'!Títulos_a_imprimir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Natalia Norato Mora</cp:lastModifiedBy>
  <cp:revision/>
  <dcterms:created xsi:type="dcterms:W3CDTF">2020-03-24T23:12:47Z</dcterms:created>
  <dcterms:modified xsi:type="dcterms:W3CDTF">2022-01-24T19:01:37Z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0x01010044A772FB98E7BA4B9E1B07CC8F693443</vt:lpwstr>
  </property>
</Properties>
</file>