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7"/>
  <workbookPr hidePivotFieldList="1" defaultThemeVersion="124226"/>
  <mc:AlternateContent xmlns:mc="http://schemas.openxmlformats.org/markup-compatibility/2006">
    <mc:Choice Requires="x15">
      <x15ac:absPath xmlns:x15ac="http://schemas.microsoft.com/office/spreadsheetml/2010/11/ac" url="D:\PerfLogs\BCkUP 0820192\UMV\110 de 2019\enero 2022\"/>
    </mc:Choice>
  </mc:AlternateContent>
  <xr:revisionPtr revIDLastSave="4" documentId="13_ncr:1_{2928CF6E-C84D-46F9-8D40-6F54F229E585}" xr6:coauthVersionLast="47" xr6:coauthVersionMax="47" xr10:uidLastSave="{CC8CCC68-B2B2-4704-B34C-2DBCEED340D6}"/>
  <bookViews>
    <workbookView xWindow="-120" yWindow="-120" windowWidth="20730" windowHeight="11160" tabRatio="933" firstSheet="3" activeTab="3" xr2:uid="{00000000-000D-0000-FFFF-FFFF00000000}"/>
  </bookViews>
  <sheets>
    <sheet name="Intructivo" sheetId="20" r:id="rId1"/>
    <sheet name="DOFA " sheetId="27" r:id="rId2"/>
    <sheet name="Revisión DOFA" sheetId="21" state="hidden" r:id="rId3"/>
    <sheet name="Mapa riesgos" sheetId="1" r:id="rId4"/>
    <sheet name="Matriz Calor Inherente" sheetId="18" r:id="rId5"/>
    <sheet name="Matriz Calor Residual" sheetId="19" r:id="rId6"/>
    <sheet name="Tabla probabilidad" sheetId="12" r:id="rId7"/>
    <sheet name="Tabla Impacto" sheetId="13" r:id="rId8"/>
    <sheet name="Impacto Corrupción " sheetId="22" r:id="rId9"/>
    <sheet name="Tipo de riesgos" sheetId="23" r:id="rId10"/>
    <sheet name="Amenazas" sheetId="28" r:id="rId11"/>
    <sheet name="Ejemplos de riesgos" sheetId="26" r:id="rId12"/>
    <sheet name="Tabla Valoración controles" sheetId="15" r:id="rId13"/>
    <sheet name="Opciones Tratamiento" sheetId="16" state="hidden" r:id="rId14"/>
    <sheet name="Hoja1" sheetId="11" state="hidden" r:id="rId15"/>
  </sheets>
  <externalReferences>
    <externalReference r:id="rId16"/>
    <externalReference r:id="rId17"/>
    <externalReference r:id="rId18"/>
  </externalReferences>
  <definedNames>
    <definedName name="_xlnm.Print_Area" localSheetId="1">'DOFA '!$B$8:$E$17</definedName>
    <definedName name="_xlnm.Print_Area" localSheetId="8">'Impacto Corrupción '!$A$1:$G$26</definedName>
    <definedName name="_xlnm.Print_Area" localSheetId="3">'Mapa riesgos'!$A$1:$AP$30</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8">#REF!</definedName>
    <definedName name="impactoco">#REF!</definedName>
    <definedName name="infraestructura">#REF!</definedName>
    <definedName name="interno">#REF!</definedName>
    <definedName name="macroprocesos">#REF!</definedName>
    <definedName name="medio_ambientales">#REF!</definedName>
    <definedName name="opciondelriesgo" localSheetId="8">[1]FORMULAS!$K$4:$K$7</definedName>
    <definedName name="opciondelriesgo">[2]FORMULAS!$K$4:$K$7</definedName>
    <definedName name="personal">#REF!</definedName>
    <definedName name="políticos">#REF!</definedName>
    <definedName name="probabilidad" localSheetId="8">#REF!</definedName>
    <definedName name="probabilidad">[2]FORMULAS!$G$4:$G$8</definedName>
    <definedName name="proceso">#REF!</definedName>
    <definedName name="procesos" localSheetId="8">#REF!</definedName>
    <definedName name="procesos">[2]FORMULAS!$B$4:$B$21</definedName>
    <definedName name="sociales">#REF!</definedName>
    <definedName name="tecnología">#REF!</definedName>
    <definedName name="tecnológicos">#REF!</definedName>
    <definedName name="tipo_de_amenaza" localSheetId="8">[1]FORMULAS!$E$4:$E$11</definedName>
    <definedName name="tipo_de_amenaza">[2]FORMULAS!$E$4:$E$11</definedName>
    <definedName name="tipo_de_riesgos" localSheetId="8">[1]FORMULAS!$C$4:$C$6</definedName>
    <definedName name="tipo_de_riesgos">[2]FORMULAS!$C$4:$C$6</definedName>
    <definedName name="_xlnm.Print_Titles" localSheetId="1">'DOFA '!$9:$9</definedName>
    <definedName name="_xlnm.Print_Titles" localSheetId="3">'Mapa riesgos'!$1:$8</definedName>
  </definedNames>
  <calcPr calcId="191028"/>
  <pivotCaches>
    <pivotCache cacheId="347" r:id="rId1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Y20" i="1" l="1"/>
  <c r="Y19" i="1"/>
  <c r="Y18" i="1"/>
  <c r="Y17" i="1"/>
  <c r="Y16" i="1"/>
  <c r="Y15" i="1"/>
  <c r="Y14" i="1"/>
  <c r="Y13" i="1"/>
  <c r="M13" i="1" l="1"/>
  <c r="N13" i="1" s="1"/>
  <c r="V13" i="1"/>
  <c r="V14" i="1"/>
  <c r="V15" i="1"/>
  <c r="V16" i="1"/>
  <c r="V17" i="1"/>
  <c r="V18" i="1"/>
  <c r="P15" i="1"/>
  <c r="P18" i="1"/>
  <c r="P17" i="1"/>
  <c r="P16" i="1"/>
  <c r="P14" i="1"/>
  <c r="AC18" i="1" l="1"/>
  <c r="AE18" i="1" s="1"/>
  <c r="AC17" i="1"/>
  <c r="AG18" i="1"/>
  <c r="AF18" i="1" s="1"/>
  <c r="AG16" i="1"/>
  <c r="AF16" i="1" s="1"/>
  <c r="AC13" i="1"/>
  <c r="AE13" i="1" s="1"/>
  <c r="AC14" i="1" s="1"/>
  <c r="AD17" i="1"/>
  <c r="AE17" i="1"/>
  <c r="AD18" i="1"/>
  <c r="AG17" i="1"/>
  <c r="AF17" i="1" s="1"/>
  <c r="AC16" i="1"/>
  <c r="AH18" i="1" l="1"/>
  <c r="AD13" i="1"/>
  <c r="AD14" i="1"/>
  <c r="AE14" i="1"/>
  <c r="AC15" i="1" s="1"/>
  <c r="AD15" i="1" s="1"/>
  <c r="AD16" i="1"/>
  <c r="AH16" i="1" s="1"/>
  <c r="AE16" i="1"/>
  <c r="AH17" i="1"/>
  <c r="AE15" i="1" l="1"/>
  <c r="M55" i="1" l="1"/>
  <c r="W8" i="1" l="1"/>
  <c r="W7" i="1"/>
  <c r="W6" i="1"/>
  <c r="V19" i="1" l="1"/>
  <c r="V20" i="1"/>
  <c r="E24" i="22" l="1"/>
  <c r="E8" i="13"/>
  <c r="E7" i="13"/>
  <c r="E6" i="13"/>
  <c r="E5" i="13"/>
  <c r="P35" i="1"/>
  <c r="P62" i="1"/>
  <c r="P27" i="1"/>
  <c r="P40" i="1"/>
  <c r="P53" i="1"/>
  <c r="P71" i="1"/>
  <c r="P45" i="1"/>
  <c r="P46" i="1"/>
  <c r="P52" i="1"/>
  <c r="P28" i="1"/>
  <c r="P65" i="1"/>
  <c r="P70" i="1"/>
  <c r="P36" i="1"/>
  <c r="P60" i="1"/>
  <c r="P72" i="1"/>
  <c r="P34" i="1"/>
  <c r="P32" i="1"/>
  <c r="P21" i="1"/>
  <c r="P33" i="1"/>
  <c r="P24" i="1"/>
  <c r="P23" i="1"/>
  <c r="P20" i="1"/>
  <c r="P68" i="1"/>
  <c r="P30" i="1"/>
  <c r="P66" i="1"/>
  <c r="P44" i="1"/>
  <c r="P54" i="1"/>
  <c r="P58" i="1"/>
  <c r="P41" i="1"/>
  <c r="P59" i="1"/>
  <c r="P29" i="1"/>
  <c r="P42" i="1"/>
  <c r="P50" i="1"/>
  <c r="P63" i="1"/>
  <c r="P64" i="1"/>
  <c r="P22" i="1"/>
  <c r="P57" i="1"/>
  <c r="P39" i="1"/>
  <c r="P47" i="1"/>
  <c r="P69" i="1"/>
  <c r="P26" i="1"/>
  <c r="P38" i="1"/>
  <c r="P51" i="1"/>
  <c r="P48" i="1"/>
  <c r="P56" i="1"/>
  <c r="F222" i="13" l="1"/>
  <c r="F212" i="13"/>
  <c r="F213" i="13"/>
  <c r="F214" i="13"/>
  <c r="F215" i="13"/>
  <c r="F216" i="13"/>
  <c r="F217" i="13"/>
  <c r="F218" i="13"/>
  <c r="F219" i="13"/>
  <c r="F220" i="13"/>
  <c r="F221" i="13"/>
  <c r="F211" i="13"/>
  <c r="B222" i="13" a="1"/>
  <c r="B222" i="13" l="1"/>
  <c r="V55" i="1"/>
  <c r="V50" i="1"/>
  <c r="V44"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Y72" i="1" l="1"/>
  <c r="V72" i="1"/>
  <c r="Y71" i="1"/>
  <c r="V71" i="1"/>
  <c r="Y70" i="1"/>
  <c r="V70" i="1"/>
  <c r="Y69" i="1"/>
  <c r="V69" i="1"/>
  <c r="Y68" i="1"/>
  <c r="V68" i="1"/>
  <c r="Y67" i="1"/>
  <c r="V67" i="1"/>
  <c r="M67" i="1"/>
  <c r="N67" i="1" s="1"/>
  <c r="Y66" i="1"/>
  <c r="V66" i="1"/>
  <c r="Y65" i="1"/>
  <c r="V65" i="1"/>
  <c r="Y64" i="1"/>
  <c r="V64" i="1"/>
  <c r="Y63" i="1"/>
  <c r="V63" i="1"/>
  <c r="Y62" i="1"/>
  <c r="V62" i="1"/>
  <c r="Y61" i="1"/>
  <c r="V61" i="1"/>
  <c r="M61" i="1"/>
  <c r="N61" i="1" s="1"/>
  <c r="Y60" i="1"/>
  <c r="V60" i="1"/>
  <c r="Y59" i="1"/>
  <c r="V59" i="1"/>
  <c r="Y58" i="1"/>
  <c r="V58" i="1"/>
  <c r="Y57" i="1"/>
  <c r="V57" i="1"/>
  <c r="Y56" i="1"/>
  <c r="V56" i="1"/>
  <c r="Y55" i="1"/>
  <c r="N55" i="1"/>
  <c r="Y54" i="1"/>
  <c r="V54" i="1"/>
  <c r="Y53" i="1"/>
  <c r="V53" i="1"/>
  <c r="Y52" i="1"/>
  <c r="V52" i="1"/>
  <c r="Y51" i="1"/>
  <c r="V51" i="1"/>
  <c r="Y50" i="1"/>
  <c r="Y49" i="1"/>
  <c r="V49" i="1"/>
  <c r="M49" i="1"/>
  <c r="N49" i="1" s="1"/>
  <c r="Y48" i="1"/>
  <c r="V48" i="1"/>
  <c r="Y47" i="1"/>
  <c r="V47" i="1"/>
  <c r="Y46" i="1"/>
  <c r="V46" i="1"/>
  <c r="Y45" i="1"/>
  <c r="V45" i="1"/>
  <c r="Y44" i="1"/>
  <c r="Y43" i="1"/>
  <c r="V43" i="1"/>
  <c r="M43" i="1"/>
  <c r="N43" i="1" s="1"/>
  <c r="Y42" i="1"/>
  <c r="V42" i="1"/>
  <c r="Y41" i="1"/>
  <c r="V41" i="1"/>
  <c r="Y40" i="1"/>
  <c r="V40" i="1"/>
  <c r="Y39" i="1"/>
  <c r="V39" i="1"/>
  <c r="Y38" i="1"/>
  <c r="V38" i="1"/>
  <c r="Y37" i="1"/>
  <c r="V37" i="1"/>
  <c r="M37" i="1"/>
  <c r="N37" i="1" s="1"/>
  <c r="Y36" i="1"/>
  <c r="V36" i="1"/>
  <c r="Y35" i="1"/>
  <c r="V35" i="1"/>
  <c r="Y34" i="1"/>
  <c r="V34" i="1"/>
  <c r="Y33" i="1"/>
  <c r="V33" i="1"/>
  <c r="Y32" i="1"/>
  <c r="V32" i="1"/>
  <c r="Y31" i="1"/>
  <c r="V31" i="1"/>
  <c r="M31" i="1"/>
  <c r="N31" i="1" s="1"/>
  <c r="Y30" i="1"/>
  <c r="V30" i="1"/>
  <c r="Y29" i="1"/>
  <c r="V29" i="1"/>
  <c r="Y28" i="1"/>
  <c r="V28" i="1"/>
  <c r="Y27" i="1"/>
  <c r="V27" i="1"/>
  <c r="Y26" i="1"/>
  <c r="V26" i="1"/>
  <c r="Y25" i="1"/>
  <c r="V25" i="1"/>
  <c r="M25" i="1"/>
  <c r="N25" i="1" s="1"/>
  <c r="M19" i="1"/>
  <c r="Y24" i="1"/>
  <c r="V24" i="1"/>
  <c r="Y23" i="1"/>
  <c r="V23" i="1"/>
  <c r="Y22" i="1"/>
  <c r="V22" i="1"/>
  <c r="Y21" i="1"/>
  <c r="V21" i="1"/>
  <c r="AG53" i="1" l="1"/>
  <c r="AF53" i="1" s="1"/>
  <c r="AG54" i="1"/>
  <c r="AF54" i="1" s="1"/>
  <c r="N19" i="1"/>
  <c r="AC19" i="1" s="1"/>
  <c r="AC67" i="1"/>
  <c r="AC61" i="1"/>
  <c r="AC55" i="1"/>
  <c r="AC49" i="1"/>
  <c r="AC53" i="1"/>
  <c r="AC54" i="1"/>
  <c r="AC43" i="1"/>
  <c r="AC37" i="1"/>
  <c r="AC31" i="1"/>
  <c r="AC25" i="1"/>
  <c r="AD67" i="1" l="1"/>
  <c r="AE67" i="1"/>
  <c r="AC68" i="1" s="1"/>
  <c r="AD68" i="1" s="1"/>
  <c r="AD61" i="1"/>
  <c r="AE61" i="1"/>
  <c r="AC62" i="1" s="1"/>
  <c r="AE62" i="1" s="1"/>
  <c r="AC63" i="1" s="1"/>
  <c r="AD55" i="1"/>
  <c r="AE55" i="1"/>
  <c r="AC56" i="1" s="1"/>
  <c r="AE56" i="1" s="1"/>
  <c r="AC57" i="1" s="1"/>
  <c r="AD54" i="1"/>
  <c r="AE54" i="1"/>
  <c r="AD53" i="1"/>
  <c r="AE53" i="1"/>
  <c r="AD49" i="1"/>
  <c r="AE49" i="1"/>
  <c r="AD43" i="1"/>
  <c r="AE43" i="1"/>
  <c r="AC44" i="1" s="1"/>
  <c r="AE44" i="1" s="1"/>
  <c r="AC45" i="1" s="1"/>
  <c r="AD37" i="1"/>
  <c r="AE37" i="1"/>
  <c r="AD31" i="1"/>
  <c r="AE31" i="1"/>
  <c r="AC32" i="1" s="1"/>
  <c r="AE32" i="1" s="1"/>
  <c r="AC33" i="1" s="1"/>
  <c r="AD33" i="1" s="1"/>
  <c r="AD25" i="1"/>
  <c r="AE25" i="1"/>
  <c r="AC26" i="1" s="1"/>
  <c r="AD26" i="1" s="1"/>
  <c r="AD19" i="1"/>
  <c r="AE19" i="1"/>
  <c r="AC20" i="1" s="1"/>
  <c r="AD62" i="1" l="1"/>
  <c r="AD56" i="1"/>
  <c r="AE26" i="1"/>
  <c r="AC27" i="1" s="1"/>
  <c r="AD27" i="1" s="1"/>
  <c r="AD44" i="1"/>
  <c r="AD32" i="1"/>
  <c r="AD45" i="1"/>
  <c r="AE45" i="1"/>
  <c r="AE63" i="1"/>
  <c r="AC64" i="1" s="1"/>
  <c r="AD63" i="1"/>
  <c r="AE57" i="1"/>
  <c r="AC58" i="1" s="1"/>
  <c r="AD57" i="1"/>
  <c r="AE68" i="1"/>
  <c r="AC69" i="1" s="1"/>
  <c r="AC38" i="1"/>
  <c r="AC50" i="1"/>
  <c r="AE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H53" i="1"/>
  <c r="AH54" i="1"/>
  <c r="AD64" i="1" l="1"/>
  <c r="AE64" i="1"/>
  <c r="AD58" i="1"/>
  <c r="AE58" i="1"/>
  <c r="AC59" i="1" s="1"/>
  <c r="AE27" i="1"/>
  <c r="AC28" i="1" s="1"/>
  <c r="AE28" i="1" s="1"/>
  <c r="AD69" i="1"/>
  <c r="AE69" i="1"/>
  <c r="AC70" i="1" s="1"/>
  <c r="AD50" i="1"/>
  <c r="AE50" i="1"/>
  <c r="AC51" i="1" s="1"/>
  <c r="AD51" i="1" s="1"/>
  <c r="AC46" i="1"/>
  <c r="AD38" i="1"/>
  <c r="AE38" i="1"/>
  <c r="AC39" i="1" s="1"/>
  <c r="AD39" i="1" s="1"/>
  <c r="AC35" i="1"/>
  <c r="AD35" i="1" s="1"/>
  <c r="AC34" i="1"/>
  <c r="AD20" i="1"/>
  <c r="AE20" i="1"/>
  <c r="AC21" i="1" s="1"/>
  <c r="AD21" i="1" s="1"/>
  <c r="AE51" i="1" l="1"/>
  <c r="AC52" i="1" s="1"/>
  <c r="AD52" i="1" s="1"/>
  <c r="AE39" i="1"/>
  <c r="AC40" i="1" s="1"/>
  <c r="AE40" i="1" s="1"/>
  <c r="AC41" i="1" s="1"/>
  <c r="AD59" i="1"/>
  <c r="AE59" i="1"/>
  <c r="AC60" i="1" s="1"/>
  <c r="AC65" i="1"/>
  <c r="AC66" i="1"/>
  <c r="AD28" i="1"/>
  <c r="AD46" i="1"/>
  <c r="AE46" i="1"/>
  <c r="AC47" i="1" s="1"/>
  <c r="AD47" i="1" s="1"/>
  <c r="AC29" i="1"/>
  <c r="AE70" i="1"/>
  <c r="AD70" i="1"/>
  <c r="AD34" i="1"/>
  <c r="AE34" i="1"/>
  <c r="AE35" i="1"/>
  <c r="AC36" i="1" s="1"/>
  <c r="AE21" i="1"/>
  <c r="AC22" i="1" s="1"/>
  <c r="AD22" i="1" s="1"/>
  <c r="AE52" i="1" l="1"/>
  <c r="AD40" i="1"/>
  <c r="AD66" i="1"/>
  <c r="AE66" i="1"/>
  <c r="AD65" i="1"/>
  <c r="AE65" i="1"/>
  <c r="AD60" i="1"/>
  <c r="AE60" i="1"/>
  <c r="AC71" i="1"/>
  <c r="AC72" i="1"/>
  <c r="AE47" i="1"/>
  <c r="AC48" i="1" s="1"/>
  <c r="AD48" i="1" s="1"/>
  <c r="AE41" i="1"/>
  <c r="AC42" i="1" s="1"/>
  <c r="AD41" i="1"/>
  <c r="AD29" i="1"/>
  <c r="AE29" i="1"/>
  <c r="AC30" i="1" s="1"/>
  <c r="AD30" i="1" s="1"/>
  <c r="AD36" i="1"/>
  <c r="AE36" i="1"/>
  <c r="AE22" i="1"/>
  <c r="AC23" i="1" s="1"/>
  <c r="AE23" i="1" s="1"/>
  <c r="AC24" i="1" s="1"/>
  <c r="AD72" i="1" l="1"/>
  <c r="AE72" i="1"/>
  <c r="AD71" i="1"/>
  <c r="AE71" i="1"/>
  <c r="AD42" i="1"/>
  <c r="AE42" i="1"/>
  <c r="AE48" i="1"/>
  <c r="AE30" i="1"/>
  <c r="AD23" i="1"/>
  <c r="AD24" i="1"/>
  <c r="AE24" i="1"/>
  <c r="AG31" i="1" l="1"/>
  <c r="AF31" i="1" s="1"/>
  <c r="AG61" i="1"/>
  <c r="AG43" i="1"/>
  <c r="AF43" i="1" s="1"/>
  <c r="AG55" i="1"/>
  <c r="AF55" i="1" s="1"/>
  <c r="AG25" i="1"/>
  <c r="AF25" i="1" s="1"/>
  <c r="AG49" i="1"/>
  <c r="AF49" i="1" s="1"/>
  <c r="AG37" i="1"/>
  <c r="AF37" i="1" s="1"/>
  <c r="AG50" i="1" l="1"/>
  <c r="AF50" i="1" s="1"/>
  <c r="AG56" i="1"/>
  <c r="AF56" i="1" s="1"/>
  <c r="AG62" i="1"/>
  <c r="AF62" i="1" s="1"/>
  <c r="AG38" i="1"/>
  <c r="AF38" i="1" s="1"/>
  <c r="AG44" i="1"/>
  <c r="AF44" i="1" s="1"/>
  <c r="AG32" i="1"/>
  <c r="AF32" i="1" s="1"/>
  <c r="AG26" i="1"/>
  <c r="AF26" i="1" s="1"/>
  <c r="J40" i="19"/>
  <c r="V30" i="19"/>
  <c r="AH20" i="19"/>
  <c r="J30" i="19"/>
  <c r="V20" i="19"/>
  <c r="AH10" i="19"/>
  <c r="P10" i="19"/>
  <c r="AB50" i="19"/>
  <c r="J50" i="19"/>
  <c r="AB40" i="19"/>
  <c r="P30" i="19"/>
  <c r="V50" i="19"/>
  <c r="P50" i="19"/>
  <c r="AB10" i="19"/>
  <c r="AH30" i="19"/>
  <c r="AH40" i="19"/>
  <c r="J10" i="19"/>
  <c r="AB20" i="19"/>
  <c r="AH50" i="19"/>
  <c r="AH37" i="1"/>
  <c r="V10" i="19"/>
  <c r="P20" i="19"/>
  <c r="J20" i="19"/>
  <c r="P40" i="19"/>
  <c r="V40" i="19"/>
  <c r="AB30" i="19"/>
  <c r="J11" i="19"/>
  <c r="V11" i="19"/>
  <c r="AB21" i="19"/>
  <c r="P31" i="19"/>
  <c r="J31" i="19"/>
  <c r="AB41" i="19"/>
  <c r="AH43" i="1"/>
  <c r="AH41" i="19"/>
  <c r="P41" i="19"/>
  <c r="J21" i="19"/>
  <c r="AB31" i="19"/>
  <c r="AB51" i="19"/>
  <c r="P21" i="19"/>
  <c r="V41" i="19"/>
  <c r="V31" i="19"/>
  <c r="AH21" i="19"/>
  <c r="AB11" i="19"/>
  <c r="P51" i="19"/>
  <c r="V21" i="19"/>
  <c r="AH31" i="19"/>
  <c r="V51" i="19"/>
  <c r="J51" i="19"/>
  <c r="AH51" i="19"/>
  <c r="AH11" i="19"/>
  <c r="J41" i="19"/>
  <c r="P11" i="19"/>
  <c r="AH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F61" i="1"/>
  <c r="AG68" i="1"/>
  <c r="AH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25"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G39" i="1"/>
  <c r="AG45" i="1"/>
  <c r="AF45" i="1" s="1"/>
  <c r="V32" i="19"/>
  <c r="P42" i="19"/>
  <c r="J12" i="19"/>
  <c r="J32" i="19"/>
  <c r="AB52" i="19"/>
  <c r="AH49" i="1"/>
  <c r="J22" i="19"/>
  <c r="V22" i="19"/>
  <c r="J52" i="19"/>
  <c r="AH12" i="19"/>
  <c r="J42" i="19"/>
  <c r="AH42" i="19"/>
  <c r="P32" i="19"/>
  <c r="AB12" i="19"/>
  <c r="AH32" i="19"/>
  <c r="AB32" i="19"/>
  <c r="AB42" i="19"/>
  <c r="V42" i="19"/>
  <c r="V12" i="19"/>
  <c r="V52" i="19"/>
  <c r="AB22" i="19"/>
  <c r="AH52" i="19"/>
  <c r="AH22" i="19"/>
  <c r="P22" i="19"/>
  <c r="P12" i="19"/>
  <c r="P52" i="19"/>
  <c r="AG51" i="1"/>
  <c r="AF51" i="1" s="1"/>
  <c r="AG21" i="1"/>
  <c r="AG57" i="1"/>
  <c r="AG63" i="1"/>
  <c r="AG33" i="1"/>
  <c r="AF68" i="1" l="1"/>
  <c r="K45" i="19" s="1"/>
  <c r="AG69" i="1"/>
  <c r="AG52" i="1"/>
  <c r="AF52" i="1" s="1"/>
  <c r="S12" i="19" s="1"/>
  <c r="AG46" i="1"/>
  <c r="AF46" i="1" s="1"/>
  <c r="AG27" i="1"/>
  <c r="AG28" i="1" s="1"/>
  <c r="AC14" i="19"/>
  <c r="Q14" i="19"/>
  <c r="AI54" i="19"/>
  <c r="Q54" i="19"/>
  <c r="Q24" i="19"/>
  <c r="AI14" i="19"/>
  <c r="W24" i="19"/>
  <c r="AC44" i="19"/>
  <c r="K54" i="19"/>
  <c r="AI34" i="19"/>
  <c r="W14" i="19"/>
  <c r="K24" i="19"/>
  <c r="AC24" i="19"/>
  <c r="AI44" i="19"/>
  <c r="AI24" i="19"/>
  <c r="W44" i="19"/>
  <c r="Q44" i="19"/>
  <c r="AC54" i="19"/>
  <c r="AH62"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H44" i="1"/>
  <c r="P54" i="19"/>
  <c r="AH14" i="19"/>
  <c r="AB14" i="19"/>
  <c r="AH34" i="19"/>
  <c r="AB54" i="19"/>
  <c r="AH54" i="19"/>
  <c r="AH61"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H51" i="1"/>
  <c r="AD12" i="19"/>
  <c r="AD32" i="19"/>
  <c r="AD22" i="19"/>
  <c r="X52" i="19"/>
  <c r="AD52" i="19"/>
  <c r="L42" i="19"/>
  <c r="R42" i="19"/>
  <c r="AJ21" i="19"/>
  <c r="AD31" i="19"/>
  <c r="R21" i="19"/>
  <c r="AD41" i="19"/>
  <c r="AJ11" i="19"/>
  <c r="AJ51" i="19"/>
  <c r="AH45" i="1"/>
  <c r="L41" i="19"/>
  <c r="AD11" i="19"/>
  <c r="L21" i="19"/>
  <c r="L11" i="19"/>
  <c r="X51" i="19"/>
  <c r="X21" i="19"/>
  <c r="R11" i="19"/>
  <c r="R31" i="19"/>
  <c r="AJ41" i="19"/>
  <c r="L31" i="19"/>
  <c r="R51" i="19"/>
  <c r="X31" i="19"/>
  <c r="X11" i="19"/>
  <c r="X41" i="19"/>
  <c r="AJ31" i="19"/>
  <c r="AD51" i="19"/>
  <c r="R41" i="19"/>
  <c r="AD21" i="19"/>
  <c r="L51" i="19"/>
  <c r="AG22" i="1"/>
  <c r="AF21" i="1"/>
  <c r="AF33" i="1"/>
  <c r="AG34" i="1"/>
  <c r="AF57" i="1"/>
  <c r="AG58" i="1"/>
  <c r="K42" i="19"/>
  <c r="AC32" i="19"/>
  <c r="W42" i="19"/>
  <c r="AI52" i="19"/>
  <c r="K22" i="19"/>
  <c r="Q32" i="19"/>
  <c r="AI12" i="19"/>
  <c r="AC52" i="19"/>
  <c r="Q42" i="19"/>
  <c r="AC42" i="19"/>
  <c r="K12" i="19"/>
  <c r="Q22" i="19"/>
  <c r="W52" i="19"/>
  <c r="AI42" i="19"/>
  <c r="W32" i="19"/>
  <c r="AI22" i="19"/>
  <c r="W12" i="19"/>
  <c r="AI32" i="19"/>
  <c r="AC12" i="19"/>
  <c r="Q12" i="19"/>
  <c r="Q52" i="19"/>
  <c r="AH50" i="1"/>
  <c r="K32" i="19"/>
  <c r="W22" i="19"/>
  <c r="K52" i="19"/>
  <c r="AC22" i="19"/>
  <c r="AC40" i="19"/>
  <c r="W10" i="19"/>
  <c r="AC50" i="19"/>
  <c r="Q10" i="19"/>
  <c r="Q30" i="19"/>
  <c r="W50" i="19"/>
  <c r="K40" i="19"/>
  <c r="Q50" i="19"/>
  <c r="W20" i="19"/>
  <c r="AH38" i="1"/>
  <c r="K10" i="19"/>
  <c r="Q40" i="19"/>
  <c r="K30" i="19"/>
  <c r="AI50" i="19"/>
  <c r="AI20" i="19"/>
  <c r="K50" i="19"/>
  <c r="AI40" i="19"/>
  <c r="W40" i="19"/>
  <c r="K20" i="19"/>
  <c r="AC10" i="19"/>
  <c r="AI10" i="19"/>
  <c r="AC20" i="19"/>
  <c r="AI30" i="19"/>
  <c r="AC30" i="19"/>
  <c r="W30" i="19"/>
  <c r="Q20" i="19"/>
  <c r="AF63" i="1"/>
  <c r="AG64" i="1"/>
  <c r="K39" i="19"/>
  <c r="AC39" i="19"/>
  <c r="W29" i="19"/>
  <c r="AI49" i="19"/>
  <c r="W9" i="19"/>
  <c r="AC19" i="19"/>
  <c r="Q49" i="19"/>
  <c r="W49" i="19"/>
  <c r="AC9" i="19"/>
  <c r="AI9" i="19"/>
  <c r="Q29" i="19"/>
  <c r="W39" i="19"/>
  <c r="Q39" i="19"/>
  <c r="AH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H56" i="1"/>
  <c r="Q33" i="19"/>
  <c r="AI23" i="19"/>
  <c r="K53" i="19"/>
  <c r="AC23" i="19"/>
  <c r="AC13" i="19"/>
  <c r="W23" i="19"/>
  <c r="W33" i="19"/>
  <c r="Q13" i="19"/>
  <c r="W13" i="19"/>
  <c r="AI13" i="19"/>
  <c r="Q43" i="19"/>
  <c r="Q23" i="19"/>
  <c r="W53" i="19"/>
  <c r="M12" i="19"/>
  <c r="AK42" i="19"/>
  <c r="AE32" i="19"/>
  <c r="AH52" i="1"/>
  <c r="Y52" i="19"/>
  <c r="S22" i="19"/>
  <c r="AK52" i="19"/>
  <c r="M22" i="19"/>
  <c r="AK32" i="19"/>
  <c r="AE22" i="19"/>
  <c r="AE42" i="19"/>
  <c r="S42" i="19"/>
  <c r="AG48" i="1"/>
  <c r="AF48" i="1" s="1"/>
  <c r="AG47" i="1"/>
  <c r="AF47" i="1" s="1"/>
  <c r="AF39" i="1"/>
  <c r="AG40"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H26" i="1"/>
  <c r="S52" i="19" l="1"/>
  <c r="AK22" i="19"/>
  <c r="AK12" i="19"/>
  <c r="AE52" i="19"/>
  <c r="Y42" i="19"/>
  <c r="Q55" i="19"/>
  <c r="Y22" i="19"/>
  <c r="Y32" i="19"/>
  <c r="AE12" i="19"/>
  <c r="M52" i="19"/>
  <c r="Y12" i="19"/>
  <c r="S32" i="19"/>
  <c r="M32" i="19"/>
  <c r="M42" i="19"/>
  <c r="W45" i="19"/>
  <c r="K25" i="19"/>
  <c r="W55" i="19"/>
  <c r="AI25" i="19"/>
  <c r="AI45" i="19"/>
  <c r="Q25" i="19"/>
  <c r="AH68" i="1"/>
  <c r="AC35" i="19"/>
  <c r="AI15" i="19"/>
  <c r="Q35" i="19"/>
  <c r="W25" i="19"/>
  <c r="AC25" i="19"/>
  <c r="AI55" i="19"/>
  <c r="K15" i="19"/>
  <c r="Q15" i="19"/>
  <c r="K35" i="19"/>
  <c r="W35" i="19"/>
  <c r="W15" i="19"/>
  <c r="AC15" i="19"/>
  <c r="Q45" i="19"/>
  <c r="AC55" i="19"/>
  <c r="K55" i="19"/>
  <c r="AC45" i="19"/>
  <c r="AI35" i="19"/>
  <c r="AF69" i="1"/>
  <c r="AG70" i="1"/>
  <c r="AF27" i="1"/>
  <c r="R18" i="19" s="1"/>
  <c r="R40" i="19"/>
  <c r="AD10" i="19"/>
  <c r="X40" i="19"/>
  <c r="AJ10" i="19"/>
  <c r="R50" i="19"/>
  <c r="X10" i="19"/>
  <c r="R30" i="19"/>
  <c r="AH39" i="1"/>
  <c r="L10" i="19"/>
  <c r="L50" i="19"/>
  <c r="AJ20" i="19"/>
  <c r="AJ40" i="19"/>
  <c r="AD30" i="19"/>
  <c r="R20" i="19"/>
  <c r="AD50" i="19"/>
  <c r="AJ30" i="19"/>
  <c r="AJ50" i="19"/>
  <c r="X30" i="19"/>
  <c r="AD20" i="19"/>
  <c r="L40" i="19"/>
  <c r="X50" i="19"/>
  <c r="X20" i="19"/>
  <c r="AD40" i="19"/>
  <c r="R10" i="19"/>
  <c r="L30" i="19"/>
  <c r="L20" i="19"/>
  <c r="AF58" i="1"/>
  <c r="AG59" i="1"/>
  <c r="AG72" i="1"/>
  <c r="AF72" i="1" s="1"/>
  <c r="AD47" i="19"/>
  <c r="AJ27" i="19"/>
  <c r="AD27" i="19"/>
  <c r="AJ7" i="19"/>
  <c r="AJ37" i="19"/>
  <c r="L27" i="19"/>
  <c r="AD17" i="19"/>
  <c r="L37" i="19"/>
  <c r="R17" i="19"/>
  <c r="AJ17" i="19"/>
  <c r="X7" i="19"/>
  <c r="X47" i="19"/>
  <c r="L7" i="19"/>
  <c r="L17" i="19"/>
  <c r="R27" i="19"/>
  <c r="X27" i="19"/>
  <c r="R7" i="19"/>
  <c r="X17" i="19"/>
  <c r="AJ47" i="19"/>
  <c r="L47" i="19"/>
  <c r="R37" i="19"/>
  <c r="AD7" i="19"/>
  <c r="X37" i="19"/>
  <c r="AH21" i="1"/>
  <c r="R47" i="19"/>
  <c r="AD37" i="19"/>
  <c r="AG29" i="1"/>
  <c r="AF29" i="1" s="1"/>
  <c r="AF28" i="1"/>
  <c r="AG30" i="1"/>
  <c r="AF30" i="1" s="1"/>
  <c r="AJ43" i="19"/>
  <c r="AD33" i="19"/>
  <c r="X33" i="19"/>
  <c r="X13" i="19"/>
  <c r="AD43" i="19"/>
  <c r="L43" i="19"/>
  <c r="AH57" i="1"/>
  <c r="X23" i="19"/>
  <c r="R33" i="19"/>
  <c r="R43" i="19"/>
  <c r="AD53" i="19"/>
  <c r="AJ13" i="19"/>
  <c r="R23" i="19"/>
  <c r="R13" i="19"/>
  <c r="AJ53" i="19"/>
  <c r="L33" i="19"/>
  <c r="L23" i="19"/>
  <c r="X43" i="19"/>
  <c r="X53" i="19"/>
  <c r="AD13" i="19"/>
  <c r="L53" i="19"/>
  <c r="L13" i="19"/>
  <c r="AD23" i="19"/>
  <c r="AJ33" i="19"/>
  <c r="AJ23" i="19"/>
  <c r="R53" i="19"/>
  <c r="AF22" i="1"/>
  <c r="AG23" i="1"/>
  <c r="Z11" i="19"/>
  <c r="AF31" i="19"/>
  <c r="T51" i="19"/>
  <c r="N51" i="19"/>
  <c r="Z41" i="19"/>
  <c r="AF21" i="19"/>
  <c r="AL31" i="19"/>
  <c r="T31" i="19"/>
  <c r="Z31" i="19"/>
  <c r="N21" i="19"/>
  <c r="N31" i="19"/>
  <c r="AL11" i="19"/>
  <c r="T11" i="19"/>
  <c r="AF11" i="19"/>
  <c r="AL41" i="19"/>
  <c r="T21" i="19"/>
  <c r="Z21" i="19"/>
  <c r="AL51" i="19"/>
  <c r="N11" i="19"/>
  <c r="AF51" i="19"/>
  <c r="N41" i="19"/>
  <c r="Z51" i="19"/>
  <c r="AH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H48" i="1"/>
  <c r="AG11" i="19"/>
  <c r="AM41" i="19"/>
  <c r="AA21" i="19"/>
  <c r="AA51" i="19"/>
  <c r="U51" i="19"/>
  <c r="U31" i="19"/>
  <c r="AA11" i="19"/>
  <c r="AG21" i="19"/>
  <c r="O31" i="19"/>
  <c r="AF64" i="1"/>
  <c r="AG65" i="1"/>
  <c r="AF34" i="1"/>
  <c r="AG35" i="1"/>
  <c r="AF35" i="1" s="1"/>
  <c r="AG36" i="1"/>
  <c r="AF36" i="1" s="1"/>
  <c r="AF40" i="1"/>
  <c r="AG41" i="1"/>
  <c r="AE11" i="19"/>
  <c r="Y41" i="19"/>
  <c r="M41" i="19"/>
  <c r="Y21" i="19"/>
  <c r="AK41" i="19"/>
  <c r="S31" i="19"/>
  <c r="M31" i="19"/>
  <c r="M51" i="19"/>
  <c r="Y51" i="19"/>
  <c r="AK21" i="19"/>
  <c r="AK31" i="19"/>
  <c r="Y11" i="19"/>
  <c r="AE41" i="19"/>
  <c r="AE21" i="19"/>
  <c r="S51" i="19"/>
  <c r="AE51" i="19"/>
  <c r="AK51" i="19"/>
  <c r="M21" i="19"/>
  <c r="AE31" i="19"/>
  <c r="AH46" i="1"/>
  <c r="S41" i="19"/>
  <c r="AK11" i="19"/>
  <c r="S11" i="19"/>
  <c r="Y31" i="19"/>
  <c r="S21" i="19"/>
  <c r="M11" i="19"/>
  <c r="L54" i="19"/>
  <c r="AJ14" i="19"/>
  <c r="AD44" i="19"/>
  <c r="X54" i="19"/>
  <c r="R14" i="19"/>
  <c r="AD24" i="19"/>
  <c r="AD34" i="19"/>
  <c r="R54" i="19"/>
  <c r="L34" i="19"/>
  <c r="AJ34" i="19"/>
  <c r="X24" i="19"/>
  <c r="AJ24" i="19"/>
  <c r="X44" i="19"/>
  <c r="R24" i="19"/>
  <c r="AH63" i="1"/>
  <c r="X34" i="19"/>
  <c r="L14" i="19"/>
  <c r="AD14" i="19"/>
  <c r="L44" i="19"/>
  <c r="R44" i="19"/>
  <c r="AD54" i="19"/>
  <c r="X14" i="19"/>
  <c r="AJ44" i="19"/>
  <c r="R34" i="19"/>
  <c r="AJ54" i="19"/>
  <c r="L24" i="19"/>
  <c r="AD29" i="19"/>
  <c r="AD19" i="19"/>
  <c r="R39" i="19"/>
  <c r="R9" i="19"/>
  <c r="X49" i="19"/>
  <c r="X9" i="19"/>
  <c r="AD39" i="19"/>
  <c r="R29" i="19"/>
  <c r="L49" i="19"/>
  <c r="X19" i="19"/>
  <c r="X29" i="19"/>
  <c r="X39" i="19"/>
  <c r="L9" i="19"/>
  <c r="AH33" i="1"/>
  <c r="AD9" i="19"/>
  <c r="AJ49" i="19"/>
  <c r="L39" i="19"/>
  <c r="R19" i="19"/>
  <c r="AJ39" i="19"/>
  <c r="AJ29" i="19"/>
  <c r="AJ19" i="19"/>
  <c r="AJ9" i="19"/>
  <c r="AD49" i="19"/>
  <c r="L19" i="19"/>
  <c r="L29" i="19"/>
  <c r="R49" i="19"/>
  <c r="R15" i="19" l="1"/>
  <c r="R55" i="19"/>
  <c r="AD25" i="19"/>
  <c r="L55" i="19"/>
  <c r="AJ35" i="19"/>
  <c r="X55" i="19"/>
  <c r="X35" i="19"/>
  <c r="AH69" i="1"/>
  <c r="AD15" i="19"/>
  <c r="X25" i="19"/>
  <c r="X45" i="19"/>
  <c r="L35" i="19"/>
  <c r="R35" i="19"/>
  <c r="AJ15" i="19"/>
  <c r="L15" i="19"/>
  <c r="AJ25" i="19"/>
  <c r="AJ55" i="19"/>
  <c r="L45" i="19"/>
  <c r="AD35" i="19"/>
  <c r="R25" i="19"/>
  <c r="AD45" i="19"/>
  <c r="R45" i="19"/>
  <c r="AD55" i="19"/>
  <c r="X15" i="19"/>
  <c r="L25" i="19"/>
  <c r="AJ45" i="19"/>
  <c r="AG71" i="1"/>
  <c r="AF71" i="1" s="1"/>
  <c r="Z35" i="19" s="1"/>
  <c r="AF70" i="1"/>
  <c r="AJ48" i="19"/>
  <c r="L18" i="19"/>
  <c r="AD8" i="19"/>
  <c r="AJ8" i="19"/>
  <c r="AJ28" i="19"/>
  <c r="R48" i="19"/>
  <c r="X48" i="19"/>
  <c r="L8" i="19"/>
  <c r="AD28" i="19"/>
  <c r="X38" i="19"/>
  <c r="AH27" i="1"/>
  <c r="X8" i="19"/>
  <c r="L48" i="19"/>
  <c r="AD48" i="19"/>
  <c r="AD38" i="19"/>
  <c r="X18" i="19"/>
  <c r="R38" i="19"/>
  <c r="R8" i="19"/>
  <c r="L38" i="19"/>
  <c r="R28" i="19"/>
  <c r="AJ38" i="19"/>
  <c r="AD18" i="19"/>
  <c r="L28" i="19"/>
  <c r="AJ18" i="19"/>
  <c r="X28" i="19"/>
  <c r="AF41" i="1"/>
  <c r="AG42" i="1"/>
  <c r="AF42" i="1" s="1"/>
  <c r="AG39" i="19"/>
  <c r="AG29" i="19"/>
  <c r="AM19" i="19"/>
  <c r="O39" i="19"/>
  <c r="AH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H64" i="1"/>
  <c r="AE24" i="19"/>
  <c r="S14" i="19"/>
  <c r="AK17" i="19"/>
  <c r="S27" i="19"/>
  <c r="S37" i="19"/>
  <c r="AE27" i="19"/>
  <c r="Y47" i="19"/>
  <c r="S7" i="19"/>
  <c r="M17" i="19"/>
  <c r="AE17" i="19"/>
  <c r="AK27" i="19"/>
  <c r="Y7" i="19"/>
  <c r="Y37" i="19"/>
  <c r="AE37" i="19"/>
  <c r="Y27" i="19"/>
  <c r="M47" i="19"/>
  <c r="AH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H28" i="1"/>
  <c r="AE28" i="19"/>
  <c r="AA55" i="19"/>
  <c r="O45" i="19"/>
  <c r="AA15" i="19"/>
  <c r="AM55" i="19"/>
  <c r="O55" i="19"/>
  <c r="AG35" i="19"/>
  <c r="AM25" i="19"/>
  <c r="AM35" i="19"/>
  <c r="AA25" i="19"/>
  <c r="AM45" i="19"/>
  <c r="AG25" i="19"/>
  <c r="AA35" i="19"/>
  <c r="O25" i="19"/>
  <c r="U25" i="19"/>
  <c r="AG45" i="19"/>
  <c r="U35" i="19"/>
  <c r="AA45" i="19"/>
  <c r="AM15" i="19"/>
  <c r="U45" i="19"/>
  <c r="O35" i="19"/>
  <c r="O15" i="19"/>
  <c r="AH72" i="1"/>
  <c r="AG15" i="19"/>
  <c r="U15" i="19"/>
  <c r="AG55" i="19"/>
  <c r="U55" i="19"/>
  <c r="AE40" i="19"/>
  <c r="Y30" i="19"/>
  <c r="M20" i="19"/>
  <c r="AH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H35" i="1"/>
  <c r="T19" i="19"/>
  <c r="AL49" i="19"/>
  <c r="T29" i="19"/>
  <c r="AF29" i="19"/>
  <c r="T18" i="19"/>
  <c r="N48" i="19"/>
  <c r="N8" i="19"/>
  <c r="T28" i="19"/>
  <c r="AF38" i="19"/>
  <c r="Z28" i="19"/>
  <c r="Z18" i="19"/>
  <c r="AF8" i="19"/>
  <c r="AH29" i="1"/>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AH34" i="1"/>
  <c r="M9" i="19"/>
  <c r="Y29" i="19"/>
  <c r="AF59" i="1"/>
  <c r="AG60" i="1"/>
  <c r="AF60"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F65" i="1"/>
  <c r="AG66" i="1"/>
  <c r="AF66" i="1" s="1"/>
  <c r="AG24" i="1"/>
  <c r="AF24" i="1" s="1"/>
  <c r="AF23" i="1"/>
  <c r="O8" i="19"/>
  <c r="AA48" i="19"/>
  <c r="AM38" i="19"/>
  <c r="U48" i="19"/>
  <c r="AA18" i="19"/>
  <c r="AG18" i="19"/>
  <c r="AG48" i="19"/>
  <c r="AM18" i="19"/>
  <c r="AA28" i="19"/>
  <c r="AG28" i="19"/>
  <c r="AA8" i="19"/>
  <c r="U18" i="19"/>
  <c r="AG38" i="19"/>
  <c r="U38" i="19"/>
  <c r="AM8" i="19"/>
  <c r="AA38" i="19"/>
  <c r="AM48" i="19"/>
  <c r="U28" i="19"/>
  <c r="O38" i="19"/>
  <c r="U8" i="19"/>
  <c r="AG8" i="19"/>
  <c r="AH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H58"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L35" i="19" l="1"/>
  <c r="AH71" i="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AH70" i="1"/>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H66" i="1"/>
  <c r="AA14" i="19"/>
  <c r="O54" i="19"/>
  <c r="U44" i="19"/>
  <c r="U43" i="19"/>
  <c r="U13" i="19"/>
  <c r="AM53" i="19"/>
  <c r="AA53" i="19"/>
  <c r="AA43" i="19"/>
  <c r="O53" i="19"/>
  <c r="O23" i="19"/>
  <c r="O13" i="19"/>
  <c r="AG43" i="19"/>
  <c r="U33" i="19"/>
  <c r="U23" i="19"/>
  <c r="AM13" i="19"/>
  <c r="AM23" i="19"/>
  <c r="AG13" i="19"/>
  <c r="AA23" i="19"/>
  <c r="AG33" i="19"/>
  <c r="AA33" i="19"/>
  <c r="AM33" i="19"/>
  <c r="AA13" i="19"/>
  <c r="AH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H65" i="1"/>
  <c r="AF53" i="19"/>
  <c r="T43" i="19"/>
  <c r="Z53" i="19"/>
  <c r="N43" i="19"/>
  <c r="T23" i="19"/>
  <c r="AF43" i="19"/>
  <c r="Z13" i="19"/>
  <c r="Z43" i="19"/>
  <c r="AF23" i="19"/>
  <c r="AL13" i="19"/>
  <c r="Z23" i="19"/>
  <c r="AL43" i="19"/>
  <c r="AF13" i="19"/>
  <c r="AL23" i="19"/>
  <c r="N13" i="19"/>
  <c r="T33" i="19"/>
  <c r="AL53" i="19"/>
  <c r="N23" i="19"/>
  <c r="N53" i="19"/>
  <c r="AF33" i="19"/>
  <c r="N33" i="19"/>
  <c r="AH59" i="1"/>
  <c r="T53" i="19"/>
  <c r="AL33" i="19"/>
  <c r="T13" i="19"/>
  <c r="Z33" i="19"/>
  <c r="Z47" i="19"/>
  <c r="T7" i="19"/>
  <c r="AL37" i="19"/>
  <c r="T17" i="19"/>
  <c r="Z17" i="19"/>
  <c r="AF7" i="19"/>
  <c r="AF37" i="19"/>
  <c r="N17" i="19"/>
  <c r="AF27" i="19"/>
  <c r="AH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H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H24" i="1"/>
  <c r="AA17" i="19"/>
  <c r="O7" i="19"/>
  <c r="AA37" i="19"/>
  <c r="AA27" i="19"/>
  <c r="AM27" i="19"/>
  <c r="U17" i="19"/>
  <c r="U47" i="19"/>
  <c r="AG17" i="19"/>
  <c r="O47" i="19"/>
  <c r="Z40" i="19"/>
  <c r="AH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P13" i="1" l="1"/>
  <c r="Q13" i="1" s="1"/>
  <c r="P43" i="1"/>
  <c r="Q43" i="1" s="1"/>
  <c r="P49" i="1"/>
  <c r="Q49" i="1" s="1"/>
  <c r="P19" i="1"/>
  <c r="Q19" i="1" s="1"/>
  <c r="P67" i="1"/>
  <c r="Q67" i="1" s="1"/>
  <c r="P61" i="1"/>
  <c r="Q61" i="1" s="1"/>
  <c r="P31" i="1"/>
  <c r="Q31" i="1" s="1"/>
  <c r="P37" i="1"/>
  <c r="Q37" i="1" s="1"/>
  <c r="P25" i="1"/>
  <c r="Q25" i="1" s="1"/>
  <c r="P55" i="1"/>
  <c r="Q55" i="1" s="1"/>
  <c r="AD30" i="18" l="1"/>
  <c r="X6" i="18"/>
  <c r="AJ38" i="18"/>
  <c r="AJ30" i="18"/>
  <c r="AJ22" i="18"/>
  <c r="R22" i="18"/>
  <c r="X30" i="18"/>
  <c r="AJ6" i="18"/>
  <c r="L6" i="18"/>
  <c r="L38" i="18"/>
  <c r="R30" i="18"/>
  <c r="AD14" i="18"/>
  <c r="X22" i="18"/>
  <c r="L14" i="18"/>
  <c r="AD6" i="18"/>
  <c r="X38" i="18"/>
  <c r="S19" i="1"/>
  <c r="R19" i="1"/>
  <c r="AG19" i="1" s="1"/>
  <c r="AF19" i="1" s="1"/>
  <c r="L30" i="18"/>
  <c r="AJ14" i="18"/>
  <c r="L22" i="18"/>
  <c r="R6" i="18"/>
  <c r="X14" i="18"/>
  <c r="AD38" i="18"/>
  <c r="AD22" i="18"/>
  <c r="R38" i="18"/>
  <c r="R14" i="18"/>
  <c r="J40" i="18"/>
  <c r="J8" i="18"/>
  <c r="AB40" i="18"/>
  <c r="AB32" i="18"/>
  <c r="AH32" i="18"/>
  <c r="AB8" i="18"/>
  <c r="AB24" i="18"/>
  <c r="J16" i="18"/>
  <c r="J24" i="18"/>
  <c r="P32" i="18"/>
  <c r="J32" i="18"/>
  <c r="V24" i="18"/>
  <c r="P8" i="18"/>
  <c r="P24" i="18"/>
  <c r="AH16" i="18"/>
  <c r="V16" i="18"/>
  <c r="S31" i="1"/>
  <c r="P16" i="18"/>
  <c r="V32" i="18"/>
  <c r="AH24" i="18"/>
  <c r="R31" i="1"/>
  <c r="AB16" i="18"/>
  <c r="V40" i="18"/>
  <c r="AH40" i="18"/>
  <c r="P40" i="18"/>
  <c r="V8" i="18"/>
  <c r="AH8" i="18"/>
  <c r="AH42" i="18"/>
  <c r="V18" i="18"/>
  <c r="AB26" i="18"/>
  <c r="AB34" i="18"/>
  <c r="AH26" i="18"/>
  <c r="AB42" i="18"/>
  <c r="V26" i="18"/>
  <c r="AH18" i="18"/>
  <c r="V42" i="18"/>
  <c r="J34" i="18"/>
  <c r="P26" i="18"/>
  <c r="J10" i="18"/>
  <c r="V10" i="18"/>
  <c r="R49" i="1"/>
  <c r="J42" i="18"/>
  <c r="P34" i="18"/>
  <c r="AB18" i="18"/>
  <c r="AB10" i="18"/>
  <c r="S49" i="1"/>
  <c r="AH10" i="18"/>
  <c r="P18" i="18"/>
  <c r="AH34" i="18"/>
  <c r="P10" i="18"/>
  <c r="V34" i="18"/>
  <c r="P42" i="18"/>
  <c r="J18" i="18"/>
  <c r="J26" i="18"/>
  <c r="AF30" i="18"/>
  <c r="T14" i="18"/>
  <c r="Z22" i="18"/>
  <c r="AL38" i="18"/>
  <c r="T30" i="18"/>
  <c r="N14" i="18"/>
  <c r="Z6" i="18"/>
  <c r="R25" i="1"/>
  <c r="AF14" i="18"/>
  <c r="T38" i="18"/>
  <c r="AL6" i="18"/>
  <c r="T22" i="18"/>
  <c r="Z14" i="18"/>
  <c r="AL14" i="18"/>
  <c r="Z38" i="18"/>
  <c r="N22" i="18"/>
  <c r="AF22" i="18"/>
  <c r="N6" i="18"/>
  <c r="AF6" i="18"/>
  <c r="AF38" i="18"/>
  <c r="N38" i="18"/>
  <c r="AL22" i="18"/>
  <c r="T6" i="18"/>
  <c r="Z30" i="18"/>
  <c r="S25" i="1"/>
  <c r="N30" i="18"/>
  <c r="AL30" i="18"/>
  <c r="R37" i="1"/>
  <c r="L16" i="18"/>
  <c r="R40" i="18"/>
  <c r="R24" i="18"/>
  <c r="L40" i="18"/>
  <c r="L8" i="18"/>
  <c r="X16" i="18"/>
  <c r="AJ32" i="18"/>
  <c r="AD8" i="18"/>
  <c r="X40" i="18"/>
  <c r="X32" i="18"/>
  <c r="R32" i="18"/>
  <c r="AJ40" i="18"/>
  <c r="AJ16" i="18"/>
  <c r="R16" i="18"/>
  <c r="R8" i="18"/>
  <c r="AD40" i="18"/>
  <c r="AD32" i="18"/>
  <c r="AD24" i="18"/>
  <c r="L24" i="18"/>
  <c r="X24" i="18"/>
  <c r="S37" i="1"/>
  <c r="X8" i="18"/>
  <c r="AD16" i="18"/>
  <c r="AJ24" i="18"/>
  <c r="L32" i="18"/>
  <c r="AJ8" i="18"/>
  <c r="R34" i="18"/>
  <c r="X42" i="18"/>
  <c r="L34" i="18"/>
  <c r="AD34" i="18"/>
  <c r="AJ42" i="18"/>
  <c r="AD10" i="18"/>
  <c r="R10" i="18"/>
  <c r="AJ26" i="18"/>
  <c r="X34" i="18"/>
  <c r="AD42" i="18"/>
  <c r="R42" i="18"/>
  <c r="L42" i="18"/>
  <c r="X26" i="18"/>
  <c r="L26" i="18"/>
  <c r="AJ18" i="18"/>
  <c r="X18" i="18"/>
  <c r="S55" i="1"/>
  <c r="R18" i="18"/>
  <c r="AJ10" i="18"/>
  <c r="AD26" i="18"/>
  <c r="R26" i="18"/>
  <c r="L18" i="18"/>
  <c r="X10" i="18"/>
  <c r="AD18" i="18"/>
  <c r="AJ34" i="18"/>
  <c r="R55" i="1"/>
  <c r="L10" i="18"/>
  <c r="Z42" i="18"/>
  <c r="AF18" i="18"/>
  <c r="T18" i="18"/>
  <c r="Z26" i="18"/>
  <c r="AF34" i="18"/>
  <c r="AL34" i="18"/>
  <c r="AF42" i="18"/>
  <c r="AF26" i="18"/>
  <c r="AF10" i="18"/>
  <c r="N42" i="18"/>
  <c r="T10" i="18"/>
  <c r="Z18" i="18"/>
  <c r="S61" i="1"/>
  <c r="AL10" i="18"/>
  <c r="AL42" i="18"/>
  <c r="AL26" i="18"/>
  <c r="N34" i="18"/>
  <c r="Z10" i="18"/>
  <c r="R61" i="1"/>
  <c r="N18" i="18"/>
  <c r="T26" i="18"/>
  <c r="N26" i="18"/>
  <c r="N10" i="18"/>
  <c r="T34" i="18"/>
  <c r="Z34" i="18"/>
  <c r="AL18" i="18"/>
  <c r="T42" i="18"/>
  <c r="AL40" i="18"/>
  <c r="Z16" i="18"/>
  <c r="T8" i="18"/>
  <c r="T24" i="18"/>
  <c r="AF16" i="18"/>
  <c r="AL24" i="18"/>
  <c r="Z32" i="18"/>
  <c r="R43" i="1"/>
  <c r="S43" i="1"/>
  <c r="N8" i="18"/>
  <c r="N32" i="18"/>
  <c r="N16" i="18"/>
  <c r="Z8" i="18"/>
  <c r="AF24" i="18"/>
  <c r="AF32" i="18"/>
  <c r="T40" i="18"/>
  <c r="T32" i="18"/>
  <c r="AF40" i="18"/>
  <c r="N40" i="18"/>
  <c r="AL16" i="18"/>
  <c r="Z40" i="18"/>
  <c r="AL8" i="18"/>
  <c r="AF8" i="18"/>
  <c r="N24" i="18"/>
  <c r="T16" i="18"/>
  <c r="AL32" i="18"/>
  <c r="Z24" i="18"/>
  <c r="AH12" i="18"/>
  <c r="V12" i="18"/>
  <c r="J20" i="18"/>
  <c r="V28" i="18"/>
  <c r="J44" i="18"/>
  <c r="AH44" i="18"/>
  <c r="AB28" i="18"/>
  <c r="AH20" i="18"/>
  <c r="P44" i="18"/>
  <c r="J28" i="18"/>
  <c r="P20" i="18"/>
  <c r="P28" i="18"/>
  <c r="AH28" i="18"/>
  <c r="S67" i="1"/>
  <c r="V36" i="18"/>
  <c r="P12" i="18"/>
  <c r="V20" i="18"/>
  <c r="R67" i="1"/>
  <c r="AG67" i="1" s="1"/>
  <c r="AF67" i="1" s="1"/>
  <c r="AB20" i="18"/>
  <c r="AB12" i="18"/>
  <c r="AB44" i="18"/>
  <c r="P36" i="18"/>
  <c r="J12" i="18"/>
  <c r="AB36" i="18"/>
  <c r="AH36" i="18"/>
  <c r="V44" i="18"/>
  <c r="J36" i="18"/>
  <c r="R13" i="1"/>
  <c r="AG13" i="1" s="1"/>
  <c r="S13" i="1"/>
  <c r="P14" i="18"/>
  <c r="J38" i="18"/>
  <c r="V22" i="18"/>
  <c r="AH6" i="18"/>
  <c r="V14" i="18"/>
  <c r="V6" i="18"/>
  <c r="J6" i="18"/>
  <c r="AH14" i="18"/>
  <c r="P30" i="18"/>
  <c r="AH38" i="18"/>
  <c r="AH22" i="18"/>
  <c r="J14" i="18"/>
  <c r="P6" i="18"/>
  <c r="AB38" i="18"/>
  <c r="P22" i="18"/>
  <c r="AB30" i="18"/>
  <c r="V30" i="18"/>
  <c r="J30" i="18"/>
  <c r="AB6" i="18"/>
  <c r="AH30" i="18"/>
  <c r="J22" i="18"/>
  <c r="V38" i="18"/>
  <c r="AB22" i="18"/>
  <c r="AB14" i="18"/>
  <c r="P38" i="18"/>
  <c r="AF13" i="1" l="1"/>
  <c r="AG14" i="1"/>
  <c r="AG20" i="1"/>
  <c r="AF20" i="1" s="1"/>
  <c r="V25" i="19"/>
  <c r="AH15" i="19"/>
  <c r="V45" i="19"/>
  <c r="V35" i="19"/>
  <c r="J15" i="19"/>
  <c r="J55" i="19"/>
  <c r="AB45" i="19"/>
  <c r="P45" i="19"/>
  <c r="V15" i="19"/>
  <c r="J35" i="19"/>
  <c r="AH25" i="19"/>
  <c r="AB55" i="19"/>
  <c r="AH55" i="19"/>
  <c r="AH67" i="1"/>
  <c r="AB15" i="19"/>
  <c r="AB25" i="19"/>
  <c r="P15" i="19"/>
  <c r="J45" i="19"/>
  <c r="P25" i="19"/>
  <c r="P35" i="19"/>
  <c r="AH45" i="19"/>
  <c r="AH35" i="19"/>
  <c r="J25" i="19"/>
  <c r="V55" i="19"/>
  <c r="AB35" i="19"/>
  <c r="P55" i="19"/>
  <c r="AH7" i="19"/>
  <c r="V47" i="19"/>
  <c r="J27" i="19"/>
  <c r="AB7" i="19"/>
  <c r="P37" i="19"/>
  <c r="AH17" i="19"/>
  <c r="J47" i="19"/>
  <c r="AH19" i="1"/>
  <c r="V17" i="19"/>
  <c r="AH27" i="19"/>
  <c r="P47" i="19"/>
  <c r="J37" i="19"/>
  <c r="V7" i="19"/>
  <c r="P17" i="19"/>
  <c r="AB17" i="19"/>
  <c r="P7" i="19"/>
  <c r="AB27" i="19"/>
  <c r="AH37" i="19"/>
  <c r="J7" i="19"/>
  <c r="V27" i="19"/>
  <c r="J17" i="19"/>
  <c r="AB37" i="19"/>
  <c r="P27" i="19"/>
  <c r="AH47" i="19"/>
  <c r="V37" i="19"/>
  <c r="AB47" i="19"/>
  <c r="W27" i="19" l="1"/>
  <c r="K47" i="19"/>
  <c r="AC47" i="19"/>
  <c r="AC17" i="19"/>
  <c r="Q37" i="19"/>
  <c r="K17" i="19"/>
  <c r="W37" i="19"/>
  <c r="Q47" i="19"/>
  <c r="AI47" i="19"/>
  <c r="AC37" i="19"/>
  <c r="K37" i="19"/>
  <c r="AI27" i="19"/>
  <c r="K7" i="19"/>
  <c r="AI7" i="19"/>
  <c r="W7" i="19"/>
  <c r="Q27" i="19"/>
  <c r="AI37" i="19"/>
  <c r="AC7" i="19"/>
  <c r="Q7" i="19"/>
  <c r="Q17" i="19"/>
  <c r="W17" i="19"/>
  <c r="AI17" i="19"/>
  <c r="AC27" i="19"/>
  <c r="AH20" i="1"/>
  <c r="W47" i="19"/>
  <c r="K27" i="19"/>
  <c r="AF14" i="1"/>
  <c r="AG15" i="1"/>
  <c r="AF15" i="1" s="1"/>
  <c r="AH13" i="1"/>
  <c r="AH16" i="19"/>
  <c r="AB16" i="19"/>
  <c r="J26" i="19"/>
  <c r="AH26" i="19"/>
  <c r="V6" i="19"/>
  <c r="J16" i="19"/>
  <c r="V16" i="19"/>
  <c r="AB46" i="19"/>
  <c r="P16" i="19"/>
  <c r="V26" i="19"/>
  <c r="P6" i="19"/>
  <c r="AH36" i="19"/>
  <c r="AH6" i="19"/>
  <c r="P26" i="19"/>
  <c r="V46" i="19"/>
  <c r="AH46" i="19"/>
  <c r="V36" i="19"/>
  <c r="J36" i="19"/>
  <c r="AB36" i="19"/>
  <c r="J6" i="19"/>
  <c r="AB6" i="19"/>
  <c r="P46" i="19"/>
  <c r="P36" i="19"/>
  <c r="AB26" i="19"/>
  <c r="J46" i="19"/>
  <c r="AH15" i="1" l="1"/>
  <c r="X16" i="19"/>
  <c r="R36" i="19"/>
  <c r="AD36" i="19"/>
  <c r="AD16" i="19"/>
  <c r="R26" i="19"/>
  <c r="R16" i="19"/>
  <c r="AJ46" i="19"/>
  <c r="AJ26" i="19"/>
  <c r="X36" i="19"/>
  <c r="R46" i="19"/>
  <c r="X46" i="19"/>
  <c r="AD6" i="19"/>
  <c r="AJ16" i="19"/>
  <c r="L36" i="19"/>
  <c r="AJ6" i="19"/>
  <c r="AJ36" i="19"/>
  <c r="AD46" i="19"/>
  <c r="L46" i="19"/>
  <c r="R6" i="19"/>
  <c r="AD26" i="19"/>
  <c r="X26" i="19"/>
  <c r="L6" i="19"/>
  <c r="X6" i="19"/>
  <c r="L16" i="19"/>
  <c r="L26" i="19"/>
  <c r="AH14" i="1"/>
  <c r="W26" i="19"/>
  <c r="Q46" i="19"/>
  <c r="K26" i="19"/>
  <c r="AC26" i="19"/>
  <c r="W46" i="19"/>
  <c r="AC16" i="19"/>
  <c r="K46" i="19"/>
  <c r="AI46" i="19"/>
  <c r="W6" i="19"/>
  <c r="AI36" i="19"/>
  <c r="W16" i="19"/>
  <c r="AI26" i="19"/>
  <c r="K36" i="19"/>
  <c r="AC6" i="19"/>
  <c r="Q26" i="19"/>
  <c r="AI6" i="19"/>
  <c r="AI16" i="19"/>
  <c r="AC46" i="19"/>
  <c r="W36" i="19"/>
  <c r="Q6" i="19"/>
  <c r="AC36" i="19"/>
  <c r="K6" i="19"/>
  <c r="K16" i="19"/>
  <c r="Q16" i="19"/>
  <c r="Q36"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Norato Mora</author>
  </authors>
  <commentList>
    <comment ref="AO19" authorId="0" shapeId="0" xr:uid="{00000000-0006-0000-0300-000005000000}">
      <text>
        <r>
          <rPr>
            <b/>
            <sz val="9"/>
            <color indexed="81"/>
            <rFont val="Tahoma"/>
            <family val="2"/>
          </rPr>
          <t>Natalia Norato Mora:</t>
        </r>
        <r>
          <rPr>
            <sz val="9"/>
            <color indexed="81"/>
            <rFont val="Tahoma"/>
            <family val="2"/>
          </rPr>
          <t xml:space="preserve">
se recomienda puntualizar el producto
 plan de mejoramiento aprobado o ejecutado</t>
        </r>
      </text>
    </comment>
    <comment ref="AP19" authorId="0" shapeId="0" xr:uid="{00000000-0006-0000-0300-000006000000}">
      <text>
        <r>
          <rPr>
            <b/>
            <sz val="9"/>
            <color indexed="81"/>
            <rFont val="Tahoma"/>
            <family val="2"/>
          </rPr>
          <t>Natalia Norato Mora:</t>
        </r>
        <r>
          <rPr>
            <sz val="9"/>
            <color indexed="81"/>
            <rFont val="Tahoma"/>
            <family val="2"/>
          </rPr>
          <t xml:space="preserve">
colocar responsable</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<sst xmlns="http://schemas.openxmlformats.org/spreadsheetml/2006/main" count="649" uniqueCount="437">
  <si>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</si>
  <si>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</si>
  <si>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</si>
  <si>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</si>
  <si>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</si>
  <si>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</si>
  <si>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</si>
  <si>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</si>
  <si>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</si>
  <si>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</si>
  <si>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</si>
  <si>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</si>
  <si>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</si>
  <si>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</si>
  <si>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</si>
  <si>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</si>
  <si>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</si>
  <si>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</si>
  <si>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</si>
  <si>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</si>
  <si>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</si>
  <si>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</si>
  <si>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</si>
  <si>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</si>
  <si>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</si>
  <si>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</si>
  <si>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</si>
  <si>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</si>
  <si>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</si>
  <si>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</si>
  <si>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</si>
  <si>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</si>
  <si>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</si>
  <si>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</si>
  <si>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</si>
  <si>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</si>
  <si>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</si>
  <si>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</si>
  <si>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</si>
  <si>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</si>
  <si>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</si>
  <si>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</si>
  <si>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</si>
  <si>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</si>
  <si>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</si>
  <si>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</si>
  <si>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</si>
  <si>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</si>
  <si>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</si>
  <si>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</si>
  <si>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</si>
  <si>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</si>
  <si>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</si>
  <si>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</si>
  <si>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</si>
  <si>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</si>
  <si>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</si>
  <si>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</si>
  <si>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</si>
  <si>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</si>
  <si>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1. Direccionamiento estratégico e innovación</t>
  </si>
  <si>
    <t>2. Atención a partes interesadas y comunicaciones</t>
  </si>
  <si>
    <t>3. Estrategia y gobierno de TI</t>
  </si>
  <si>
    <t>4. Planificación de la intervención vial</t>
  </si>
  <si>
    <t>5. Producción de mezcla y provisión de maquinaria y equipos</t>
  </si>
  <si>
    <t>6. Intervención de la malla vial</t>
  </si>
  <si>
    <t>7. Gestión de servicios e infraestructura tecnológica</t>
  </si>
  <si>
    <t>8. Gestión de recursos físicos</t>
  </si>
  <si>
    <t>9. Gestión contractual</t>
  </si>
  <si>
    <t>10. Gestión financiera</t>
  </si>
  <si>
    <t>11. Gestión de laboratorio</t>
  </si>
  <si>
    <t>12. Gestión de talento humano</t>
  </si>
  <si>
    <t>13. Gestión ambiental</t>
  </si>
  <si>
    <t>14. Gestión documental</t>
  </si>
  <si>
    <t>15. Gestión jurídica</t>
  </si>
  <si>
    <t xml:space="preserve">16. Control, evaluación y mejora de la gestión  </t>
  </si>
  <si>
    <t>17. Control disciplinario interno</t>
  </si>
  <si>
    <t>FORMATO DEBILIDADES, OPORTUNIDADES, FORTALEZAS Y AMENAZAS -DOFA DE PROCESO</t>
  </si>
  <si>
    <t>CÓDIGO: DESI-FM-029</t>
  </si>
  <si>
    <t>VERSIÓN: 2</t>
  </si>
  <si>
    <t>FECHA DE APLICACIÓN: DICIEMBRE 2021</t>
  </si>
  <si>
    <t>PROCESO:</t>
  </si>
  <si>
    <t>DEPENDENCIA</t>
  </si>
  <si>
    <t xml:space="preserve">CONTEXTO  DE PROCESO </t>
  </si>
  <si>
    <t>ANALISIS</t>
  </si>
  <si>
    <t>FACTORES INTERNOS Y EXTERNOS</t>
  </si>
  <si>
    <t>ORIGEN</t>
  </si>
  <si>
    <t>FORTALEZAS Y/O OPORTUNIDADES</t>
  </si>
  <si>
    <t>DEBILIDADES Y/O AMENAZAS</t>
  </si>
  <si>
    <t>DISEÑO DEL PROCESO:</t>
  </si>
  <si>
    <t>1. Lineamiento normativo frente a la estructura que debe seguir la Planeación ambiental de la entidad.
2. Armonización con el Plan de Desarrollo Distrital  lo que facilita trazar las metas y objetivos ambientales de la entidad.
3.El respaldo de la alta dirección ha permitido que el proceso cuente con recursos para el cumplimiento de los planes de acción, de normatividad aplicable y la toma de decisiones.</t>
  </si>
  <si>
    <t>1. El no contar con sedes propias,  dificulta la planeación e inversión presupuestal y concertacion con la autoridad ambiental.</t>
  </si>
  <si>
    <t>INTERACCIONES CON OTROS PROCESOS:</t>
  </si>
  <si>
    <t>4. El proceso Gestion Ambiental cuenta con el apoyo de la alta direccion para  armonizar los demás procesos  en los lineamientos que desde el porceso surjan para la prevencion de la contaminación y la sostenibilidad ambiental.</t>
  </si>
  <si>
    <t xml:space="preserve">2. Una visión  arraigada frente al que hacer en las diferentes áreas de la entidad, que dificulta el cambio en la cultura ambiental. 
3. Demora en la entrega de información de  algunos procesos para realizar el seguimiento y control ambiental. </t>
  </si>
  <si>
    <r>
      <rPr>
        <b/>
        <sz val="18"/>
        <color theme="1"/>
        <rFont val="Arial"/>
        <family val="2"/>
      </rPr>
      <t xml:space="preserve">R1: </t>
    </r>
    <r>
      <rPr>
        <sz val="18"/>
        <color theme="1"/>
        <rFont val="Arial"/>
        <family val="2"/>
      </rPr>
      <t>Aún es común observar una visión  arraigada frente al que hacer en las diferentes áreas de la entidad, lo que  dificulta el cambio en la cultura hacia la sostenibilidad y se puede presentar el posible incumplimiento normativo. 
El proceso de Gestion ambiental debe garantizar el cumplimiento legal ambiental de la entidad y para ello requiere insumos de información de otros procesos y aún se presentan demoras en la entrega de información de  algunos procesos para realizar el seguimiento y reporte de indicadores o de gestión a los entes reguladores y de control.</t>
    </r>
  </si>
  <si>
    <t>TRANSVERSALIDAD</t>
  </si>
  <si>
    <t>5. El proceso de Gestion ambiental cuenta con Información documentada y actualizada para estandarizar las actividades del proceso, además de lo anterior, se cuenta con espacios para socializar a la dirección las actividades del proceso por parte del gestor ambiental de la Entidad, lo quepermite un dialogo de doble via entre las partes que permite generar acciones para el mejoramiento.</t>
  </si>
  <si>
    <t>4. Falta de apropiación por parte de los colaborares de la Entidad frente a los lineamientos establecidos por el proceso de Gestion ambiental, para la protección de los recursos naturales 
5. Afectación en la continuidad del proceso por alteración sobre la salud pública</t>
  </si>
  <si>
    <r>
      <rPr>
        <b/>
        <sz val="18"/>
        <rFont val="Arial"/>
        <family val="2"/>
      </rPr>
      <t>R2:</t>
    </r>
    <r>
      <rPr>
        <sz val="18"/>
        <rFont val="Arial"/>
        <family val="2"/>
      </rPr>
      <t xml:space="preserve"> Falta de apropiación por parte de los colaborares de la Entidad frente a los lineamientos establecidos por el proceso de Gestion ambiental, para la protección de los recursos naturales 
Afectación en la continuidad del proceso por alteración sobre la salud pública</t>
    </r>
  </si>
  <si>
    <t>PROCEDIMIENTOS ASOCIADOS:</t>
  </si>
  <si>
    <t>6. El proceso de gestión ambiental se encuentra conformado por un equipo de trabajo idóneo  para ejecutar los procedimientos.</t>
  </si>
  <si>
    <t xml:space="preserve">RESPONSABLES DEL PROCESO: </t>
  </si>
  <si>
    <r>
      <t xml:space="preserve">7. El talento humano responsable del </t>
    </r>
    <r>
      <rPr>
        <b/>
        <sz val="18"/>
        <rFont val="Arial"/>
        <family val="2"/>
      </rPr>
      <t>Proceso de Gestión ambiental.</t>
    </r>
    <r>
      <rPr>
        <sz val="18"/>
        <rFont val="Arial"/>
        <family val="2"/>
      </rPr>
      <t xml:space="preserve"> esta conformado por funcionarios con idoneidad técnica y administrativa, que garantiza un alto grado de autoridad y responsabilidad frente al proceso. 
8. Disposición  para compartir y codificar el conocimiento, así como para aumentar la conversión del  aprendizaje individual en organizacional a través de la socialización y exteriorización del conocimiento.</t>
    </r>
  </si>
  <si>
    <r>
      <t xml:space="preserve">6. Decisiones desde la alta dirección de la Entidad que generen cambios en el equipo responsable del </t>
    </r>
    <r>
      <rPr>
        <b/>
        <sz val="18"/>
        <rFont val="Arial"/>
        <family val="2"/>
      </rPr>
      <t>Proceso de Gestión ambiental</t>
    </r>
    <r>
      <rPr>
        <sz val="18"/>
        <rFont val="Arial"/>
        <family val="2"/>
      </rPr>
      <t xml:space="preserve">. 
</t>
    </r>
  </si>
  <si>
    <t>COMUNICACIÓN ENTRE LOS PROCESOS:</t>
  </si>
  <si>
    <r>
      <t xml:space="preserve">9. . El </t>
    </r>
    <r>
      <rPr>
        <b/>
        <sz val="18"/>
        <rFont val="Arial"/>
        <family val="2"/>
      </rPr>
      <t>Proceso de Gestion Ambiental</t>
    </r>
    <r>
      <rPr>
        <sz val="18"/>
        <rFont val="Arial"/>
        <family val="2"/>
      </rPr>
      <t xml:space="preserve"> se comunica eficazmente con los demás procesos de la Entidad , lo que ha ocasionado el cumplimiento efectivo de las actividades formuladas en los planes de accion del mismo. .</t>
    </r>
  </si>
  <si>
    <t>7. Falta de aprehensión en temas ambientales lo que no permite que el mensaje enviado sea recibido de la manera que se pretende</t>
  </si>
  <si>
    <t>ACTIVOS DE SEGURIDAD DIGITAL DEL PROCESO:</t>
  </si>
  <si>
    <t xml:space="preserve">10. El proceso de Gestion Ambiental cuenta con plataformas de  reportes y transmisión ambiental de la SDA lo que favorece la custodia de la información  entregada, además del espacio en el servidor de la Entidad en donde se almacena la información de gestión ambiental con el fin de protegerla de posibles pérdidas. </t>
  </si>
  <si>
    <t>8. Daños en hardware que no permitan recuperar la información inmediata</t>
  </si>
  <si>
    <t>OTROS</t>
  </si>
  <si>
    <t>CONTEXTO  DE PROCESO</t>
  </si>
  <si>
    <t>Riesgo asociado</t>
  </si>
  <si>
    <t>FACTORES INTERNOS</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</si>
  <si>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</si>
  <si>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</si>
  <si>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</si>
  <si>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</si>
  <si>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</si>
  <si>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</si>
  <si>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</si>
  <si>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</si>
  <si>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</si>
  <si>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</si>
  <si>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</si>
  <si>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</si>
  <si>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</si>
  <si>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</si>
  <si>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FORMATO MAPA RIESGOS DE PROCESO</t>
  </si>
  <si>
    <t>CÓDIGO: DESI-FM-018</t>
  </si>
  <si>
    <t>VERSIÓN: 10</t>
  </si>
  <si>
    <t xml:space="preserve">                CÓDIGO: DESI-FM-018</t>
  </si>
  <si>
    <t xml:space="preserve">                FECHA DE APLICACIÓN: DICIEMBRE 2021</t>
  </si>
  <si>
    <t>Proceso:</t>
  </si>
  <si>
    <t>Objetivo:</t>
  </si>
  <si>
    <t>Desarrollar, promover e implementar acciones conducentes a la mejora del desempeño ambiental de la entidad, a partir de un uso eficiente de los recursos, la gestión integral de los residuos generados y la adquisición de productos y servicios amigables con el medio ambiente, de conformidad con la normatividad vigente</t>
  </si>
  <si>
    <t>Alcance:</t>
  </si>
  <si>
    <t>Inicia con la identificación de los aspectos e impactos ambientales, continúa con la valoración de los impactos generados y finaliza con Implementar los programas de gestión ambiental y los controles para la mitigación de los impactos ambientales que generan las actividades de la UAERMV.</t>
  </si>
  <si>
    <t>Identificación del riesgo</t>
  </si>
  <si>
    <t>Análisis del riesgo inherente</t>
  </si>
  <si>
    <t>Evaluación del riesgo - Valoración de los controles</t>
  </si>
  <si>
    <t>Evaluación del riesgo - Nivel del riesgo residual</t>
  </si>
  <si>
    <t>Plan de Acción</t>
  </si>
  <si>
    <t>ACCION DE CONTINGENCIA</t>
  </si>
  <si>
    <t xml:space="preserve">Referencia </t>
  </si>
  <si>
    <t>Tipo de riesgo</t>
  </si>
  <si>
    <t>Tipo de activo</t>
  </si>
  <si>
    <t>Activo de información</t>
  </si>
  <si>
    <t>Tipo de amenaza</t>
  </si>
  <si>
    <t>Amenaza</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</si>
  <si>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</si>
  <si>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</si>
  <si>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</si>
  <si>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</si>
  <si>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</si>
  <si>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</si>
  <si>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</si>
  <si>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</si>
  <si>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</si>
  <si>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</si>
  <si>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</si>
  <si>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</si>
  <si>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Acción</t>
  </si>
  <si>
    <t>Responsable</t>
  </si>
  <si>
    <t>Producto</t>
  </si>
  <si>
    <t>Fecha Implementación</t>
  </si>
  <si>
    <t>ACCIÓN</t>
  </si>
  <si>
    <t>SOPORTE / PRODUCTO</t>
  </si>
  <si>
    <t>RESPONSABLE</t>
  </si>
  <si>
    <t>Tipo</t>
  </si>
  <si>
    <t>Implementación</t>
  </si>
  <si>
    <t>Calificación</t>
  </si>
  <si>
    <t>Documentación</t>
  </si>
  <si>
    <t>Frecuencia</t>
  </si>
  <si>
    <t>Evidencia</t>
  </si>
  <si>
    <t>Económico y Reputacional</t>
  </si>
  <si>
    <t xml:space="preserve">Por sanción de un ente regulador al incumplir con la legislacion ambiental aplicable a la entidad </t>
  </si>
  <si>
    <t>Desconocimiento en los lineamientos de los colaboradores ambientales
Deficiencia en el seguimiento y control de los criterios ambientales en los diferentes procesos
Inadecuada implementación de las medidas de control y seguimiento ambiental en las sedes de la Entidad</t>
  </si>
  <si>
    <t xml:space="preserve">
Posibilidad de afectación Economica y Reputacional por sanción de un ente regulador al incumplir con la legislacion ambiental vigente aplicable a la entidad por el desconocimiento en los lineamientos de los colaboradores ambientales, deficiencia en el seguimiento y control de los criterios ambientales en los diferentes procesos, y la inadecuada implemntacion de las medidas de control y seguimiento ambiental en las sedes de la Entidad. </t>
  </si>
  <si>
    <t>Gestión</t>
  </si>
  <si>
    <t>Ejecucion y Administracion de procesos</t>
  </si>
  <si>
    <t xml:space="preserve">     El riesgo afecta la imagen de la entidad con algunos usuarios de relevancia frente al logro de los objetivos</t>
  </si>
  <si>
    <t>El gerente GASA designa al coordinador (a) GAM para verificar bimensualmente que se cumplan las sensibilizaciones impartidas sobre los linemaientos ambientales establecidos en el cronograma y como evidencia queda el análisis de los resultados de la encuesta que se realizaron en las sensibilizaciones, en caso que los resultados de la encuenta no superen el 70% se repite la sensibilización.</t>
  </si>
  <si>
    <t>Preventivo</t>
  </si>
  <si>
    <t>Manual</t>
  </si>
  <si>
    <t>Sin Documentar</t>
  </si>
  <si>
    <t>Aleatoria</t>
  </si>
  <si>
    <t>Con Registro</t>
  </si>
  <si>
    <t>Realizar dos autoevaluaciones al cumplimiento del PIGA y de la legislación ambiental en la UAERMV de conformidad a las visitas anuales realizadas por la SDA</t>
  </si>
  <si>
    <t>Gerente GASA
Coordinador GAM</t>
  </si>
  <si>
    <t>Plan de acción sobre las debilidades encontradas</t>
  </si>
  <si>
    <t>Semestral</t>
  </si>
  <si>
    <t>Elaborar plan de mejoramiento</t>
  </si>
  <si>
    <t xml:space="preserve"> Plan de mejoramiento aprobado y ejecutado</t>
  </si>
  <si>
    <t>Gerente Ambiental, Social y Atencion al Usuario</t>
  </si>
  <si>
    <t>El coordinador (a) GAM designado por el gerente GASA revisa de manera bimestral que los puntos de control y evidencia de aplicacion de requisitos legales  establecidos en el normograma del proceso se esten llevando a cabo,por su parte  el gerente GASA valida que esta información sea verás en el la mesa de apoyo del CIDG para el componente ambiental  correspondiente, como evidencia queda el acta de reunión de la revisión efectuada. 
En caso que se identifiquen anomalías en el cumplimiento del normograma, se informa en esta mesa de apoyo del CIGD para el componente ambiental, en donde se toman las acciones pertinentes  a mas tardar 10 días después de realizada la reunión.</t>
  </si>
  <si>
    <t>Detectivo</t>
  </si>
  <si>
    <t>Documentado</t>
  </si>
  <si>
    <t>Sin Registro</t>
  </si>
  <si>
    <r>
      <rPr>
        <b/>
        <sz val="12"/>
        <color theme="1"/>
        <rFont val="Arial"/>
        <family val="2"/>
      </rPr>
      <t>El profesional desganado por el Gerente GASA</t>
    </r>
    <r>
      <rPr>
        <sz val="12"/>
        <color theme="1"/>
        <rFont val="Arial"/>
        <family val="2"/>
      </rPr>
      <t xml:space="preserve"> ( coordinador equipo PIGA) realizará al menos dos visitas de seguimiento al </t>
    </r>
    <r>
      <rPr>
        <b/>
        <sz val="12"/>
        <color theme="1"/>
        <rFont val="Arial"/>
        <family val="2"/>
      </rPr>
      <t>mes a cada</t>
    </r>
    <r>
      <rPr>
        <sz val="12"/>
        <color theme="1"/>
        <rFont val="Arial"/>
        <family val="2"/>
      </rPr>
      <t xml:space="preserve"> una de las sedes de la entidad, para </t>
    </r>
    <r>
      <rPr>
        <b/>
        <sz val="12"/>
        <color theme="1"/>
        <rFont val="Arial"/>
        <family val="2"/>
      </rPr>
      <t>validar</t>
    </r>
    <r>
      <rPr>
        <sz val="12"/>
        <color theme="1"/>
        <rFont val="Arial"/>
        <family val="2"/>
      </rPr>
      <t xml:space="preserve"> la correcta implementación de los controles operacionales. Lo anterior se </t>
    </r>
    <r>
      <rPr>
        <b/>
        <sz val="12"/>
        <color theme="1"/>
        <rFont val="Arial"/>
        <family val="2"/>
      </rPr>
      <t>evidenciará</t>
    </r>
    <r>
      <rPr>
        <sz val="12"/>
        <color theme="1"/>
        <rFont val="Arial"/>
        <family val="2"/>
      </rPr>
      <t xml:space="preserve"> por medio de informe mensual del Coordinador GAM dirigido al Gerente GASA con el resultado de las visitas realizadas. 
En caso que se identifiquen anomalías se procede a informar al supervisor del contrato para tomar las medidas correctivas necesarias.</t>
    </r>
  </si>
  <si>
    <t>Reducir (mitigar)</t>
  </si>
  <si>
    <t xml:space="preserve">Derrame de hidrocarburos y sus derivados que afecten el suelo y el agua </t>
  </si>
  <si>
    <t>Debilidades en la información preventiva para evitar la presentación de derrames de sustancias peligrosas.
Exceso de confianza en la manipulacion de sustancias con caracteristicas de peligrosidad y laoperacion de elementos en las actividades de mantenimiento de maquinaria y equipo</t>
  </si>
  <si>
    <t>Posibilidad de afectacion economica y reputacional por presentacion de accidentes amaientales por derrames de hidrocraburos y sus derivados que efecten el sueleo y el agua debido a  debilidades en la información preventiva para evitar la presentación de derrames de sustancias peligrosas y/o exceso de confianza en la manipulacion de sustancias con caracteristicas de peligrosidad y laoperacion de elementos en las actividades de mantenimiento de maquinaria y equipo</t>
  </si>
  <si>
    <r>
      <rPr>
        <b/>
        <sz val="12"/>
        <color theme="1"/>
        <rFont val="Arial"/>
        <family val="2"/>
      </rPr>
      <t>El Gerente GAS</t>
    </r>
    <r>
      <rPr>
        <sz val="12"/>
        <color theme="1"/>
        <rFont val="Arial"/>
        <family val="2"/>
      </rPr>
      <t xml:space="preserve">A designa al coordinador (a) GAM para </t>
    </r>
    <r>
      <rPr>
        <b/>
        <sz val="12"/>
        <color theme="1"/>
        <rFont val="Arial"/>
        <family val="2"/>
      </rPr>
      <t>verificar bimestralmente</t>
    </r>
    <r>
      <rPr>
        <sz val="12"/>
        <color theme="1"/>
        <rFont val="Arial"/>
        <family val="2"/>
      </rPr>
      <t xml:space="preserve"> la efectividad de las sensibiliaciones impartidas sobre los lineamientos de prevención y atencion de derrames de sustancias peligrosas en sedes y frentes de obra, como </t>
    </r>
    <r>
      <rPr>
        <b/>
        <sz val="12"/>
        <color theme="1"/>
        <rFont val="Arial"/>
        <family val="2"/>
      </rPr>
      <t>evidencia</t>
    </r>
    <r>
      <rPr>
        <sz val="12"/>
        <color theme="1"/>
        <rFont val="Arial"/>
        <family val="2"/>
      </rPr>
      <t xml:space="preserve"> será el análisis de resultados de las evaluaciones que se realizan en las sensibilizaciones.
</t>
    </r>
    <r>
      <rPr>
        <b/>
        <sz val="12"/>
        <color theme="1"/>
        <rFont val="Arial"/>
        <family val="2"/>
      </rPr>
      <t xml:space="preserve">En caso que </t>
    </r>
    <r>
      <rPr>
        <sz val="12"/>
        <color theme="1"/>
        <rFont val="Arial"/>
        <family val="2"/>
      </rPr>
      <t>los resultados de la evaluación, no supere el 70% de las respuestas correctas, se repite la sensibilización.</t>
    </r>
  </si>
  <si>
    <t>Continua</t>
  </si>
  <si>
    <t>Divulgar piezas comunicativas que sensibilicen a los colaboradores sobre el manejo y manipulacion de sustancias peligrosas</t>
  </si>
  <si>
    <t>Gerencia GASA
Coordinador SG-SST</t>
  </si>
  <si>
    <t>Piezas publicadas</t>
  </si>
  <si>
    <t>mensual</t>
  </si>
  <si>
    <t xml:space="preserve"> Plan de mejoramiento</t>
  </si>
  <si>
    <r>
      <rPr>
        <b/>
        <sz val="12"/>
        <color theme="1"/>
        <rFont val="Arial"/>
        <family val="2"/>
      </rPr>
      <t xml:space="preserve">Los profesionales ambientales </t>
    </r>
    <r>
      <rPr>
        <sz val="12"/>
        <color theme="1"/>
        <rFont val="Arial"/>
        <family val="2"/>
      </rPr>
      <t xml:space="preserve">designados por el Gerente GASA, </t>
    </r>
    <r>
      <rPr>
        <b/>
        <sz val="12"/>
        <color theme="1"/>
        <rFont val="Arial"/>
        <family val="2"/>
      </rPr>
      <t>verifican</t>
    </r>
    <r>
      <rPr>
        <sz val="12"/>
        <color theme="1"/>
        <rFont val="Arial"/>
        <family val="2"/>
      </rPr>
      <t xml:space="preserve"> las actividades de manejo de sustancias peligrosas en la sedes operativa y de producción como en frentes de obra en intervención, con el fin de evaluar prácticas y establecer si es el caso, oportunidades de mejora, a través de inspección </t>
    </r>
    <r>
      <rPr>
        <b/>
        <sz val="12"/>
        <color theme="1"/>
        <rFont val="Arial"/>
        <family val="2"/>
      </rPr>
      <t>trimestral,</t>
    </r>
    <r>
      <rPr>
        <sz val="12"/>
        <color theme="1"/>
        <rFont val="Arial"/>
        <family val="2"/>
      </rPr>
      <t xml:space="preserve"> la </t>
    </r>
    <r>
      <rPr>
        <b/>
        <sz val="12"/>
        <color theme="1"/>
        <rFont val="Arial"/>
        <family val="2"/>
      </rPr>
      <t>evidencia</t>
    </r>
    <r>
      <rPr>
        <sz val="12"/>
        <color theme="1"/>
        <rFont val="Arial"/>
        <family val="2"/>
      </rPr>
      <t xml:space="preserve"> son los formatos diligenciados GAM-FM-012 de las prácticas para  la prevención de accidentes ambientales.
</t>
    </r>
    <r>
      <rPr>
        <b/>
        <sz val="12"/>
        <color theme="1"/>
        <rFont val="Arial"/>
        <family val="2"/>
      </rPr>
      <t xml:space="preserve">En el caso </t>
    </r>
    <r>
      <rPr>
        <sz val="12"/>
        <color theme="1"/>
        <rFont val="Arial"/>
        <family val="2"/>
      </rPr>
      <t>que se evidencie prácticas inadecuadas que pueden generar un accidentes, se detine la actividad, se debe volver a socializar los lineamientos establecidos y nuevamente se aplica la herramienta.</t>
    </r>
  </si>
  <si>
    <r>
      <rPr>
        <b/>
        <sz val="12"/>
        <rFont val="Arial"/>
        <family val="2"/>
      </rPr>
      <t xml:space="preserve">*Nota: </t>
    </r>
    <r>
      <rPr>
        <sz val="12"/>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</si>
  <si>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</si>
  <si>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</si>
  <si>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</si>
  <si>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</si>
  <si>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</si>
  <si>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</si>
  <si>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</si>
  <si>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</si>
  <si>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</si>
  <si>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</si>
  <si>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</si>
  <si>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</si>
  <si>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</si>
  <si>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</si>
  <si>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</si>
  <si>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</si>
  <si>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</si>
  <si>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</si>
  <si>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</si>
  <si>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</si>
  <si>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</si>
  <si>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</si>
  <si>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</si>
  <si>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</si>
  <si>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</si>
  <si>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</si>
  <si>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</si>
  <si>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</si>
  <si>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</si>
  <si>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</si>
  <si>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</si>
  <si>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</si>
  <si>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</si>
  <si>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 xml:space="preserve">Equivalente </t>
  </si>
  <si>
    <t>Insignificante</t>
  </si>
  <si>
    <t>Leve 20%</t>
  </si>
  <si>
    <t xml:space="preserve">Afectación menor a 130 SMLMV </t>
  </si>
  <si>
    <t>El riesgo afecta la imagen de alguna área de la organización</t>
  </si>
  <si>
    <t>Menor</t>
  </si>
  <si>
    <t xml:space="preserve">Menor 40% </t>
  </si>
  <si>
    <t xml:space="preserve">Entre 130 y 650 SMLMV </t>
  </si>
  <si>
    <t>El riesgo afecta la imagen de la entidad internamente, de conocimiento general, nivel interno, de junta dircetiva y accionistas y/o de provedores</t>
  </si>
  <si>
    <t>Moderado 60%</t>
  </si>
  <si>
    <t xml:space="preserve">Entre 650 y 1300 SMLMV </t>
  </si>
  <si>
    <t>El riesgo afecta la imagen de la entidad con algunos usuarios de relevancia frente al logro de los objetivos</t>
  </si>
  <si>
    <t>Mayor</t>
  </si>
  <si>
    <t>Mayor 80%</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</si>
  <si>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</si>
  <si>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</si>
  <si>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</si>
  <si>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Catastrófico 100%</t>
  </si>
  <si>
    <t xml:space="preserve">Mayor a 6500 SMLMV </t>
  </si>
  <si>
    <t>El riesgo afecta la imagen de la entidad a nivel nacional, con efecto publicitarios sostenible a nivel país</t>
  </si>
  <si>
    <t>Afectación_Económica_o_presupuestal</t>
  </si>
  <si>
    <t xml:space="preserve">     Afectación menor a 130 SMLMV .</t>
  </si>
  <si>
    <t xml:space="preserve">     El riesgo afecta la imagen de alguna área de la organización</t>
  </si>
  <si>
    <t>Pérdida_Reputacional</t>
  </si>
  <si>
    <t xml:space="preserve">     Entre 130 y 650 SMLMV </t>
  </si>
  <si>
    <t xml:space="preserve">     El riesgo afecta la imagen de la entidad internamente, de conocimiento general, nivel interno, de junta dircetiva y accionistas y/o de provedores</t>
  </si>
  <si>
    <t xml:space="preserve">     Entre 650 y 1300 SMLMV </t>
  </si>
  <si>
    <t xml:space="preserve">     Entre 1300 y 6500 SMLMV </t>
  </si>
  <si>
    <t xml:space="preserve">     El riesgo afecta la imagen de de la entidad con efecto publicitario sostenido a nivel de sector administrativo, nivel departamental o municipal</t>
  </si>
  <si>
    <t xml:space="preserve">     Mayor a 6500 SMLMV </t>
  </si>
  <si>
    <t xml:space="preserve">     El riesgo afecta la imagen de la entidad a nivel nacional, con efecto publicitarios sostenible a nivel país</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</si>
  <si>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</si>
  <si>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</si>
  <si>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</si>
  <si>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</si>
  <si>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</si>
  <si>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</si>
  <si>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</si>
  <si>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</si>
  <si>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</si>
  <si>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</si>
  <si>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</si>
  <si>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</si>
  <si>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</si>
  <si>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</si>
  <si>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</si>
  <si>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</si>
  <si>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</si>
  <si>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</si>
  <si>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</si>
  <si>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</si>
  <si>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</si>
  <si>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</si>
  <si>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</si>
  <si>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</si>
  <si>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</si>
  <si>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</si>
  <si>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</si>
  <si>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</si>
  <si>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</si>
  <si>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</si>
  <si>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</si>
  <si>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</si>
  <si>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</si>
  <si>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</si>
  <si>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</si>
  <si>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t>Ejecución y administración de procesos</t>
  </si>
  <si>
    <t>Pérdidas derivadas de errores en la ejecución y administración de procesos.</t>
  </si>
  <si>
    <t>Relaciones laborales</t>
  </si>
  <si>
    <t>Pérdidas que surgen de acciones contrarias a las leyes o acuerdos de empleo, salud o seguridad, del pago de demandas por  daños personales o de discriminación.</t>
  </si>
  <si>
    <t>Corrupción</t>
  </si>
  <si>
    <t>Daños a activos fijos/ eventos externos</t>
  </si>
  <si>
    <t>Pérdida por daños o extravíos de los activos fijos por desastres naturales u otros riesgos/eventos externos como atentados, vandalismo, orden público.</t>
  </si>
  <si>
    <t>Seguridad Digital</t>
  </si>
  <si>
    <t>Fallas tecnológicas</t>
  </si>
  <si>
    <t>Errores en hardware, software, telecomunicaciones, interrupción de servicios básicos.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</si>
  <si>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</si>
  <si>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</si>
  <si>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</si>
  <si>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</si>
  <si>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Soborno</t>
  </si>
  <si>
    <t>Cuando una persona da u ofrece “dinero u otra utilidad para que se realice u omita un acto propio del cargo de un funcionario público, o para que se ejecute uno contrario a sus deberes oficiales”</t>
  </si>
  <si>
    <t>Determina que la información no esté disponible ni sea revelada a individuos, entidades o procesos no autorizados.</t>
  </si>
  <si>
    <t xml:space="preserve">Pérdida de la confidencialidad </t>
  </si>
  <si>
    <t>Determina la exactitud y completitud de la información, permitiendo que la información sea precisa, coherente y completa desde su creación hasta su destrucción.</t>
  </si>
  <si>
    <t xml:space="preserve">Pérdida de la integridad </t>
  </si>
  <si>
    <t>Determina la accesibilidad y utilización de la información por solicitud de una persona entidad o proceso autorizada cuando así lo requiera esta, en el momento y en la forma que se requiere ahora y en el futuro, al igual que los recursos necesarios para su uso.</t>
  </si>
  <si>
    <t xml:space="preserve">Pérdida de la disponibilidad </t>
  </si>
  <si>
    <t>TIPO DE ACTIVO</t>
  </si>
  <si>
    <t>EQUIPAMIENTO AUXILIAR</t>
  </si>
  <si>
    <t>TIPO</t>
  </si>
  <si>
    <t>AMENAZA</t>
  </si>
  <si>
    <t>HARDWARE</t>
  </si>
  <si>
    <t>Daño físico </t>
  </si>
  <si>
    <t>Fuego</t>
  </si>
  <si>
    <t>INFORMACIÓN</t>
  </si>
  <si>
    <t>Agua</t>
  </si>
  <si>
    <t>INSTALACIONES</t>
  </si>
  <si>
    <t>Contaminación</t>
  </si>
  <si>
    <t>PROCESOS</t>
  </si>
  <si>
    <t>Accidente Importante</t>
  </si>
  <si>
    <t>RECURSOS HUMANOS</t>
  </si>
  <si>
    <t>Destrucción del equipo o medios </t>
  </si>
  <si>
    <t>RED</t>
  </si>
  <si>
    <t>Polvo, corrosión, congelamiento </t>
  </si>
  <si>
    <t>SERVICIOS</t>
  </si>
  <si>
    <t>Eventos naturales </t>
  </si>
  <si>
    <t>Fenómenos climáticos </t>
  </si>
  <si>
    <t>SOFTWARE</t>
  </si>
  <si>
    <t>Fenómenos sísmicos </t>
  </si>
  <si>
    <t>Fenómenos volcánicos </t>
  </si>
  <si>
    <t>Fenómenos meteorológicos </t>
  </si>
  <si>
    <t>Inundación </t>
  </si>
  <si>
    <t>Perdida de los servicios esenciales </t>
  </si>
  <si>
    <t>Fallas en el sistema de suministro de agua o aire acondicionado </t>
  </si>
  <si>
    <t>Perdida de suministro de energía </t>
  </si>
  <si>
    <t>Falla en equipo de telecomunicaciones </t>
  </si>
  <si>
    <t>Perturbación debida a la radiación </t>
  </si>
  <si>
    <t>Radiación electromagnética </t>
  </si>
  <si>
    <t>Radiación térmica </t>
  </si>
  <si>
    <t>Impulsos electromagnéticos </t>
  </si>
  <si>
    <t>Compromiso de la información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</si>
  <si>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</si>
  <si>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</si>
  <si>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</si>
  <si>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</si>
  <si>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</si>
  <si>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</si>
  <si>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</si>
  <si>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</si>
  <si>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</si>
  <si>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</si>
  <si>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</si>
  <si>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técnicas </t>
  </si>
  <si>
    <t>Fallas del equipo </t>
  </si>
  <si>
    <t>Mal funcionamiento del equipo </t>
  </si>
  <si>
    <t>Saturación del sistema de información </t>
  </si>
  <si>
    <t>Mal funcionamiento del software </t>
  </si>
  <si>
    <t>Incumplimiento en el mantenimiento del sistema de información. </t>
  </si>
  <si>
    <t>Acciones no autorizadas </t>
  </si>
  <si>
    <t>Uso no autorizado del equipo </t>
  </si>
  <si>
    <t>Copia fraudulenta del software </t>
  </si>
  <si>
    <t>Uso de software falso o copiado </t>
  </si>
  <si>
    <t>Corrupción de los datos </t>
  </si>
  <si>
    <t>Procesamiento ilegal de datos </t>
  </si>
  <si>
    <t>Compromiso de las funciones </t>
  </si>
  <si>
    <t>Error en el uso </t>
  </si>
  <si>
    <t>Abuso de derechos </t>
  </si>
  <si>
    <t>Falsificación de derechos </t>
  </si>
  <si>
    <t>Negación de acciones </t>
  </si>
  <si>
    <t>Incumplimiento en la disponibilidad del personal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</si>
  <si>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</si>
  <si>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</si>
  <si>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</si>
  <si>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</si>
  <si>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</si>
  <si>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</si>
  <si>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</si>
  <si>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</si>
  <si>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</si>
  <si>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</si>
  <si>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</si>
  <si>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</si>
  <si>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</si>
  <si>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</si>
  <si>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</si>
  <si>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</si>
  <si>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</si>
  <si>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</si>
  <si>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</si>
  <si>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</si>
  <si>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</si>
  <si>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</si>
  <si>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</si>
  <si>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</si>
  <si>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Reputacional</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</si>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</sst>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0.0%"/>
    <numFmt numFmtId="166" formatCode="_-&quot;$&quot;\ * #,##0_-;\-&quot;$&quot;\ * #,##0_-;_-&quot;$&quot;\ * &quot;-&quot;??_-;_-@_-"/>
    <numFmt numFmtId="167" formatCode="&quot;$&quot;\ #,##0.00"/>
  </numFmts>
  <fonts count="95">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sz val="12"/>
      <color rgb="FF203764"/>
      <name val="Calibri"/>
      <family val="2"/>
      <scheme val="minor"/>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b/>
      <sz val="11"/>
      <name val="Arial"/>
      <family val="2"/>
    </font>
    <font>
      <sz val="16"/>
      <name val="Arial"/>
      <family val="2"/>
    </font>
    <font>
      <b/>
      <sz val="18"/>
      <name val="Arial"/>
      <family val="2"/>
    </font>
    <font>
      <sz val="12"/>
      <color theme="1"/>
      <name val="Arial"/>
      <family val="2"/>
    </font>
    <font>
      <sz val="9"/>
      <color indexed="81"/>
      <name val="Tahoma"/>
      <family val="2"/>
    </font>
    <font>
      <b/>
      <sz val="9"/>
      <color indexed="81"/>
      <name val="Tahoma"/>
      <family val="2"/>
    </font>
    <font>
      <b/>
      <sz val="12"/>
      <color theme="1"/>
      <name val="Arial"/>
      <family val="2"/>
    </font>
    <font>
      <sz val="14"/>
      <name val="Arial"/>
      <family val="2"/>
    </font>
  </fonts>
  <fills count="3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2CC"/>
        <bgColor rgb="FF000000"/>
      </patternFill>
    </fill>
    <fill>
      <patternFill patternType="solid">
        <fgColor theme="0" tint="-0.34998626667073579"/>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5" tint="0.79998168889431442"/>
        <bgColor indexed="64"/>
      </patternFill>
    </fill>
  </fills>
  <borders count="119">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style="hair">
        <color theme="6" tint="-0.499984740745262"/>
      </top>
      <bottom/>
      <diagonal/>
    </border>
    <border>
      <left/>
      <right style="hair">
        <color theme="6" tint="-0.499984740745262"/>
      </right>
      <top style="hair">
        <color theme="6" tint="-0.499984740745262"/>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medium">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medium">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hair">
        <color theme="6" tint="-0.499984740745262"/>
      </left>
      <right style="medium">
        <color theme="6" tint="-0.499984740745262"/>
      </right>
      <top/>
      <bottom/>
      <diagonal/>
    </border>
    <border>
      <left style="medium">
        <color theme="6" tint="-0.499984740745262"/>
      </left>
      <right style="hair">
        <color theme="6" tint="-0.499984740745262"/>
      </right>
      <top/>
      <bottom style="hair">
        <color theme="6" tint="-0.499984740745262"/>
      </bottom>
      <diagonal/>
    </border>
    <border>
      <left style="hair">
        <color theme="6" tint="-0.499984740745262"/>
      </left>
      <right style="medium">
        <color theme="6" tint="-0.499984740745262"/>
      </right>
      <top/>
      <bottom style="hair">
        <color theme="6" tint="-0.499984740745262"/>
      </bottom>
      <diagonal/>
    </border>
    <border>
      <left/>
      <right style="hair">
        <color theme="6" tint="-0.499984740745262"/>
      </right>
      <top style="medium">
        <color theme="6" tint="-0.499984740745262"/>
      </top>
      <bottom style="hair">
        <color theme="6" tint="-0.499984740745262"/>
      </bottom>
      <diagonal/>
    </border>
    <border>
      <left/>
      <right style="hair">
        <color theme="6" tint="-0.499984740745262"/>
      </right>
      <top style="hair">
        <color theme="6" tint="-0.499984740745262"/>
      </top>
      <bottom style="medium">
        <color theme="6" tint="-0.499984740745262"/>
      </bottom>
      <diagonal/>
    </border>
    <border>
      <left style="medium">
        <color theme="6" tint="-0.499984740745262"/>
      </left>
      <right style="hair">
        <color theme="6" tint="-0.499984740745262"/>
      </right>
      <top style="hair">
        <color theme="6" tint="-0.499984740745262"/>
      </top>
      <bottom/>
      <diagonal/>
    </border>
    <border>
      <left style="medium">
        <color indexed="64"/>
      </left>
      <right/>
      <top style="medium">
        <color rgb="FF000000"/>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s>
  <cellStyleXfs count="6">
    <xf numFmtId="0" fontId="0" fillId="0" borderId="0"/>
    <xf numFmtId="9" fontId="12" fillId="0" borderId="0" applyFont="0" applyFill="0" applyBorder="0" applyAlignment="0" applyProtection="0"/>
    <xf numFmtId="0" fontId="44" fillId="0" borderId="0"/>
    <xf numFmtId="0" fontId="45" fillId="0" borderId="0"/>
    <xf numFmtId="0" fontId="4" fillId="0" borderId="0"/>
    <xf numFmtId="164" fontId="12" fillId="0" borderId="0" applyFont="0" applyFill="0" applyBorder="0" applyAlignment="0" applyProtection="0"/>
  </cellStyleXfs>
  <cellXfs count="585">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9" fillId="6" borderId="0" xfId="0" applyFont="1" applyFill="1" applyAlignment="1">
      <alignment horizontal="center" vertical="center" wrapText="1" readingOrder="1"/>
    </xf>
    <xf numFmtId="0" fontId="30" fillId="5" borderId="4" xfId="0" applyFont="1" applyFill="1" applyBorder="1" applyAlignment="1">
      <alignment horizontal="center" vertical="center" wrapText="1" readingOrder="1"/>
    </xf>
    <xf numFmtId="0" fontId="30" fillId="7" borderId="1" xfId="0" applyFont="1" applyFill="1" applyBorder="1" applyAlignment="1">
      <alignment horizontal="center" vertical="center" wrapText="1" readingOrder="1"/>
    </xf>
    <xf numFmtId="0" fontId="30" fillId="4" borderId="1" xfId="0" applyFont="1" applyFill="1" applyBorder="1" applyAlignment="1">
      <alignment horizontal="center" vertical="center" wrapText="1" readingOrder="1"/>
    </xf>
    <xf numFmtId="0" fontId="30" fillId="8" borderId="1" xfId="0" applyFont="1" applyFill="1" applyBorder="1" applyAlignment="1">
      <alignment horizontal="center" vertical="center" wrapText="1" readingOrder="1"/>
    </xf>
    <xf numFmtId="0" fontId="31" fillId="9" borderId="1" xfId="0" applyFont="1" applyFill="1" applyBorder="1" applyAlignment="1">
      <alignment horizontal="center" vertical="center" wrapText="1" readingOrder="1"/>
    </xf>
    <xf numFmtId="0" fontId="30" fillId="0" borderId="4" xfId="0" applyFont="1" applyBorder="1" applyAlignment="1">
      <alignment horizontal="center" vertical="center" wrapText="1" readingOrder="1"/>
    </xf>
    <xf numFmtId="0" fontId="30"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0" fillId="3" borderId="0" xfId="0" applyFill="1"/>
    <xf numFmtId="0" fontId="46" fillId="3" borderId="40" xfId="2" applyFont="1" applyFill="1" applyBorder="1"/>
    <xf numFmtId="0" fontId="46" fillId="3" borderId="41" xfId="2" applyFont="1" applyFill="1" applyBorder="1"/>
    <xf numFmtId="0" fontId="46" fillId="3" borderId="42"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23" xfId="0" applyFont="1" applyFill="1" applyBorder="1" applyAlignment="1">
      <alignment horizontal="center" vertical="center" wrapText="1" readingOrder="1"/>
    </xf>
    <xf numFmtId="0" fontId="35" fillId="3" borderId="23" xfId="0" applyFont="1" applyFill="1" applyBorder="1" applyAlignment="1">
      <alignment horizontal="justify" vertical="center" wrapText="1" readingOrder="1"/>
    </xf>
    <xf numFmtId="9" fontId="34" fillId="3" borderId="32" xfId="0" applyNumberFormat="1"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5" fillId="3" borderId="22" xfId="0" applyFont="1" applyFill="1" applyBorder="1" applyAlignment="1">
      <alignment horizontal="justify" vertical="center" wrapText="1" readingOrder="1"/>
    </xf>
    <xf numFmtId="9" fontId="34" fillId="3" borderId="27" xfId="0" applyNumberFormat="1" applyFont="1" applyFill="1" applyBorder="1" applyAlignment="1">
      <alignment horizontal="center" vertical="center" wrapText="1" readingOrder="1"/>
    </xf>
    <xf numFmtId="0" fontId="35" fillId="3" borderId="27"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xf numFmtId="0" fontId="35" fillId="3" borderId="29" xfId="0" applyFont="1" applyFill="1" applyBorder="1" applyAlignment="1">
      <alignment horizontal="justify" vertical="center" wrapText="1" readingOrder="1"/>
    </xf>
    <xf numFmtId="0" fontId="35" fillId="3" borderId="30" xfId="0" applyFont="1" applyFill="1" applyBorder="1" applyAlignment="1">
      <alignment horizontal="center" vertical="center" wrapText="1" readingOrder="1"/>
    </xf>
    <xf numFmtId="0" fontId="43" fillId="3" borderId="0" xfId="0" applyFont="1" applyFill="1"/>
    <xf numFmtId="0" fontId="34" fillId="15" borderId="34" xfId="0" applyFont="1" applyFill="1" applyBorder="1" applyAlignment="1">
      <alignment horizontal="center" vertical="center" wrapText="1" readingOrder="1"/>
    </xf>
    <xf numFmtId="0" fontId="34"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6" fillId="3" borderId="7"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8" xfId="2" applyFont="1" applyFill="1" applyBorder="1"/>
    <xf numFmtId="0" fontId="46" fillId="3" borderId="9" xfId="2" applyFont="1" applyFill="1" applyBorder="1"/>
    <xf numFmtId="0" fontId="46" fillId="3" borderId="11" xfId="2" applyFont="1" applyFill="1" applyBorder="1"/>
    <xf numFmtId="0" fontId="46" fillId="3" borderId="10"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7"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8" xfId="2" quotePrefix="1" applyFont="1" applyFill="1" applyBorder="1" applyAlignment="1">
      <alignment horizontal="left" vertical="top" wrapText="1"/>
    </xf>
    <xf numFmtId="0" fontId="30" fillId="0" borderId="64" xfId="0" applyFont="1" applyBorder="1" applyAlignment="1">
      <alignment horizontal="justify" vertical="center" wrapText="1" readingOrder="1"/>
    </xf>
    <xf numFmtId="0" fontId="30" fillId="0" borderId="65" xfId="0" applyFont="1" applyBorder="1" applyAlignment="1">
      <alignment horizontal="justify" vertical="center" wrapText="1" readingOrder="1"/>
    </xf>
    <xf numFmtId="166" fontId="28" fillId="3" borderId="0" xfId="5" applyNumberFormat="1" applyFont="1" applyFill="1" applyAlignment="1">
      <alignment horizontal="center" vertical="center" wrapText="1"/>
    </xf>
    <xf numFmtId="166" fontId="0" fillId="3" borderId="0" xfId="5" applyNumberFormat="1" applyFont="1" applyFill="1" applyAlignment="1">
      <alignment horizontal="center" vertical="center"/>
    </xf>
    <xf numFmtId="0" fontId="56" fillId="3" borderId="0" xfId="0" applyFont="1" applyFill="1"/>
    <xf numFmtId="0" fontId="57" fillId="3" borderId="0" xfId="0" applyFont="1" applyFill="1" applyAlignment="1">
      <alignment horizontal="justify" vertical="center" wrapText="1" readingOrder="1"/>
    </xf>
    <xf numFmtId="0" fontId="56" fillId="0" borderId="0" xfId="0" applyFont="1"/>
    <xf numFmtId="0" fontId="58" fillId="3" borderId="0" xfId="0" applyFont="1" applyFill="1" applyAlignment="1">
      <alignment vertical="center"/>
    </xf>
    <xf numFmtId="164" fontId="0" fillId="3" borderId="0" xfId="5" applyFont="1" applyFill="1" applyAlignment="1">
      <alignment horizontal="left" vertical="center"/>
    </xf>
    <xf numFmtId="164" fontId="56" fillId="3" borderId="0" xfId="5" applyFont="1" applyFill="1" applyAlignment="1">
      <alignment horizontal="left" vertical="center"/>
    </xf>
    <xf numFmtId="164" fontId="0" fillId="0" borderId="0" xfId="5" applyFont="1" applyAlignment="1">
      <alignment horizontal="left" vertical="center"/>
    </xf>
    <xf numFmtId="164" fontId="27" fillId="0" borderId="0" xfId="5" applyFont="1" applyAlignment="1">
      <alignment horizontal="left" vertical="center"/>
    </xf>
    <xf numFmtId="0" fontId="0" fillId="0" borderId="0" xfId="0" applyAlignment="1">
      <alignment wrapText="1"/>
    </xf>
    <xf numFmtId="0" fontId="26" fillId="0" borderId="0" xfId="0" applyFont="1" applyAlignment="1">
      <alignment wrapText="1"/>
    </xf>
    <xf numFmtId="0" fontId="0" fillId="0" borderId="0" xfId="0" applyAlignment="1">
      <alignment vertical="center" wrapText="1"/>
    </xf>
    <xf numFmtId="0" fontId="59" fillId="0" borderId="0" xfId="0" applyFont="1"/>
    <xf numFmtId="0" fontId="60" fillId="0" borderId="0" xfId="0" applyFont="1"/>
    <xf numFmtId="0" fontId="61" fillId="0" borderId="0" xfId="0" applyFont="1"/>
    <xf numFmtId="0" fontId="62" fillId="0" borderId="0" xfId="0" applyFont="1" applyAlignment="1">
      <alignment wrapText="1"/>
    </xf>
    <xf numFmtId="0" fontId="61" fillId="0" borderId="0" xfId="0" applyFont="1" applyAlignment="1">
      <alignment wrapText="1"/>
    </xf>
    <xf numFmtId="0" fontId="59" fillId="0" borderId="8" xfId="0" applyFont="1" applyBorder="1"/>
    <xf numFmtId="0" fontId="64" fillId="0" borderId="8" xfId="0" applyFont="1" applyBorder="1"/>
    <xf numFmtId="0" fontId="65" fillId="19" borderId="69" xfId="0" applyFont="1" applyFill="1" applyBorder="1" applyAlignment="1">
      <alignment horizontal="center" vertical="center" wrapText="1"/>
    </xf>
    <xf numFmtId="0" fontId="66" fillId="19" borderId="10" xfId="0" applyFont="1" applyFill="1" applyBorder="1" applyAlignment="1">
      <alignment horizontal="center" vertical="center" wrapText="1"/>
    </xf>
    <xf numFmtId="0" fontId="65" fillId="19" borderId="33" xfId="0" applyFont="1" applyFill="1" applyBorder="1" applyAlignment="1">
      <alignment horizontal="center" vertical="center" wrapText="1"/>
    </xf>
    <xf numFmtId="0" fontId="64" fillId="0" borderId="0" xfId="0" applyFont="1"/>
    <xf numFmtId="0" fontId="65" fillId="19" borderId="69" xfId="0" applyFont="1" applyFill="1" applyBorder="1" applyAlignment="1">
      <alignment horizontal="center" vertical="center" textRotation="90" wrapText="1"/>
    </xf>
    <xf numFmtId="0" fontId="62" fillId="0" borderId="6" xfId="0" applyFont="1" applyBorder="1" applyAlignment="1">
      <alignment horizontal="justify" vertical="center" wrapText="1"/>
    </xf>
    <xf numFmtId="0" fontId="65" fillId="19" borderId="68" xfId="0" applyFont="1" applyFill="1" applyBorder="1" applyAlignment="1">
      <alignment horizontal="center" vertical="center" textRotation="90" wrapText="1"/>
    </xf>
    <xf numFmtId="0" fontId="62" fillId="0" borderId="68" xfId="0" applyFont="1" applyBorder="1" applyAlignment="1">
      <alignment horizontal="left" vertical="center" wrapText="1"/>
    </xf>
    <xf numFmtId="0" fontId="65" fillId="19" borderId="71" xfId="0" applyFont="1" applyFill="1" applyBorder="1" applyAlignment="1">
      <alignment horizontal="center" vertical="center" textRotation="90" wrapText="1"/>
    </xf>
    <xf numFmtId="0" fontId="62" fillId="0" borderId="69" xfId="0" applyFont="1" applyBorder="1" applyAlignment="1">
      <alignment horizontal="left" vertical="center" wrapText="1"/>
    </xf>
    <xf numFmtId="0" fontId="65" fillId="19" borderId="6" xfId="0" applyFont="1" applyFill="1" applyBorder="1" applyAlignment="1">
      <alignment horizontal="center" vertical="center" textRotation="90" wrapText="1"/>
    </xf>
    <xf numFmtId="0" fontId="69" fillId="0" borderId="68" xfId="0" applyFont="1" applyBorder="1" applyAlignment="1">
      <alignment horizontal="left" vertical="center" wrapText="1"/>
    </xf>
    <xf numFmtId="0" fontId="65" fillId="19" borderId="36" xfId="0" applyFont="1" applyFill="1" applyBorder="1" applyAlignment="1">
      <alignment horizontal="center" vertical="center" textRotation="90" wrapText="1"/>
    </xf>
    <xf numFmtId="0" fontId="70" fillId="0" borderId="8" xfId="0" applyFont="1" applyBorder="1"/>
    <xf numFmtId="0" fontId="71" fillId="20" borderId="6" xfId="0" applyFont="1" applyFill="1" applyBorder="1" applyAlignment="1">
      <alignment horizontal="center" vertical="center" textRotation="90" wrapText="1"/>
    </xf>
    <xf numFmtId="0" fontId="70" fillId="0" borderId="0" xfId="0" applyFont="1"/>
    <xf numFmtId="0" fontId="70" fillId="20" borderId="36" xfId="0" applyFont="1" applyFill="1" applyBorder="1"/>
    <xf numFmtId="0" fontId="72" fillId="20" borderId="69" xfId="0" applyFont="1" applyFill="1" applyBorder="1" applyAlignment="1">
      <alignment horizontal="center" vertical="center" wrapText="1"/>
    </xf>
    <xf numFmtId="0" fontId="71" fillId="20" borderId="69" xfId="0" applyFont="1" applyFill="1" applyBorder="1" applyAlignment="1">
      <alignment horizontal="center" vertical="center" wrapText="1"/>
    </xf>
    <xf numFmtId="0" fontId="66" fillId="0" borderId="0" xfId="0" applyFont="1" applyAlignment="1">
      <alignment horizontal="center" vertical="center"/>
    </xf>
    <xf numFmtId="0" fontId="65" fillId="0" borderId="0" xfId="0" applyFont="1" applyAlignment="1">
      <alignment horizontal="center" vertical="center"/>
    </xf>
    <xf numFmtId="0" fontId="62" fillId="0" borderId="0" xfId="0" applyFont="1"/>
    <xf numFmtId="0" fontId="73" fillId="0" borderId="0" xfId="0" applyFont="1" applyAlignment="1">
      <alignment vertical="center" wrapText="1"/>
    </xf>
    <xf numFmtId="0" fontId="73" fillId="0" borderId="73" xfId="0" applyFont="1" applyBorder="1" applyAlignment="1">
      <alignment horizontal="center" vertical="center" wrapText="1"/>
    </xf>
    <xf numFmtId="0" fontId="73" fillId="0" borderId="26" xfId="0" applyFont="1" applyBorder="1" applyAlignment="1">
      <alignment horizontal="center" vertical="center" wrapText="1"/>
    </xf>
    <xf numFmtId="0" fontId="73" fillId="0" borderId="22" xfId="0" applyFont="1" applyBorder="1" applyAlignment="1">
      <alignment vertical="center" wrapText="1"/>
    </xf>
    <xf numFmtId="0" fontId="73" fillId="0" borderId="27" xfId="0" applyFont="1" applyBorder="1" applyAlignment="1">
      <alignment vertical="center" wrapText="1"/>
    </xf>
    <xf numFmtId="0" fontId="78" fillId="0" borderId="77" xfId="0" applyFont="1" applyBorder="1" applyAlignment="1">
      <alignment horizontal="justify" vertical="center" wrapText="1"/>
    </xf>
    <xf numFmtId="0" fontId="78" fillId="0" borderId="79" xfId="0" applyFont="1" applyBorder="1" applyAlignment="1">
      <alignment horizontal="justify" vertical="center" wrapText="1"/>
    </xf>
    <xf numFmtId="0" fontId="77" fillId="16" borderId="77" xfId="0" applyFont="1" applyFill="1" applyBorder="1" applyAlignment="1">
      <alignment horizontal="center" vertical="center" wrapText="1"/>
    </xf>
    <xf numFmtId="0" fontId="77" fillId="16" borderId="79" xfId="0" applyFont="1" applyFill="1" applyBorder="1" applyAlignment="1">
      <alignment horizontal="center" vertical="center" wrapText="1"/>
    </xf>
    <xf numFmtId="0" fontId="77" fillId="16" borderId="81"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30" xfId="0" applyFont="1" applyFill="1" applyBorder="1" applyAlignment="1">
      <alignment horizontal="center" vertical="center" wrapText="1"/>
    </xf>
    <xf numFmtId="0" fontId="77" fillId="19" borderId="69" xfId="0" applyFont="1" applyFill="1" applyBorder="1" applyAlignment="1">
      <alignment horizontal="center" vertical="center" wrapText="1"/>
    </xf>
    <xf numFmtId="0" fontId="77" fillId="19" borderId="36" xfId="0" applyFont="1" applyFill="1" applyBorder="1" applyAlignment="1">
      <alignment horizontal="center" vertical="center" wrapText="1"/>
    </xf>
    <xf numFmtId="0" fontId="78" fillId="0" borderId="10" xfId="0" applyFont="1" applyBorder="1" applyAlignment="1">
      <alignment horizontal="justify" vertical="center" wrapText="1"/>
    </xf>
    <xf numFmtId="0" fontId="62" fillId="0" borderId="5" xfId="0" applyFont="1" applyBorder="1" applyAlignment="1">
      <alignment horizontal="justify" vertical="center" wrapText="1"/>
    </xf>
    <xf numFmtId="0" fontId="62" fillId="0" borderId="5" xfId="0" applyFont="1" applyBorder="1" applyAlignment="1">
      <alignment horizontal="left" vertical="center" wrapText="1"/>
    </xf>
    <xf numFmtId="0" fontId="61" fillId="0" borderId="24" xfId="0" applyFont="1" applyBorder="1" applyAlignment="1">
      <alignment horizontal="left" vertical="center" wrapText="1"/>
    </xf>
    <xf numFmtId="0" fontId="61" fillId="0" borderId="5" xfId="0" applyFont="1" applyBorder="1" applyAlignment="1">
      <alignment horizontal="justify" vertical="center" wrapText="1"/>
    </xf>
    <xf numFmtId="0" fontId="64" fillId="0" borderId="85" xfId="0" applyFont="1" applyBorder="1" applyAlignment="1">
      <alignment horizontal="center" vertical="center"/>
    </xf>
    <xf numFmtId="0" fontId="64" fillId="0" borderId="84" xfId="0" applyFont="1" applyBorder="1" applyAlignment="1">
      <alignment horizontal="center" vertical="center"/>
    </xf>
    <xf numFmtId="0" fontId="70" fillId="0" borderId="86" xfId="0" applyFont="1" applyBorder="1" applyAlignment="1">
      <alignment horizontal="center" vertical="center"/>
    </xf>
    <xf numFmtId="0" fontId="80" fillId="24" borderId="89" xfId="0" applyFont="1" applyFill="1" applyBorder="1" applyAlignment="1">
      <alignment horizontal="left" vertical="center" wrapText="1" readingOrder="1"/>
    </xf>
    <xf numFmtId="0" fontId="80" fillId="25" borderId="89" xfId="0" applyFont="1" applyFill="1" applyBorder="1" applyAlignment="1">
      <alignment horizontal="left" vertical="center" wrapText="1" readingOrder="1"/>
    </xf>
    <xf numFmtId="0" fontId="86" fillId="0" borderId="84" xfId="0" applyFont="1" applyBorder="1" applyAlignment="1">
      <alignment vertical="center" wrapText="1"/>
    </xf>
    <xf numFmtId="0" fontId="85" fillId="0" borderId="84" xfId="0" applyFont="1" applyBorder="1" applyAlignment="1">
      <alignment vertical="center"/>
    </xf>
    <xf numFmtId="0" fontId="85" fillId="0" borderId="84" xfId="0" applyFont="1" applyBorder="1" applyAlignment="1">
      <alignment vertical="center" wrapText="1"/>
    </xf>
    <xf numFmtId="0" fontId="85" fillId="27" borderId="0" xfId="0" applyFont="1" applyFill="1" applyAlignment="1">
      <alignment horizontal="center" vertical="center"/>
    </xf>
    <xf numFmtId="0" fontId="77" fillId="27" borderId="69" xfId="0" applyFont="1" applyFill="1" applyBorder="1" applyAlignment="1">
      <alignment horizontal="center" vertical="center" wrapText="1"/>
    </xf>
    <xf numFmtId="0" fontId="77" fillId="27" borderId="36" xfId="0" applyFont="1" applyFill="1" applyBorder="1" applyAlignment="1">
      <alignment horizontal="center" vertical="center" wrapText="1"/>
    </xf>
    <xf numFmtId="0" fontId="73" fillId="0" borderId="74" xfId="0" applyFont="1" applyBorder="1" applyAlignment="1">
      <alignment horizontal="center" vertical="center" wrapText="1"/>
    </xf>
    <xf numFmtId="0" fontId="73" fillId="0" borderId="75" xfId="0" applyFont="1" applyBorder="1" applyAlignment="1">
      <alignment horizontal="center" vertical="center" wrapText="1"/>
    </xf>
    <xf numFmtId="0" fontId="73" fillId="0" borderId="22" xfId="0" applyFont="1" applyBorder="1" applyAlignment="1">
      <alignment horizontal="center" vertical="center" wrapText="1"/>
    </xf>
    <xf numFmtId="0" fontId="73" fillId="0" borderId="27" xfId="0" applyFont="1" applyBorder="1" applyAlignment="1">
      <alignment horizontal="center" vertical="center" wrapText="1"/>
    </xf>
    <xf numFmtId="0" fontId="0" fillId="3" borderId="0" xfId="0" applyFill="1" applyAlignment="1">
      <alignment vertical="top"/>
    </xf>
    <xf numFmtId="164" fontId="0" fillId="3" borderId="0" xfId="5" applyFont="1" applyFill="1" applyAlignment="1">
      <alignment horizontal="left" vertical="top"/>
    </xf>
    <xf numFmtId="0" fontId="0" fillId="0" borderId="0" xfId="0" applyAlignment="1">
      <alignment vertical="top"/>
    </xf>
    <xf numFmtId="164" fontId="55" fillId="3" borderId="0" xfId="5" applyFont="1" applyFill="1" applyAlignment="1">
      <alignment vertical="top"/>
    </xf>
    <xf numFmtId="0" fontId="65" fillId="0" borderId="0" xfId="0" applyFont="1" applyAlignment="1">
      <alignment horizontal="center" vertical="center" wrapText="1"/>
    </xf>
    <xf numFmtId="0" fontId="65" fillId="0" borderId="0" xfId="0" applyFont="1" applyAlignment="1">
      <alignment horizontal="center" vertical="center" textRotation="90" wrapText="1"/>
    </xf>
    <xf numFmtId="0" fontId="61" fillId="0" borderId="0" xfId="0" applyFont="1" applyAlignment="1">
      <alignment horizontal="justify" vertical="center" wrapText="1"/>
    </xf>
    <xf numFmtId="0" fontId="61" fillId="0" borderId="0" xfId="0" applyFont="1" applyAlignment="1">
      <alignment horizontal="left" vertical="center" wrapText="1"/>
    </xf>
    <xf numFmtId="0" fontId="71" fillId="0" borderId="0" xfId="0" applyFont="1" applyAlignment="1">
      <alignment horizontal="center" vertical="center" textRotation="90" wrapText="1"/>
    </xf>
    <xf numFmtId="0" fontId="71" fillId="0" borderId="0" xfId="0" applyFont="1" applyAlignment="1">
      <alignment horizontal="center" vertical="center" wrapText="1"/>
    </xf>
    <xf numFmtId="0" fontId="82" fillId="0" borderId="90" xfId="0" applyFont="1" applyBorder="1" applyAlignment="1" applyProtection="1">
      <alignment horizontal="center" vertical="center" wrapText="1"/>
      <protection locked="0"/>
    </xf>
    <xf numFmtId="0" fontId="82" fillId="0" borderId="90" xfId="0" applyFont="1" applyBorder="1" applyAlignment="1" applyProtection="1">
      <alignment horizontal="justify" vertical="center" wrapText="1"/>
      <protection locked="0"/>
    </xf>
    <xf numFmtId="0" fontId="82" fillId="0" borderId="90" xfId="0" applyFont="1" applyBorder="1" applyAlignment="1" applyProtection="1">
      <alignment horizontal="justify" vertical="center"/>
      <protection locked="0"/>
    </xf>
    <xf numFmtId="0" fontId="82" fillId="0" borderId="90" xfId="0" applyFont="1" applyBorder="1" applyAlignment="1" applyProtection="1">
      <alignment horizontal="center" vertical="center"/>
      <protection hidden="1"/>
    </xf>
    <xf numFmtId="0" fontId="82" fillId="0" borderId="90" xfId="0" applyFont="1" applyBorder="1" applyAlignment="1" applyProtection="1">
      <alignment horizontal="center" vertical="center" textRotation="90"/>
      <protection locked="0"/>
    </xf>
    <xf numFmtId="9" fontId="82" fillId="0" borderId="90" xfId="0" applyNumberFormat="1" applyFont="1" applyBorder="1" applyAlignment="1" applyProtection="1">
      <alignment horizontal="center" vertical="center"/>
      <protection hidden="1"/>
    </xf>
    <xf numFmtId="165" fontId="82" fillId="0" borderId="90" xfId="1" applyNumberFormat="1" applyFont="1" applyFill="1" applyBorder="1" applyAlignment="1">
      <alignment horizontal="center" vertical="center"/>
    </xf>
    <xf numFmtId="0" fontId="83" fillId="0" borderId="90" xfId="0" applyFont="1" applyBorder="1" applyAlignment="1" applyProtection="1">
      <alignment horizontal="center" vertical="center" textRotation="90" wrapText="1"/>
      <protection hidden="1"/>
    </xf>
    <xf numFmtId="0" fontId="83" fillId="0" borderId="90" xfId="0" applyFont="1" applyBorder="1" applyAlignment="1" applyProtection="1">
      <alignment horizontal="center" vertical="center" textRotation="90"/>
      <protection hidden="1"/>
    </xf>
    <xf numFmtId="0" fontId="82" fillId="0" borderId="90" xfId="0" applyFont="1" applyBorder="1" applyAlignment="1" applyProtection="1">
      <alignment horizontal="center" vertical="center" textRotation="90" wrapText="1"/>
      <protection locked="0"/>
    </xf>
    <xf numFmtId="0" fontId="82" fillId="0" borderId="90" xfId="0" applyFont="1" applyBorder="1" applyAlignment="1" applyProtection="1">
      <alignment horizontal="center" vertical="center"/>
      <protection locked="0"/>
    </xf>
    <xf numFmtId="14" fontId="82" fillId="0" borderId="90" xfId="0" applyNumberFormat="1" applyFont="1" applyBorder="1" applyAlignment="1" applyProtection="1">
      <alignment horizontal="center" vertical="center"/>
      <protection locked="0"/>
    </xf>
    <xf numFmtId="0" fontId="82" fillId="0" borderId="0" xfId="0" applyFont="1"/>
    <xf numFmtId="0" fontId="82" fillId="0" borderId="90" xfId="0" applyFont="1" applyBorder="1" applyAlignment="1" applyProtection="1">
      <alignment horizontal="justify" vertical="top" wrapText="1"/>
      <protection locked="0"/>
    </xf>
    <xf numFmtId="0" fontId="81" fillId="0" borderId="0" xfId="0" applyFont="1" applyAlignment="1">
      <alignment vertical="center"/>
    </xf>
    <xf numFmtId="0" fontId="88" fillId="3" borderId="0" xfId="0" applyFont="1" applyFill="1"/>
    <xf numFmtId="0" fontId="88" fillId="0" borderId="0" xfId="0" applyFont="1"/>
    <xf numFmtId="0" fontId="81" fillId="0" borderId="93" xfId="0" applyFont="1" applyBorder="1" applyAlignment="1">
      <alignment vertical="center"/>
    </xf>
    <xf numFmtId="0" fontId="81" fillId="0" borderId="91" xfId="0" applyFont="1" applyBorder="1" applyAlignment="1">
      <alignment vertical="center"/>
    </xf>
    <xf numFmtId="0" fontId="82" fillId="3" borderId="0" xfId="0" applyFont="1" applyFill="1" applyAlignment="1">
      <alignment horizontal="center" vertical="center"/>
    </xf>
    <xf numFmtId="0" fontId="82" fillId="3" borderId="0" xfId="0" applyFont="1" applyFill="1" applyAlignment="1">
      <alignment horizontal="left" vertical="center"/>
    </xf>
    <xf numFmtId="0" fontId="82" fillId="3" borderId="0" xfId="0" applyFont="1" applyFill="1"/>
    <xf numFmtId="0" fontId="82" fillId="3" borderId="0" xfId="0" applyFont="1" applyFill="1" applyAlignment="1">
      <alignment horizontal="center"/>
    </xf>
    <xf numFmtId="0" fontId="82" fillId="3" borderId="0" xfId="0" applyFont="1" applyFill="1" applyAlignment="1">
      <alignment wrapText="1"/>
    </xf>
    <xf numFmtId="0" fontId="83" fillId="3" borderId="99" xfId="0" applyFont="1" applyFill="1" applyBorder="1"/>
    <xf numFmtId="0" fontId="83" fillId="3" borderId="90" xfId="0" applyFont="1" applyFill="1" applyBorder="1"/>
    <xf numFmtId="0" fontId="83" fillId="3" borderId="100" xfId="0" applyFont="1" applyFill="1" applyBorder="1"/>
    <xf numFmtId="0" fontId="83" fillId="3" borderId="111" xfId="0" applyFont="1" applyFill="1" applyBorder="1"/>
    <xf numFmtId="0" fontId="83" fillId="3" borderId="91" xfId="0" applyFont="1" applyFill="1" applyBorder="1"/>
    <xf numFmtId="0" fontId="83" fillId="3" borderId="101" xfId="0" applyFont="1" applyFill="1" applyBorder="1"/>
    <xf numFmtId="0" fontId="83" fillId="0" borderId="0" xfId="0" applyFont="1" applyAlignment="1">
      <alignment horizontal="left" vertical="center"/>
    </xf>
    <xf numFmtId="0" fontId="82" fillId="0" borderId="0" xfId="0" applyFont="1" applyAlignment="1" applyProtection="1">
      <alignment horizontal="left" vertical="center" wrapText="1"/>
      <protection locked="0"/>
    </xf>
    <xf numFmtId="0" fontId="83" fillId="0" borderId="0" xfId="0" applyFont="1"/>
    <xf numFmtId="0" fontId="82" fillId="0" borderId="0" xfId="0" applyFont="1" applyAlignment="1">
      <alignment horizontal="left" wrapText="1"/>
    </xf>
    <xf numFmtId="0" fontId="83" fillId="16" borderId="90" xfId="0" applyFont="1" applyFill="1" applyBorder="1" applyAlignment="1">
      <alignment horizontal="center" vertical="center" textRotation="90"/>
    </xf>
    <xf numFmtId="0" fontId="83" fillId="3" borderId="0" xfId="0" applyFont="1" applyFill="1" applyAlignment="1">
      <alignment horizontal="center" vertical="center"/>
    </xf>
    <xf numFmtId="0" fontId="83" fillId="0" borderId="0" xfId="0" applyFont="1" applyAlignment="1">
      <alignment horizontal="center" vertical="center"/>
    </xf>
    <xf numFmtId="0" fontId="83" fillId="2" borderId="0" xfId="0" applyFont="1" applyFill="1" applyAlignment="1">
      <alignment horizontal="center" vertical="center"/>
    </xf>
    <xf numFmtId="0" fontId="82" fillId="0" borderId="90" xfId="0" applyFont="1" applyBorder="1" applyAlignment="1">
      <alignment horizontal="center" vertical="center"/>
    </xf>
    <xf numFmtId="0" fontId="82" fillId="0" borderId="0" xfId="0" applyFont="1" applyAlignment="1">
      <alignment vertical="center"/>
    </xf>
    <xf numFmtId="0" fontId="82" fillId="0" borderId="3" xfId="0" applyFont="1" applyBorder="1" applyAlignment="1">
      <alignment horizontal="center" vertical="center"/>
    </xf>
    <xf numFmtId="0" fontId="82" fillId="0" borderId="0" xfId="0" applyFont="1" applyAlignment="1">
      <alignment wrapText="1"/>
    </xf>
    <xf numFmtId="0" fontId="82" fillId="0" borderId="0" xfId="0" applyFont="1" applyAlignment="1">
      <alignment horizontal="center" vertical="center"/>
    </xf>
    <xf numFmtId="0" fontId="82" fillId="0" borderId="0" xfId="0" applyFont="1" applyAlignment="1">
      <alignment horizontal="center"/>
    </xf>
    <xf numFmtId="167" fontId="30" fillId="0" borderId="64" xfId="0" applyNumberFormat="1" applyFont="1" applyBorder="1" applyAlignment="1">
      <alignment horizontal="center" vertical="center" wrapText="1" readingOrder="1"/>
    </xf>
    <xf numFmtId="0" fontId="64" fillId="0" borderId="0" xfId="0" applyFont="1" applyAlignment="1">
      <alignment vertical="center"/>
    </xf>
    <xf numFmtId="0" fontId="79" fillId="28" borderId="69" xfId="0" applyFont="1" applyFill="1" applyBorder="1" applyAlignment="1">
      <alignment horizontal="center" vertical="center" wrapText="1"/>
    </xf>
    <xf numFmtId="0" fontId="89" fillId="28" borderId="6" xfId="0" applyFont="1" applyFill="1" applyBorder="1" applyAlignment="1">
      <alignment horizontal="center" vertical="center" wrapText="1"/>
    </xf>
    <xf numFmtId="0" fontId="79" fillId="28" borderId="68" xfId="0" applyFont="1" applyFill="1" applyBorder="1" applyAlignment="1">
      <alignment horizontal="center" vertical="center" wrapText="1"/>
    </xf>
    <xf numFmtId="0" fontId="79" fillId="19" borderId="69" xfId="0" applyFont="1" applyFill="1" applyBorder="1" applyAlignment="1">
      <alignment horizontal="center" vertical="center" textRotation="90" wrapText="1"/>
    </xf>
    <xf numFmtId="0" fontId="6" fillId="0" borderId="6" xfId="0" applyFont="1" applyBorder="1" applyAlignment="1">
      <alignment horizontal="justify" vertical="center" wrapText="1"/>
    </xf>
    <xf numFmtId="0" fontId="6" fillId="0" borderId="68" xfId="0" applyFont="1" applyBorder="1" applyAlignment="1">
      <alignment horizontal="justify" vertical="center" wrapText="1"/>
    </xf>
    <xf numFmtId="0" fontId="79" fillId="19" borderId="5" xfId="0" applyFont="1" applyFill="1" applyBorder="1" applyAlignment="1">
      <alignment horizontal="center" vertical="center" textRotation="90" wrapText="1"/>
    </xf>
    <xf numFmtId="0" fontId="6" fillId="0" borderId="68" xfId="0" applyFont="1" applyBorder="1" applyAlignment="1">
      <alignment horizontal="left" vertical="center" wrapText="1"/>
    </xf>
    <xf numFmtId="0" fontId="6" fillId="23" borderId="5" xfId="0" applyFont="1" applyFill="1" applyBorder="1" applyAlignment="1">
      <alignment horizontal="left" vertical="center" wrapText="1"/>
    </xf>
    <xf numFmtId="0" fontId="64" fillId="23" borderId="69" xfId="0" applyFont="1" applyFill="1" applyBorder="1" applyAlignment="1">
      <alignment horizontal="left" vertical="center" wrapText="1"/>
    </xf>
    <xf numFmtId="0" fontId="79" fillId="19" borderId="112" xfId="0" applyFont="1" applyFill="1" applyBorder="1" applyAlignment="1">
      <alignment horizontal="center" vertical="center" textRotation="90" wrapText="1"/>
    </xf>
    <xf numFmtId="0" fontId="64" fillId="0" borderId="69" xfId="0" applyFont="1" applyBorder="1" applyAlignment="1">
      <alignment horizontal="left" vertical="center" wrapText="1"/>
    </xf>
    <xf numFmtId="0" fontId="6" fillId="23" borderId="69" xfId="0" applyFont="1" applyFill="1" applyBorder="1" applyAlignment="1">
      <alignment horizontal="left" vertical="center" wrapText="1"/>
    </xf>
    <xf numFmtId="0" fontId="79" fillId="19" borderId="12" xfId="0" applyFont="1" applyFill="1" applyBorder="1" applyAlignment="1">
      <alignment horizontal="center" vertical="center" textRotation="90" wrapText="1"/>
    </xf>
    <xf numFmtId="0" fontId="79" fillId="19" borderId="25" xfId="0" applyFont="1" applyFill="1" applyBorder="1" applyAlignment="1">
      <alignment horizontal="center" vertical="center" textRotation="90" wrapText="1"/>
    </xf>
    <xf numFmtId="0" fontId="6" fillId="0" borderId="69" xfId="0" applyFont="1" applyBorder="1" applyAlignment="1">
      <alignment horizontal="left" vertical="center" wrapText="1"/>
    </xf>
    <xf numFmtId="0" fontId="79" fillId="20" borderId="12" xfId="0" applyFont="1" applyFill="1" applyBorder="1" applyAlignment="1">
      <alignment horizontal="center" vertical="center" textRotation="90" wrapText="1"/>
    </xf>
    <xf numFmtId="0" fontId="79" fillId="20" borderId="24" xfId="0" applyFont="1" applyFill="1" applyBorder="1" applyAlignment="1">
      <alignment horizontal="center" vertical="center" textRotation="90" wrapText="1"/>
    </xf>
    <xf numFmtId="0" fontId="89" fillId="0" borderId="22" xfId="0" applyFont="1" applyBorder="1" applyAlignment="1">
      <alignment horizontal="center" vertical="center"/>
    </xf>
    <xf numFmtId="0" fontId="79" fillId="0" borderId="22" xfId="0" applyFont="1" applyBorder="1" applyAlignment="1">
      <alignment horizontal="center" vertical="center"/>
    </xf>
    <xf numFmtId="0" fontId="89" fillId="0" borderId="22" xfId="0" applyFont="1" applyBorder="1" applyAlignment="1">
      <alignment horizontal="left" vertical="center" wrapText="1"/>
    </xf>
    <xf numFmtId="0" fontId="90" fillId="0" borderId="90" xfId="0" applyFont="1" applyBorder="1" applyAlignment="1" applyProtection="1">
      <alignment horizontal="justify" vertical="center" wrapText="1"/>
      <protection locked="0"/>
    </xf>
    <xf numFmtId="0" fontId="90" fillId="0" borderId="90" xfId="0" applyFont="1" applyBorder="1" applyAlignment="1" applyProtection="1">
      <alignment horizontal="justify" vertical="top" wrapText="1"/>
      <protection locked="0"/>
    </xf>
    <xf numFmtId="0" fontId="90" fillId="0" borderId="90" xfId="0" applyFont="1" applyBorder="1" applyAlignment="1" applyProtection="1">
      <alignment horizontal="center" vertical="center" textRotation="90"/>
      <protection locked="0"/>
    </xf>
    <xf numFmtId="9" fontId="90" fillId="0" borderId="90" xfId="0" applyNumberFormat="1" applyFont="1" applyBorder="1" applyAlignment="1" applyProtection="1">
      <alignment horizontal="center" vertical="center"/>
      <protection hidden="1"/>
    </xf>
    <xf numFmtId="0" fontId="90" fillId="0" borderId="91" xfId="0" applyFont="1" applyBorder="1" applyAlignment="1" applyProtection="1">
      <alignment vertical="center" wrapText="1"/>
      <protection locked="0"/>
    </xf>
    <xf numFmtId="14" fontId="90" fillId="0" borderId="91" xfId="0" applyNumberFormat="1" applyFont="1" applyBorder="1" applyAlignment="1" applyProtection="1">
      <alignment vertical="center"/>
      <protection locked="0"/>
    </xf>
    <xf numFmtId="0" fontId="90" fillId="0" borderId="91" xfId="0" applyFont="1" applyBorder="1" applyAlignment="1" applyProtection="1">
      <alignment vertical="center"/>
      <protection locked="0"/>
    </xf>
    <xf numFmtId="0" fontId="47" fillId="23" borderId="37" xfId="2" applyFont="1" applyFill="1" applyBorder="1" applyAlignment="1">
      <alignment horizontal="center" vertical="center" wrapText="1"/>
    </xf>
    <xf numFmtId="0" fontId="47" fillId="23" borderId="38" xfId="2" applyFont="1" applyFill="1" applyBorder="1" applyAlignment="1">
      <alignment horizontal="center" vertical="center" wrapText="1"/>
    </xf>
    <xf numFmtId="0" fontId="47" fillId="23" borderId="39" xfId="2" applyFont="1" applyFill="1" applyBorder="1" applyAlignment="1">
      <alignment horizontal="center" vertical="center" wrapText="1"/>
    </xf>
    <xf numFmtId="0" fontId="46" fillId="0" borderId="7"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8" xfId="2" quotePrefix="1" applyFont="1" applyBorder="1" applyAlignment="1">
      <alignment horizontal="left" vertical="center" wrapText="1"/>
    </xf>
    <xf numFmtId="0" fontId="46" fillId="0" borderId="57" xfId="2" quotePrefix="1" applyFont="1" applyBorder="1" applyAlignment="1">
      <alignment horizontal="left" vertical="center" wrapText="1"/>
    </xf>
    <xf numFmtId="0" fontId="46" fillId="0" borderId="58" xfId="2" quotePrefix="1" applyFont="1" applyBorder="1" applyAlignment="1">
      <alignment horizontal="left" vertical="center" wrapText="1"/>
    </xf>
    <xf numFmtId="0" fontId="46" fillId="0" borderId="59" xfId="2" quotePrefix="1" applyFont="1" applyBorder="1" applyAlignment="1">
      <alignment horizontal="left" vertical="center" wrapText="1"/>
    </xf>
    <xf numFmtId="0" fontId="48" fillId="3" borderId="40" xfId="2" quotePrefix="1" applyFont="1" applyFill="1" applyBorder="1" applyAlignment="1">
      <alignment horizontal="left" vertical="top" wrapText="1"/>
    </xf>
    <xf numFmtId="0" fontId="49" fillId="3" borderId="41" xfId="2" quotePrefix="1" applyFont="1" applyFill="1" applyBorder="1" applyAlignment="1">
      <alignment horizontal="left" vertical="top" wrapText="1"/>
    </xf>
    <xf numFmtId="0" fontId="49" fillId="3" borderId="42" xfId="2" quotePrefix="1" applyFont="1" applyFill="1" applyBorder="1" applyAlignment="1">
      <alignment horizontal="left" vertical="top" wrapText="1"/>
    </xf>
    <xf numFmtId="0" fontId="46" fillId="0" borderId="7"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8" xfId="2" quotePrefix="1" applyFont="1" applyBorder="1" applyAlignment="1">
      <alignment horizontal="left" vertical="top" wrapText="1"/>
    </xf>
    <xf numFmtId="0" fontId="51" fillId="14" borderId="43" xfId="3" applyFont="1" applyFill="1" applyBorder="1" applyAlignment="1">
      <alignment horizontal="center" vertical="center" wrapText="1"/>
    </xf>
    <xf numFmtId="0" fontId="51" fillId="14" borderId="44" xfId="3" applyFont="1" applyFill="1" applyBorder="1" applyAlignment="1">
      <alignment horizontal="center" vertical="center" wrapText="1"/>
    </xf>
    <xf numFmtId="0" fontId="51" fillId="14" borderId="45" xfId="2" applyFont="1" applyFill="1" applyBorder="1" applyAlignment="1">
      <alignment horizontal="center" vertical="center"/>
    </xf>
    <xf numFmtId="0" fontId="51"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51" fillId="3" borderId="47" xfId="3" applyFont="1" applyFill="1" applyBorder="1" applyAlignment="1">
      <alignment horizontal="left" vertical="top" wrapText="1" readingOrder="1"/>
    </xf>
    <xf numFmtId="0" fontId="51" fillId="3" borderId="48" xfId="3" applyFont="1" applyFill="1" applyBorder="1" applyAlignment="1">
      <alignment horizontal="left" vertical="top" wrapText="1" readingOrder="1"/>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51" fillId="3" borderId="51" xfId="0" applyFont="1" applyFill="1" applyBorder="1" applyAlignment="1">
      <alignment horizontal="left" vertical="center" wrapText="1"/>
    </xf>
    <xf numFmtId="0" fontId="51" fillId="3" borderId="52" xfId="0" applyFont="1" applyFill="1" applyBorder="1" applyAlignment="1">
      <alignment horizontal="left" vertical="center" wrapText="1"/>
    </xf>
    <xf numFmtId="0" fontId="52" fillId="3" borderId="53" xfId="2" applyFont="1" applyFill="1" applyBorder="1" applyAlignment="1">
      <alignment horizontal="justify" vertical="center" wrapText="1"/>
    </xf>
    <xf numFmtId="0" fontId="52" fillId="3" borderId="54" xfId="2" applyFont="1" applyFill="1" applyBorder="1" applyAlignment="1">
      <alignment horizontal="justify" vertical="center" wrapText="1"/>
    </xf>
    <xf numFmtId="0" fontId="46" fillId="3" borderId="7"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8" xfId="2" applyFont="1" applyFill="1" applyBorder="1" applyAlignment="1">
      <alignment horizontal="left" vertical="top" wrapText="1"/>
    </xf>
    <xf numFmtId="0" fontId="51" fillId="3" borderId="60" xfId="0" applyFont="1" applyFill="1" applyBorder="1" applyAlignment="1">
      <alignment horizontal="left" vertical="center" wrapText="1"/>
    </xf>
    <xf numFmtId="0" fontId="51" fillId="3" borderId="61" xfId="0" applyFont="1" applyFill="1" applyBorder="1" applyAlignment="1">
      <alignment horizontal="left" vertical="center" wrapText="1"/>
    </xf>
    <xf numFmtId="0" fontId="51" fillId="3" borderId="62" xfId="0" applyFont="1" applyFill="1" applyBorder="1" applyAlignment="1">
      <alignment horizontal="left" vertical="center" wrapText="1"/>
    </xf>
    <xf numFmtId="0" fontId="51" fillId="3" borderId="63" xfId="0" applyFont="1" applyFill="1" applyBorder="1" applyAlignment="1">
      <alignment horizontal="left" vertical="center" wrapText="1"/>
    </xf>
    <xf numFmtId="0" fontId="52" fillId="3" borderId="55" xfId="0" applyFont="1" applyFill="1" applyBorder="1" applyAlignment="1">
      <alignment horizontal="justify" vertical="center" wrapText="1"/>
    </xf>
    <xf numFmtId="0" fontId="52" fillId="3" borderId="56" xfId="0" applyFont="1" applyFill="1" applyBorder="1" applyAlignment="1">
      <alignment horizontal="justify" vertical="center" wrapText="1"/>
    </xf>
    <xf numFmtId="0" fontId="87" fillId="21" borderId="22" xfId="0" applyFont="1" applyFill="1" applyBorder="1" applyAlignment="1">
      <alignment horizontal="center" vertical="center" wrapText="1"/>
    </xf>
    <xf numFmtId="0" fontId="0" fillId="0" borderId="22" xfId="0" applyBorder="1" applyAlignment="1">
      <alignment horizontal="center"/>
    </xf>
    <xf numFmtId="0" fontId="89" fillId="0" borderId="22" xfId="0" applyFont="1" applyBorder="1" applyAlignment="1">
      <alignment horizontal="center" vertical="center" wrapText="1"/>
    </xf>
    <xf numFmtId="0" fontId="89" fillId="0" borderId="22" xfId="0" applyFont="1" applyBorder="1" applyAlignment="1">
      <alignment horizontal="left" vertical="center" wrapText="1"/>
    </xf>
    <xf numFmtId="0" fontId="89" fillId="0" borderId="22" xfId="0" applyFont="1" applyBorder="1" applyAlignment="1">
      <alignment horizontal="left" vertical="center" wrapText="1" indent="1"/>
    </xf>
    <xf numFmtId="0" fontId="79" fillId="0" borderId="87" xfId="0" applyFont="1" applyBorder="1" applyAlignment="1">
      <alignment horizontal="left"/>
    </xf>
    <xf numFmtId="0" fontId="79" fillId="0" borderId="0" xfId="0" applyFont="1" applyAlignment="1">
      <alignment horizontal="left"/>
    </xf>
    <xf numFmtId="0" fontId="73" fillId="0" borderId="87" xfId="0" applyFont="1" applyBorder="1" applyAlignment="1">
      <alignment horizontal="center"/>
    </xf>
    <xf numFmtId="0" fontId="73" fillId="0" borderId="0" xfId="0" applyFont="1" applyAlignment="1">
      <alignment horizontal="center"/>
    </xf>
    <xf numFmtId="0" fontId="63" fillId="0" borderId="0" xfId="0" applyFont="1" applyAlignment="1">
      <alignment horizontal="center" vertical="center" wrapText="1"/>
    </xf>
    <xf numFmtId="0" fontId="63" fillId="0" borderId="0" xfId="0" applyFont="1" applyAlignment="1">
      <alignment horizontal="center" vertical="center" textRotation="90"/>
    </xf>
    <xf numFmtId="15" fontId="79" fillId="6" borderId="68" xfId="0" applyNumberFormat="1" applyFont="1" applyFill="1" applyBorder="1" applyAlignment="1">
      <alignment horizontal="center" vertical="center"/>
    </xf>
    <xf numFmtId="15" fontId="79" fillId="6" borderId="72" xfId="0" applyNumberFormat="1" applyFont="1" applyFill="1" applyBorder="1" applyAlignment="1">
      <alignment horizontal="center" vertical="center"/>
    </xf>
    <xf numFmtId="0" fontId="89" fillId="26" borderId="24" xfId="0" applyFont="1" applyFill="1" applyBorder="1" applyAlignment="1">
      <alignment horizontal="center" vertical="center" wrapText="1"/>
    </xf>
    <xf numFmtId="0" fontId="89" fillId="26" borderId="25" xfId="0" applyFont="1" applyFill="1" applyBorder="1" applyAlignment="1">
      <alignment horizontal="center" vertical="center" wrapText="1"/>
    </xf>
    <xf numFmtId="0" fontId="89" fillId="26" borderId="36" xfId="0" applyFont="1" applyFill="1" applyBorder="1" applyAlignment="1">
      <alignment horizontal="center" vertical="center" wrapText="1"/>
    </xf>
    <xf numFmtId="0" fontId="89" fillId="26" borderId="12" xfId="0" applyFont="1" applyFill="1" applyBorder="1" applyAlignment="1">
      <alignment horizontal="center" vertical="center" textRotation="90"/>
    </xf>
    <xf numFmtId="0" fontId="89" fillId="26" borderId="0" xfId="0" applyFont="1" applyFill="1" applyAlignment="1">
      <alignment horizontal="center" vertical="center" textRotation="90"/>
    </xf>
    <xf numFmtId="0" fontId="63" fillId="17" borderId="66" xfId="0" applyFont="1" applyFill="1" applyBorder="1" applyAlignment="1">
      <alignment horizontal="center" vertical="center" wrapText="1"/>
    </xf>
    <xf numFmtId="0" fontId="63" fillId="17" borderId="67" xfId="0" applyFont="1" applyFill="1" applyBorder="1" applyAlignment="1">
      <alignment horizontal="center" vertical="center" wrapText="1"/>
    </xf>
    <xf numFmtId="0" fontId="63" fillId="18" borderId="68" xfId="0" applyFont="1" applyFill="1" applyBorder="1" applyAlignment="1">
      <alignment horizontal="center" vertical="center" textRotation="90"/>
    </xf>
    <xf numFmtId="0" fontId="63" fillId="18" borderId="70" xfId="0" applyFont="1" applyFill="1" applyBorder="1" applyAlignment="1">
      <alignment horizontal="center" vertical="center" textRotation="90"/>
    </xf>
    <xf numFmtId="0" fontId="63" fillId="18" borderId="72" xfId="0" applyFont="1" applyFill="1" applyBorder="1" applyAlignment="1">
      <alignment horizontal="center" vertical="center" textRotation="90"/>
    </xf>
    <xf numFmtId="0" fontId="79" fillId="22" borderId="87" xfId="0" applyFont="1" applyFill="1" applyBorder="1" applyAlignment="1">
      <alignment horizontal="center" vertical="center"/>
    </xf>
    <xf numFmtId="0" fontId="79" fillId="22" borderId="88" xfId="0" applyFont="1" applyFill="1" applyBorder="1" applyAlignment="1">
      <alignment horizontal="center" vertical="center"/>
    </xf>
    <xf numFmtId="0" fontId="82" fillId="0" borderId="90" xfId="0" applyFont="1" applyBorder="1" applyAlignment="1" applyProtection="1">
      <alignment horizontal="center" vertical="center" wrapText="1"/>
      <protection locked="0"/>
    </xf>
    <xf numFmtId="0" fontId="83" fillId="23" borderId="91" xfId="0" applyFont="1" applyFill="1" applyBorder="1" applyAlignment="1">
      <alignment horizontal="center" vertical="center" wrapText="1"/>
    </xf>
    <xf numFmtId="0" fontId="83" fillId="23" borderId="92" xfId="0" applyFont="1" applyFill="1" applyBorder="1" applyAlignment="1">
      <alignment horizontal="center" vertical="center" wrapText="1"/>
    </xf>
    <xf numFmtId="0" fontId="82" fillId="0" borderId="90" xfId="0" applyFont="1" applyBorder="1" applyAlignment="1" applyProtection="1">
      <alignment horizontal="center" vertical="center"/>
      <protection locked="0"/>
    </xf>
    <xf numFmtId="0" fontId="83" fillId="16" borderId="90" xfId="0" applyFont="1" applyFill="1" applyBorder="1" applyAlignment="1">
      <alignment horizontal="center" vertical="center"/>
    </xf>
    <xf numFmtId="0" fontId="83" fillId="16" borderId="90" xfId="0" applyFont="1" applyFill="1" applyBorder="1" applyAlignment="1">
      <alignment horizontal="center" vertical="center" wrapText="1"/>
    </xf>
    <xf numFmtId="9" fontId="82" fillId="0" borderId="90" xfId="0" applyNumberFormat="1" applyFont="1" applyBorder="1" applyAlignment="1" applyProtection="1">
      <alignment horizontal="center" vertical="center" wrapText="1"/>
      <protection locked="0"/>
    </xf>
    <xf numFmtId="9" fontId="82" fillId="0" borderId="90" xfId="0" applyNumberFormat="1" applyFont="1" applyBorder="1" applyAlignment="1" applyProtection="1">
      <alignment horizontal="center" vertical="center" wrapText="1"/>
      <protection hidden="1"/>
    </xf>
    <xf numFmtId="0" fontId="83" fillId="0" borderId="90" xfId="0" applyFont="1" applyBorder="1" applyAlignment="1" applyProtection="1">
      <alignment horizontal="center" vertical="center" wrapText="1"/>
      <protection hidden="1"/>
    </xf>
    <xf numFmtId="0" fontId="83" fillId="0" borderId="90" xfId="0" applyFont="1" applyBorder="1" applyAlignment="1" applyProtection="1">
      <alignment horizontal="center" vertical="center"/>
      <protection hidden="1"/>
    </xf>
    <xf numFmtId="0" fontId="82" fillId="21" borderId="90" xfId="0" applyFont="1" applyFill="1" applyBorder="1" applyAlignment="1" applyProtection="1">
      <alignment horizontal="center" vertical="center" wrapText="1"/>
      <protection locked="0"/>
    </xf>
    <xf numFmtId="0" fontId="82" fillId="29" borderId="90" xfId="0" applyFont="1" applyFill="1" applyBorder="1" applyAlignment="1" applyProtection="1">
      <alignment horizontal="center" vertical="center" wrapText="1"/>
      <protection locked="0"/>
    </xf>
    <xf numFmtId="0" fontId="83" fillId="16" borderId="92" xfId="0" applyFont="1" applyFill="1" applyBorder="1" applyAlignment="1">
      <alignment horizontal="center" vertical="center"/>
    </xf>
    <xf numFmtId="0" fontId="83" fillId="23" borderId="90" xfId="0" applyFont="1" applyFill="1" applyBorder="1" applyAlignment="1">
      <alignment horizontal="center" vertical="center" wrapText="1"/>
    </xf>
    <xf numFmtId="0" fontId="83" fillId="16" borderId="90" xfId="0" applyFont="1" applyFill="1" applyBorder="1" applyAlignment="1">
      <alignment horizontal="center" vertical="center" textRotation="90" wrapText="1"/>
    </xf>
    <xf numFmtId="0" fontId="90" fillId="0" borderId="91" xfId="0" applyFont="1" applyBorder="1" applyAlignment="1" applyProtection="1">
      <alignment horizontal="center" vertical="center" wrapText="1"/>
      <protection locked="0"/>
    </xf>
    <xf numFmtId="0" fontId="90" fillId="0" borderId="105" xfId="0" applyFont="1" applyBorder="1" applyAlignment="1" applyProtection="1">
      <alignment horizontal="center" vertical="center" wrapText="1"/>
      <protection locked="0"/>
    </xf>
    <xf numFmtId="0" fontId="90" fillId="0" borderId="92" xfId="0" applyFont="1" applyBorder="1" applyAlignment="1" applyProtection="1">
      <alignment horizontal="center" vertical="center" wrapText="1"/>
      <protection locked="0"/>
    </xf>
    <xf numFmtId="0" fontId="83" fillId="0" borderId="90" xfId="0" applyFont="1" applyBorder="1" applyAlignment="1">
      <alignment horizontal="center" vertical="center"/>
    </xf>
    <xf numFmtId="0" fontId="59" fillId="3" borderId="94" xfId="0" applyFont="1" applyFill="1" applyBorder="1" applyAlignment="1" applyProtection="1">
      <alignment horizontal="left" vertical="center" wrapText="1"/>
      <protection locked="0"/>
    </xf>
    <xf numFmtId="0" fontId="59" fillId="3" borderId="90" xfId="0" applyFont="1" applyFill="1" applyBorder="1" applyAlignment="1" applyProtection="1">
      <alignment horizontal="left" vertical="center" wrapText="1"/>
      <protection locked="0"/>
    </xf>
    <xf numFmtId="0" fontId="59" fillId="3" borderId="100" xfId="0" applyFont="1" applyFill="1" applyBorder="1" applyAlignment="1" applyProtection="1">
      <alignment horizontal="left" vertical="center" wrapText="1"/>
      <protection locked="0"/>
    </xf>
    <xf numFmtId="0" fontId="59" fillId="3" borderId="110" xfId="0" applyFont="1" applyFill="1" applyBorder="1" applyAlignment="1" applyProtection="1">
      <alignment vertical="center" wrapText="1"/>
      <protection locked="0"/>
    </xf>
    <xf numFmtId="0" fontId="59" fillId="3" borderId="103" xfId="0" applyFont="1" applyFill="1" applyBorder="1" applyAlignment="1" applyProtection="1">
      <alignment vertical="center" wrapText="1"/>
      <protection locked="0"/>
    </xf>
    <xf numFmtId="0" fontId="59" fillId="3" borderId="104" xfId="0" applyFont="1" applyFill="1" applyBorder="1" applyAlignment="1" applyProtection="1">
      <alignment vertical="center" wrapText="1"/>
      <protection locked="0"/>
    </xf>
    <xf numFmtId="0" fontId="83" fillId="16" borderId="90" xfId="0" applyFont="1" applyFill="1" applyBorder="1" applyAlignment="1">
      <alignment horizontal="center" vertical="center" textRotation="90"/>
    </xf>
    <xf numFmtId="0" fontId="82" fillId="0" borderId="91" xfId="0" applyFont="1" applyBorder="1" applyAlignment="1" applyProtection="1">
      <alignment horizontal="center" vertical="center" wrapText="1"/>
      <protection locked="0"/>
    </xf>
    <xf numFmtId="0" fontId="82" fillId="0" borderId="105" xfId="0" applyFont="1" applyBorder="1" applyAlignment="1" applyProtection="1">
      <alignment horizontal="center" vertical="center" wrapText="1"/>
      <protection locked="0"/>
    </xf>
    <xf numFmtId="0" fontId="82" fillId="0" borderId="92" xfId="0" applyFont="1" applyBorder="1" applyAlignment="1" applyProtection="1">
      <alignment horizontal="center" vertical="center" wrapText="1"/>
      <protection locked="0"/>
    </xf>
    <xf numFmtId="0" fontId="82" fillId="0" borderId="2" xfId="0" applyFont="1" applyBorder="1" applyAlignment="1">
      <alignment horizontal="left" vertical="center" wrapText="1"/>
    </xf>
    <xf numFmtId="0" fontId="82" fillId="0" borderId="21" xfId="0" applyFont="1" applyBorder="1" applyAlignment="1">
      <alignment horizontal="left" vertical="center" wrapText="1"/>
    </xf>
    <xf numFmtId="0" fontId="94" fillId="3" borderId="109" xfId="0" applyFont="1" applyFill="1" applyBorder="1" applyAlignment="1" applyProtection="1">
      <alignment horizontal="left" vertical="center"/>
      <protection locked="0"/>
    </xf>
    <xf numFmtId="0" fontId="94" fillId="3" borderId="97" xfId="0" applyFont="1" applyFill="1" applyBorder="1" applyAlignment="1" applyProtection="1">
      <alignment horizontal="left" vertical="center"/>
      <protection locked="0"/>
    </xf>
    <xf numFmtId="0" fontId="94" fillId="3" borderId="98" xfId="0" applyFont="1" applyFill="1" applyBorder="1" applyAlignment="1" applyProtection="1">
      <alignment horizontal="left" vertical="center"/>
      <protection locked="0"/>
    </xf>
    <xf numFmtId="0" fontId="83" fillId="3" borderId="96" xfId="0" applyFont="1" applyFill="1" applyBorder="1" applyAlignment="1">
      <alignment horizontal="left" vertical="center"/>
    </xf>
    <xf numFmtId="0" fontId="83" fillId="3" borderId="97" xfId="0" applyFont="1" applyFill="1" applyBorder="1" applyAlignment="1">
      <alignment horizontal="left" vertical="center"/>
    </xf>
    <xf numFmtId="0" fontId="83" fillId="3" borderId="98" xfId="0" applyFont="1" applyFill="1" applyBorder="1" applyAlignment="1">
      <alignment horizontal="left" vertical="center"/>
    </xf>
    <xf numFmtId="0" fontId="82" fillId="0" borderId="90" xfId="0" applyFont="1" applyBorder="1" applyAlignment="1" applyProtection="1">
      <alignment horizontal="left" vertical="center" wrapText="1"/>
      <protection locked="0"/>
    </xf>
    <xf numFmtId="0" fontId="88" fillId="0" borderId="96" xfId="0" applyFont="1" applyBorder="1" applyAlignment="1">
      <alignment horizontal="center" vertical="center"/>
    </xf>
    <xf numFmtId="0" fontId="88" fillId="0" borderId="97" xfId="0" applyFont="1" applyBorder="1" applyAlignment="1">
      <alignment horizontal="center" vertical="center"/>
    </xf>
    <xf numFmtId="0" fontId="88" fillId="0" borderId="98" xfId="0" applyFont="1" applyBorder="1" applyAlignment="1">
      <alignment horizontal="center" vertical="center"/>
    </xf>
    <xf numFmtId="0" fontId="88" fillId="0" borderId="99" xfId="0" applyFont="1" applyBorder="1" applyAlignment="1">
      <alignment horizontal="center" vertical="center"/>
    </xf>
    <xf numFmtId="0" fontId="88" fillId="0" borderId="90" xfId="0" applyFont="1" applyBorder="1" applyAlignment="1">
      <alignment horizontal="center" vertical="center"/>
    </xf>
    <xf numFmtId="0" fontId="88" fillId="0" borderId="100" xfId="0" applyFont="1" applyBorder="1" applyAlignment="1">
      <alignment horizontal="center" vertical="center"/>
    </xf>
    <xf numFmtId="0" fontId="88" fillId="0" borderId="102" xfId="0" applyFont="1" applyBorder="1" applyAlignment="1">
      <alignment horizontal="center" vertical="center"/>
    </xf>
    <xf numFmtId="0" fontId="88" fillId="0" borderId="103" xfId="0" applyFont="1" applyBorder="1" applyAlignment="1">
      <alignment horizontal="center" vertical="center"/>
    </xf>
    <xf numFmtId="0" fontId="88" fillId="0" borderId="104" xfId="0" applyFont="1" applyBorder="1" applyAlignment="1">
      <alignment horizontal="center" vertical="center"/>
    </xf>
    <xf numFmtId="0" fontId="81" fillId="0" borderId="109" xfId="0" applyFont="1" applyBorder="1" applyAlignment="1">
      <alignment horizontal="center" vertical="center"/>
    </xf>
    <xf numFmtId="0" fontId="81" fillId="0" borderId="97" xfId="0" applyFont="1" applyBorder="1" applyAlignment="1">
      <alignment horizontal="center" vertical="center"/>
    </xf>
    <xf numFmtId="0" fontId="81" fillId="0" borderId="98" xfId="0" applyFont="1" applyBorder="1" applyAlignment="1">
      <alignment horizontal="center" vertical="center"/>
    </xf>
    <xf numFmtId="0" fontId="81" fillId="0" borderId="110" xfId="0" applyFont="1" applyBorder="1" applyAlignment="1">
      <alignment horizontal="center" vertical="center"/>
    </xf>
    <xf numFmtId="0" fontId="81" fillId="0" borderId="103" xfId="0" applyFont="1" applyBorder="1" applyAlignment="1">
      <alignment horizontal="center" vertical="center"/>
    </xf>
    <xf numFmtId="0" fontId="81" fillId="0" borderId="104" xfId="0" applyFont="1" applyBorder="1" applyAlignment="1">
      <alignment horizontal="center" vertical="center"/>
    </xf>
    <xf numFmtId="0" fontId="81" fillId="0" borderId="95" xfId="0" applyFont="1" applyBorder="1" applyAlignment="1">
      <alignment horizontal="left" vertical="center"/>
    </xf>
    <xf numFmtId="0" fontId="81" fillId="0" borderId="105" xfId="0" applyFont="1" applyBorder="1" applyAlignment="1">
      <alignment horizontal="left" vertical="center"/>
    </xf>
    <xf numFmtId="0" fontId="81" fillId="0" borderId="106" xfId="0" applyFont="1" applyBorder="1" applyAlignment="1">
      <alignment horizontal="left" vertical="center"/>
    </xf>
    <xf numFmtId="0" fontId="81" fillId="0" borderId="110" xfId="0" applyFont="1" applyBorder="1" applyAlignment="1">
      <alignment horizontal="left" vertical="center"/>
    </xf>
    <xf numFmtId="0" fontId="81" fillId="0" borderId="103" xfId="0" applyFont="1" applyBorder="1" applyAlignment="1">
      <alignment horizontal="left" vertical="center"/>
    </xf>
    <xf numFmtId="0" fontId="81" fillId="0" borderId="104" xfId="0" applyFont="1" applyBorder="1" applyAlignment="1">
      <alignment horizontal="left" vertical="center"/>
    </xf>
    <xf numFmtId="0" fontId="82" fillId="3" borderId="109" xfId="0" applyFont="1" applyFill="1" applyBorder="1" applyAlignment="1">
      <alignment horizontal="left" wrapText="1"/>
    </xf>
    <xf numFmtId="0" fontId="82" fillId="3" borderId="97" xfId="0" applyFont="1" applyFill="1" applyBorder="1" applyAlignment="1">
      <alignment horizontal="left" wrapText="1"/>
    </xf>
    <xf numFmtId="0" fontId="82" fillId="3" borderId="98" xfId="0" applyFont="1" applyFill="1" applyBorder="1" applyAlignment="1">
      <alignment horizontal="left" wrapText="1"/>
    </xf>
    <xf numFmtId="0" fontId="82" fillId="3" borderId="94" xfId="0" applyFont="1" applyFill="1" applyBorder="1" applyAlignment="1">
      <alignment horizontal="left" wrapText="1"/>
    </xf>
    <xf numFmtId="0" fontId="82" fillId="3" borderId="90" xfId="0" applyFont="1" applyFill="1" applyBorder="1" applyAlignment="1">
      <alignment horizontal="left" wrapText="1"/>
    </xf>
    <xf numFmtId="0" fontId="82" fillId="3" borderId="100" xfId="0" applyFont="1" applyFill="1" applyBorder="1" applyAlignment="1">
      <alignment horizontal="left" wrapText="1"/>
    </xf>
    <xf numFmtId="0" fontId="82" fillId="3" borderId="93" xfId="0" applyFont="1" applyFill="1" applyBorder="1" applyAlignment="1">
      <alignment horizontal="left" wrapText="1"/>
    </xf>
    <xf numFmtId="0" fontId="82" fillId="3" borderId="91" xfId="0" applyFont="1" applyFill="1" applyBorder="1" applyAlignment="1">
      <alignment horizontal="left" wrapText="1"/>
    </xf>
    <xf numFmtId="0" fontId="82" fillId="3" borderId="101" xfId="0" applyFont="1" applyFill="1" applyBorder="1" applyAlignment="1">
      <alignment horizontal="left" wrapText="1"/>
    </xf>
    <xf numFmtId="0" fontId="81" fillId="0" borderId="96" xfId="0" applyFont="1" applyBorder="1" applyAlignment="1">
      <alignment horizontal="center" vertical="center"/>
    </xf>
    <xf numFmtId="0" fontId="81" fillId="0" borderId="102" xfId="0" applyFont="1" applyBorder="1" applyAlignment="1">
      <alignment horizontal="center" vertical="center"/>
    </xf>
    <xf numFmtId="0" fontId="81" fillId="0" borderId="107" xfId="0" applyFont="1" applyBorder="1" applyAlignment="1">
      <alignment horizontal="left" vertical="center"/>
    </xf>
    <xf numFmtId="0" fontId="81" fillId="0" borderId="92" xfId="0" applyFont="1" applyBorder="1" applyAlignment="1">
      <alignment horizontal="left" vertical="center"/>
    </xf>
    <xf numFmtId="0" fontId="81" fillId="0" borderId="102" xfId="0" applyFont="1" applyBorder="1" applyAlignment="1">
      <alignment horizontal="left" vertical="center"/>
    </xf>
    <xf numFmtId="0" fontId="81" fillId="0" borderId="108" xfId="0" applyFont="1" applyBorder="1" applyAlignment="1">
      <alignment horizontal="left" vertical="center"/>
    </xf>
    <xf numFmtId="0" fontId="83" fillId="16" borderId="113" xfId="0" applyFont="1" applyFill="1" applyBorder="1" applyAlignment="1">
      <alignment horizontal="left" vertical="center"/>
    </xf>
    <xf numFmtId="0" fontId="83" fillId="16" borderId="114" xfId="0" applyFont="1" applyFill="1" applyBorder="1" applyAlignment="1">
      <alignment horizontal="left" vertical="center"/>
    </xf>
    <xf numFmtId="0" fontId="83" fillId="16" borderId="115" xfId="0" applyFont="1" applyFill="1" applyBorder="1" applyAlignment="1">
      <alignment horizontal="left" vertical="center"/>
    </xf>
    <xf numFmtId="0" fontId="83" fillId="16" borderId="116" xfId="0" applyFont="1" applyFill="1" applyBorder="1" applyAlignment="1">
      <alignment horizontal="left" vertical="center"/>
    </xf>
    <xf numFmtId="0" fontId="83" fillId="16" borderId="117" xfId="0" applyFont="1" applyFill="1" applyBorder="1" applyAlignment="1">
      <alignment horizontal="left" vertical="center"/>
    </xf>
    <xf numFmtId="0" fontId="83" fillId="16" borderId="118" xfId="0" applyFont="1" applyFill="1" applyBorder="1" applyAlignment="1">
      <alignment horizontal="left" vertical="center"/>
    </xf>
    <xf numFmtId="0" fontId="23" fillId="0" borderId="0" xfId="0" applyFont="1" applyAlignment="1">
      <alignment horizontal="center" vertical="center" wrapText="1"/>
    </xf>
    <xf numFmtId="0" fontId="18" fillId="5" borderId="7"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12" xfId="0" applyFont="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40" fillId="0" borderId="5" xfId="0" applyFont="1" applyBorder="1" applyAlignment="1">
      <alignment horizontal="center" vertical="center" wrapText="1"/>
    </xf>
    <xf numFmtId="0" fontId="40" fillId="0" borderId="12"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0" xfId="0" applyFont="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40" fillId="0" borderId="11" xfId="0" applyFont="1" applyBorder="1" applyAlignment="1">
      <alignment horizontal="center" vertical="center"/>
    </xf>
    <xf numFmtId="0" fontId="40" fillId="0" borderId="10" xfId="0" applyFont="1" applyBorder="1" applyAlignment="1">
      <alignment horizontal="center" vertical="center"/>
    </xf>
    <xf numFmtId="0" fontId="40" fillId="0" borderId="12" xfId="0" applyFont="1" applyBorder="1" applyAlignment="1">
      <alignment horizontal="center" vertical="center" wrapText="1"/>
    </xf>
    <xf numFmtId="0" fontId="39" fillId="11" borderId="13" xfId="0" applyFont="1" applyFill="1" applyBorder="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7" xfId="0" applyFont="1" applyFill="1" applyBorder="1" applyAlignment="1">
      <alignment horizontal="center" vertical="center" wrapText="1" readingOrder="1"/>
    </xf>
    <xf numFmtId="0" fontId="39" fillId="11" borderId="18" xfId="0" applyFont="1" applyFill="1" applyBorder="1" applyAlignment="1">
      <alignment horizontal="center" vertical="center" wrapText="1" readingOrder="1"/>
    </xf>
    <xf numFmtId="0" fontId="39" fillId="11" borderId="19" xfId="0" applyFont="1" applyFill="1" applyBorder="1" applyAlignment="1">
      <alignment horizontal="center" vertical="center" wrapText="1" readingOrder="1"/>
    </xf>
    <xf numFmtId="0" fontId="39" fillId="11" borderId="20" xfId="0" applyFont="1" applyFill="1" applyBorder="1" applyAlignment="1">
      <alignment horizontal="center" vertical="center" wrapText="1" readingOrder="1"/>
    </xf>
    <xf numFmtId="0" fontId="40" fillId="0" borderId="7" xfId="0" applyFont="1" applyBorder="1" applyAlignment="1">
      <alignment horizontal="center" vertical="center" wrapText="1"/>
    </xf>
    <xf numFmtId="0" fontId="39" fillId="12" borderId="13" xfId="0" applyFont="1" applyFill="1" applyBorder="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7" xfId="0" applyFont="1" applyFill="1" applyBorder="1" applyAlignment="1">
      <alignment horizontal="center" vertical="center" wrapText="1" readingOrder="1"/>
    </xf>
    <xf numFmtId="0" fontId="39" fillId="12" borderId="18" xfId="0" applyFont="1" applyFill="1" applyBorder="1" applyAlignment="1">
      <alignment horizontal="center" vertical="center" wrapText="1" readingOrder="1"/>
    </xf>
    <xf numFmtId="0" fontId="39" fillId="12" borderId="19" xfId="0" applyFont="1" applyFill="1" applyBorder="1" applyAlignment="1">
      <alignment horizontal="center" vertical="center" wrapText="1" readingOrder="1"/>
    </xf>
    <xf numFmtId="0" fontId="39" fillId="12" borderId="20"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39" fillId="5" borderId="13" xfId="0" applyFont="1" applyFill="1" applyBorder="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5" borderId="18" xfId="0" applyFont="1" applyFill="1" applyBorder="1" applyAlignment="1">
      <alignment horizontal="center" vertical="center" wrapText="1" readingOrder="1"/>
    </xf>
    <xf numFmtId="0" fontId="39" fillId="5" borderId="19" xfId="0" applyFont="1" applyFill="1" applyBorder="1" applyAlignment="1">
      <alignment horizontal="center" vertical="center" wrapText="1" readingOrder="1"/>
    </xf>
    <xf numFmtId="0" fontId="39" fillId="5" borderId="20"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7" xfId="0" applyFont="1" applyFill="1" applyBorder="1" applyAlignment="1">
      <alignment horizontal="center" vertical="center" wrapText="1" readingOrder="1"/>
    </xf>
    <xf numFmtId="0" fontId="39" fillId="13" borderId="18" xfId="0" applyFont="1" applyFill="1" applyBorder="1" applyAlignment="1">
      <alignment horizontal="center" vertical="center" wrapText="1" readingOrder="1"/>
    </xf>
    <xf numFmtId="0" fontId="39" fillId="13" borderId="19" xfId="0" applyFont="1" applyFill="1" applyBorder="1" applyAlignment="1">
      <alignment horizontal="center" vertical="center" wrapText="1" readingOrder="1"/>
    </xf>
    <xf numFmtId="0" fontId="39" fillId="13" borderId="20" xfId="0" applyFont="1" applyFill="1" applyBorder="1" applyAlignment="1">
      <alignment horizontal="center" vertical="center" wrapText="1" readingOrder="1"/>
    </xf>
    <xf numFmtId="0" fontId="22" fillId="0" borderId="0" xfId="0" applyFont="1" applyAlignment="1">
      <alignment horizontal="center" vertical="center"/>
    </xf>
    <xf numFmtId="0" fontId="42" fillId="0" borderId="0" xfId="0" applyFont="1" applyAlignment="1">
      <alignment horizontal="center" vertical="center"/>
    </xf>
    <xf numFmtId="0" fontId="73" fillId="0" borderId="22" xfId="0" applyFont="1" applyBorder="1" applyAlignment="1">
      <alignment horizontal="left" vertical="center" wrapText="1"/>
    </xf>
    <xf numFmtId="0" fontId="74" fillId="16" borderId="24" xfId="0" applyFont="1" applyFill="1" applyBorder="1" applyAlignment="1">
      <alignment horizontal="center" vertical="center" wrapText="1"/>
    </xf>
    <xf numFmtId="0" fontId="74" fillId="16" borderId="25" xfId="0" applyFont="1" applyFill="1" applyBorder="1" applyAlignment="1">
      <alignment horizontal="center" vertical="center" wrapText="1"/>
    </xf>
    <xf numFmtId="0" fontId="74" fillId="16" borderId="36" xfId="0" applyFont="1" applyFill="1" applyBorder="1" applyAlignment="1">
      <alignment horizontal="center" vertical="center" wrapText="1"/>
    </xf>
    <xf numFmtId="0" fontId="75" fillId="16" borderId="73" xfId="0" applyFont="1" applyFill="1" applyBorder="1" applyAlignment="1">
      <alignment horizontal="center" vertical="center" wrapText="1"/>
    </xf>
    <xf numFmtId="0" fontId="75" fillId="16" borderId="28" xfId="0" applyFont="1" applyFill="1" applyBorder="1" applyAlignment="1">
      <alignment horizontal="center" vertical="center" wrapText="1"/>
    </xf>
    <xf numFmtId="0" fontId="75" fillId="16" borderId="74"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75" xfId="0" applyFont="1" applyFill="1" applyBorder="1" applyAlignment="1">
      <alignment horizontal="center" vertical="center" wrapText="1"/>
    </xf>
    <xf numFmtId="0" fontId="73" fillId="0" borderId="74" xfId="0" applyFont="1" applyBorder="1" applyAlignment="1">
      <alignment horizontal="left" vertical="center" wrapText="1"/>
    </xf>
    <xf numFmtId="0" fontId="76" fillId="21" borderId="34" xfId="0" applyFont="1" applyFill="1" applyBorder="1" applyAlignment="1">
      <alignment horizontal="center" vertical="center" wrapText="1"/>
    </xf>
    <xf numFmtId="0" fontId="76" fillId="21" borderId="35" xfId="0" applyFont="1" applyFill="1" applyBorder="1" applyAlignment="1">
      <alignment horizontal="center" vertical="center" wrapText="1"/>
    </xf>
    <xf numFmtId="0" fontId="73" fillId="0" borderId="0" xfId="0" applyFont="1" applyAlignment="1">
      <alignment horizontal="left" vertical="center" wrapText="1"/>
    </xf>
    <xf numFmtId="0" fontId="73" fillId="0" borderId="0" xfId="0" applyFont="1" applyAlignment="1">
      <alignment horizontal="center" vertical="center" wrapText="1"/>
    </xf>
    <xf numFmtId="0" fontId="73" fillId="0" borderId="76" xfId="0" applyFont="1" applyBorder="1" applyAlignment="1">
      <alignment horizontal="left" vertical="center" wrapText="1"/>
    </xf>
    <xf numFmtId="0" fontId="76" fillId="21" borderId="33" xfId="0" applyFont="1" applyFill="1" applyBorder="1" applyAlignment="1">
      <alignment horizontal="center" vertical="center" wrapText="1"/>
    </xf>
    <xf numFmtId="0" fontId="77" fillId="16" borderId="82" xfId="0" applyFont="1" applyFill="1" applyBorder="1" applyAlignment="1">
      <alignment horizontal="center" vertical="center" wrapText="1"/>
    </xf>
    <xf numFmtId="0" fontId="77" fillId="16" borderId="80" xfId="0" applyFont="1" applyFill="1" applyBorder="1" applyAlignment="1">
      <alignment horizontal="center" vertical="center" wrapText="1"/>
    </xf>
    <xf numFmtId="0" fontId="77" fillId="16" borderId="78" xfId="0" applyFont="1" applyFill="1" applyBorder="1" applyAlignment="1">
      <alignment horizontal="center" vertical="center" wrapText="1"/>
    </xf>
    <xf numFmtId="0" fontId="78" fillId="0" borderId="82" xfId="0" applyFont="1" applyBorder="1" applyAlignment="1">
      <alignment horizontal="justify" vertical="center" wrapText="1"/>
    </xf>
    <xf numFmtId="0" fontId="78" fillId="0" borderId="80" xfId="0" applyFont="1" applyBorder="1" applyAlignment="1">
      <alignment horizontal="justify" vertical="center" wrapText="1"/>
    </xf>
    <xf numFmtId="0" fontId="78" fillId="0" borderId="78" xfId="0" applyFont="1" applyBorder="1" applyAlignment="1">
      <alignment horizontal="justify" vertical="center" wrapText="1"/>
    </xf>
    <xf numFmtId="0" fontId="77" fillId="0" borderId="71" xfId="0" applyFont="1" applyBorder="1" applyAlignment="1">
      <alignment horizontal="center" vertical="center" wrapText="1"/>
    </xf>
    <xf numFmtId="0" fontId="77" fillId="0" borderId="70" xfId="0" applyFont="1" applyBorder="1" applyAlignment="1">
      <alignment horizontal="center" vertical="center" wrapText="1"/>
    </xf>
    <xf numFmtId="0" fontId="77" fillId="0" borderId="83" xfId="0" applyFont="1" applyBorder="1" applyAlignment="1">
      <alignment horizontal="center" vertical="center" wrapText="1"/>
    </xf>
    <xf numFmtId="0" fontId="77" fillId="0" borderId="68" xfId="0" applyFont="1" applyBorder="1" applyAlignment="1">
      <alignment horizontal="center" vertical="center" wrapText="1"/>
    </xf>
    <xf numFmtId="0" fontId="37" fillId="15" borderId="24" xfId="0" applyFont="1" applyFill="1" applyBorder="1" applyAlignment="1">
      <alignment horizontal="center" vertical="center" wrapText="1" readingOrder="1"/>
    </xf>
    <xf numFmtId="0" fontId="37" fillId="15" borderId="25" xfId="0" applyFont="1" applyFill="1" applyBorder="1" applyAlignment="1">
      <alignment horizontal="center" vertical="center" wrapText="1" readingOrder="1"/>
    </xf>
    <xf numFmtId="0" fontId="37" fillId="15" borderId="36"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33" xfId="0" applyFont="1" applyFill="1" applyBorder="1" applyAlignment="1">
      <alignment horizontal="center" vertical="center" wrapText="1" readingOrder="1"/>
    </xf>
    <xf numFmtId="0" fontId="34" fillId="15" borderId="34" xfId="0" applyFont="1" applyFill="1" applyBorder="1" applyAlignment="1">
      <alignment horizontal="center" vertical="center" wrapText="1" readingOrder="1"/>
    </xf>
    <xf numFmtId="0" fontId="34" fillId="3" borderId="31" xfId="0" applyFont="1" applyFill="1" applyBorder="1" applyAlignment="1">
      <alignment horizontal="center" vertical="center" wrapText="1" readingOrder="1"/>
    </xf>
    <xf numFmtId="0" fontId="34" fillId="3" borderId="26" xfId="0" applyFont="1" applyFill="1" applyBorder="1" applyAlignment="1">
      <alignment horizontal="center" vertical="center" wrapText="1" readingOrder="1"/>
    </xf>
    <xf numFmtId="0" fontId="34" fillId="3" borderId="23"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28"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cellXfs>
  <cellStyles count="6">
    <cellStyle name="Moneda" xfId="5" builtinId="4"/>
    <cellStyle name="Normal" xfId="0" builtinId="0"/>
    <cellStyle name="Normal - Style1 2" xfId="2" xr:uid="{00000000-0005-0000-0000-000002000000}"/>
    <cellStyle name="Normal 2" xfId="4" xr:uid="{00000000-0005-0000-0000-000003000000}"/>
    <cellStyle name="Normal 2 2" xfId="3" xr:uid="{00000000-0005-0000-0000-000004000000}"/>
    <cellStyle name="Porcentaje" xfId="1" builtinId="5"/>
  </cellStyles>
  <dxfs count="239">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alignment wrapText="1" readingOrder="0"/>
    </dxf>
    <dxf>
      <alignment wrapText="1" readingOrder="0"/>
    </dxf>
    <dxf>
      <alignment vertical="center" readingOrder="0"/>
    </dxf>
    <dxf>
      <alignment wrapText="1"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183928</xdr:colOff>
      <xdr:row>19</xdr:row>
      <xdr:rowOff>14287</xdr:rowOff>
    </xdr:from>
    <xdr:to>
      <xdr:col>5</xdr:col>
      <xdr:colOff>2014537</xdr:colOff>
      <xdr:row>31</xdr:row>
      <xdr:rowOff>265628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545878" y="28303537"/>
          <a:ext cx="18766059" cy="4385191"/>
        </a:xfrm>
        <a:prstGeom prst="rect">
          <a:avLst/>
        </a:prstGeom>
      </xdr:spPr>
    </xdr:pic>
    <xdr:clientData/>
  </xdr:twoCellAnchor>
  <xdr:oneCellAnchor>
    <xdr:from>
      <xdr:col>1</xdr:col>
      <xdr:colOff>301624</xdr:colOff>
      <xdr:row>1</xdr:row>
      <xdr:rowOff>66676</xdr:rowOff>
    </xdr:from>
    <xdr:ext cx="1460499" cy="1500186"/>
    <xdr:pic>
      <xdr:nvPicPr>
        <xdr:cNvPr id="3" name="Imagen 2" descr="escudo negr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574" y="333376"/>
          <a:ext cx="1460499" cy="150018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gela.cifuentes\Downloads\DESI-FM-018-V9_Formato_Mapa_de_Riesgos_de_Proces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neDrive%20-%20uaermv\NATA%20SIG\2021\12.%20Diciembre\MR%202022\Observaciones\9.13%20GAM%20MR-2022-OBS%20O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Valoración controles"/>
      <sheetName val="Opciones Tratamiento"/>
    </sheetNames>
    <sheetDataSet>
      <sheetData sheetId="0"/>
      <sheetData sheetId="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Norato Mora" refreshedDate="44522.492354513888"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347"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235">
      <pivotArea dataOnly="0" labelOnly="1" outline="0" fieldPosition="0">
        <references count="1">
          <reference field="0" count="1">
            <x v="1"/>
          </reference>
        </references>
      </pivotArea>
    </format>
    <format dxfId="236">
      <pivotArea dataOnly="0" labelOnly="1" outline="0" fieldPosition="0">
        <references count="2">
          <reference field="0" count="1" selected="0">
            <x v="1"/>
          </reference>
          <reference field="1" count="5">
            <x v="1"/>
            <x v="2"/>
            <x v="3"/>
            <x v="4"/>
            <x v="5"/>
          </reference>
        </references>
      </pivotArea>
    </format>
    <format dxfId="237">
      <pivotArea dataOnly="0" labelOnly="1" outline="0" fieldPosition="0">
        <references count="2">
          <reference field="0" count="1" selected="0">
            <x v="1"/>
          </reference>
          <reference field="1" count="5">
            <x v="1"/>
            <x v="2"/>
            <x v="3"/>
            <x v="4"/>
            <x v="5"/>
          </reference>
        </references>
      </pivotArea>
    </format>
    <format dxfId="238">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0:C220" totalsRowShown="0" headerRowDxfId="3" dataDxfId="2">
  <autoFilter ref="B210:C220"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16"/>
  <sheetViews>
    <sheetView zoomScale="110" zoomScaleNormal="110" workbookViewId="0">
      <selection activeCell="E306" sqref="E306"/>
    </sheetView>
  </sheetViews>
  <sheetFormatPr defaultColWidth="11.42578125" defaultRowHeight="15"/>
  <cols>
    <col min="1" max="1" width="2.85546875" style="66" customWidth="1"/>
    <col min="2" max="3" width="24.7109375" style="66" customWidth="1"/>
    <col min="4" max="4" width="16" style="66" customWidth="1"/>
    <col min="5" max="5" width="24.7109375" style="66" customWidth="1"/>
    <col min="6" max="6" width="27.7109375" style="66" customWidth="1"/>
    <col min="7" max="8" width="24.7109375" style="66" customWidth="1"/>
    <col min="9" max="16384" width="11.42578125" style="66"/>
  </cols>
  <sheetData>
    <row r="1" spans="2:8" ht="15.75" thickBot="1"/>
    <row r="2" spans="2:8" ht="18">
      <c r="B2" s="266" t="s">
        <v>0</v>
      </c>
      <c r="C2" s="267"/>
      <c r="D2" s="267"/>
      <c r="E2" s="267"/>
      <c r="F2" s="267"/>
      <c r="G2" s="267"/>
      <c r="H2" s="268"/>
    </row>
    <row r="3" spans="2:8">
      <c r="B3" s="67"/>
      <c r="C3" s="68"/>
      <c r="D3" s="68"/>
      <c r="E3" s="68"/>
      <c r="F3" s="68"/>
      <c r="G3" s="68"/>
      <c r="H3" s="69"/>
    </row>
    <row r="4" spans="2:8" ht="63" customHeight="1">
      <c r="B4" s="269" t="s">
        <v>1</v>
      </c>
      <c r="C4" s="270"/>
      <c r="D4" s="270"/>
      <c r="E4" s="270"/>
      <c r="F4" s="270"/>
      <c r="G4" s="270"/>
      <c r="H4" s="271"/>
    </row>
    <row r="5" spans="2:8" ht="63" customHeight="1">
      <c r="B5" s="272"/>
      <c r="C5" s="273"/>
      <c r="D5" s="273"/>
      <c r="E5" s="273"/>
      <c r="F5" s="273"/>
      <c r="G5" s="273"/>
      <c r="H5" s="274"/>
    </row>
    <row r="6" spans="2:8" ht="16.5">
      <c r="B6" s="275" t="s">
        <v>2</v>
      </c>
      <c r="C6" s="276"/>
      <c r="D6" s="276"/>
      <c r="E6" s="276"/>
      <c r="F6" s="276"/>
      <c r="G6" s="276"/>
      <c r="H6" s="277"/>
    </row>
    <row r="7" spans="2:8" ht="95.25" customHeight="1">
      <c r="B7" s="285" t="s">
        <v>3</v>
      </c>
      <c r="C7" s="286"/>
      <c r="D7" s="286"/>
      <c r="E7" s="286"/>
      <c r="F7" s="286"/>
      <c r="G7" s="286"/>
      <c r="H7" s="287"/>
    </row>
    <row r="8" spans="2:8" ht="16.5">
      <c r="B8" s="101"/>
      <c r="C8" s="102"/>
      <c r="D8" s="102"/>
      <c r="E8" s="102"/>
      <c r="F8" s="102"/>
      <c r="G8" s="102"/>
      <c r="H8" s="103"/>
    </row>
    <row r="9" spans="2:8" ht="16.5" customHeight="1">
      <c r="B9" s="278" t="s">
        <v>4</v>
      </c>
      <c r="C9" s="279"/>
      <c r="D9" s="279"/>
      <c r="E9" s="279"/>
      <c r="F9" s="279"/>
      <c r="G9" s="279"/>
      <c r="H9" s="280"/>
    </row>
    <row r="10" spans="2:8" ht="44.25" customHeight="1">
      <c r="B10" s="278"/>
      <c r="C10" s="279"/>
      <c r="D10" s="279"/>
      <c r="E10" s="279"/>
      <c r="F10" s="279"/>
      <c r="G10" s="279"/>
      <c r="H10" s="280"/>
    </row>
    <row r="11" spans="2:8" ht="15.75" thickBot="1">
      <c r="B11" s="90"/>
      <c r="C11" s="93"/>
      <c r="D11" s="98"/>
      <c r="E11" s="99"/>
      <c r="F11" s="99"/>
      <c r="G11" s="100"/>
      <c r="H11" s="94"/>
    </row>
    <row r="12" spans="2:8" ht="15.75" thickTop="1">
      <c r="B12" s="90"/>
      <c r="C12" s="281" t="s">
        <v>5</v>
      </c>
      <c r="D12" s="282"/>
      <c r="E12" s="283" t="s">
        <v>6</v>
      </c>
      <c r="F12" s="284"/>
      <c r="G12" s="93"/>
      <c r="H12" s="94"/>
    </row>
    <row r="13" spans="2:8" ht="35.25" customHeight="1">
      <c r="B13" s="90"/>
      <c r="C13" s="288" t="s">
        <v>7</v>
      </c>
      <c r="D13" s="289"/>
      <c r="E13" s="290" t="s">
        <v>8</v>
      </c>
      <c r="F13" s="291"/>
      <c r="G13" s="93"/>
      <c r="H13" s="94"/>
    </row>
    <row r="14" spans="2:8" ht="17.25" customHeight="1">
      <c r="B14" s="90"/>
      <c r="C14" s="288" t="s">
        <v>9</v>
      </c>
      <c r="D14" s="289"/>
      <c r="E14" s="290" t="s">
        <v>10</v>
      </c>
      <c r="F14" s="291"/>
      <c r="G14" s="93"/>
      <c r="H14" s="94"/>
    </row>
    <row r="15" spans="2:8" ht="19.5" customHeight="1">
      <c r="B15" s="90"/>
      <c r="C15" s="288" t="s">
        <v>11</v>
      </c>
      <c r="D15" s="289"/>
      <c r="E15" s="290" t="s">
        <v>12</v>
      </c>
      <c r="F15" s="291"/>
      <c r="G15" s="93"/>
      <c r="H15" s="94"/>
    </row>
    <row r="16" spans="2:8" ht="69.75" customHeight="1">
      <c r="B16" s="90"/>
      <c r="C16" s="288" t="s">
        <v>13</v>
      </c>
      <c r="D16" s="289"/>
      <c r="E16" s="290" t="s">
        <v>14</v>
      </c>
      <c r="F16" s="291"/>
      <c r="G16" s="93"/>
      <c r="H16" s="94"/>
    </row>
    <row r="17" spans="2:8" ht="34.5" customHeight="1">
      <c r="B17" s="90"/>
      <c r="C17" s="292" t="s">
        <v>15</v>
      </c>
      <c r="D17" s="293"/>
      <c r="E17" s="294" t="s">
        <v>16</v>
      </c>
      <c r="F17" s="295"/>
      <c r="G17" s="93"/>
      <c r="H17" s="94"/>
    </row>
    <row r="18" spans="2:8" ht="27.75" customHeight="1">
      <c r="B18" s="90"/>
      <c r="C18" s="292" t="s">
        <v>17</v>
      </c>
      <c r="D18" s="293"/>
      <c r="E18" s="294" t="s">
        <v>18</v>
      </c>
      <c r="F18" s="295"/>
      <c r="G18" s="93"/>
      <c r="H18" s="94"/>
    </row>
    <row r="19" spans="2:8" ht="28.5" customHeight="1">
      <c r="B19" s="90"/>
      <c r="C19" s="292" t="s">
        <v>19</v>
      </c>
      <c r="D19" s="293"/>
      <c r="E19" s="294" t="s">
        <v>20</v>
      </c>
      <c r="F19" s="295"/>
      <c r="G19" s="93"/>
      <c r="H19" s="94"/>
    </row>
    <row r="20" spans="2:8" ht="72.75" customHeight="1">
      <c r="B20" s="90"/>
      <c r="C20" s="292" t="s">
        <v>21</v>
      </c>
      <c r="D20" s="293"/>
      <c r="E20" s="294" t="s">
        <v>22</v>
      </c>
      <c r="F20" s="295"/>
      <c r="G20" s="93"/>
      <c r="H20" s="94"/>
    </row>
    <row r="21" spans="2:8" ht="64.5" customHeight="1">
      <c r="B21" s="90"/>
      <c r="C21" s="292" t="s">
        <v>23</v>
      </c>
      <c r="D21" s="293"/>
      <c r="E21" s="294" t="s">
        <v>24</v>
      </c>
      <c r="F21" s="295"/>
      <c r="G21" s="93"/>
      <c r="H21" s="94"/>
    </row>
    <row r="22" spans="2:8" ht="71.25" customHeight="1">
      <c r="B22" s="90"/>
      <c r="C22" s="292" t="s">
        <v>25</v>
      </c>
      <c r="D22" s="293"/>
      <c r="E22" s="294" t="s">
        <v>26</v>
      </c>
      <c r="F22" s="295"/>
      <c r="G22" s="93"/>
      <c r="H22" s="94"/>
    </row>
    <row r="23" spans="2:8" ht="55.5" customHeight="1">
      <c r="B23" s="90"/>
      <c r="C23" s="299" t="s">
        <v>27</v>
      </c>
      <c r="D23" s="300"/>
      <c r="E23" s="294" t="s">
        <v>28</v>
      </c>
      <c r="F23" s="295"/>
      <c r="G23" s="93"/>
      <c r="H23" s="94"/>
    </row>
    <row r="24" spans="2:8" ht="42" customHeight="1">
      <c r="B24" s="90"/>
      <c r="C24" s="299" t="s">
        <v>29</v>
      </c>
      <c r="D24" s="300"/>
      <c r="E24" s="294" t="s">
        <v>30</v>
      </c>
      <c r="F24" s="295"/>
      <c r="G24" s="93"/>
      <c r="H24" s="94"/>
    </row>
    <row r="25" spans="2:8" ht="59.25" customHeight="1">
      <c r="B25" s="90"/>
      <c r="C25" s="299" t="s">
        <v>31</v>
      </c>
      <c r="D25" s="300"/>
      <c r="E25" s="294" t="s">
        <v>32</v>
      </c>
      <c r="F25" s="295"/>
      <c r="G25" s="93"/>
      <c r="H25" s="94"/>
    </row>
    <row r="26" spans="2:8" ht="23.25" customHeight="1">
      <c r="B26" s="90"/>
      <c r="C26" s="299" t="s">
        <v>33</v>
      </c>
      <c r="D26" s="300"/>
      <c r="E26" s="294" t="s">
        <v>34</v>
      </c>
      <c r="F26" s="295"/>
      <c r="G26" s="93"/>
      <c r="H26" s="94"/>
    </row>
    <row r="27" spans="2:8" ht="30.75" customHeight="1">
      <c r="B27" s="90"/>
      <c r="C27" s="299" t="s">
        <v>35</v>
      </c>
      <c r="D27" s="300"/>
      <c r="E27" s="294" t="s">
        <v>36</v>
      </c>
      <c r="F27" s="295"/>
      <c r="G27" s="93"/>
      <c r="H27" s="94"/>
    </row>
    <row r="28" spans="2:8" ht="35.25" customHeight="1">
      <c r="B28" s="90"/>
      <c r="C28" s="299" t="s">
        <v>37</v>
      </c>
      <c r="D28" s="300"/>
      <c r="E28" s="294" t="s">
        <v>38</v>
      </c>
      <c r="F28" s="295"/>
      <c r="G28" s="93"/>
      <c r="H28" s="94"/>
    </row>
    <row r="29" spans="2:8" ht="33" customHeight="1">
      <c r="B29" s="90"/>
      <c r="C29" s="299" t="s">
        <v>37</v>
      </c>
      <c r="D29" s="300"/>
      <c r="E29" s="294" t="s">
        <v>38</v>
      </c>
      <c r="F29" s="295"/>
      <c r="G29" s="93"/>
      <c r="H29" s="94"/>
    </row>
    <row r="30" spans="2:8" ht="30" customHeight="1">
      <c r="B30" s="90"/>
      <c r="C30" s="299" t="s">
        <v>39</v>
      </c>
      <c r="D30" s="300"/>
      <c r="E30" s="294" t="s">
        <v>40</v>
      </c>
      <c r="F30" s="295"/>
      <c r="G30" s="93"/>
      <c r="H30" s="94"/>
    </row>
    <row r="31" spans="2:8" ht="35.25" customHeight="1">
      <c r="B31" s="90"/>
      <c r="C31" s="299" t="s">
        <v>41</v>
      </c>
      <c r="D31" s="300"/>
      <c r="E31" s="294" t="s">
        <v>42</v>
      </c>
      <c r="F31" s="295"/>
      <c r="G31" s="93"/>
      <c r="H31" s="94"/>
    </row>
    <row r="32" spans="2:8" ht="31.5" customHeight="1">
      <c r="B32" s="90"/>
      <c r="C32" s="299" t="s">
        <v>43</v>
      </c>
      <c r="D32" s="300"/>
      <c r="E32" s="294" t="s">
        <v>44</v>
      </c>
      <c r="F32" s="295"/>
      <c r="G32" s="93"/>
      <c r="H32" s="94"/>
    </row>
    <row r="33" spans="2:8" ht="35.25" customHeight="1">
      <c r="B33" s="90"/>
      <c r="C33" s="299" t="s">
        <v>45</v>
      </c>
      <c r="D33" s="300"/>
      <c r="E33" s="294" t="s">
        <v>46</v>
      </c>
      <c r="F33" s="295"/>
      <c r="G33" s="93"/>
      <c r="H33" s="94"/>
    </row>
    <row r="34" spans="2:8" ht="59.25" customHeight="1">
      <c r="B34" s="90"/>
      <c r="C34" s="299" t="s">
        <v>47</v>
      </c>
      <c r="D34" s="300"/>
      <c r="E34" s="294" t="s">
        <v>48</v>
      </c>
      <c r="F34" s="295"/>
      <c r="G34" s="93"/>
      <c r="H34" s="94"/>
    </row>
    <row r="35" spans="2:8" ht="29.25" customHeight="1">
      <c r="B35" s="90"/>
      <c r="C35" s="299" t="s">
        <v>49</v>
      </c>
      <c r="D35" s="300"/>
      <c r="E35" s="294" t="s">
        <v>50</v>
      </c>
      <c r="F35" s="295"/>
      <c r="G35" s="93"/>
      <c r="H35" s="94"/>
    </row>
    <row r="36" spans="2:8" ht="82.5" customHeight="1">
      <c r="B36" s="90"/>
      <c r="C36" s="299" t="s">
        <v>51</v>
      </c>
      <c r="D36" s="300"/>
      <c r="E36" s="294" t="s">
        <v>52</v>
      </c>
      <c r="F36" s="295"/>
      <c r="G36" s="93"/>
      <c r="H36" s="94"/>
    </row>
    <row r="37" spans="2:8" ht="46.5" customHeight="1">
      <c r="B37" s="90"/>
      <c r="C37" s="299" t="s">
        <v>53</v>
      </c>
      <c r="D37" s="300"/>
      <c r="E37" s="294" t="s">
        <v>54</v>
      </c>
      <c r="F37" s="295"/>
      <c r="G37" s="93"/>
      <c r="H37" s="94"/>
    </row>
    <row r="38" spans="2:8" ht="6.75" customHeight="1" thickBot="1">
      <c r="B38" s="90"/>
      <c r="C38" s="301"/>
      <c r="D38" s="302"/>
      <c r="E38" s="303"/>
      <c r="F38" s="304"/>
      <c r="G38" s="93"/>
      <c r="H38" s="94"/>
    </row>
    <row r="39" spans="2:8" ht="15.75" thickTop="1">
      <c r="B39" s="90"/>
      <c r="C39" s="91"/>
      <c r="D39" s="91"/>
      <c r="E39" s="92"/>
      <c r="F39" s="92"/>
      <c r="G39" s="93"/>
      <c r="H39" s="94"/>
    </row>
    <row r="40" spans="2:8" ht="21" customHeight="1">
      <c r="B40" s="296" t="s">
        <v>55</v>
      </c>
      <c r="C40" s="297"/>
      <c r="D40" s="297"/>
      <c r="E40" s="297"/>
      <c r="F40" s="297"/>
      <c r="G40" s="297"/>
      <c r="H40" s="298"/>
    </row>
    <row r="41" spans="2:8" ht="20.25" customHeight="1">
      <c r="B41" s="296" t="s">
        <v>56</v>
      </c>
      <c r="C41" s="297"/>
      <c r="D41" s="297"/>
      <c r="E41" s="297"/>
      <c r="F41" s="297"/>
      <c r="G41" s="297"/>
      <c r="H41" s="298"/>
    </row>
    <row r="42" spans="2:8" ht="20.25" customHeight="1">
      <c r="B42" s="296" t="s">
        <v>57</v>
      </c>
      <c r="C42" s="297"/>
      <c r="D42" s="297"/>
      <c r="E42" s="297"/>
      <c r="F42" s="297"/>
      <c r="G42" s="297"/>
      <c r="H42" s="298"/>
    </row>
    <row r="43" spans="2:8" ht="20.25" customHeight="1">
      <c r="B43" s="296" t="s">
        <v>58</v>
      </c>
      <c r="C43" s="297"/>
      <c r="D43" s="297"/>
      <c r="E43" s="297"/>
      <c r="F43" s="297"/>
      <c r="G43" s="297"/>
      <c r="H43" s="298"/>
    </row>
    <row r="44" spans="2:8">
      <c r="B44" s="296" t="s">
        <v>59</v>
      </c>
      <c r="C44" s="297"/>
      <c r="D44" s="297"/>
      <c r="E44" s="297"/>
      <c r="F44" s="297"/>
      <c r="G44" s="297"/>
      <c r="H44" s="298"/>
    </row>
    <row r="45" spans="2:8" ht="15.75" thickBot="1">
      <c r="B45" s="95"/>
      <c r="C45" s="96"/>
      <c r="D45" s="96"/>
      <c r="E45" s="96"/>
      <c r="F45" s="96"/>
      <c r="G45" s="96"/>
      <c r="H45" s="97"/>
    </row>
    <row r="300" spans="3:3" ht="31.5">
      <c r="C300" s="170" t="s">
        <v>60</v>
      </c>
    </row>
    <row r="301" spans="3:3" ht="47.25">
      <c r="C301" s="170" t="s">
        <v>61</v>
      </c>
    </row>
    <row r="302" spans="3:3" ht="31.5">
      <c r="C302" s="171" t="s">
        <v>62</v>
      </c>
    </row>
    <row r="303" spans="3:3" ht="31.5">
      <c r="C303" s="170" t="s">
        <v>63</v>
      </c>
    </row>
    <row r="304" spans="3:3" ht="47.25">
      <c r="C304" s="170" t="s">
        <v>64</v>
      </c>
    </row>
    <row r="305" spans="3:3" ht="31.5">
      <c r="C305" s="170" t="s">
        <v>65</v>
      </c>
    </row>
    <row r="306" spans="3:3" ht="47.25">
      <c r="C306" s="171" t="s">
        <v>66</v>
      </c>
    </row>
    <row r="307" spans="3:3" ht="31.5">
      <c r="C307" s="170" t="s">
        <v>67</v>
      </c>
    </row>
    <row r="308" spans="3:3" ht="15.75">
      <c r="C308" s="170" t="s">
        <v>68</v>
      </c>
    </row>
    <row r="309" spans="3:3" ht="15.75">
      <c r="C309" s="170" t="s">
        <v>69</v>
      </c>
    </row>
    <row r="310" spans="3:3" ht="31.5">
      <c r="C310" s="170" t="s">
        <v>70</v>
      </c>
    </row>
    <row r="311" spans="3:3" ht="31.5">
      <c r="C311" s="170" t="s">
        <v>71</v>
      </c>
    </row>
    <row r="312" spans="3:3" ht="15.75">
      <c r="C312" s="170" t="s">
        <v>72</v>
      </c>
    </row>
    <row r="313" spans="3:3" ht="15.75">
      <c r="C313" s="170" t="s">
        <v>73</v>
      </c>
    </row>
    <row r="314" spans="3:3" ht="15.75">
      <c r="C314" s="170" t="s">
        <v>74</v>
      </c>
    </row>
    <row r="315" spans="3:3" ht="31.5">
      <c r="C315" s="170" t="s">
        <v>75</v>
      </c>
    </row>
    <row r="316" spans="3:3" ht="31.5">
      <c r="C316" s="170" t="s">
        <v>76</v>
      </c>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X18"/>
  <sheetViews>
    <sheetView zoomScale="140" zoomScaleNormal="140" workbookViewId="0">
      <pane xSplit="4" ySplit="2" topLeftCell="E3" activePane="bottomRight" state="frozen"/>
      <selection pane="bottomRight" activeCell="C3" sqref="C3:D3"/>
      <selection pane="bottomLeft" activeCell="A3" sqref="A3"/>
      <selection pane="topRight" activeCell="E1" sqref="E1"/>
    </sheetView>
  </sheetViews>
  <sheetFormatPr defaultColWidth="11.42578125" defaultRowHeight="15"/>
  <cols>
    <col min="2" max="2" width="18" customWidth="1"/>
    <col min="3" max="3" width="26.5703125" customWidth="1"/>
    <col min="4" max="4" width="41.85546875" customWidth="1"/>
    <col min="50" max="50" width="15.42578125" customWidth="1"/>
  </cols>
  <sheetData>
    <row r="2" spans="2:50" ht="15.75" thickBot="1"/>
    <row r="3" spans="2:50" ht="33.75" customHeight="1" thickBot="1">
      <c r="B3" s="563" t="s">
        <v>180</v>
      </c>
      <c r="C3" s="155" t="s">
        <v>313</v>
      </c>
      <c r="D3" s="153" t="s">
        <v>314</v>
      </c>
      <c r="AX3" t="s">
        <v>180</v>
      </c>
    </row>
    <row r="4" spans="2:50" ht="48.75" thickBot="1">
      <c r="B4" s="564"/>
      <c r="C4" s="156" t="s">
        <v>315</v>
      </c>
      <c r="D4" s="154" t="s">
        <v>316</v>
      </c>
      <c r="AX4" t="s">
        <v>317</v>
      </c>
    </row>
    <row r="5" spans="2:50" ht="48.75" thickBot="1">
      <c r="B5" s="564"/>
      <c r="C5" s="156" t="s">
        <v>318</v>
      </c>
      <c r="D5" s="154" t="s">
        <v>319</v>
      </c>
      <c r="AX5" t="s">
        <v>320</v>
      </c>
    </row>
    <row r="6" spans="2:50" ht="36.75" thickBot="1">
      <c r="B6" s="565"/>
      <c r="C6" s="156" t="s">
        <v>321</v>
      </c>
      <c r="D6" s="154" t="s">
        <v>322</v>
      </c>
    </row>
    <row r="7" spans="2:50" ht="36.75" thickBot="1">
      <c r="B7" s="563" t="s">
        <v>317</v>
      </c>
      <c r="C7" s="156" t="s">
        <v>323</v>
      </c>
      <c r="D7" s="154" t="s">
        <v>324</v>
      </c>
    </row>
    <row r="8" spans="2:50" ht="96.75" thickBot="1">
      <c r="B8" s="564"/>
      <c r="C8" s="156" t="s">
        <v>325</v>
      </c>
      <c r="D8" s="154" t="s">
        <v>326</v>
      </c>
    </row>
    <row r="9" spans="2:50" ht="48.75" thickBot="1">
      <c r="B9" s="565"/>
      <c r="C9" s="156" t="s">
        <v>327</v>
      </c>
      <c r="D9" s="154" t="s">
        <v>328</v>
      </c>
    </row>
    <row r="10" spans="2:50">
      <c r="B10" s="563" t="s">
        <v>320</v>
      </c>
      <c r="C10" s="157"/>
      <c r="D10" s="566" t="s">
        <v>329</v>
      </c>
    </row>
    <row r="11" spans="2:50">
      <c r="B11" s="564"/>
      <c r="C11" s="157" t="s">
        <v>330</v>
      </c>
      <c r="D11" s="567"/>
    </row>
    <row r="12" spans="2:50" ht="15.75" thickBot="1">
      <c r="B12" s="564"/>
      <c r="C12" s="156"/>
      <c r="D12" s="568"/>
    </row>
    <row r="13" spans="2:50" ht="22.5" customHeight="1">
      <c r="B13" s="564"/>
      <c r="C13" s="157"/>
      <c r="D13" s="566" t="s">
        <v>331</v>
      </c>
    </row>
    <row r="14" spans="2:50" ht="22.5" customHeight="1">
      <c r="B14" s="564"/>
      <c r="C14" s="157" t="s">
        <v>332</v>
      </c>
      <c r="D14" s="567"/>
    </row>
    <row r="15" spans="2:50" ht="22.5" customHeight="1" thickBot="1">
      <c r="B15" s="564"/>
      <c r="C15" s="156"/>
      <c r="D15" s="568"/>
    </row>
    <row r="16" spans="2:50" ht="25.5" customHeight="1">
      <c r="B16" s="564"/>
      <c r="C16" s="157"/>
      <c r="D16" s="566" t="s">
        <v>333</v>
      </c>
    </row>
    <row r="17" spans="2:4" ht="25.5" customHeight="1">
      <c r="B17" s="564"/>
      <c r="C17" s="157" t="s">
        <v>334</v>
      </c>
      <c r="D17" s="567"/>
    </row>
    <row r="18" spans="2:4" ht="25.5" customHeight="1" thickBot="1">
      <c r="B18" s="565"/>
      <c r="C18" s="156"/>
      <c r="D18" s="568"/>
    </row>
  </sheetData>
  <mergeCells count="6">
    <mergeCell ref="B3:B6"/>
    <mergeCell ref="B7:B9"/>
    <mergeCell ref="B10:B18"/>
    <mergeCell ref="D10:D12"/>
    <mergeCell ref="D13:D15"/>
    <mergeCell ref="D16:D1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1:F48"/>
  <sheetViews>
    <sheetView zoomScale="110" zoomScaleNormal="110" workbookViewId="0">
      <selection activeCell="H8" sqref="H8:H9"/>
    </sheetView>
  </sheetViews>
  <sheetFormatPr defaultColWidth="11.42578125" defaultRowHeight="15"/>
  <cols>
    <col min="1" max="1" width="3.7109375" customWidth="1"/>
    <col min="2" max="2" width="8.28515625" customWidth="1"/>
    <col min="3" max="3" width="27" customWidth="1"/>
    <col min="5" max="5" width="15" customWidth="1"/>
    <col min="6" max="6" width="33.42578125" customWidth="1"/>
  </cols>
  <sheetData>
    <row r="1" spans="3:6" ht="15.75" thickBot="1">
      <c r="C1" s="175" t="s">
        <v>335</v>
      </c>
    </row>
    <row r="2" spans="3:6" ht="15.75" thickBot="1">
      <c r="C2" s="172" t="s">
        <v>336</v>
      </c>
      <c r="E2" s="176" t="s">
        <v>337</v>
      </c>
      <c r="F2" s="177" t="s">
        <v>338</v>
      </c>
    </row>
    <row r="3" spans="3:6" ht="15.75" thickBot="1">
      <c r="C3" s="173" t="s">
        <v>339</v>
      </c>
      <c r="E3" s="572" t="s">
        <v>340</v>
      </c>
      <c r="F3" s="162" t="s">
        <v>341</v>
      </c>
    </row>
    <row r="4" spans="3:6" ht="15.75" thickBot="1">
      <c r="C4" s="173" t="s">
        <v>342</v>
      </c>
      <c r="E4" s="570"/>
      <c r="F4" s="162" t="s">
        <v>343</v>
      </c>
    </row>
    <row r="5" spans="3:6" ht="15.75" thickBot="1">
      <c r="C5" s="173" t="s">
        <v>344</v>
      </c>
      <c r="E5" s="570"/>
      <c r="F5" s="162" t="s">
        <v>345</v>
      </c>
    </row>
    <row r="6" spans="3:6" ht="15.75" thickBot="1">
      <c r="C6" s="173" t="s">
        <v>346</v>
      </c>
      <c r="E6" s="570"/>
      <c r="F6" s="162" t="s">
        <v>347</v>
      </c>
    </row>
    <row r="7" spans="3:6" ht="15.75" thickBot="1">
      <c r="C7" s="174" t="s">
        <v>348</v>
      </c>
      <c r="E7" s="570"/>
      <c r="F7" s="162" t="s">
        <v>349</v>
      </c>
    </row>
    <row r="8" spans="3:6" ht="15.75" thickBot="1">
      <c r="C8" s="173" t="s">
        <v>350</v>
      </c>
      <c r="E8" s="571"/>
      <c r="F8" s="162" t="s">
        <v>351</v>
      </c>
    </row>
    <row r="9" spans="3:6" ht="15.75" thickBot="1">
      <c r="C9" s="173" t="s">
        <v>352</v>
      </c>
      <c r="E9" s="569" t="s">
        <v>353</v>
      </c>
      <c r="F9" s="162" t="s">
        <v>354</v>
      </c>
    </row>
    <row r="10" spans="3:6" ht="15.75" thickBot="1">
      <c r="C10" s="173" t="s">
        <v>355</v>
      </c>
      <c r="E10" s="570"/>
      <c r="F10" s="162" t="s">
        <v>356</v>
      </c>
    </row>
    <row r="11" spans="3:6" ht="15.75" thickBot="1">
      <c r="E11" s="570"/>
      <c r="F11" s="162" t="s">
        <v>357</v>
      </c>
    </row>
    <row r="12" spans="3:6" ht="15.75" thickBot="1">
      <c r="E12" s="570"/>
      <c r="F12" s="162" t="s">
        <v>358</v>
      </c>
    </row>
    <row r="13" spans="3:6" ht="15.75" thickBot="1">
      <c r="E13" s="571"/>
      <c r="F13" s="162" t="s">
        <v>359</v>
      </c>
    </row>
    <row r="14" spans="3:6" ht="24.75" thickBot="1">
      <c r="E14" s="569" t="s">
        <v>360</v>
      </c>
      <c r="F14" s="162" t="s">
        <v>361</v>
      </c>
    </row>
    <row r="15" spans="3:6" ht="15.75" thickBot="1">
      <c r="E15" s="570"/>
      <c r="F15" s="162" t="s">
        <v>362</v>
      </c>
    </row>
    <row r="16" spans="3:6" ht="15.75" thickBot="1">
      <c r="E16" s="571"/>
      <c r="F16" s="162" t="s">
        <v>363</v>
      </c>
    </row>
    <row r="17" spans="5:6" ht="15.75" thickBot="1">
      <c r="E17" s="569" t="s">
        <v>364</v>
      </c>
      <c r="F17" s="162" t="s">
        <v>365</v>
      </c>
    </row>
    <row r="18" spans="5:6" ht="15.75" thickBot="1">
      <c r="E18" s="570"/>
      <c r="F18" s="162" t="s">
        <v>366</v>
      </c>
    </row>
    <row r="19" spans="5:6" ht="15.75" thickBot="1">
      <c r="E19" s="571"/>
      <c r="F19" s="162" t="s">
        <v>367</v>
      </c>
    </row>
    <row r="20" spans="5:6" ht="24.75" thickBot="1">
      <c r="E20" s="569" t="s">
        <v>368</v>
      </c>
      <c r="F20" s="162" t="s">
        <v>369</v>
      </c>
    </row>
    <row r="21" spans="5:6" ht="15.75" thickBot="1">
      <c r="E21" s="570"/>
      <c r="F21" s="162" t="s">
        <v>370</v>
      </c>
    </row>
    <row r="22" spans="5:6" ht="15.75" thickBot="1">
      <c r="E22" s="570"/>
      <c r="F22" s="162" t="s">
        <v>371</v>
      </c>
    </row>
    <row r="23" spans="5:6" ht="15.75" thickBot="1">
      <c r="E23" s="570"/>
      <c r="F23" s="162" t="s">
        <v>372</v>
      </c>
    </row>
    <row r="24" spans="5:6" ht="15.75" thickBot="1">
      <c r="E24" s="570"/>
      <c r="F24" s="162" t="s">
        <v>373</v>
      </c>
    </row>
    <row r="25" spans="5:6" ht="24.75" thickBot="1">
      <c r="E25" s="570"/>
      <c r="F25" s="162" t="s">
        <v>374</v>
      </c>
    </row>
    <row r="26" spans="5:6" ht="15.75" thickBot="1">
      <c r="E26" s="570"/>
      <c r="F26" s="162" t="s">
        <v>375</v>
      </c>
    </row>
    <row r="27" spans="5:6" ht="24.75" thickBot="1">
      <c r="E27" s="570"/>
      <c r="F27" s="162" t="s">
        <v>376</v>
      </c>
    </row>
    <row r="28" spans="5:6" ht="15.75" thickBot="1">
      <c r="E28" s="570"/>
      <c r="F28" s="162" t="s">
        <v>377</v>
      </c>
    </row>
    <row r="29" spans="5:6" ht="15.75" thickBot="1">
      <c r="E29" s="570"/>
      <c r="F29" s="162" t="s">
        <v>378</v>
      </c>
    </row>
    <row r="30" spans="5:6" ht="15.75" thickBot="1">
      <c r="E30" s="571"/>
      <c r="F30" s="162" t="s">
        <v>379</v>
      </c>
    </row>
    <row r="31" spans="5:6" ht="15.75" thickBot="1">
      <c r="E31" s="569" t="s">
        <v>380</v>
      </c>
      <c r="F31" s="162" t="s">
        <v>381</v>
      </c>
    </row>
    <row r="32" spans="5:6" ht="15.75" thickBot="1">
      <c r="E32" s="570"/>
      <c r="F32" s="162" t="s">
        <v>382</v>
      </c>
    </row>
    <row r="33" spans="5:6" ht="15.75" thickBot="1">
      <c r="E33" s="570"/>
      <c r="F33" s="162" t="s">
        <v>383</v>
      </c>
    </row>
    <row r="34" spans="5:6" ht="15.75" thickBot="1">
      <c r="E34" s="570"/>
      <c r="F34" s="162" t="s">
        <v>384</v>
      </c>
    </row>
    <row r="35" spans="5:6" ht="24.75" thickBot="1">
      <c r="E35" s="571"/>
      <c r="F35" s="162" t="s">
        <v>385</v>
      </c>
    </row>
    <row r="36" spans="5:6" ht="15.75" thickBot="1">
      <c r="E36" s="569" t="s">
        <v>386</v>
      </c>
      <c r="F36" s="162" t="s">
        <v>387</v>
      </c>
    </row>
    <row r="37" spans="5:6" ht="15.75" thickBot="1">
      <c r="E37" s="570"/>
      <c r="F37" s="162" t="s">
        <v>388</v>
      </c>
    </row>
    <row r="38" spans="5:6" ht="15.75" thickBot="1">
      <c r="E38" s="570"/>
      <c r="F38" s="162" t="s">
        <v>389</v>
      </c>
    </row>
    <row r="39" spans="5:6" ht="15.75" thickBot="1">
      <c r="E39" s="570"/>
      <c r="F39" s="162" t="s">
        <v>390</v>
      </c>
    </row>
    <row r="40" spans="5:6" ht="15.75" thickBot="1">
      <c r="E40" s="571"/>
      <c r="F40" s="162" t="s">
        <v>391</v>
      </c>
    </row>
    <row r="41" spans="5:6" ht="15.75" thickBot="1">
      <c r="E41" s="569" t="s">
        <v>392</v>
      </c>
      <c r="F41" s="162" t="s">
        <v>393</v>
      </c>
    </row>
    <row r="42" spans="5:6" ht="15.75" thickBot="1">
      <c r="E42" s="570"/>
      <c r="F42" s="162" t="s">
        <v>394</v>
      </c>
    </row>
    <row r="43" spans="5:6" ht="15.75" thickBot="1">
      <c r="E43" s="570"/>
      <c r="F43" s="162" t="s">
        <v>395</v>
      </c>
    </row>
    <row r="44" spans="5:6" ht="15.75" thickBot="1">
      <c r="E44" s="570"/>
      <c r="F44" s="162" t="s">
        <v>396</v>
      </c>
    </row>
    <row r="45" spans="5:6" ht="24.75" thickBot="1">
      <c r="E45" s="571"/>
      <c r="F45" s="162" t="s">
        <v>397</v>
      </c>
    </row>
    <row r="48" spans="5:6" ht="15" customHeight="1"/>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topLeftCell="A32" workbookViewId="0">
      <selection activeCell="AA44" sqref="AA44"/>
    </sheetView>
  </sheetViews>
  <sheetFormatPr defaultColWidth="11.42578125" defaultRowHeight="15"/>
  <cols>
    <col min="27" max="27" width="36" customWidth="1"/>
  </cols>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249977111117893"/>
  </sheetPr>
  <dimension ref="B1:F16"/>
  <sheetViews>
    <sheetView workbookViewId="0">
      <selection activeCell="B1" sqref="B1:F1"/>
    </sheetView>
  </sheetViews>
  <sheetFormatPr defaultColWidth="14.28515625" defaultRowHeight="12.75"/>
  <cols>
    <col min="1" max="2" width="14.28515625" style="71"/>
    <col min="3" max="3" width="17" style="71" customWidth="1"/>
    <col min="4" max="4" width="14.28515625" style="71"/>
    <col min="5" max="5" width="46" style="71" customWidth="1"/>
    <col min="6" max="16384" width="14.28515625" style="71"/>
  </cols>
  <sheetData>
    <row r="1" spans="2:6" ht="24" customHeight="1" thickBot="1">
      <c r="B1" s="573" t="s">
        <v>398</v>
      </c>
      <c r="C1" s="574"/>
      <c r="D1" s="574"/>
      <c r="E1" s="574"/>
      <c r="F1" s="575"/>
    </row>
    <row r="2" spans="2:6" ht="16.5" thickBot="1">
      <c r="B2" s="72"/>
      <c r="C2" s="72"/>
      <c r="D2" s="72"/>
      <c r="E2" s="72"/>
      <c r="F2" s="72"/>
    </row>
    <row r="3" spans="2:6" ht="16.5" thickBot="1">
      <c r="B3" s="577" t="s">
        <v>399</v>
      </c>
      <c r="C3" s="578"/>
      <c r="D3" s="578"/>
      <c r="E3" s="84" t="s">
        <v>400</v>
      </c>
      <c r="F3" s="85" t="s">
        <v>401</v>
      </c>
    </row>
    <row r="4" spans="2:6" ht="31.5">
      <c r="B4" s="579" t="s">
        <v>402</v>
      </c>
      <c r="C4" s="581" t="s">
        <v>170</v>
      </c>
      <c r="D4" s="73" t="s">
        <v>184</v>
      </c>
      <c r="E4" s="74" t="s">
        <v>403</v>
      </c>
      <c r="F4" s="75">
        <v>0.25</v>
      </c>
    </row>
    <row r="5" spans="2:6" ht="47.25">
      <c r="B5" s="580"/>
      <c r="C5" s="582"/>
      <c r="D5" s="76" t="s">
        <v>197</v>
      </c>
      <c r="E5" s="77" t="s">
        <v>404</v>
      </c>
      <c r="F5" s="78">
        <v>0.15</v>
      </c>
    </row>
    <row r="6" spans="2:6" ht="47.25">
      <c r="B6" s="580"/>
      <c r="C6" s="582"/>
      <c r="D6" s="76" t="s">
        <v>405</v>
      </c>
      <c r="E6" s="77" t="s">
        <v>406</v>
      </c>
      <c r="F6" s="78">
        <v>0.1</v>
      </c>
    </row>
    <row r="7" spans="2:6" ht="63">
      <c r="B7" s="580"/>
      <c r="C7" s="582" t="s">
        <v>171</v>
      </c>
      <c r="D7" s="76" t="s">
        <v>407</v>
      </c>
      <c r="E7" s="77" t="s">
        <v>408</v>
      </c>
      <c r="F7" s="78">
        <v>0.25</v>
      </c>
    </row>
    <row r="8" spans="2:6" ht="31.5">
      <c r="B8" s="580"/>
      <c r="C8" s="582"/>
      <c r="D8" s="76" t="s">
        <v>185</v>
      </c>
      <c r="E8" s="77" t="s">
        <v>409</v>
      </c>
      <c r="F8" s="78">
        <v>0.15</v>
      </c>
    </row>
    <row r="9" spans="2:6" ht="47.25">
      <c r="B9" s="580" t="s">
        <v>410</v>
      </c>
      <c r="C9" s="582" t="s">
        <v>173</v>
      </c>
      <c r="D9" s="76" t="s">
        <v>198</v>
      </c>
      <c r="E9" s="77" t="s">
        <v>411</v>
      </c>
      <c r="F9" s="79" t="s">
        <v>412</v>
      </c>
    </row>
    <row r="10" spans="2:6" ht="63">
      <c r="B10" s="580"/>
      <c r="C10" s="582"/>
      <c r="D10" s="76" t="s">
        <v>186</v>
      </c>
      <c r="E10" s="77" t="s">
        <v>413</v>
      </c>
      <c r="F10" s="79" t="s">
        <v>412</v>
      </c>
    </row>
    <row r="11" spans="2:6" ht="47.25">
      <c r="B11" s="580"/>
      <c r="C11" s="582" t="s">
        <v>174</v>
      </c>
      <c r="D11" s="76" t="s">
        <v>206</v>
      </c>
      <c r="E11" s="77" t="s">
        <v>414</v>
      </c>
      <c r="F11" s="79" t="s">
        <v>412</v>
      </c>
    </row>
    <row r="12" spans="2:6" ht="47.25">
      <c r="B12" s="580"/>
      <c r="C12" s="582"/>
      <c r="D12" s="76" t="s">
        <v>187</v>
      </c>
      <c r="E12" s="77" t="s">
        <v>415</v>
      </c>
      <c r="F12" s="79" t="s">
        <v>412</v>
      </c>
    </row>
    <row r="13" spans="2:6" ht="31.5">
      <c r="B13" s="580"/>
      <c r="C13" s="582" t="s">
        <v>175</v>
      </c>
      <c r="D13" s="76" t="s">
        <v>188</v>
      </c>
      <c r="E13" s="77" t="s">
        <v>416</v>
      </c>
      <c r="F13" s="79" t="s">
        <v>412</v>
      </c>
    </row>
    <row r="14" spans="2:6" ht="32.25" thickBot="1">
      <c r="B14" s="583"/>
      <c r="C14" s="584"/>
      <c r="D14" s="80" t="s">
        <v>199</v>
      </c>
      <c r="E14" s="81" t="s">
        <v>417</v>
      </c>
      <c r="F14" s="82" t="s">
        <v>412</v>
      </c>
    </row>
    <row r="15" spans="2:6" ht="49.5" customHeight="1">
      <c r="B15" s="576" t="s">
        <v>418</v>
      </c>
      <c r="C15" s="576"/>
      <c r="D15" s="576"/>
      <c r="E15" s="576"/>
      <c r="F15" s="576"/>
    </row>
    <row r="16" spans="2:6" ht="27" customHeight="1">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G71"/>
  <sheetViews>
    <sheetView topLeftCell="A61" workbookViewId="0">
      <selection activeCell="F28" sqref="F28:G71"/>
    </sheetView>
  </sheetViews>
  <sheetFormatPr defaultColWidth="11.42578125" defaultRowHeight="15"/>
  <cols>
    <col min="6" max="6" width="17.140625" customWidth="1"/>
    <col min="7" max="7" width="29.28515625" customWidth="1"/>
  </cols>
  <sheetData>
    <row r="2" spans="2:5">
      <c r="B2" t="s">
        <v>419</v>
      </c>
      <c r="E2" t="s">
        <v>420</v>
      </c>
    </row>
    <row r="3" spans="2:5">
      <c r="B3" t="s">
        <v>421</v>
      </c>
      <c r="E3" t="s">
        <v>422</v>
      </c>
    </row>
    <row r="4" spans="2:5">
      <c r="B4" t="s">
        <v>423</v>
      </c>
      <c r="E4" t="s">
        <v>176</v>
      </c>
    </row>
    <row r="5" spans="2:5">
      <c r="B5" t="s">
        <v>201</v>
      </c>
    </row>
    <row r="8" spans="2:5">
      <c r="B8" t="s">
        <v>424</v>
      </c>
    </row>
    <row r="9" spans="2:5">
      <c r="B9" t="s">
        <v>425</v>
      </c>
    </row>
    <row r="10" spans="2:5">
      <c r="B10" t="s">
        <v>426</v>
      </c>
    </row>
    <row r="13" spans="2:5">
      <c r="B13" t="s">
        <v>427</v>
      </c>
    </row>
    <row r="14" spans="2:5">
      <c r="B14" t="s">
        <v>181</v>
      </c>
    </row>
    <row r="15" spans="2:5">
      <c r="B15" t="s">
        <v>428</v>
      </c>
    </row>
    <row r="16" spans="2:5">
      <c r="B16" t="s">
        <v>429</v>
      </c>
    </row>
    <row r="17" spans="2:7">
      <c r="B17" t="s">
        <v>430</v>
      </c>
    </row>
    <row r="18" spans="2:7">
      <c r="B18" t="s">
        <v>327</v>
      </c>
    </row>
    <row r="19" spans="2:7">
      <c r="B19" t="s">
        <v>431</v>
      </c>
    </row>
    <row r="20" spans="2:7">
      <c r="B20" t="s">
        <v>432</v>
      </c>
    </row>
    <row r="21" spans="2:7">
      <c r="B21" t="s">
        <v>332</v>
      </c>
    </row>
    <row r="22" spans="2:7">
      <c r="B22" t="s">
        <v>330</v>
      </c>
    </row>
    <row r="23" spans="2:7">
      <c r="B23" t="s">
        <v>334</v>
      </c>
    </row>
    <row r="27" spans="2:7" ht="15.75" thickBot="1"/>
    <row r="28" spans="2:7" ht="15.75" thickBot="1">
      <c r="B28" t="s">
        <v>340</v>
      </c>
      <c r="F28" s="160" t="s">
        <v>337</v>
      </c>
      <c r="G28" s="161" t="s">
        <v>338</v>
      </c>
    </row>
    <row r="29" spans="2:7" ht="15.75" thickBot="1">
      <c r="B29" t="s">
        <v>353</v>
      </c>
      <c r="F29" s="572" t="s">
        <v>340</v>
      </c>
      <c r="G29" s="162" t="s">
        <v>341</v>
      </c>
    </row>
    <row r="30" spans="2:7" ht="15.75" thickBot="1">
      <c r="B30" t="s">
        <v>360</v>
      </c>
      <c r="F30" s="570"/>
      <c r="G30" s="162" t="s">
        <v>343</v>
      </c>
    </row>
    <row r="31" spans="2:7" ht="15.75" thickBot="1">
      <c r="B31" t="s">
        <v>364</v>
      </c>
      <c r="F31" s="570"/>
      <c r="G31" s="162" t="s">
        <v>345</v>
      </c>
    </row>
    <row r="32" spans="2:7" ht="15.75" thickBot="1">
      <c r="B32" t="s">
        <v>368</v>
      </c>
      <c r="F32" s="570"/>
      <c r="G32" s="162" t="s">
        <v>347</v>
      </c>
    </row>
    <row r="33" spans="2:7" ht="15.75" thickBot="1">
      <c r="B33" t="s">
        <v>380</v>
      </c>
      <c r="F33" s="570"/>
      <c r="G33" s="162" t="s">
        <v>349</v>
      </c>
    </row>
    <row r="34" spans="2:7" ht="15.75" thickBot="1">
      <c r="B34" t="s">
        <v>386</v>
      </c>
      <c r="F34" s="571"/>
      <c r="G34" s="162" t="s">
        <v>351</v>
      </c>
    </row>
    <row r="35" spans="2:7" ht="15.75" thickBot="1">
      <c r="B35" t="s">
        <v>392</v>
      </c>
      <c r="F35" s="569" t="s">
        <v>353</v>
      </c>
      <c r="G35" s="162" t="s">
        <v>354</v>
      </c>
    </row>
    <row r="36" spans="2:7" ht="15.75" thickBot="1">
      <c r="F36" s="570"/>
      <c r="G36" s="162" t="s">
        <v>356</v>
      </c>
    </row>
    <row r="37" spans="2:7" ht="15.75" thickBot="1">
      <c r="F37" s="570"/>
      <c r="G37" s="162" t="s">
        <v>357</v>
      </c>
    </row>
    <row r="38" spans="2:7" ht="21.75" customHeight="1" thickBot="1">
      <c r="F38" s="570"/>
      <c r="G38" s="162" t="s">
        <v>358</v>
      </c>
    </row>
    <row r="39" spans="2:7" ht="15.75" thickBot="1">
      <c r="F39" s="571"/>
      <c r="G39" s="162" t="s">
        <v>359</v>
      </c>
    </row>
    <row r="40" spans="2:7" ht="45.75" customHeight="1" thickBot="1">
      <c r="F40" s="569" t="s">
        <v>360</v>
      </c>
      <c r="G40" s="162" t="s">
        <v>361</v>
      </c>
    </row>
    <row r="41" spans="2:7" ht="15.75" thickBot="1">
      <c r="F41" s="570"/>
      <c r="G41" s="162" t="s">
        <v>362</v>
      </c>
    </row>
    <row r="42" spans="2:7" ht="30" customHeight="1" thickBot="1">
      <c r="F42" s="571"/>
      <c r="G42" s="162" t="s">
        <v>363</v>
      </c>
    </row>
    <row r="43" spans="2:7" ht="15.75" thickBot="1">
      <c r="F43" s="569" t="s">
        <v>364</v>
      </c>
      <c r="G43" s="162" t="s">
        <v>365</v>
      </c>
    </row>
    <row r="44" spans="2:7" ht="15.75" thickBot="1">
      <c r="F44" s="570"/>
      <c r="G44" s="162" t="s">
        <v>366</v>
      </c>
    </row>
    <row r="45" spans="2:7" ht="15.75" thickBot="1">
      <c r="F45" s="571"/>
      <c r="G45" s="162" t="s">
        <v>367</v>
      </c>
    </row>
    <row r="46" spans="2:7" ht="24.75" thickBot="1">
      <c r="F46" s="569" t="s">
        <v>368</v>
      </c>
      <c r="G46" s="162" t="s">
        <v>369</v>
      </c>
    </row>
    <row r="47" spans="2:7" ht="15.75" thickBot="1">
      <c r="F47" s="570"/>
      <c r="G47" s="162" t="s">
        <v>370</v>
      </c>
    </row>
    <row r="48" spans="2:7" ht="15.75" thickBot="1">
      <c r="F48" s="570"/>
      <c r="G48" s="162" t="s">
        <v>371</v>
      </c>
    </row>
    <row r="49" spans="6:7" ht="15.75" thickBot="1">
      <c r="F49" s="570"/>
      <c r="G49" s="162" t="s">
        <v>372</v>
      </c>
    </row>
    <row r="50" spans="6:7" ht="15.75" thickBot="1">
      <c r="F50" s="570"/>
      <c r="G50" s="162" t="s">
        <v>373</v>
      </c>
    </row>
    <row r="51" spans="6:7" ht="24.75" thickBot="1">
      <c r="F51" s="570"/>
      <c r="G51" s="162" t="s">
        <v>374</v>
      </c>
    </row>
    <row r="52" spans="6:7" ht="15.75" thickBot="1">
      <c r="F52" s="570"/>
      <c r="G52" s="162" t="s">
        <v>375</v>
      </c>
    </row>
    <row r="53" spans="6:7" ht="24.75" thickBot="1">
      <c r="F53" s="570"/>
      <c r="G53" s="162" t="s">
        <v>376</v>
      </c>
    </row>
    <row r="54" spans="6:7" ht="15.75" thickBot="1">
      <c r="F54" s="570"/>
      <c r="G54" s="162" t="s">
        <v>377</v>
      </c>
    </row>
    <row r="55" spans="6:7" ht="15.75" thickBot="1">
      <c r="F55" s="570"/>
      <c r="G55" s="162" t="s">
        <v>378</v>
      </c>
    </row>
    <row r="56" spans="6:7" ht="15.75" thickBot="1">
      <c r="F56" s="571"/>
      <c r="G56" s="162" t="s">
        <v>379</v>
      </c>
    </row>
    <row r="57" spans="6:7" ht="15.75" thickBot="1">
      <c r="F57" s="569" t="s">
        <v>380</v>
      </c>
      <c r="G57" s="162" t="s">
        <v>381</v>
      </c>
    </row>
    <row r="58" spans="6:7" ht="15.75" thickBot="1">
      <c r="F58" s="570"/>
      <c r="G58" s="162" t="s">
        <v>382</v>
      </c>
    </row>
    <row r="59" spans="6:7" ht="24.75" thickBot="1">
      <c r="F59" s="570"/>
      <c r="G59" s="162" t="s">
        <v>383</v>
      </c>
    </row>
    <row r="60" spans="6:7" ht="15.75" thickBot="1">
      <c r="F60" s="570"/>
      <c r="G60" s="162" t="s">
        <v>384</v>
      </c>
    </row>
    <row r="61" spans="6:7" ht="36.75" thickBot="1">
      <c r="F61" s="571"/>
      <c r="G61" s="162" t="s">
        <v>385</v>
      </c>
    </row>
    <row r="62" spans="6:7" ht="15.75" thickBot="1">
      <c r="F62" s="569" t="s">
        <v>386</v>
      </c>
      <c r="G62" s="162" t="s">
        <v>387</v>
      </c>
    </row>
    <row r="63" spans="6:7" ht="15.75" thickBot="1">
      <c r="F63" s="570"/>
      <c r="G63" s="162" t="s">
        <v>388</v>
      </c>
    </row>
    <row r="64" spans="6:7" ht="15.75" thickBot="1">
      <c r="F64" s="570"/>
      <c r="G64" s="162" t="s">
        <v>389</v>
      </c>
    </row>
    <row r="65" spans="6:7" ht="15.75" thickBot="1">
      <c r="F65" s="570"/>
      <c r="G65" s="162" t="s">
        <v>390</v>
      </c>
    </row>
    <row r="66" spans="6:7" ht="15.75" thickBot="1">
      <c r="F66" s="571"/>
      <c r="G66" s="162" t="s">
        <v>391</v>
      </c>
    </row>
    <row r="67" spans="6:7" ht="15.75" thickBot="1">
      <c r="F67" s="569" t="s">
        <v>392</v>
      </c>
      <c r="G67" s="162" t="s">
        <v>393</v>
      </c>
    </row>
    <row r="68" spans="6:7" ht="15.75" thickBot="1">
      <c r="F68" s="570"/>
      <c r="G68" s="162" t="s">
        <v>394</v>
      </c>
    </row>
    <row r="69" spans="6:7" ht="15.75" thickBot="1">
      <c r="F69" s="570"/>
      <c r="G69" s="162" t="s">
        <v>395</v>
      </c>
    </row>
    <row r="70" spans="6:7" ht="15.75" thickBot="1">
      <c r="F70" s="570"/>
      <c r="G70" s="162" t="s">
        <v>396</v>
      </c>
    </row>
    <row r="71" spans="6:7" ht="24.75" thickBot="1">
      <c r="F71" s="571"/>
      <c r="G71" s="162" t="s">
        <v>397</v>
      </c>
    </row>
  </sheetData>
  <sortState xmlns:xlrd2="http://schemas.microsoft.com/office/spreadsheetml/2017/richdata2"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3:A21"/>
  <sheetViews>
    <sheetView workbookViewId="0">
      <selection activeCell="A19" sqref="A19"/>
    </sheetView>
  </sheetViews>
  <sheetFormatPr defaultColWidth="11.42578125" defaultRowHeight="12.75"/>
  <cols>
    <col min="1" max="1" width="32.85546875" style="1" customWidth="1"/>
    <col min="2" max="16384" width="11.42578125" style="1"/>
  </cols>
  <sheetData>
    <row r="3" spans="1:1">
      <c r="A3" s="2" t="s">
        <v>184</v>
      </c>
    </row>
    <row r="4" spans="1:1">
      <c r="A4" s="2" t="s">
        <v>197</v>
      </c>
    </row>
    <row r="5" spans="1:1">
      <c r="A5" s="2" t="s">
        <v>405</v>
      </c>
    </row>
    <row r="6" spans="1:1">
      <c r="A6" s="2" t="s">
        <v>407</v>
      </c>
    </row>
    <row r="7" spans="1:1">
      <c r="A7" s="2" t="s">
        <v>185</v>
      </c>
    </row>
    <row r="8" spans="1:1">
      <c r="A8" s="2" t="s">
        <v>198</v>
      </c>
    </row>
    <row r="9" spans="1:1">
      <c r="A9" s="2" t="s">
        <v>186</v>
      </c>
    </row>
    <row r="10" spans="1:1">
      <c r="A10" s="2" t="s">
        <v>206</v>
      </c>
    </row>
    <row r="11" spans="1:1">
      <c r="A11" s="2" t="s">
        <v>187</v>
      </c>
    </row>
    <row r="12" spans="1:1">
      <c r="A12" s="2" t="s">
        <v>433</v>
      </c>
    </row>
    <row r="13" spans="1:1">
      <c r="A13" s="2" t="s">
        <v>434</v>
      </c>
    </row>
    <row r="14" spans="1:1">
      <c r="A14" s="2" t="s">
        <v>435</v>
      </c>
    </row>
    <row r="16" spans="1:1">
      <c r="A16" s="2" t="s">
        <v>436</v>
      </c>
    </row>
    <row r="17" spans="1:1">
      <c r="A17" s="2" t="s">
        <v>419</v>
      </c>
    </row>
    <row r="18" spans="1:1">
      <c r="A18" s="2" t="s">
        <v>421</v>
      </c>
    </row>
    <row r="20" spans="1:1">
      <c r="A20" s="2" t="s">
        <v>425</v>
      </c>
    </row>
    <row r="21" spans="1:1">
      <c r="A21" s="2" t="s">
        <v>426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9"/>
  <sheetViews>
    <sheetView zoomScale="50" zoomScaleNormal="50" zoomScaleSheetLayoutView="30" zoomScalePageLayoutView="60" workbookViewId="0">
      <selection activeCell="D11" sqref="D11"/>
    </sheetView>
  </sheetViews>
  <sheetFormatPr defaultColWidth="11.42578125" defaultRowHeight="26.25"/>
  <cols>
    <col min="1" max="1" width="5.28515625" style="119" customWidth="1"/>
    <col min="2" max="2" width="7.42578125" style="120" customWidth="1"/>
    <col min="3" max="3" width="25.7109375" style="121" customWidth="1"/>
    <col min="4" max="4" width="104.42578125" style="147" customWidth="1"/>
    <col min="5" max="5" width="116.28515625" style="121" customWidth="1"/>
    <col min="6" max="6" width="83" style="119" customWidth="1"/>
    <col min="7" max="16384" width="11.42578125" style="119"/>
  </cols>
  <sheetData>
    <row r="1" spans="1:13" ht="20.25" customHeight="1"/>
    <row r="2" spans="1:13" ht="63.75" customHeight="1">
      <c r="B2" s="306"/>
      <c r="C2" s="306"/>
      <c r="D2" s="307" t="s">
        <v>77</v>
      </c>
      <c r="E2" s="307"/>
      <c r="F2" s="307"/>
      <c r="G2" s="129"/>
      <c r="H2" s="129"/>
      <c r="I2" s="129"/>
      <c r="J2" s="129"/>
      <c r="K2" s="129"/>
      <c r="L2" s="129"/>
      <c r="M2" s="129"/>
    </row>
    <row r="3" spans="1:13" ht="30.75" customHeight="1">
      <c r="B3" s="306"/>
      <c r="C3" s="306"/>
      <c r="D3" s="258" t="s">
        <v>78</v>
      </c>
      <c r="E3" s="309" t="s">
        <v>79</v>
      </c>
      <c r="F3" s="309"/>
      <c r="G3" s="129"/>
      <c r="H3" s="129"/>
      <c r="I3" s="129"/>
      <c r="J3" s="129"/>
      <c r="K3" s="129"/>
      <c r="L3" s="129"/>
    </row>
    <row r="4" spans="1:13" ht="30.75" customHeight="1">
      <c r="B4" s="306"/>
      <c r="C4" s="306"/>
      <c r="D4" s="308" t="s">
        <v>80</v>
      </c>
      <c r="E4" s="308"/>
      <c r="F4" s="308"/>
      <c r="G4" s="129"/>
      <c r="H4" s="129"/>
      <c r="I4" s="129"/>
      <c r="J4" s="129"/>
      <c r="K4" s="129"/>
      <c r="L4" s="129"/>
    </row>
    <row r="5" spans="1:13" ht="10.5" customHeight="1">
      <c r="B5" s="129"/>
      <c r="C5" s="129"/>
      <c r="D5" s="129"/>
      <c r="E5" s="129"/>
      <c r="F5" s="129"/>
      <c r="G5" s="129"/>
      <c r="H5" s="129"/>
      <c r="I5" s="129"/>
      <c r="J5" s="129"/>
      <c r="K5" s="129"/>
      <c r="L5" s="129"/>
    </row>
    <row r="6" spans="1:13" ht="24" customHeight="1">
      <c r="B6" s="305" t="s">
        <v>81</v>
      </c>
      <c r="C6" s="305"/>
      <c r="D6" s="310" t="s">
        <v>72</v>
      </c>
      <c r="E6" s="311"/>
      <c r="F6" s="311"/>
      <c r="G6" s="129"/>
      <c r="H6" s="129"/>
      <c r="I6" s="129"/>
      <c r="J6" s="129"/>
      <c r="K6" s="129"/>
      <c r="L6" s="129"/>
    </row>
    <row r="7" spans="1:13" ht="24" customHeight="1">
      <c r="B7" s="305" t="s">
        <v>82</v>
      </c>
      <c r="C7" s="305"/>
      <c r="D7" s="312"/>
      <c r="E7" s="313"/>
      <c r="F7" s="313"/>
      <c r="G7" s="129"/>
      <c r="H7" s="129"/>
      <c r="I7" s="129"/>
      <c r="J7" s="129"/>
      <c r="K7" s="129"/>
      <c r="L7" s="129"/>
    </row>
    <row r="8" spans="1:13" ht="10.5" customHeight="1" thickBot="1">
      <c r="D8" s="122"/>
      <c r="E8" s="123"/>
      <c r="F8" s="129"/>
      <c r="G8" s="129"/>
      <c r="H8" s="129"/>
      <c r="I8" s="129"/>
      <c r="J8" s="129"/>
      <c r="K8" s="129"/>
      <c r="L8" s="129"/>
    </row>
    <row r="9" spans="1:13" ht="69.75" customHeight="1" thickBot="1">
      <c r="A9" s="124"/>
      <c r="B9" s="318" t="s">
        <v>83</v>
      </c>
      <c r="C9" s="319"/>
      <c r="D9" s="319"/>
      <c r="E9" s="320"/>
      <c r="F9" s="316" t="s">
        <v>84</v>
      </c>
      <c r="G9" s="129"/>
      <c r="H9" s="129"/>
      <c r="I9" s="129"/>
      <c r="J9" s="129"/>
      <c r="K9" s="129"/>
      <c r="L9" s="129"/>
    </row>
    <row r="10" spans="1:13" s="129" customFormat="1" ht="50.25" customHeight="1" thickBot="1">
      <c r="A10" s="125"/>
      <c r="B10" s="321" t="s">
        <v>85</v>
      </c>
      <c r="C10" s="238" t="s">
        <v>86</v>
      </c>
      <c r="D10" s="239" t="s">
        <v>87</v>
      </c>
      <c r="E10" s="240" t="s">
        <v>88</v>
      </c>
      <c r="F10" s="317"/>
    </row>
    <row r="11" spans="1:13" s="129" customFormat="1" ht="213.75" customHeight="1" thickBot="1">
      <c r="A11" s="125"/>
      <c r="B11" s="322"/>
      <c r="C11" s="241" t="s">
        <v>89</v>
      </c>
      <c r="D11" s="242" t="s">
        <v>90</v>
      </c>
      <c r="E11" s="243" t="s">
        <v>91</v>
      </c>
    </row>
    <row r="12" spans="1:13" s="129" customFormat="1" ht="323.25" customHeight="1" thickBot="1">
      <c r="A12" s="125"/>
      <c r="B12" s="322"/>
      <c r="C12" s="244" t="s">
        <v>92</v>
      </c>
      <c r="D12" s="245" t="s">
        <v>93</v>
      </c>
      <c r="E12" s="246" t="s">
        <v>94</v>
      </c>
      <c r="F12" s="247" t="s">
        <v>95</v>
      </c>
    </row>
    <row r="13" spans="1:13" s="129" customFormat="1" ht="214.5" customHeight="1" thickBot="1">
      <c r="A13" s="125"/>
      <c r="B13" s="322"/>
      <c r="C13" s="248" t="s">
        <v>96</v>
      </c>
      <c r="D13" s="249" t="s">
        <v>97</v>
      </c>
      <c r="E13" s="250" t="s">
        <v>98</v>
      </c>
      <c r="F13" s="250" t="s">
        <v>99</v>
      </c>
    </row>
    <row r="14" spans="1:13" s="129" customFormat="1" ht="240" customHeight="1" thickBot="1">
      <c r="A14" s="125"/>
      <c r="B14" s="322"/>
      <c r="C14" s="251" t="s">
        <v>100</v>
      </c>
      <c r="D14" s="245" t="s">
        <v>101</v>
      </c>
      <c r="E14" s="245"/>
    </row>
    <row r="15" spans="1:13" s="129" customFormat="1" ht="242.25" customHeight="1" thickBot="1">
      <c r="A15" s="125"/>
      <c r="B15" s="322"/>
      <c r="C15" s="252" t="s">
        <v>102</v>
      </c>
      <c r="D15" s="253" t="s">
        <v>103</v>
      </c>
      <c r="E15" s="243" t="s">
        <v>104</v>
      </c>
    </row>
    <row r="16" spans="1:13" s="129" customFormat="1" ht="129" thickBot="1">
      <c r="A16" s="125"/>
      <c r="B16" s="322"/>
      <c r="C16" s="251" t="s">
        <v>105</v>
      </c>
      <c r="D16" s="245" t="s">
        <v>106</v>
      </c>
      <c r="E16" s="243" t="s">
        <v>107</v>
      </c>
      <c r="F16" s="237"/>
    </row>
    <row r="17" spans="1:6" s="141" customFormat="1" ht="228.75" customHeight="1" thickBot="1">
      <c r="A17" s="139"/>
      <c r="B17" s="322"/>
      <c r="C17" s="254" t="s">
        <v>108</v>
      </c>
      <c r="D17" s="245" t="s">
        <v>109</v>
      </c>
      <c r="E17" s="245" t="s">
        <v>110</v>
      </c>
      <c r="F17" s="129"/>
    </row>
    <row r="18" spans="1:6" ht="168" customHeight="1" thickBot="1">
      <c r="B18" s="322"/>
      <c r="C18" s="255" t="s">
        <v>111</v>
      </c>
      <c r="D18" s="256"/>
      <c r="E18" s="257"/>
      <c r="F18" s="129"/>
    </row>
    <row r="20" spans="1:6">
      <c r="B20" s="314"/>
      <c r="C20" s="314"/>
      <c r="D20" s="314"/>
      <c r="E20" s="314"/>
    </row>
    <row r="21" spans="1:6" ht="27">
      <c r="B21" s="315"/>
      <c r="C21" s="186"/>
      <c r="D21" s="186"/>
      <c r="E21" s="186"/>
    </row>
    <row r="22" spans="1:6">
      <c r="B22" s="315"/>
      <c r="C22" s="187"/>
      <c r="D22" s="188"/>
      <c r="E22" s="188"/>
    </row>
    <row r="23" spans="1:6">
      <c r="B23" s="315"/>
      <c r="C23" s="187"/>
      <c r="D23" s="189"/>
      <c r="E23" s="189"/>
    </row>
    <row r="24" spans="1:6">
      <c r="B24" s="315"/>
      <c r="C24" s="187"/>
      <c r="D24" s="189"/>
      <c r="E24" s="189"/>
    </row>
    <row r="25" spans="1:6">
      <c r="B25" s="315"/>
      <c r="C25" s="187"/>
      <c r="D25" s="189"/>
      <c r="E25" s="189"/>
    </row>
    <row r="26" spans="1:6">
      <c r="B26" s="315"/>
      <c r="C26" s="187"/>
      <c r="D26" s="189"/>
      <c r="E26" s="188"/>
    </row>
    <row r="27" spans="1:6">
      <c r="B27" s="315"/>
      <c r="C27" s="187"/>
      <c r="D27" s="189"/>
      <c r="E27" s="188"/>
    </row>
    <row r="28" spans="1:6">
      <c r="B28" s="315"/>
      <c r="C28" s="190"/>
      <c r="D28" s="189"/>
      <c r="E28" s="189"/>
    </row>
    <row r="29" spans="1:6" ht="27.75">
      <c r="B29" s="315"/>
      <c r="C29" s="141"/>
      <c r="D29" s="191"/>
      <c r="E29" s="191"/>
    </row>
  </sheetData>
  <mergeCells count="13">
    <mergeCell ref="B20:E20"/>
    <mergeCell ref="B21:B29"/>
    <mergeCell ref="F9:F10"/>
    <mergeCell ref="B9:E9"/>
    <mergeCell ref="B10:B18"/>
    <mergeCell ref="B7:C7"/>
    <mergeCell ref="B2:C4"/>
    <mergeCell ref="B6:C6"/>
    <mergeCell ref="D2:F2"/>
    <mergeCell ref="D4:F4"/>
    <mergeCell ref="E3:F3"/>
    <mergeCell ref="D6:F6"/>
    <mergeCell ref="D7:F7"/>
  </mergeCells>
  <pageMargins left="0.70866141732283472" right="0.70866141732283472" top="0.74803149606299213" bottom="0.74803149606299213" header="0.31496062992125984" footer="0.31496062992125984"/>
  <pageSetup scale="32" orientation="landscape" r:id="rId1"/>
  <headerFooter>
    <oddFooter>&amp;LAvenida Calle 26 No. 57-83 Torre 8, Piso 8 CEMSA - C.P. 111321 
PBX:(+57) 601-3779555 - Información: Línea 195 
Sede Operativa - Atención al Ciudadano: Calle 22D No. 120-40 
www.umv.gov.co&amp;CDESI-FM-029
Página &amp;P de &amp;N</oddFooter>
  </headerFooter>
  <rowBreaks count="1" manualBreakCount="1">
    <brk id="9" min="1" max="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Intructivo!$C$300:$C$316</xm:f>
          </x14:formula1>
          <xm:sqref>D6:F6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topLeftCell="B1" zoomScale="50" zoomScaleNormal="50" workbookViewId="0">
      <selection activeCell="I4" sqref="I4"/>
    </sheetView>
  </sheetViews>
  <sheetFormatPr defaultColWidth="11.42578125" defaultRowHeight="26.25"/>
  <cols>
    <col min="1" max="1" width="11.85546875" style="119" customWidth="1"/>
    <col min="2" max="2" width="7.42578125" style="120" customWidth="1"/>
    <col min="3" max="3" width="36.85546875" style="121" customWidth="1"/>
    <col min="4" max="4" width="150" style="147" customWidth="1"/>
    <col min="5" max="5" width="168" style="121" customWidth="1"/>
    <col min="6" max="6" width="51.7109375" style="119" customWidth="1"/>
    <col min="7" max="16384" width="11.42578125" style="119"/>
  </cols>
  <sheetData>
    <row r="1" spans="1:6">
      <c r="D1" s="122"/>
      <c r="E1" s="123"/>
    </row>
    <row r="2" spans="1:6" ht="40.5" customHeight="1" thickBot="1">
      <c r="A2" s="124"/>
      <c r="B2" s="323" t="s">
        <v>112</v>
      </c>
      <c r="C2" s="323"/>
      <c r="D2" s="323"/>
      <c r="E2" s="324"/>
      <c r="F2" s="328" t="s">
        <v>113</v>
      </c>
    </row>
    <row r="3" spans="1:6" s="129" customFormat="1" ht="40.5" customHeight="1" thickBot="1">
      <c r="A3" s="125"/>
      <c r="B3" s="325" t="s">
        <v>114</v>
      </c>
      <c r="C3" s="126" t="s">
        <v>86</v>
      </c>
      <c r="D3" s="127" t="s">
        <v>87</v>
      </c>
      <c r="E3" s="128" t="s">
        <v>88</v>
      </c>
      <c r="F3" s="329"/>
    </row>
    <row r="4" spans="1:6" s="129" customFormat="1" ht="228.75" customHeight="1" thickBot="1">
      <c r="A4" s="125"/>
      <c r="B4" s="326"/>
      <c r="C4" s="130" t="s">
        <v>89</v>
      </c>
      <c r="D4" s="131" t="s">
        <v>115</v>
      </c>
      <c r="E4" s="163" t="s">
        <v>116</v>
      </c>
      <c r="F4" s="168" t="s">
        <v>117</v>
      </c>
    </row>
    <row r="5" spans="1:6" s="129" customFormat="1" ht="289.5" thickBot="1">
      <c r="A5" s="125"/>
      <c r="B5" s="326"/>
      <c r="C5" s="132" t="s">
        <v>92</v>
      </c>
      <c r="D5" s="133" t="s">
        <v>118</v>
      </c>
      <c r="E5" s="164" t="s">
        <v>119</v>
      </c>
      <c r="F5" s="167" t="s">
        <v>120</v>
      </c>
    </row>
    <row r="6" spans="1:6" s="129" customFormat="1" ht="237" thickBot="1">
      <c r="A6" s="125"/>
      <c r="B6" s="326"/>
      <c r="C6" s="134" t="s">
        <v>96</v>
      </c>
      <c r="D6" s="135" t="s">
        <v>121</v>
      </c>
      <c r="E6" s="165" t="s">
        <v>122</v>
      </c>
      <c r="F6" s="167"/>
    </row>
    <row r="7" spans="1:6" s="129" customFormat="1" ht="154.5" customHeight="1" thickBot="1">
      <c r="A7" s="125"/>
      <c r="B7" s="326"/>
      <c r="C7" s="136" t="s">
        <v>100</v>
      </c>
      <c r="D7" s="137"/>
      <c r="E7" s="164"/>
      <c r="F7" s="167"/>
    </row>
    <row r="8" spans="1:6" s="129" customFormat="1" ht="186.75" thickBot="1">
      <c r="A8" s="125"/>
      <c r="B8" s="326"/>
      <c r="C8" s="138" t="s">
        <v>102</v>
      </c>
      <c r="D8" s="135" t="s">
        <v>123</v>
      </c>
      <c r="E8" s="166" t="s">
        <v>124</v>
      </c>
      <c r="F8" s="167"/>
    </row>
    <row r="9" spans="1:6" s="129" customFormat="1" ht="182.25" thickBot="1">
      <c r="A9" s="125"/>
      <c r="B9" s="326"/>
      <c r="C9" s="136" t="s">
        <v>105</v>
      </c>
      <c r="D9" s="133" t="s">
        <v>125</v>
      </c>
      <c r="E9" s="166" t="s">
        <v>126</v>
      </c>
      <c r="F9" s="167"/>
    </row>
    <row r="10" spans="1:6" s="141" customFormat="1" ht="263.25" thickBot="1">
      <c r="A10" s="139"/>
      <c r="B10" s="326"/>
      <c r="C10" s="140" t="s">
        <v>108</v>
      </c>
      <c r="D10" s="133" t="s">
        <v>127</v>
      </c>
      <c r="E10" s="165" t="s">
        <v>128</v>
      </c>
      <c r="F10" s="169"/>
    </row>
    <row r="11" spans="1:6" s="141" customFormat="1" ht="28.5" thickBot="1">
      <c r="A11" s="139"/>
      <c r="B11" s="327"/>
      <c r="C11" s="142"/>
      <c r="D11" s="143"/>
      <c r="E11" s="144"/>
    </row>
    <row r="12" spans="1:6" ht="27">
      <c r="D12" s="145"/>
      <c r="E12" s="146"/>
    </row>
    <row r="17" spans="4:4">
      <c r="D17" s="122"/>
    </row>
    <row r="18" spans="4:4">
      <c r="D18" s="122"/>
    </row>
    <row r="19" spans="4:4">
      <c r="D19" s="122"/>
    </row>
  </sheetData>
  <mergeCells count="3">
    <mergeCell ref="B2:E2"/>
    <mergeCell ref="B3:B11"/>
    <mergeCell ref="F2:F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JM75"/>
  <sheetViews>
    <sheetView tabSelected="1" topLeftCell="S13" zoomScale="60" zoomScaleNormal="60" zoomScaleSheetLayoutView="30" zoomScalePageLayoutView="60" workbookViewId="0">
      <selection activeCell="U14" sqref="U14"/>
    </sheetView>
  </sheetViews>
  <sheetFormatPr defaultColWidth="11.42578125" defaultRowHeight="15"/>
  <cols>
    <col min="1" max="1" width="6.5703125" style="234" customWidth="1"/>
    <col min="2" max="2" width="16" style="234" customWidth="1"/>
    <col min="3" max="3" width="19.140625" style="234" customWidth="1"/>
    <col min="4" max="4" width="28.5703125" style="234" customWidth="1"/>
    <col min="5" max="5" width="28.5703125" style="204" customWidth="1"/>
    <col min="6" max="6" width="13.7109375" style="204" customWidth="1"/>
    <col min="7" max="7" width="17.85546875" style="235" customWidth="1"/>
    <col min="8" max="11" width="5.85546875" style="235" customWidth="1"/>
    <col min="12" max="12" width="16.7109375" style="204" customWidth="1"/>
    <col min="13" max="13" width="19.28515625" style="204" customWidth="1"/>
    <col min="14" max="14" width="10" style="204" customWidth="1"/>
    <col min="15" max="15" width="27.28515625" style="204" customWidth="1"/>
    <col min="16" max="16" width="30.5703125" style="204" hidden="1" customWidth="1"/>
    <col min="17" max="17" width="17.5703125" style="204" customWidth="1"/>
    <col min="18" max="18" width="8.42578125" style="204" customWidth="1"/>
    <col min="19" max="19" width="16" style="204" customWidth="1"/>
    <col min="20" max="20" width="11.28515625" style="204" customWidth="1"/>
    <col min="21" max="21" width="60.5703125" style="204" customWidth="1"/>
    <col min="22" max="22" width="19" style="204" hidden="1" customWidth="1"/>
    <col min="23" max="23" width="6.85546875" style="204" customWidth="1"/>
    <col min="24" max="24" width="5" style="204" customWidth="1"/>
    <col min="25" max="25" width="5.5703125" style="204" hidden="1" customWidth="1"/>
    <col min="26" max="26" width="7.140625" style="204" customWidth="1"/>
    <col min="27" max="27" width="6.7109375" style="204" customWidth="1"/>
    <col min="28" max="28" width="7.5703125" style="204" customWidth="1"/>
    <col min="29" max="29" width="38.28515625" style="204" hidden="1" customWidth="1"/>
    <col min="30" max="34" width="10.85546875" style="204" customWidth="1"/>
    <col min="35" max="35" width="10.85546875" style="233" customWidth="1"/>
    <col min="36" max="36" width="23" style="204" customWidth="1"/>
    <col min="37" max="38" width="18.85546875" style="204" customWidth="1"/>
    <col min="39" max="39" width="22.42578125" style="204" customWidth="1"/>
    <col min="40" max="41" width="16.42578125" style="204" customWidth="1"/>
    <col min="42" max="42" width="26.140625" style="204" customWidth="1"/>
    <col min="43" max="16384" width="11.42578125" style="204"/>
  </cols>
  <sheetData>
    <row r="1" spans="1:273" s="208" customFormat="1" ht="10.5" customHeight="1">
      <c r="A1" s="368"/>
      <c r="B1" s="369"/>
      <c r="C1" s="370"/>
      <c r="D1" s="377" t="s">
        <v>129</v>
      </c>
      <c r="E1" s="378"/>
      <c r="F1" s="378"/>
      <c r="G1" s="378"/>
      <c r="H1" s="378"/>
      <c r="I1" s="378"/>
      <c r="J1" s="378"/>
      <c r="K1" s="378"/>
      <c r="L1" s="378"/>
      <c r="M1" s="378"/>
      <c r="N1" s="378"/>
      <c r="O1" s="378"/>
      <c r="P1" s="378"/>
      <c r="Q1" s="378"/>
      <c r="R1" s="378"/>
      <c r="S1" s="379"/>
      <c r="T1" s="206"/>
      <c r="U1" s="398" t="s">
        <v>129</v>
      </c>
      <c r="V1" s="378"/>
      <c r="W1" s="378"/>
      <c r="X1" s="378"/>
      <c r="Y1" s="378"/>
      <c r="Z1" s="378"/>
      <c r="AA1" s="378"/>
      <c r="AB1" s="378"/>
      <c r="AC1" s="378"/>
      <c r="AD1" s="378"/>
      <c r="AE1" s="378"/>
      <c r="AF1" s="378"/>
      <c r="AG1" s="378"/>
      <c r="AH1" s="378"/>
      <c r="AI1" s="378"/>
      <c r="AJ1" s="378"/>
      <c r="AK1" s="378"/>
      <c r="AL1" s="378"/>
      <c r="AM1" s="378"/>
      <c r="AN1" s="378"/>
      <c r="AO1" s="378"/>
      <c r="AP1" s="379"/>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row>
    <row r="2" spans="1:273" s="208" customFormat="1" ht="10.5" customHeight="1" thickBot="1">
      <c r="A2" s="371"/>
      <c r="B2" s="372"/>
      <c r="C2" s="373"/>
      <c r="D2" s="380"/>
      <c r="E2" s="381"/>
      <c r="F2" s="381"/>
      <c r="G2" s="381"/>
      <c r="H2" s="381"/>
      <c r="I2" s="381"/>
      <c r="J2" s="381"/>
      <c r="K2" s="381"/>
      <c r="L2" s="381"/>
      <c r="M2" s="381"/>
      <c r="N2" s="381"/>
      <c r="O2" s="381"/>
      <c r="P2" s="381"/>
      <c r="Q2" s="381"/>
      <c r="R2" s="381"/>
      <c r="S2" s="382"/>
      <c r="T2" s="206"/>
      <c r="U2" s="399"/>
      <c r="V2" s="381"/>
      <c r="W2" s="381"/>
      <c r="X2" s="381"/>
      <c r="Y2" s="381"/>
      <c r="Z2" s="381"/>
      <c r="AA2" s="381"/>
      <c r="AB2" s="381"/>
      <c r="AC2" s="381"/>
      <c r="AD2" s="381"/>
      <c r="AE2" s="381"/>
      <c r="AF2" s="381"/>
      <c r="AG2" s="381"/>
      <c r="AH2" s="381"/>
      <c r="AI2" s="381"/>
      <c r="AJ2" s="381"/>
      <c r="AK2" s="381"/>
      <c r="AL2" s="381"/>
      <c r="AM2" s="381"/>
      <c r="AN2" s="381"/>
      <c r="AO2" s="381"/>
      <c r="AP2" s="382"/>
      <c r="AQ2" s="207"/>
      <c r="AR2" s="207"/>
      <c r="AS2" s="207"/>
      <c r="AT2" s="207"/>
      <c r="AU2" s="207"/>
      <c r="AV2" s="207"/>
      <c r="AW2" s="207"/>
      <c r="AX2" s="207"/>
      <c r="AY2" s="207"/>
      <c r="AZ2" s="207"/>
      <c r="BA2" s="207"/>
      <c r="BB2" s="207"/>
      <c r="BC2" s="207"/>
      <c r="BD2" s="207"/>
      <c r="BE2" s="207"/>
      <c r="BF2" s="207"/>
      <c r="BG2" s="207"/>
      <c r="BH2" s="207"/>
      <c r="BI2" s="207"/>
      <c r="BJ2" s="207"/>
      <c r="BK2" s="207"/>
      <c r="BL2" s="207"/>
      <c r="BM2" s="207"/>
      <c r="BN2" s="207"/>
      <c r="BO2" s="207"/>
      <c r="BP2" s="207"/>
    </row>
    <row r="3" spans="1:273" s="208" customFormat="1" ht="10.5" customHeight="1">
      <c r="A3" s="371"/>
      <c r="B3" s="372"/>
      <c r="C3" s="373"/>
      <c r="D3" s="383" t="s">
        <v>130</v>
      </c>
      <c r="E3" s="384"/>
      <c r="F3" s="384"/>
      <c r="G3" s="384"/>
      <c r="H3" s="384"/>
      <c r="I3" s="384"/>
      <c r="J3" s="384"/>
      <c r="K3" s="384"/>
      <c r="L3" s="384" t="s">
        <v>131</v>
      </c>
      <c r="M3" s="384"/>
      <c r="N3" s="384"/>
      <c r="O3" s="384"/>
      <c r="P3" s="384"/>
      <c r="Q3" s="384"/>
      <c r="R3" s="384"/>
      <c r="S3" s="385"/>
      <c r="T3" s="206"/>
      <c r="U3" s="400" t="s">
        <v>132</v>
      </c>
      <c r="V3" s="401"/>
      <c r="W3" s="401"/>
      <c r="X3" s="401"/>
      <c r="Y3" s="401"/>
      <c r="Z3" s="401"/>
      <c r="AA3" s="401"/>
      <c r="AB3" s="401"/>
      <c r="AC3" s="401"/>
      <c r="AD3" s="401"/>
      <c r="AE3" s="401"/>
      <c r="AF3" s="401"/>
      <c r="AG3" s="401"/>
      <c r="AH3" s="401"/>
      <c r="AI3" s="401"/>
      <c r="AJ3" s="401" t="s">
        <v>131</v>
      </c>
      <c r="AK3" s="401"/>
      <c r="AL3" s="401"/>
      <c r="AM3" s="401"/>
      <c r="AN3" s="401"/>
      <c r="AO3" s="401"/>
      <c r="AP3" s="403"/>
      <c r="AQ3" s="209"/>
      <c r="AR3" s="210"/>
      <c r="AS3" s="207"/>
      <c r="AT3" s="207"/>
      <c r="AU3" s="207"/>
      <c r="AV3" s="207"/>
      <c r="AW3" s="207"/>
      <c r="AX3" s="207"/>
      <c r="AY3" s="207"/>
      <c r="AZ3" s="207"/>
      <c r="BA3" s="207"/>
      <c r="BB3" s="207"/>
      <c r="BC3" s="207"/>
      <c r="BD3" s="207"/>
      <c r="BE3" s="207"/>
      <c r="BF3" s="207"/>
      <c r="BG3" s="207"/>
      <c r="BH3" s="207"/>
      <c r="BI3" s="207"/>
      <c r="BJ3" s="207"/>
      <c r="BK3" s="207"/>
      <c r="BL3" s="207"/>
      <c r="BM3" s="207"/>
      <c r="BN3" s="207"/>
      <c r="BO3" s="207"/>
      <c r="BP3" s="207"/>
    </row>
    <row r="4" spans="1:273" s="208" customFormat="1" ht="10.5" customHeight="1" thickBot="1">
      <c r="A4" s="374"/>
      <c r="B4" s="375"/>
      <c r="C4" s="376"/>
      <c r="D4" s="386" t="s">
        <v>80</v>
      </c>
      <c r="E4" s="387"/>
      <c r="F4" s="387"/>
      <c r="G4" s="387"/>
      <c r="H4" s="387"/>
      <c r="I4" s="387"/>
      <c r="J4" s="387"/>
      <c r="K4" s="387"/>
      <c r="L4" s="387"/>
      <c r="M4" s="387"/>
      <c r="N4" s="387"/>
      <c r="O4" s="387"/>
      <c r="P4" s="387"/>
      <c r="Q4" s="387"/>
      <c r="R4" s="387"/>
      <c r="S4" s="388"/>
      <c r="T4" s="206"/>
      <c r="U4" s="402" t="s">
        <v>133</v>
      </c>
      <c r="V4" s="387"/>
      <c r="W4" s="387"/>
      <c r="X4" s="387"/>
      <c r="Y4" s="387"/>
      <c r="Z4" s="387"/>
      <c r="AA4" s="387"/>
      <c r="AB4" s="387"/>
      <c r="AC4" s="387"/>
      <c r="AD4" s="387"/>
      <c r="AE4" s="387"/>
      <c r="AF4" s="387"/>
      <c r="AG4" s="387"/>
      <c r="AH4" s="387"/>
      <c r="AI4" s="387"/>
      <c r="AJ4" s="387"/>
      <c r="AK4" s="387"/>
      <c r="AL4" s="387"/>
      <c r="AM4" s="387"/>
      <c r="AN4" s="387"/>
      <c r="AO4" s="387"/>
      <c r="AP4" s="388"/>
      <c r="AQ4" s="207"/>
      <c r="AR4" s="207"/>
      <c r="AS4" s="207"/>
      <c r="AT4" s="207"/>
      <c r="AU4" s="207"/>
      <c r="AV4" s="207"/>
      <c r="AW4" s="207"/>
      <c r="AX4" s="207"/>
      <c r="AY4" s="207"/>
      <c r="AZ4" s="207"/>
      <c r="BA4" s="207"/>
      <c r="BB4" s="207"/>
      <c r="BC4" s="207"/>
      <c r="BD4" s="207"/>
      <c r="BE4" s="207"/>
      <c r="BF4" s="207"/>
      <c r="BG4" s="207"/>
      <c r="BH4" s="207"/>
      <c r="BI4" s="207"/>
      <c r="BJ4" s="207"/>
      <c r="BK4" s="207"/>
      <c r="BL4" s="207"/>
      <c r="BM4" s="207"/>
      <c r="BN4" s="207"/>
      <c r="BO4" s="207"/>
      <c r="BP4" s="207"/>
    </row>
    <row r="5" spans="1:273" ht="10.5" customHeight="1" thickBot="1">
      <c r="A5" s="211"/>
      <c r="B5" s="212"/>
      <c r="C5" s="211"/>
      <c r="D5" s="211"/>
      <c r="E5" s="213"/>
      <c r="F5" s="213"/>
      <c r="G5" s="214"/>
      <c r="H5" s="214"/>
      <c r="I5" s="214"/>
      <c r="J5" s="214"/>
      <c r="K5" s="214"/>
      <c r="L5" s="213"/>
      <c r="M5" s="213"/>
      <c r="N5" s="213"/>
      <c r="O5" s="213"/>
      <c r="P5" s="213"/>
      <c r="Q5" s="213"/>
      <c r="R5" s="213"/>
      <c r="S5" s="213"/>
      <c r="T5" s="213"/>
      <c r="U5" s="213"/>
      <c r="V5" s="213"/>
      <c r="W5" s="213"/>
      <c r="X5" s="213"/>
      <c r="Y5" s="213"/>
      <c r="Z5" s="213"/>
      <c r="AA5" s="213"/>
      <c r="AB5" s="213"/>
      <c r="AC5" s="213"/>
      <c r="AD5" s="213"/>
      <c r="AE5" s="213"/>
      <c r="AF5" s="213"/>
      <c r="AG5" s="213"/>
      <c r="AH5" s="213"/>
      <c r="AI5" s="215"/>
      <c r="AJ5" s="213"/>
      <c r="AK5" s="213"/>
      <c r="AL5" s="213"/>
      <c r="AM5" s="213"/>
      <c r="AN5" s="213"/>
      <c r="AO5" s="213"/>
      <c r="AP5" s="213"/>
      <c r="AQ5" s="213"/>
      <c r="AR5" s="213"/>
      <c r="AS5" s="213"/>
      <c r="AT5" s="213"/>
      <c r="AU5" s="213"/>
      <c r="AV5" s="213"/>
      <c r="AW5" s="213"/>
      <c r="AX5" s="213"/>
      <c r="AY5" s="213"/>
      <c r="AZ5" s="213"/>
      <c r="BA5" s="213"/>
      <c r="BB5" s="213"/>
      <c r="BC5" s="213"/>
      <c r="BD5" s="213"/>
      <c r="BE5" s="213"/>
      <c r="BF5" s="213"/>
      <c r="BG5" s="213"/>
      <c r="BH5" s="213"/>
      <c r="BI5" s="213"/>
      <c r="BJ5" s="213"/>
      <c r="BK5" s="213"/>
      <c r="BL5" s="213"/>
      <c r="BM5" s="213"/>
      <c r="BN5" s="213"/>
      <c r="BO5" s="213"/>
      <c r="BP5" s="213"/>
    </row>
    <row r="6" spans="1:273" ht="10.5" customHeight="1">
      <c r="A6" s="404" t="s">
        <v>134</v>
      </c>
      <c r="B6" s="405"/>
      <c r="C6" s="361" t="s">
        <v>72</v>
      </c>
      <c r="D6" s="362"/>
      <c r="E6" s="362"/>
      <c r="F6" s="362"/>
      <c r="G6" s="362"/>
      <c r="H6" s="362"/>
      <c r="I6" s="362"/>
      <c r="J6" s="362"/>
      <c r="K6" s="362"/>
      <c r="L6" s="362"/>
      <c r="M6" s="362"/>
      <c r="N6" s="362"/>
      <c r="O6" s="362"/>
      <c r="P6" s="362"/>
      <c r="Q6" s="362"/>
      <c r="R6" s="362"/>
      <c r="S6" s="363"/>
      <c r="T6" s="364" t="s">
        <v>134</v>
      </c>
      <c r="U6" s="365"/>
      <c r="V6" s="366"/>
      <c r="W6" s="389" t="str">
        <f>C6</f>
        <v>13. Gestión ambiental</v>
      </c>
      <c r="X6" s="390"/>
      <c r="Y6" s="390"/>
      <c r="Z6" s="390"/>
      <c r="AA6" s="390"/>
      <c r="AB6" s="390"/>
      <c r="AC6" s="390"/>
      <c r="AD6" s="390"/>
      <c r="AE6" s="390"/>
      <c r="AF6" s="390"/>
      <c r="AG6" s="390"/>
      <c r="AH6" s="390"/>
      <c r="AI6" s="390"/>
      <c r="AJ6" s="390"/>
      <c r="AK6" s="390"/>
      <c r="AL6" s="390"/>
      <c r="AM6" s="390"/>
      <c r="AN6" s="390"/>
      <c r="AO6" s="390"/>
      <c r="AP6" s="391"/>
      <c r="AQ6" s="213"/>
      <c r="AR6" s="213"/>
      <c r="AS6" s="213"/>
      <c r="AT6" s="213"/>
      <c r="AU6" s="213"/>
      <c r="AV6" s="213"/>
      <c r="AW6" s="213"/>
      <c r="AX6" s="213"/>
      <c r="AY6" s="213"/>
      <c r="AZ6" s="213"/>
      <c r="BA6" s="213"/>
      <c r="BB6" s="213"/>
      <c r="BC6" s="213"/>
      <c r="BD6" s="213"/>
      <c r="BE6" s="213"/>
      <c r="BF6" s="213"/>
      <c r="BG6" s="213"/>
      <c r="BH6" s="213"/>
      <c r="BI6" s="213"/>
      <c r="BJ6" s="213"/>
      <c r="BK6" s="213"/>
      <c r="BL6" s="213"/>
      <c r="BM6" s="213"/>
      <c r="BN6" s="213"/>
      <c r="BO6" s="213"/>
      <c r="BP6" s="213"/>
    </row>
    <row r="7" spans="1:273" ht="10.5" customHeight="1">
      <c r="A7" s="406" t="s">
        <v>135</v>
      </c>
      <c r="B7" s="407"/>
      <c r="C7" s="349" t="s">
        <v>136</v>
      </c>
      <c r="D7" s="350"/>
      <c r="E7" s="350"/>
      <c r="F7" s="350"/>
      <c r="G7" s="350"/>
      <c r="H7" s="350"/>
      <c r="I7" s="350"/>
      <c r="J7" s="350"/>
      <c r="K7" s="350"/>
      <c r="L7" s="350"/>
      <c r="M7" s="350"/>
      <c r="N7" s="350"/>
      <c r="O7" s="350"/>
      <c r="P7" s="350"/>
      <c r="Q7" s="350"/>
      <c r="R7" s="350"/>
      <c r="S7" s="351"/>
      <c r="T7" s="216" t="s">
        <v>135</v>
      </c>
      <c r="U7" s="217"/>
      <c r="V7" s="218"/>
      <c r="W7" s="392" t="str">
        <f>C7</f>
        <v>Desarrollar, promover e implementar acciones conducentes a la mejora del desempeño ambiental de la entidad, a partir de un uso eficiente de los recursos, la gestión integral de los residuos generados y la adquisición de productos y servicios amigables con el medio ambiente, de conformidad con la normatividad vigente</v>
      </c>
      <c r="X7" s="393"/>
      <c r="Y7" s="393"/>
      <c r="Z7" s="393"/>
      <c r="AA7" s="393"/>
      <c r="AB7" s="393"/>
      <c r="AC7" s="393"/>
      <c r="AD7" s="393"/>
      <c r="AE7" s="393"/>
      <c r="AF7" s="393"/>
      <c r="AG7" s="393"/>
      <c r="AH7" s="393"/>
      <c r="AI7" s="393"/>
      <c r="AJ7" s="393"/>
      <c r="AK7" s="393"/>
      <c r="AL7" s="393"/>
      <c r="AM7" s="393"/>
      <c r="AN7" s="393"/>
      <c r="AO7" s="393"/>
      <c r="AP7" s="394"/>
      <c r="AQ7" s="213"/>
      <c r="AR7" s="213"/>
      <c r="AS7" s="213"/>
      <c r="AT7" s="213"/>
      <c r="AU7" s="213"/>
      <c r="AV7" s="213"/>
      <c r="AW7" s="213"/>
      <c r="AX7" s="213"/>
      <c r="AY7" s="213"/>
      <c r="AZ7" s="213"/>
      <c r="BA7" s="213"/>
      <c r="BB7" s="213"/>
      <c r="BC7" s="213"/>
      <c r="BD7" s="213"/>
      <c r="BE7" s="213"/>
      <c r="BF7" s="213"/>
      <c r="BG7" s="213"/>
      <c r="BH7" s="213"/>
      <c r="BI7" s="213"/>
      <c r="BJ7" s="213"/>
      <c r="BK7" s="213"/>
      <c r="BL7" s="213"/>
      <c r="BM7" s="213"/>
      <c r="BN7" s="213"/>
      <c r="BO7" s="213"/>
      <c r="BP7" s="213"/>
    </row>
    <row r="8" spans="1:273" ht="10.5" customHeight="1" thickBot="1">
      <c r="A8" s="408" t="s">
        <v>137</v>
      </c>
      <c r="B8" s="409"/>
      <c r="C8" s="352" t="s">
        <v>138</v>
      </c>
      <c r="D8" s="353"/>
      <c r="E8" s="353"/>
      <c r="F8" s="353"/>
      <c r="G8" s="353"/>
      <c r="H8" s="353"/>
      <c r="I8" s="353"/>
      <c r="J8" s="353"/>
      <c r="K8" s="353"/>
      <c r="L8" s="353"/>
      <c r="M8" s="353"/>
      <c r="N8" s="353"/>
      <c r="O8" s="353"/>
      <c r="P8" s="353"/>
      <c r="Q8" s="353"/>
      <c r="R8" s="353"/>
      <c r="S8" s="354"/>
      <c r="T8" s="219" t="s">
        <v>137</v>
      </c>
      <c r="U8" s="220"/>
      <c r="V8" s="221"/>
      <c r="W8" s="395" t="str">
        <f>C8</f>
        <v>Inicia con la identificación de los aspectos e impactos ambientales, continúa con la valoración de los impactos generados y finaliza con Implementar los programas de gestión ambiental y los controles para la mitigación de los impactos ambientales que generan las actividades de la UAERMV.</v>
      </c>
      <c r="X8" s="396"/>
      <c r="Y8" s="396"/>
      <c r="Z8" s="396"/>
      <c r="AA8" s="396"/>
      <c r="AB8" s="396"/>
      <c r="AC8" s="396"/>
      <c r="AD8" s="396"/>
      <c r="AE8" s="396"/>
      <c r="AF8" s="396"/>
      <c r="AG8" s="396"/>
      <c r="AH8" s="396"/>
      <c r="AI8" s="396"/>
      <c r="AJ8" s="396"/>
      <c r="AK8" s="396"/>
      <c r="AL8" s="396"/>
      <c r="AM8" s="396"/>
      <c r="AN8" s="396"/>
      <c r="AO8" s="396"/>
      <c r="AP8" s="397"/>
      <c r="AQ8" s="213"/>
      <c r="AR8" s="213"/>
      <c r="AS8" s="213"/>
      <c r="AT8" s="213"/>
      <c r="AU8" s="213"/>
      <c r="AV8" s="213"/>
      <c r="AW8" s="213"/>
      <c r="AX8" s="213"/>
      <c r="AY8" s="213"/>
      <c r="AZ8" s="213"/>
      <c r="BA8" s="213"/>
      <c r="BB8" s="213"/>
      <c r="BC8" s="213"/>
      <c r="BD8" s="213"/>
      <c r="BE8" s="213"/>
      <c r="BF8" s="213"/>
      <c r="BG8" s="213"/>
      <c r="BH8" s="213"/>
      <c r="BI8" s="213"/>
      <c r="BJ8" s="213"/>
      <c r="BK8" s="213"/>
      <c r="BL8" s="213"/>
      <c r="BM8" s="213"/>
      <c r="BN8" s="213"/>
      <c r="BO8" s="213"/>
      <c r="BP8" s="213"/>
    </row>
    <row r="9" spans="1:273" ht="12" customHeight="1">
      <c r="A9" s="222"/>
      <c r="B9" s="222"/>
      <c r="C9" s="223"/>
      <c r="D9" s="223"/>
      <c r="E9" s="223"/>
      <c r="F9" s="223"/>
      <c r="G9" s="223"/>
      <c r="H9" s="223"/>
      <c r="I9" s="223"/>
      <c r="J9" s="223"/>
      <c r="K9" s="223"/>
      <c r="L9" s="223"/>
      <c r="M9" s="223"/>
      <c r="N9" s="223"/>
      <c r="O9" s="223"/>
      <c r="P9" s="223"/>
      <c r="Q9" s="223"/>
      <c r="R9" s="223"/>
      <c r="S9" s="223"/>
      <c r="T9" s="224"/>
      <c r="U9" s="224"/>
      <c r="V9" s="224"/>
      <c r="W9" s="225"/>
      <c r="X9" s="225"/>
      <c r="Y9" s="225"/>
      <c r="Z9" s="225"/>
      <c r="AA9" s="225"/>
      <c r="AB9" s="225"/>
      <c r="AC9" s="225"/>
      <c r="AD9" s="225"/>
      <c r="AE9" s="225"/>
      <c r="AF9" s="225"/>
      <c r="AG9" s="225"/>
      <c r="AH9" s="225"/>
      <c r="AI9" s="225"/>
      <c r="AJ9" s="225"/>
      <c r="AK9" s="225"/>
      <c r="AL9" s="225"/>
      <c r="AM9" s="225"/>
      <c r="AN9" s="225"/>
      <c r="AO9" s="225"/>
      <c r="AP9" s="225"/>
    </row>
    <row r="10" spans="1:273" ht="25.5" customHeight="1">
      <c r="A10" s="342" t="s">
        <v>139</v>
      </c>
      <c r="B10" s="342"/>
      <c r="C10" s="342"/>
      <c r="D10" s="342"/>
      <c r="E10" s="342"/>
      <c r="F10" s="342"/>
      <c r="G10" s="342"/>
      <c r="H10" s="342"/>
      <c r="I10" s="342"/>
      <c r="J10" s="342"/>
      <c r="K10" s="342"/>
      <c r="L10" s="342"/>
      <c r="M10" s="342" t="s">
        <v>140</v>
      </c>
      <c r="N10" s="342"/>
      <c r="O10" s="342"/>
      <c r="P10" s="342"/>
      <c r="Q10" s="342"/>
      <c r="R10" s="342"/>
      <c r="S10" s="342"/>
      <c r="T10" s="342" t="s">
        <v>141</v>
      </c>
      <c r="U10" s="342"/>
      <c r="V10" s="342"/>
      <c r="W10" s="342"/>
      <c r="X10" s="342"/>
      <c r="Y10" s="342"/>
      <c r="Z10" s="342"/>
      <c r="AA10" s="342"/>
      <c r="AB10" s="342"/>
      <c r="AC10" s="342" t="s">
        <v>142</v>
      </c>
      <c r="AD10" s="342"/>
      <c r="AE10" s="342"/>
      <c r="AF10" s="342"/>
      <c r="AG10" s="342"/>
      <c r="AH10" s="342"/>
      <c r="AI10" s="342"/>
      <c r="AJ10" s="342" t="s">
        <v>143</v>
      </c>
      <c r="AK10" s="342"/>
      <c r="AL10" s="342"/>
      <c r="AM10" s="342"/>
      <c r="AN10" s="342" t="s">
        <v>144</v>
      </c>
      <c r="AO10" s="342"/>
      <c r="AP10" s="342"/>
      <c r="AQ10" s="213"/>
      <c r="AR10" s="213"/>
      <c r="AS10" s="213"/>
      <c r="AT10" s="213"/>
      <c r="AU10" s="213"/>
      <c r="AV10" s="213"/>
      <c r="AW10" s="213"/>
      <c r="AX10" s="213"/>
      <c r="AY10" s="213"/>
      <c r="AZ10" s="213"/>
      <c r="BA10" s="213"/>
      <c r="BB10" s="213"/>
      <c r="BC10" s="213"/>
      <c r="BD10" s="213"/>
      <c r="BE10" s="213"/>
      <c r="BF10" s="213"/>
      <c r="BG10" s="213"/>
      <c r="BH10" s="213"/>
      <c r="BI10" s="213"/>
      <c r="BJ10" s="213"/>
      <c r="BK10" s="213"/>
      <c r="BL10" s="213"/>
      <c r="BM10" s="213"/>
      <c r="BN10" s="213"/>
      <c r="BO10" s="213"/>
      <c r="BP10" s="213"/>
    </row>
    <row r="11" spans="1:273" ht="26.25" customHeight="1">
      <c r="A11" s="355" t="s">
        <v>145</v>
      </c>
      <c r="B11" s="334" t="s">
        <v>15</v>
      </c>
      <c r="C11" s="335" t="s">
        <v>17</v>
      </c>
      <c r="D11" s="335" t="s">
        <v>19</v>
      </c>
      <c r="E11" s="334" t="s">
        <v>21</v>
      </c>
      <c r="F11" s="335" t="s">
        <v>146</v>
      </c>
      <c r="G11" s="343" t="s">
        <v>23</v>
      </c>
      <c r="H11" s="331" t="s">
        <v>147</v>
      </c>
      <c r="I11" s="343" t="s">
        <v>148</v>
      </c>
      <c r="J11" s="343" t="s">
        <v>149</v>
      </c>
      <c r="K11" s="343" t="s">
        <v>150</v>
      </c>
      <c r="L11" s="335" t="s">
        <v>151</v>
      </c>
      <c r="M11" s="335" t="s">
        <v>152</v>
      </c>
      <c r="N11" s="334" t="s">
        <v>153</v>
      </c>
      <c r="O11" s="335" t="s">
        <v>154</v>
      </c>
      <c r="P11" s="335" t="s">
        <v>155</v>
      </c>
      <c r="Q11" s="335" t="s">
        <v>156</v>
      </c>
      <c r="R11" s="334" t="s">
        <v>153</v>
      </c>
      <c r="S11" s="335" t="s">
        <v>29</v>
      </c>
      <c r="T11" s="344" t="s">
        <v>157</v>
      </c>
      <c r="U11" s="335" t="s">
        <v>31</v>
      </c>
      <c r="V11" s="335" t="s">
        <v>33</v>
      </c>
      <c r="W11" s="335" t="s">
        <v>158</v>
      </c>
      <c r="X11" s="335"/>
      <c r="Y11" s="335"/>
      <c r="Z11" s="335"/>
      <c r="AA11" s="335"/>
      <c r="AB11" s="335"/>
      <c r="AC11" s="344" t="s">
        <v>159</v>
      </c>
      <c r="AD11" s="344" t="s">
        <v>160</v>
      </c>
      <c r="AE11" s="344" t="s">
        <v>153</v>
      </c>
      <c r="AF11" s="344" t="s">
        <v>161</v>
      </c>
      <c r="AG11" s="344" t="s">
        <v>153</v>
      </c>
      <c r="AH11" s="344" t="s">
        <v>162</v>
      </c>
      <c r="AI11" s="344" t="s">
        <v>49</v>
      </c>
      <c r="AJ11" s="335" t="s">
        <v>163</v>
      </c>
      <c r="AK11" s="335" t="s">
        <v>164</v>
      </c>
      <c r="AL11" s="335" t="s">
        <v>165</v>
      </c>
      <c r="AM11" s="335" t="s">
        <v>166</v>
      </c>
      <c r="AN11" s="335" t="s">
        <v>167</v>
      </c>
      <c r="AO11" s="335" t="s">
        <v>168</v>
      </c>
      <c r="AP11" s="335" t="s">
        <v>169</v>
      </c>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row>
    <row r="12" spans="1:273" s="229" customFormat="1" ht="27" customHeight="1">
      <c r="A12" s="355"/>
      <c r="B12" s="334"/>
      <c r="C12" s="335"/>
      <c r="D12" s="335"/>
      <c r="E12" s="334"/>
      <c r="F12" s="335"/>
      <c r="G12" s="343"/>
      <c r="H12" s="332"/>
      <c r="I12" s="343"/>
      <c r="J12" s="343"/>
      <c r="K12" s="343"/>
      <c r="L12" s="335"/>
      <c r="M12" s="335"/>
      <c r="N12" s="334"/>
      <c r="O12" s="335"/>
      <c r="P12" s="335"/>
      <c r="Q12" s="334"/>
      <c r="R12" s="334"/>
      <c r="S12" s="335"/>
      <c r="T12" s="344"/>
      <c r="U12" s="335"/>
      <c r="V12" s="335"/>
      <c r="W12" s="226" t="s">
        <v>170</v>
      </c>
      <c r="X12" s="226" t="s">
        <v>171</v>
      </c>
      <c r="Y12" s="226" t="s">
        <v>172</v>
      </c>
      <c r="Z12" s="226" t="s">
        <v>173</v>
      </c>
      <c r="AA12" s="226" t="s">
        <v>174</v>
      </c>
      <c r="AB12" s="226" t="s">
        <v>175</v>
      </c>
      <c r="AC12" s="344"/>
      <c r="AD12" s="344"/>
      <c r="AE12" s="344"/>
      <c r="AF12" s="344"/>
      <c r="AG12" s="344"/>
      <c r="AH12" s="344"/>
      <c r="AI12" s="344"/>
      <c r="AJ12" s="335"/>
      <c r="AK12" s="335"/>
      <c r="AL12" s="335"/>
      <c r="AM12" s="335"/>
      <c r="AN12" s="335"/>
      <c r="AO12" s="335"/>
      <c r="AP12" s="335"/>
      <c r="AQ12" s="227"/>
      <c r="AR12" s="227"/>
      <c r="AS12" s="227"/>
      <c r="AT12" s="227"/>
      <c r="AU12" s="227"/>
      <c r="AV12" s="227"/>
      <c r="AW12" s="227"/>
      <c r="AX12" s="227"/>
      <c r="AY12" s="227"/>
      <c r="AZ12" s="227"/>
      <c r="BA12" s="227"/>
      <c r="BB12" s="227"/>
      <c r="BC12" s="227"/>
      <c r="BD12" s="227"/>
      <c r="BE12" s="227"/>
      <c r="BF12" s="227"/>
      <c r="BG12" s="227"/>
      <c r="BH12" s="227"/>
      <c r="BI12" s="227"/>
      <c r="BJ12" s="227"/>
      <c r="BK12" s="227"/>
      <c r="BL12" s="227"/>
      <c r="BM12" s="227"/>
      <c r="BN12" s="227"/>
      <c r="BO12" s="227"/>
      <c r="BP12" s="227"/>
      <c r="BQ12" s="228"/>
      <c r="BR12" s="228"/>
      <c r="BS12" s="228"/>
      <c r="BT12" s="228"/>
      <c r="BU12" s="228"/>
      <c r="BV12" s="228"/>
      <c r="BW12" s="228"/>
      <c r="BX12" s="228"/>
      <c r="BY12" s="228"/>
      <c r="BZ12" s="228"/>
      <c r="CA12" s="228"/>
      <c r="CB12" s="228"/>
      <c r="CC12" s="228"/>
      <c r="CD12" s="228"/>
      <c r="CE12" s="228"/>
      <c r="CF12" s="228"/>
      <c r="CG12" s="228"/>
      <c r="CH12" s="228"/>
      <c r="CI12" s="228"/>
      <c r="CJ12" s="228"/>
      <c r="CK12" s="228"/>
      <c r="CL12" s="228"/>
      <c r="CM12" s="228"/>
      <c r="CN12" s="228"/>
      <c r="CO12" s="228"/>
      <c r="CP12" s="228"/>
      <c r="CQ12" s="228"/>
      <c r="CR12" s="228"/>
      <c r="CS12" s="228"/>
      <c r="CT12" s="228"/>
      <c r="CU12" s="228"/>
      <c r="CV12" s="228"/>
      <c r="CW12" s="228"/>
      <c r="CX12" s="228"/>
      <c r="CY12" s="228"/>
      <c r="CZ12" s="228"/>
      <c r="DA12" s="228"/>
      <c r="DB12" s="228"/>
      <c r="DC12" s="228"/>
      <c r="DD12" s="228"/>
      <c r="DE12" s="228"/>
      <c r="DF12" s="228"/>
      <c r="DG12" s="228"/>
      <c r="DH12" s="228"/>
      <c r="DI12" s="228"/>
      <c r="DJ12" s="228"/>
      <c r="DK12" s="228"/>
      <c r="DL12" s="228"/>
      <c r="DM12" s="228"/>
      <c r="DN12" s="228"/>
      <c r="DO12" s="228"/>
      <c r="DP12" s="228"/>
      <c r="DQ12" s="228"/>
      <c r="DR12" s="228"/>
      <c r="DS12" s="228"/>
      <c r="DT12" s="228"/>
      <c r="DU12" s="228"/>
      <c r="DV12" s="228"/>
      <c r="DW12" s="228"/>
      <c r="DX12" s="228"/>
      <c r="DY12" s="228"/>
      <c r="DZ12" s="228"/>
      <c r="EA12" s="228"/>
      <c r="EB12" s="228"/>
      <c r="EC12" s="228"/>
      <c r="ED12" s="228"/>
      <c r="EE12" s="228"/>
      <c r="EF12" s="228"/>
      <c r="EG12" s="228"/>
      <c r="EH12" s="228"/>
      <c r="EI12" s="228"/>
      <c r="EJ12" s="228"/>
      <c r="EK12" s="228"/>
      <c r="EL12" s="228"/>
      <c r="EM12" s="228"/>
      <c r="EN12" s="228"/>
      <c r="EO12" s="228"/>
      <c r="EP12" s="228"/>
      <c r="EQ12" s="228"/>
      <c r="ER12" s="228"/>
      <c r="ES12" s="228"/>
      <c r="ET12" s="228"/>
      <c r="EU12" s="228"/>
      <c r="EV12" s="228"/>
      <c r="EW12" s="228"/>
      <c r="EX12" s="228"/>
      <c r="EY12" s="228"/>
      <c r="EZ12" s="228"/>
      <c r="FA12" s="228"/>
      <c r="FB12" s="228"/>
      <c r="FC12" s="228"/>
      <c r="FD12" s="228"/>
      <c r="FE12" s="228"/>
      <c r="FF12" s="228"/>
      <c r="FG12" s="228"/>
      <c r="FH12" s="228"/>
      <c r="FI12" s="228"/>
      <c r="FJ12" s="228"/>
      <c r="FK12" s="228"/>
      <c r="FL12" s="228"/>
      <c r="FM12" s="228"/>
      <c r="FN12" s="228"/>
      <c r="FO12" s="228"/>
      <c r="FP12" s="228"/>
      <c r="FQ12" s="228"/>
      <c r="FR12" s="228"/>
      <c r="FS12" s="228"/>
      <c r="FT12" s="228"/>
      <c r="FU12" s="228"/>
      <c r="FV12" s="228"/>
      <c r="FW12" s="228"/>
      <c r="FX12" s="228"/>
      <c r="FY12" s="228"/>
      <c r="FZ12" s="228"/>
      <c r="GA12" s="228"/>
      <c r="GB12" s="228"/>
      <c r="GC12" s="228"/>
      <c r="GD12" s="228"/>
      <c r="GE12" s="228"/>
      <c r="GF12" s="228"/>
      <c r="GG12" s="228"/>
      <c r="GH12" s="228"/>
      <c r="GI12" s="228"/>
      <c r="GJ12" s="228"/>
      <c r="GK12" s="228"/>
      <c r="GL12" s="228"/>
      <c r="GM12" s="228"/>
      <c r="GN12" s="228"/>
      <c r="GO12" s="228"/>
      <c r="GP12" s="228"/>
      <c r="GQ12" s="228"/>
      <c r="GR12" s="228"/>
      <c r="GS12" s="228"/>
      <c r="GT12" s="228"/>
      <c r="GU12" s="228"/>
      <c r="GV12" s="228"/>
      <c r="GW12" s="228"/>
      <c r="GX12" s="228"/>
      <c r="GY12" s="228"/>
      <c r="GZ12" s="228"/>
      <c r="HA12" s="228"/>
      <c r="HB12" s="228"/>
      <c r="HC12" s="228"/>
      <c r="HD12" s="228"/>
      <c r="HE12" s="228"/>
      <c r="HF12" s="228"/>
      <c r="HG12" s="228"/>
      <c r="HH12" s="228"/>
      <c r="HI12" s="228"/>
      <c r="HJ12" s="228"/>
      <c r="HK12" s="228"/>
      <c r="HL12" s="228"/>
      <c r="HM12" s="228"/>
      <c r="HN12" s="228"/>
      <c r="HO12" s="228"/>
      <c r="HP12" s="228"/>
      <c r="HQ12" s="228"/>
      <c r="HR12" s="228"/>
      <c r="HS12" s="228"/>
      <c r="HT12" s="228"/>
      <c r="HU12" s="228"/>
      <c r="HV12" s="228"/>
      <c r="HW12" s="228"/>
      <c r="HX12" s="228"/>
      <c r="HY12" s="228"/>
      <c r="HZ12" s="228"/>
      <c r="IA12" s="228"/>
      <c r="IB12" s="228"/>
      <c r="IC12" s="228"/>
      <c r="ID12" s="228"/>
      <c r="IE12" s="228"/>
      <c r="IF12" s="228"/>
      <c r="IG12" s="228"/>
      <c r="IH12" s="228"/>
      <c r="II12" s="228"/>
      <c r="IJ12" s="228"/>
      <c r="IK12" s="228"/>
      <c r="IL12" s="228"/>
      <c r="IM12" s="228"/>
      <c r="IN12" s="228"/>
      <c r="IO12" s="228"/>
      <c r="IP12" s="228"/>
      <c r="IQ12" s="228"/>
      <c r="IR12" s="228"/>
      <c r="IS12" s="228"/>
      <c r="IT12" s="228"/>
      <c r="IU12" s="228"/>
      <c r="IV12" s="228"/>
      <c r="IW12" s="228"/>
      <c r="IX12" s="228"/>
      <c r="IY12" s="228"/>
      <c r="IZ12" s="228"/>
      <c r="JA12" s="228"/>
      <c r="JB12" s="228"/>
      <c r="JC12" s="228"/>
      <c r="JD12" s="228"/>
      <c r="JE12" s="228"/>
      <c r="JF12" s="228"/>
      <c r="JG12" s="228"/>
      <c r="JH12" s="228"/>
      <c r="JI12" s="228"/>
      <c r="JJ12" s="228"/>
      <c r="JK12" s="228"/>
      <c r="JL12" s="228"/>
      <c r="JM12" s="228"/>
    </row>
    <row r="13" spans="1:273" s="231" customFormat="1" ht="153.75" customHeight="1">
      <c r="A13" s="348">
        <v>1</v>
      </c>
      <c r="B13" s="330" t="s">
        <v>176</v>
      </c>
      <c r="C13" s="330" t="s">
        <v>177</v>
      </c>
      <c r="D13" s="330" t="s">
        <v>178</v>
      </c>
      <c r="E13" s="330" t="s">
        <v>179</v>
      </c>
      <c r="F13" s="330" t="s">
        <v>180</v>
      </c>
      <c r="G13" s="330" t="s">
        <v>181</v>
      </c>
      <c r="H13" s="340"/>
      <c r="I13" s="340"/>
      <c r="J13" s="340"/>
      <c r="K13" s="340"/>
      <c r="L13" s="333">
        <v>1800</v>
      </c>
      <c r="M13" s="338" t="str">
        <f>IF(L13&lt;=0,"",IF(L13&lt;=2,"Muy Baja",IF(L13&lt;=24,"Baja",IF(L13&lt;=500,"Media",IF(L13&lt;=5000,"Alta","Muy Alta")))))</f>
        <v>Alta</v>
      </c>
      <c r="N13" s="337">
        <f>IF(M13="","",IF(M13="Muy Baja",0.2,IF(M13="Baja",0.4,IF(M13="Media",0.6,IF(M13="Alta",0.8,IF(M13="Muy Alta",1,))))))</f>
        <v>0.8</v>
      </c>
      <c r="O13" s="336" t="s">
        <v>182</v>
      </c>
      <c r="P13" s="337" t="str">
        <f>IF(NOT(ISERROR(MATCH(O13,'Tabla Impacto'!$B$222:$B$224,0))),'Tabla Impacto'!$F$224&amp;"Por favor no seleccionar los criterios de impacto(Afectación Económica o presupuestal y Pérdida Reputacional)",O13)</f>
        <v xml:space="preserve">     El riesgo afecta la imagen de la entidad con algunos usuarios de relevancia frente al logro de los objetivos</v>
      </c>
      <c r="Q13" s="338" t="str">
        <f>IF(OR(P13='Tabla Impacto'!$C$12,P13='Tabla Impacto'!$D$12),"Leve",IF(OR(P13='Tabla Impacto'!$C$13,P13='Tabla Impacto'!$D$13),"Menor",IF(OR(P13='Tabla Impacto'!$C$14,P13='Tabla Impacto'!$D$14),"Moderado",IF(OR(P13='Tabla Impacto'!$C$15,P13='Tabla Impacto'!$D$15),"Mayor",IF(OR(P13='Tabla Impacto'!$C$16,P13='Tabla Impacto'!$D$16),"Catastrófico","")))))</f>
        <v>Moderado</v>
      </c>
      <c r="R13" s="337">
        <f>IF(Q13="","",IF(Q13="Leve",0.2,IF(Q13="Menor",0.4,IF(Q13="Moderado",0.6,IF(Q13="Mayor",0.8,IF(Q13="Catastrófico",1,))))))</f>
        <v>0.6</v>
      </c>
      <c r="S13" s="339" t="str">
        <f>IF(OR(AND(M13="Muy Baja",Q13="Leve"),AND(M13="Muy Baja",Q13="Menor"),AND(M13="Baja",Q13="Leve")),"Bajo",IF(OR(AND(M13="Muy baja",Q13="Moderado"),AND(M13="Baja",Q13="Menor"),AND(M13="Baja",Q13="Moderado"),AND(M13="Media",Q13="Leve"),AND(M13="Media",Q13="Menor"),AND(M13="Media",Q13="Moderado"),AND(M13="Alta",Q13="Leve"),AND(M13="Alta",Q13="Menor")),"Moderado",IF(OR(AND(M13="Muy Baja",Q13="Mayor"),AND(M13="Baja",Q13="Mayor"),AND(M13="Media",Q13="Mayor"),AND(M13="Alta",Q13="Moderado"),AND(M13="Alta",Q13="Mayor"),AND(M13="Muy Alta",Q13="Leve"),AND(M13="Muy Alta",Q13="Menor"),AND(M13="Muy Alta",Q13="Moderado"),AND(M13="Muy Alta",Q13="Mayor")),"Alto",IF(OR(AND(M13="Muy Baja",Q13="Catastrófico"),AND(M13="Baja",Q13="Catastrófico"),AND(M13="Media",Q13="Catastrófico"),AND(M13="Alta",Q13="Catastrófico"),AND(M13="Muy Alta",Q13="Catastrófico")),"Extremo",""))))</f>
        <v>Alto</v>
      </c>
      <c r="T13" s="230">
        <v>1</v>
      </c>
      <c r="U13" s="259" t="s">
        <v>183</v>
      </c>
      <c r="V13" s="195" t="str">
        <f t="shared" ref="V13:V16" si="0">IF(OR(W13="Preventivo",W13="Detectivo"),"Probabilidad",IF(W13="Correctivo","Impacto",""))</f>
        <v>Probabilidad</v>
      </c>
      <c r="W13" s="261" t="s">
        <v>184</v>
      </c>
      <c r="X13" s="261" t="s">
        <v>185</v>
      </c>
      <c r="Y13" s="262" t="str">
        <f>IF(AND(W13="Preventivo",X13="Automático"),"50%",IF(AND(W13="Preventivo",X13="Manual"),"40%",IF(AND(W13="Detectivo",X13="Automático"),"40%",IF(AND(W13="Detectivo",X13="Manual"),"30%",IF(AND(W13="Correctivo",X13="Automático"),"35%",IF(AND(W13="Correctivo",X13="Manual"),"25%",""))))))</f>
        <v>40%</v>
      </c>
      <c r="Z13" s="261" t="s">
        <v>186</v>
      </c>
      <c r="AA13" s="261" t="s">
        <v>187</v>
      </c>
      <c r="AB13" s="261" t="s">
        <v>188</v>
      </c>
      <c r="AC13" s="198">
        <f>IFERROR(IF(V13="Probabilidad",(N13-(+N13*Y13)),IF(V13="Impacto",N13,"")),"")</f>
        <v>0.48</v>
      </c>
      <c r="AD13" s="199" t="str">
        <f>IFERROR(IF(AC13="","",IF(AC13&lt;=0.2,"Muy Baja",IF(AC13&lt;=0.4,"Baja",IF(AC13&lt;=0.6,"Media",IF(AC13&lt;=0.8,"Alta","Muy Alta"))))),"")</f>
        <v>Media</v>
      </c>
      <c r="AE13" s="197">
        <f>+AC13</f>
        <v>0.48</v>
      </c>
      <c r="AF13" s="199" t="str">
        <f>IFERROR(IF(AG13="","",IF(AG13&lt;=0.2,"Leve",IF(AG13&lt;=0.4,"Menor",IF(AG13&lt;=0.6,"Moderado",IF(AG13&lt;=0.8,"Mayor","Catastrófico"))))),"")</f>
        <v>Moderado</v>
      </c>
      <c r="AG13" s="197">
        <f>IFERROR(IF(V13="Impacto",(R13-(+R13*Y13)),IF(V13="Probabilidad",R13,"")),"")</f>
        <v>0.6</v>
      </c>
      <c r="AH13" s="200" t="str">
        <f>IFERROR(IF(OR(AND(AD13="Muy Baja",AF13="Leve"),AND(AD13="Muy Baja",AF13="Menor"),AND(AD13="Baja",AF13="Leve")),"Bajo",IF(OR(AND(AD13="Muy baja",AF13="Moderado"),AND(AD13="Baja",AF13="Menor"),AND(AD13="Baja",AF13="Moderado"),AND(AD13="Media",AF13="Leve"),AND(AD13="Media",AF13="Menor"),AND(AD13="Media",AF13="Moderado"),AND(AD13="Alta",AF13="Leve"),AND(AD13="Alta",AF13="Menor")),"Moderado",IF(OR(AND(AD13="Muy Baja",AF13="Mayor"),AND(AD13="Baja",AF13="Mayor"),AND(AD13="Media",AF13="Mayor"),AND(AD13="Alta",AF13="Moderado"),AND(AD13="Alta",AF13="Mayor"),AND(AD13="Muy Alta",AF13="Leve"),AND(AD13="Muy Alta",AF13="Menor"),AND(AD13="Muy Alta",AF13="Moderado"),AND(AD13="Muy Alta",AF13="Mayor")),"Alto",IF(OR(AND(AD13="Muy Baja",AF13="Catastrófico"),AND(AD13="Baja",AF13="Catastrófico"),AND(AD13="Media",AF13="Catastrófico"),AND(AD13="Alta",AF13="Catastrófico"),AND(AD13="Muy Alta",AF13="Catastrófico")),"Extremo","")))),"")</f>
        <v>Moderado</v>
      </c>
      <c r="AI13" s="201"/>
      <c r="AJ13" s="345" t="s">
        <v>189</v>
      </c>
      <c r="AK13" s="345" t="s">
        <v>190</v>
      </c>
      <c r="AL13" s="345" t="s">
        <v>191</v>
      </c>
      <c r="AM13" s="345" t="s">
        <v>192</v>
      </c>
      <c r="AN13" s="330" t="s">
        <v>193</v>
      </c>
      <c r="AO13" s="330" t="s">
        <v>194</v>
      </c>
      <c r="AP13" s="330" t="s">
        <v>195</v>
      </c>
    </row>
    <row r="14" spans="1:273" ht="221.25" customHeight="1">
      <c r="A14" s="348"/>
      <c r="B14" s="330"/>
      <c r="C14" s="330"/>
      <c r="D14" s="330"/>
      <c r="E14" s="330"/>
      <c r="F14" s="330"/>
      <c r="G14" s="330"/>
      <c r="H14" s="340"/>
      <c r="I14" s="340"/>
      <c r="J14" s="340"/>
      <c r="K14" s="340"/>
      <c r="L14" s="333"/>
      <c r="M14" s="338"/>
      <c r="N14" s="337"/>
      <c r="O14" s="336"/>
      <c r="P14" s="337">
        <f>IF(NOT(ISERROR(MATCH(O14,_xlfn.ANCHORARRAY(E25),0))),N27&amp;"Por favor no seleccionar los criterios de impacto",O14)</f>
        <v>0</v>
      </c>
      <c r="Q14" s="338"/>
      <c r="R14" s="337"/>
      <c r="S14" s="339"/>
      <c r="T14" s="230">
        <v>2</v>
      </c>
      <c r="U14" s="259" t="s">
        <v>196</v>
      </c>
      <c r="V14" s="195" t="str">
        <f t="shared" si="0"/>
        <v>Probabilidad</v>
      </c>
      <c r="W14" s="261" t="s">
        <v>197</v>
      </c>
      <c r="X14" s="261" t="s">
        <v>185</v>
      </c>
      <c r="Y14" s="262" t="str">
        <f t="shared" ref="Y14:Y18" si="1">IF(AND(W14="Preventivo",X14="Automático"),"50%",IF(AND(W14="Preventivo",X14="Manual"),"40%",IF(AND(W14="Detectivo",X14="Automático"),"40%",IF(AND(W14="Detectivo",X14="Manual"),"30%",IF(AND(W14="Correctivo",X14="Automático"),"35%",IF(AND(W14="Correctivo",X14="Manual"),"25%",""))))))</f>
        <v>30%</v>
      </c>
      <c r="Z14" s="261" t="s">
        <v>198</v>
      </c>
      <c r="AA14" s="261" t="s">
        <v>187</v>
      </c>
      <c r="AB14" s="261" t="s">
        <v>199</v>
      </c>
      <c r="AC14" s="198">
        <f>IFERROR(IF(AND(V13="Probabilidad",V14="Probabilidad"),(AE13-(+AE13*Y14)),IF(V14="Probabilidad",(N13-(+N13*Y14)),IF(V14="Impacto",AE13,""))),"")</f>
        <v>0.33599999999999997</v>
      </c>
      <c r="AD14" s="199" t="str">
        <f t="shared" ref="AD14:AD72" si="2">IFERROR(IF(AC14="","",IF(AC14&lt;=0.2,"Muy Baja",IF(AC14&lt;=0.4,"Baja",IF(AC14&lt;=0.6,"Media",IF(AC14&lt;=0.8,"Alta","Muy Alta"))))),"")</f>
        <v>Baja</v>
      </c>
      <c r="AE14" s="197">
        <f t="shared" ref="AE14:AE18" si="3">+AC14</f>
        <v>0.33599999999999997</v>
      </c>
      <c r="AF14" s="199" t="str">
        <f t="shared" ref="AF14:AF72" si="4">IFERROR(IF(AG14="","",IF(AG14&lt;=0.2,"Leve",IF(AG14&lt;=0.4,"Menor",IF(AG14&lt;=0.6,"Moderado",IF(AG14&lt;=0.8,"Mayor","Catastrófico"))))),"")</f>
        <v>Moderado</v>
      </c>
      <c r="AG14" s="197">
        <f>IFERROR(IF(AND(V13="Impacto",V14="Impacto"),(AG13-(+AG13*Y14)),IF(V14="Impacto",($R$13-(+$R$13*Y14)),IF(V14="Probabilidad",AG13,""))),"")</f>
        <v>0.6</v>
      </c>
      <c r="AH14" s="200" t="str">
        <f t="shared" ref="AH14:AH18" si="5">IFERROR(IF(OR(AND(AD14="Muy Baja",AF14="Leve"),AND(AD14="Muy Baja",AF14="Menor"),AND(AD14="Baja",AF14="Leve")),"Bajo",IF(OR(AND(AD14="Muy baja",AF14="Moderado"),AND(AD14="Baja",AF14="Menor"),AND(AD14="Baja",AF14="Moderado"),AND(AD14="Media",AF14="Leve"),AND(AD14="Media",AF14="Menor"),AND(AD14="Media",AF14="Moderado"),AND(AD14="Alta",AF14="Leve"),AND(AD14="Alta",AF14="Menor")),"Moderado",IF(OR(AND(AD14="Muy Baja",AF14="Mayor"),AND(AD14="Baja",AF14="Mayor"),AND(AD14="Media",AF14="Mayor"),AND(AD14="Alta",AF14="Moderado"),AND(AD14="Alta",AF14="Mayor"),AND(AD14="Muy Alta",AF14="Leve"),AND(AD14="Muy Alta",AF14="Menor"),AND(AD14="Muy Alta",AF14="Moderado"),AND(AD14="Muy Alta",AF14="Mayor")),"Alto",IF(OR(AND(AD14="Muy Baja",AF14="Catastrófico"),AND(AD14="Baja",AF14="Catastrófico"),AND(AD14="Media",AF14="Catastrófico"),AND(AD14="Alta",AF14="Catastrófico"),AND(AD14="Muy Alta",AF14="Catastrófico")),"Extremo","")))),"")</f>
        <v>Moderado</v>
      </c>
      <c r="AI14" s="201"/>
      <c r="AJ14" s="346"/>
      <c r="AK14" s="346"/>
      <c r="AL14" s="346"/>
      <c r="AM14" s="346"/>
      <c r="AN14" s="330"/>
      <c r="AO14" s="330"/>
      <c r="AP14" s="330"/>
    </row>
    <row r="15" spans="1:273" ht="153.75" customHeight="1">
      <c r="A15" s="348"/>
      <c r="B15" s="330"/>
      <c r="C15" s="330"/>
      <c r="D15" s="330"/>
      <c r="E15" s="330"/>
      <c r="F15" s="330"/>
      <c r="G15" s="330"/>
      <c r="H15" s="340"/>
      <c r="I15" s="340"/>
      <c r="J15" s="340"/>
      <c r="K15" s="340"/>
      <c r="L15" s="333"/>
      <c r="M15" s="338"/>
      <c r="N15" s="337"/>
      <c r="O15" s="336"/>
      <c r="P15" s="337">
        <f>IF(NOT(ISERROR(MATCH(O15,_xlfn.ANCHORARRAY(E26),0))),N28&amp;"Por favor no seleccionar los criterios de impacto",O15)</f>
        <v>0</v>
      </c>
      <c r="Q15" s="338"/>
      <c r="R15" s="337"/>
      <c r="S15" s="339"/>
      <c r="T15" s="230">
        <v>3</v>
      </c>
      <c r="U15" s="259" t="s">
        <v>200</v>
      </c>
      <c r="V15" s="195" t="str">
        <f t="shared" si="0"/>
        <v>Probabilidad</v>
      </c>
      <c r="W15" s="261" t="s">
        <v>197</v>
      </c>
      <c r="X15" s="261" t="s">
        <v>185</v>
      </c>
      <c r="Y15" s="262" t="str">
        <f t="shared" si="1"/>
        <v>30%</v>
      </c>
      <c r="Z15" s="261" t="s">
        <v>186</v>
      </c>
      <c r="AA15" s="261" t="s">
        <v>187</v>
      </c>
      <c r="AB15" s="261" t="s">
        <v>188</v>
      </c>
      <c r="AC15" s="198">
        <f>IFERROR(IF(AND(V14="Probabilidad",V15="Probabilidad"),(AE14-(+AE14*Y15)),IF(AND(V14="Impacto",V15="Probabilidad"),(AE13-(+AE13*Y15)),IF(V15="Impacto",AE14,""))),"")</f>
        <v>0.23519999999999996</v>
      </c>
      <c r="AD15" s="199" t="str">
        <f t="shared" si="2"/>
        <v>Baja</v>
      </c>
      <c r="AE15" s="197">
        <f t="shared" si="3"/>
        <v>0.23519999999999996</v>
      </c>
      <c r="AF15" s="199" t="str">
        <f t="shared" si="4"/>
        <v>Moderado</v>
      </c>
      <c r="AG15" s="197">
        <f>IFERROR(IF(AND(V14="Impacto",V15="Impacto"),(AG14-(+AG14*Y15)),IF(AND(V14="Probabilidad",V15="Impacto"),(AG13-(+AG13*Y15)),IF(V15="Probabilidad",AG14,""))),"")</f>
        <v>0.6</v>
      </c>
      <c r="AH15" s="200" t="str">
        <f t="shared" si="5"/>
        <v>Moderado</v>
      </c>
      <c r="AI15" s="201" t="s">
        <v>201</v>
      </c>
      <c r="AJ15" s="346"/>
      <c r="AK15" s="346"/>
      <c r="AL15" s="346"/>
      <c r="AM15" s="346"/>
      <c r="AN15" s="330"/>
      <c r="AO15" s="330"/>
      <c r="AP15" s="330"/>
    </row>
    <row r="16" spans="1:273" ht="7.5" customHeight="1">
      <c r="A16" s="348"/>
      <c r="B16" s="330"/>
      <c r="C16" s="330"/>
      <c r="D16" s="330"/>
      <c r="E16" s="330"/>
      <c r="F16" s="330"/>
      <c r="G16" s="330"/>
      <c r="H16" s="340"/>
      <c r="I16" s="340"/>
      <c r="J16" s="340"/>
      <c r="K16" s="340"/>
      <c r="L16" s="333"/>
      <c r="M16" s="338"/>
      <c r="N16" s="337"/>
      <c r="O16" s="336"/>
      <c r="P16" s="337">
        <f>IF(NOT(ISERROR(MATCH(O16,_xlfn.ANCHORARRAY(E27),0))),N29&amp;"Por favor no seleccionar los criterios de impacto",O16)</f>
        <v>0</v>
      </c>
      <c r="Q16" s="338"/>
      <c r="R16" s="337"/>
      <c r="S16" s="339"/>
      <c r="T16" s="230">
        <v>4</v>
      </c>
      <c r="U16" s="259"/>
      <c r="V16" s="195" t="str">
        <f t="shared" si="0"/>
        <v/>
      </c>
      <c r="W16" s="261"/>
      <c r="X16" s="261"/>
      <c r="Y16" s="262" t="str">
        <f t="shared" si="1"/>
        <v/>
      </c>
      <c r="Z16" s="261"/>
      <c r="AA16" s="261"/>
      <c r="AB16" s="261"/>
      <c r="AC16" s="198" t="str">
        <f t="shared" ref="AC16:AC18" si="6">IFERROR(IF(AND(V15="Probabilidad",V16="Probabilidad"),(AE15-(+AE15*Y16)),IF(AND(V15="Impacto",V16="Probabilidad"),(AE14-(+AE14*Y16)),IF(V16="Impacto",AE15,""))),"")</f>
        <v/>
      </c>
      <c r="AD16" s="199" t="str">
        <f t="shared" si="2"/>
        <v/>
      </c>
      <c r="AE16" s="197" t="str">
        <f t="shared" si="3"/>
        <v/>
      </c>
      <c r="AF16" s="199" t="str">
        <f t="shared" si="4"/>
        <v/>
      </c>
      <c r="AG16" s="197" t="str">
        <f t="shared" ref="AG16:AG18" si="7">IFERROR(IF(AND(V15="Impacto",V16="Impacto"),(AG15-(+AG15*Y16)),IF(AND(V15="Probabilidad",V16="Impacto"),(AG14-(+AG14*Y16)),IF(V16="Probabilidad",AG15,""))),"")</f>
        <v/>
      </c>
      <c r="AH16" s="200" t="str">
        <f>IFERROR(IF(OR(AND(AD16="Muy Baja",AF16="Leve"),AND(AD16="Muy Baja",AF16="Menor"),AND(AD16="Baja",AF16="Leve")),"Bajo",IF(OR(AND(AD16="Muy baja",AF16="Moderado"),AND(AD16="Baja",AF16="Menor"),AND(AD16="Baja",AF16="Moderado"),AND(AD16="Media",AF16="Leve"),AND(AD16="Media",AF16="Menor"),AND(AD16="Media",AF16="Moderado"),AND(AD16="Alta",AF16="Leve"),AND(AD16="Alta",AF16="Menor")),"Moderado",IF(OR(AND(AD16="Muy Baja",AF16="Mayor"),AND(AD16="Baja",AF16="Mayor"),AND(AD16="Media",AF16="Mayor"),AND(AD16="Alta",AF16="Moderado"),AND(AD16="Alta",AF16="Mayor"),AND(AD16="Muy Alta",AF16="Leve"),AND(AD16="Muy Alta",AF16="Menor"),AND(AD16="Muy Alta",AF16="Moderado"),AND(AD16="Muy Alta",AF16="Mayor")),"Alto",IF(OR(AND(AD16="Muy Baja",AF16="Catastrófico"),AND(AD16="Baja",AF16="Catastrófico"),AND(AD16="Media",AF16="Catastrófico"),AND(AD16="Alta",AF16="Catastrófico"),AND(AD16="Muy Alta",AF16="Catastrófico")),"Extremo","")))),"")</f>
        <v/>
      </c>
      <c r="AI16" s="201"/>
      <c r="AJ16" s="346"/>
      <c r="AK16" s="346"/>
      <c r="AL16" s="346"/>
      <c r="AM16" s="346"/>
      <c r="AN16" s="330"/>
      <c r="AO16" s="330"/>
      <c r="AP16" s="330"/>
    </row>
    <row r="17" spans="1:42" ht="7.5" customHeight="1">
      <c r="A17" s="348"/>
      <c r="B17" s="330"/>
      <c r="C17" s="330"/>
      <c r="D17" s="330"/>
      <c r="E17" s="330"/>
      <c r="F17" s="330"/>
      <c r="G17" s="330"/>
      <c r="H17" s="340"/>
      <c r="I17" s="340"/>
      <c r="J17" s="340"/>
      <c r="K17" s="340"/>
      <c r="L17" s="333"/>
      <c r="M17" s="338"/>
      <c r="N17" s="337"/>
      <c r="O17" s="336"/>
      <c r="P17" s="337">
        <f>IF(NOT(ISERROR(MATCH(O17,_xlfn.ANCHORARRAY(E28),0))),N30&amp;"Por favor no seleccionar los criterios de impacto",O17)</f>
        <v>0</v>
      </c>
      <c r="Q17" s="338"/>
      <c r="R17" s="337"/>
      <c r="S17" s="339"/>
      <c r="T17" s="230">
        <v>5</v>
      </c>
      <c r="U17" s="259"/>
      <c r="V17" s="195" t="str">
        <f t="shared" ref="V17:V18" si="8">IF(OR(W17="Preventivo",W17="Detectivo"),"Probabilidad",IF(W17="Correctivo","Impacto",""))</f>
        <v/>
      </c>
      <c r="W17" s="261"/>
      <c r="X17" s="261"/>
      <c r="Y17" s="262" t="str">
        <f t="shared" si="1"/>
        <v/>
      </c>
      <c r="Z17" s="261"/>
      <c r="AA17" s="261"/>
      <c r="AB17" s="261"/>
      <c r="AC17" s="198" t="str">
        <f t="shared" si="6"/>
        <v/>
      </c>
      <c r="AD17" s="199" t="str">
        <f t="shared" si="2"/>
        <v/>
      </c>
      <c r="AE17" s="197" t="str">
        <f t="shared" si="3"/>
        <v/>
      </c>
      <c r="AF17" s="199" t="str">
        <f t="shared" si="4"/>
        <v/>
      </c>
      <c r="AG17" s="197" t="str">
        <f t="shared" si="7"/>
        <v/>
      </c>
      <c r="AH17" s="200" t="str">
        <f t="shared" si="5"/>
        <v/>
      </c>
      <c r="AI17" s="201"/>
      <c r="AJ17" s="346"/>
      <c r="AK17" s="346"/>
      <c r="AL17" s="346"/>
      <c r="AM17" s="346"/>
      <c r="AN17" s="330"/>
      <c r="AO17" s="330"/>
      <c r="AP17" s="330"/>
    </row>
    <row r="18" spans="1:42" ht="7.5" customHeight="1">
      <c r="A18" s="348"/>
      <c r="B18" s="330"/>
      <c r="C18" s="330"/>
      <c r="D18" s="330"/>
      <c r="E18" s="330"/>
      <c r="F18" s="330"/>
      <c r="G18" s="330"/>
      <c r="H18" s="340"/>
      <c r="I18" s="340"/>
      <c r="J18" s="340"/>
      <c r="K18" s="340"/>
      <c r="L18" s="333"/>
      <c r="M18" s="338"/>
      <c r="N18" s="337"/>
      <c r="O18" s="336"/>
      <c r="P18" s="337">
        <f>IF(NOT(ISERROR(MATCH(O18,_xlfn.ANCHORARRAY(E29),0))),N31&amp;"Por favor no seleccionar los criterios de impacto",O18)</f>
        <v>0</v>
      </c>
      <c r="Q18" s="338"/>
      <c r="R18" s="337"/>
      <c r="S18" s="339"/>
      <c r="T18" s="230">
        <v>6</v>
      </c>
      <c r="U18" s="259"/>
      <c r="V18" s="195" t="str">
        <f t="shared" si="8"/>
        <v/>
      </c>
      <c r="W18" s="261"/>
      <c r="X18" s="261"/>
      <c r="Y18" s="262" t="str">
        <f t="shared" si="1"/>
        <v/>
      </c>
      <c r="Z18" s="261"/>
      <c r="AA18" s="261"/>
      <c r="AB18" s="261"/>
      <c r="AC18" s="198" t="str">
        <f t="shared" si="6"/>
        <v/>
      </c>
      <c r="AD18" s="199" t="str">
        <f t="shared" si="2"/>
        <v/>
      </c>
      <c r="AE18" s="197" t="str">
        <f t="shared" si="3"/>
        <v/>
      </c>
      <c r="AF18" s="199" t="str">
        <f t="shared" si="4"/>
        <v/>
      </c>
      <c r="AG18" s="197" t="str">
        <f t="shared" si="7"/>
        <v/>
      </c>
      <c r="AH18" s="200" t="str">
        <f t="shared" si="5"/>
        <v/>
      </c>
      <c r="AI18" s="201"/>
      <c r="AJ18" s="347"/>
      <c r="AK18" s="347"/>
      <c r="AL18" s="347"/>
      <c r="AM18" s="347"/>
      <c r="AN18" s="330"/>
      <c r="AO18" s="330"/>
      <c r="AP18" s="330"/>
    </row>
    <row r="19" spans="1:42" ht="165" customHeight="1">
      <c r="A19" s="348">
        <v>2</v>
      </c>
      <c r="B19" s="330" t="s">
        <v>176</v>
      </c>
      <c r="C19" s="330" t="s">
        <v>202</v>
      </c>
      <c r="D19" s="330" t="s">
        <v>203</v>
      </c>
      <c r="E19" s="330" t="s">
        <v>204</v>
      </c>
      <c r="F19" s="330" t="s">
        <v>180</v>
      </c>
      <c r="G19" s="330" t="s">
        <v>181</v>
      </c>
      <c r="H19" s="340"/>
      <c r="I19" s="340"/>
      <c r="J19" s="340"/>
      <c r="K19" s="340"/>
      <c r="L19" s="333">
        <v>1000</v>
      </c>
      <c r="M19" s="338" t="str">
        <f>IF(L19&lt;=0,"",IF(L19&lt;=2,"Muy Baja",IF(L19&lt;=24,"Baja",IF(L19&lt;=500,"Media",IF(L19&lt;=5000,"Alta","Muy Alta")))))</f>
        <v>Alta</v>
      </c>
      <c r="N19" s="337">
        <f>IF(M19="","",IF(M19="Muy Baja",0.2,IF(M19="Baja",0.4,IF(M19="Media",0.6,IF(M19="Alta",0.8,IF(M19="Muy Alta",1,))))))</f>
        <v>0.8</v>
      </c>
      <c r="O19" s="336" t="s">
        <v>182</v>
      </c>
      <c r="P19" s="337" t="str">
        <f>IF(NOT(ISERROR(MATCH(O19,'Tabla Impacto'!$B$222:$B$224,0))),'Tabla Impacto'!$F$224&amp;"Por favor no seleccionar los criterios de impacto(Afectación Económica o presupuestal y Pérdida Reputacional)",O19)</f>
        <v xml:space="preserve">     El riesgo afecta la imagen de la entidad con algunos usuarios de relevancia frente al logro de los objetivos</v>
      </c>
      <c r="Q19" s="338" t="str">
        <f>IF(OR(P19='Tabla Impacto'!$C$12,P19='Tabla Impacto'!$D$12),"Leve",IF(OR(P19='Tabla Impacto'!$C$13,P19='Tabla Impacto'!$D$13),"Menor",IF(OR(P19='Tabla Impacto'!$C$14,P19='Tabla Impacto'!$D$14),"Moderado",IF(OR(P19='Tabla Impacto'!$C$15,P19='Tabla Impacto'!$D$15),"Mayor",IF(OR(P19='Tabla Impacto'!$C$16,P19='Tabla Impacto'!$D$16),"Catastrófico","")))))</f>
        <v>Moderado</v>
      </c>
      <c r="R19" s="337">
        <f>IF(Q19="","",IF(Q19="Leve",0.2,IF(Q19="Menor",0.4,IF(Q19="Moderado",0.6,IF(Q19="Mayor",0.8,IF(Q19="Catastrófico",1,))))))</f>
        <v>0.6</v>
      </c>
      <c r="S19" s="339" t="str">
        <f>IF(OR(AND(M19="Muy Baja",Q19="Leve"),AND(M19="Muy Baja",Q19="Menor"),AND(M19="Baja",Q19="Leve")),"Bajo",IF(OR(AND(M19="Muy baja",Q19="Moderado"),AND(M19="Baja",Q19="Menor"),AND(M19="Baja",Q19="Moderado"),AND(M19="Media",Q19="Leve"),AND(M19="Media",Q19="Menor"),AND(M19="Media",Q19="Moderado"),AND(M19="Alta",Q19="Leve"),AND(M19="Alta",Q19="Menor")),"Moderado",IF(OR(AND(M19="Muy Baja",Q19="Mayor"),AND(M19="Baja",Q19="Mayor"),AND(M19="Media",Q19="Mayor"),AND(M19="Alta",Q19="Moderado"),AND(M19="Alta",Q19="Mayor"),AND(M19="Muy Alta",Q19="Leve"),AND(M19="Muy Alta",Q19="Menor"),AND(M19="Muy Alta",Q19="Moderado"),AND(M19="Muy Alta",Q19="Mayor")),"Alto",IF(OR(AND(M19="Muy Baja",Q19="Catastrófico"),AND(M19="Baja",Q19="Catastrófico"),AND(M19="Media",Q19="Catastrófico"),AND(M19="Alta",Q19="Catastrófico"),AND(M19="Muy Alta",Q19="Catastrófico")),"Extremo",""))))</f>
        <v>Alto</v>
      </c>
      <c r="T19" s="230">
        <v>1</v>
      </c>
      <c r="U19" s="260" t="s">
        <v>205</v>
      </c>
      <c r="V19" s="195" t="str">
        <f>IF(OR(W19="Preventivo",W19="Detectivo"),"Probabilidad",IF(W19="Correctivo","Impacto",""))</f>
        <v>Probabilidad</v>
      </c>
      <c r="W19" s="261" t="s">
        <v>184</v>
      </c>
      <c r="X19" s="261" t="s">
        <v>185</v>
      </c>
      <c r="Y19" s="262" t="str">
        <f>IF(AND(W19="Preventivo",X19="Automático"),"50%",IF(AND(W19="Preventivo",X19="Manual"),"40%",IF(AND(W19="Detectivo",X19="Automático"),"40%",IF(AND(W19="Detectivo",X19="Manual"),"30%",IF(AND(W19="Correctivo",X19="Automático"),"35%",IF(AND(W19="Correctivo",X19="Manual"),"25%",""))))))</f>
        <v>40%</v>
      </c>
      <c r="Z19" s="261" t="s">
        <v>198</v>
      </c>
      <c r="AA19" s="261" t="s">
        <v>206</v>
      </c>
      <c r="AB19" s="261" t="s">
        <v>188</v>
      </c>
      <c r="AC19" s="198">
        <f>IFERROR(IF(V19="Probabilidad",(N19-(+N19*Y19)),IF(V19="Impacto",N19,"")),"")</f>
        <v>0.48</v>
      </c>
      <c r="AD19" s="199" t="str">
        <f>IFERROR(IF(AC19="","",IF(AC19&lt;=0.2,"Muy Baja",IF(AC19&lt;=0.4,"Baja",IF(AC19&lt;=0.6,"Media",IF(AC19&lt;=0.8,"Alta","Muy Alta"))))),"")</f>
        <v>Media</v>
      </c>
      <c r="AE19" s="197">
        <f>+AC19</f>
        <v>0.48</v>
      </c>
      <c r="AF19" s="199" t="str">
        <f>IFERROR(IF(AG19="","",IF(AG19&lt;=0.2,"Leve",IF(AG19&lt;=0.4,"Menor",IF(AG19&lt;=0.6,"Moderado",IF(AG19&lt;=0.8,"Mayor","Catastrófico"))))),"")</f>
        <v>Moderado</v>
      </c>
      <c r="AG19" s="197">
        <f>IFERROR(IF(V19="Impacto",(R19-(+R19*Y19)),IF(V19="Probabilidad",R19,"")),"")</f>
        <v>0.6</v>
      </c>
      <c r="AH19" s="200" t="str">
        <f>IFERROR(IF(OR(AND(AD19="Muy Baja",AF19="Leve"),AND(AD19="Muy Baja",AF19="Menor"),AND(AD19="Baja",AF19="Leve")),"Bajo",IF(OR(AND(AD19="Muy baja",AF19="Moderado"),AND(AD19="Baja",AF19="Menor"),AND(AD19="Baja",AF19="Moderado"),AND(AD19="Media",AF19="Leve"),AND(AD19="Media",AF19="Menor"),AND(AD19="Media",AF19="Moderado"),AND(AD19="Alta",AF19="Leve"),AND(AD19="Alta",AF19="Menor")),"Moderado",IF(OR(AND(AD19="Muy Baja",AF19="Mayor"),AND(AD19="Baja",AF19="Mayor"),AND(AD19="Media",AF19="Mayor"),AND(AD19="Alta",AF19="Moderado"),AND(AD19="Alta",AF19="Mayor"),AND(AD19="Muy Alta",AF19="Leve"),AND(AD19="Muy Alta",AF19="Menor"),AND(AD19="Muy Alta",AF19="Moderado"),AND(AD19="Muy Alta",AF19="Mayor")),"Alto",IF(OR(AND(AD19="Muy Baja",AF19="Catastrófico"),AND(AD19="Baja",AF19="Catastrófico"),AND(AD19="Media",AF19="Catastrófico"),AND(AD19="Alta",AF19="Catastrófico"),AND(AD19="Muy Alta",AF19="Catastrófico")),"Extremo","")))),"")</f>
        <v>Moderado</v>
      </c>
      <c r="AI19" s="201"/>
      <c r="AJ19" s="345" t="s">
        <v>207</v>
      </c>
      <c r="AK19" s="263" t="s">
        <v>208</v>
      </c>
      <c r="AL19" s="265" t="s">
        <v>209</v>
      </c>
      <c r="AM19" s="264" t="s">
        <v>210</v>
      </c>
      <c r="AN19" s="330" t="s">
        <v>193</v>
      </c>
      <c r="AO19" s="330" t="s">
        <v>211</v>
      </c>
      <c r="AP19" s="341"/>
    </row>
    <row r="20" spans="1:42" ht="212.25" customHeight="1">
      <c r="A20" s="348"/>
      <c r="B20" s="330"/>
      <c r="C20" s="330"/>
      <c r="D20" s="330"/>
      <c r="E20" s="330"/>
      <c r="F20" s="330"/>
      <c r="G20" s="330"/>
      <c r="H20" s="340"/>
      <c r="I20" s="340"/>
      <c r="J20" s="340"/>
      <c r="K20" s="340"/>
      <c r="L20" s="333"/>
      <c r="M20" s="338"/>
      <c r="N20" s="337"/>
      <c r="O20" s="336"/>
      <c r="P20" s="337">
        <f>IF(NOT(ISERROR(MATCH(O20,_xlfn.ANCHORARRAY(E31),0))),N33&amp;"Por favor no seleccionar los criterios de impacto",O20)</f>
        <v>0</v>
      </c>
      <c r="Q20" s="338"/>
      <c r="R20" s="337"/>
      <c r="S20" s="339"/>
      <c r="T20" s="230">
        <v>2</v>
      </c>
      <c r="U20" s="259" t="s">
        <v>212</v>
      </c>
      <c r="V20" s="195" t="str">
        <f>IF(OR(W20="Preventivo",W20="Detectivo"),"Probabilidad",IF(W20="Correctivo","Impacto",""))</f>
        <v>Probabilidad</v>
      </c>
      <c r="W20" s="261" t="s">
        <v>197</v>
      </c>
      <c r="X20" s="261" t="s">
        <v>185</v>
      </c>
      <c r="Y20" s="262" t="str">
        <f t="shared" ref="Y20" si="9">IF(AND(W20="Preventivo",X20="Automático"),"50%",IF(AND(W20="Preventivo",X20="Manual"),"40%",IF(AND(W20="Detectivo",X20="Automático"),"40%",IF(AND(W20="Detectivo",X20="Manual"),"30%",IF(AND(W20="Correctivo",X20="Automático"),"35%",IF(AND(W20="Correctivo",X20="Manual"),"25%",""))))))</f>
        <v>30%</v>
      </c>
      <c r="Z20" s="261" t="s">
        <v>198</v>
      </c>
      <c r="AA20" s="261" t="s">
        <v>187</v>
      </c>
      <c r="AB20" s="261" t="s">
        <v>188</v>
      </c>
      <c r="AC20" s="198">
        <f>IFERROR(IF(AND(V19="Probabilidad",V20="Probabilidad"),(AE19-(+AE19*Y20)),IF(V20="Probabilidad",(N19-(+N19*Y20)),IF(V20="Impacto",AE19,""))),"")</f>
        <v>0.33599999999999997</v>
      </c>
      <c r="AD20" s="199" t="str">
        <f t="shared" si="2"/>
        <v>Baja</v>
      </c>
      <c r="AE20" s="197">
        <f t="shared" ref="AE20:AE24" si="10">+AC20</f>
        <v>0.33599999999999997</v>
      </c>
      <c r="AF20" s="199" t="str">
        <f t="shared" si="4"/>
        <v>Moderado</v>
      </c>
      <c r="AG20" s="197">
        <f>IFERROR(IF(AND(V19="Impacto",V20="Impacto"),(AG13-(+AG13*Y20)),IF(V20="Impacto",($R$19-(+$R$19*Y20)),IF(V20="Probabilidad",AG13,""))),"")</f>
        <v>0.6</v>
      </c>
      <c r="AH20" s="200" t="str">
        <f t="shared" ref="AH20:AH21" si="11">IFERROR(IF(OR(AND(AD20="Muy Baja",AF20="Leve"),AND(AD20="Muy Baja",AF20="Menor"),AND(AD20="Baja",AF20="Leve")),"Bajo",IF(OR(AND(AD20="Muy baja",AF20="Moderado"),AND(AD20="Baja",AF20="Menor"),AND(AD20="Baja",AF20="Moderado"),AND(AD20="Media",AF20="Leve"),AND(AD20="Media",AF20="Menor"),AND(AD20="Media",AF20="Moderado"),AND(AD20="Alta",AF20="Leve"),AND(AD20="Alta",AF20="Menor")),"Moderado",IF(OR(AND(AD20="Muy Baja",AF20="Mayor"),AND(AD20="Baja",AF20="Mayor"),AND(AD20="Media",AF20="Mayor"),AND(AD20="Alta",AF20="Moderado"),AND(AD20="Alta",AF20="Mayor"),AND(AD20="Muy Alta",AF20="Leve"),AND(AD20="Muy Alta",AF20="Menor"),AND(AD20="Muy Alta",AF20="Moderado"),AND(AD20="Muy Alta",AF20="Mayor")),"Alto",IF(OR(AND(AD20="Muy Baja",AF20="Catastrófico"),AND(AD20="Baja",AF20="Catastrófico"),AND(AD20="Media",AF20="Catastrófico"),AND(AD20="Alta",AF20="Catastrófico"),AND(AD20="Muy Alta",AF20="Catastrófico")),"Extremo","")))),"")</f>
        <v>Moderado</v>
      </c>
      <c r="AI20" s="201" t="s">
        <v>201</v>
      </c>
      <c r="AJ20" s="346"/>
      <c r="AK20" s="345"/>
      <c r="AL20" s="345"/>
      <c r="AM20" s="345"/>
      <c r="AN20" s="330"/>
      <c r="AO20" s="330"/>
      <c r="AP20" s="341"/>
    </row>
    <row r="21" spans="1:42" ht="7.5" customHeight="1">
      <c r="A21" s="348"/>
      <c r="B21" s="330"/>
      <c r="C21" s="330"/>
      <c r="D21" s="330"/>
      <c r="E21" s="330"/>
      <c r="F21" s="330"/>
      <c r="G21" s="330"/>
      <c r="H21" s="340"/>
      <c r="I21" s="340"/>
      <c r="J21" s="340"/>
      <c r="K21" s="340"/>
      <c r="L21" s="333"/>
      <c r="M21" s="338"/>
      <c r="N21" s="337"/>
      <c r="O21" s="336"/>
      <c r="P21" s="337">
        <f>IF(NOT(ISERROR(MATCH(O21,_xlfn.ANCHORARRAY(E32),0))),N34&amp;"Por favor no seleccionar los criterios de impacto",O21)</f>
        <v>0</v>
      </c>
      <c r="Q21" s="338"/>
      <c r="R21" s="337"/>
      <c r="S21" s="339"/>
      <c r="T21" s="230">
        <v>3</v>
      </c>
      <c r="U21" s="194"/>
      <c r="V21" s="195" t="str">
        <f>IF(OR(W21="Preventivo",W21="Detectivo"),"Probabilidad",IF(W21="Correctivo","Impacto",""))</f>
        <v/>
      </c>
      <c r="W21" s="196"/>
      <c r="X21" s="196"/>
      <c r="Y21" s="197" t="str">
        <f t="shared" ref="Y21:Y24" si="12">IF(AND(W21="Preventivo",X21="Automático"),"50%",IF(AND(W21="Preventivo",X21="Manual"),"40%",IF(AND(W21="Detectivo",X21="Automático"),"40%",IF(AND(W21="Detectivo",X21="Manual"),"30%",IF(AND(W21="Correctivo",X21="Automático"),"35%",IF(AND(W21="Correctivo",X21="Manual"),"25%",""))))))</f>
        <v/>
      </c>
      <c r="Z21" s="196"/>
      <c r="AA21" s="196"/>
      <c r="AB21" s="196"/>
      <c r="AC21" s="198" t="str">
        <f>IFERROR(IF(AND(V20="Probabilidad",V21="Probabilidad"),(AE20-(+AE20*Y21)),IF(AND(V20="Impacto",V21="Probabilidad"),(AE19-(+AE19*Y21)),IF(V21="Impacto",AE20,""))),"")</f>
        <v/>
      </c>
      <c r="AD21" s="199" t="str">
        <f t="shared" si="2"/>
        <v/>
      </c>
      <c r="AE21" s="197" t="str">
        <f t="shared" si="10"/>
        <v/>
      </c>
      <c r="AF21" s="199" t="str">
        <f t="shared" si="4"/>
        <v/>
      </c>
      <c r="AG21" s="197" t="str">
        <f>IFERROR(IF(AND(V20="Impacto",V21="Impacto"),(AG20-(+AG20*Y21)),IF(AND(V20="Probabilidad",V21="Impacto"),(AG19-(+AG19*Y21)),IF(V21="Probabilidad",AG20,""))),"")</f>
        <v/>
      </c>
      <c r="AH21" s="200" t="str">
        <f t="shared" si="11"/>
        <v/>
      </c>
      <c r="AI21" s="201"/>
      <c r="AJ21" s="346"/>
      <c r="AK21" s="346"/>
      <c r="AL21" s="346"/>
      <c r="AM21" s="346"/>
      <c r="AN21" s="330"/>
      <c r="AO21" s="330"/>
      <c r="AP21" s="341"/>
    </row>
    <row r="22" spans="1:42" ht="7.5" customHeight="1">
      <c r="A22" s="348"/>
      <c r="B22" s="330"/>
      <c r="C22" s="330"/>
      <c r="D22" s="330"/>
      <c r="E22" s="330"/>
      <c r="F22" s="330"/>
      <c r="G22" s="330"/>
      <c r="H22" s="340"/>
      <c r="I22" s="340"/>
      <c r="J22" s="340"/>
      <c r="K22" s="340"/>
      <c r="L22" s="333"/>
      <c r="M22" s="338"/>
      <c r="N22" s="337"/>
      <c r="O22" s="336"/>
      <c r="P22" s="337">
        <f>IF(NOT(ISERROR(MATCH(O22,_xlfn.ANCHORARRAY(E33),0))),N35&amp;"Por favor no seleccionar los criterios de impacto",O22)</f>
        <v>0</v>
      </c>
      <c r="Q22" s="338"/>
      <c r="R22" s="337"/>
      <c r="S22" s="339"/>
      <c r="T22" s="230">
        <v>4</v>
      </c>
      <c r="U22" s="193"/>
      <c r="V22" s="195" t="str">
        <f t="shared" ref="V22:V24" si="13">IF(OR(W22="Preventivo",W22="Detectivo"),"Probabilidad",IF(W22="Correctivo","Impacto",""))</f>
        <v/>
      </c>
      <c r="W22" s="196"/>
      <c r="X22" s="196"/>
      <c r="Y22" s="197" t="str">
        <f t="shared" si="12"/>
        <v/>
      </c>
      <c r="Z22" s="196"/>
      <c r="AA22" s="196"/>
      <c r="AB22" s="196"/>
      <c r="AC22" s="198" t="str">
        <f t="shared" ref="AC22:AC24" si="14">IFERROR(IF(AND(V21="Probabilidad",V22="Probabilidad"),(AE21-(+AE21*Y22)),IF(AND(V21="Impacto",V22="Probabilidad"),(AE20-(+AE20*Y22)),IF(V22="Impacto",AE21,""))),"")</f>
        <v/>
      </c>
      <c r="AD22" s="199" t="str">
        <f t="shared" si="2"/>
        <v/>
      </c>
      <c r="AE22" s="197" t="str">
        <f t="shared" si="10"/>
        <v/>
      </c>
      <c r="AF22" s="199" t="str">
        <f t="shared" si="4"/>
        <v/>
      </c>
      <c r="AG22" s="197" t="str">
        <f t="shared" ref="AG22:AG24" si="15">IFERROR(IF(AND(V21="Impacto",V22="Impacto"),(AG21-(+AG21*Y22)),IF(AND(V21="Probabilidad",V22="Impacto"),(AG20-(+AG20*Y22)),IF(V22="Probabilidad",AG21,""))),"")</f>
        <v/>
      </c>
      <c r="AH22" s="200" t="str">
        <f>IFERROR(IF(OR(AND(AD22="Muy Baja",AF22="Leve"),AND(AD22="Muy Baja",AF22="Menor"),AND(AD22="Baja",AF22="Leve")),"Bajo",IF(OR(AND(AD22="Muy baja",AF22="Moderado"),AND(AD22="Baja",AF22="Menor"),AND(AD22="Baja",AF22="Moderado"),AND(AD22="Media",AF22="Leve"),AND(AD22="Media",AF22="Menor"),AND(AD22="Media",AF22="Moderado"),AND(AD22="Alta",AF22="Leve"),AND(AD22="Alta",AF22="Menor")),"Moderado",IF(OR(AND(AD22="Muy Baja",AF22="Mayor"),AND(AD22="Baja",AF22="Mayor"),AND(AD22="Media",AF22="Mayor"),AND(AD22="Alta",AF22="Moderado"),AND(AD22="Alta",AF22="Mayor"),AND(AD22="Muy Alta",AF22="Leve"),AND(AD22="Muy Alta",AF22="Menor"),AND(AD22="Muy Alta",AF22="Moderado"),AND(AD22="Muy Alta",AF22="Mayor")),"Alto",IF(OR(AND(AD22="Muy Baja",AF22="Catastrófico"),AND(AD22="Baja",AF22="Catastrófico"),AND(AD22="Media",AF22="Catastrófico"),AND(AD22="Alta",AF22="Catastrófico"),AND(AD22="Muy Alta",AF22="Catastrófico")),"Extremo","")))),"")</f>
        <v/>
      </c>
      <c r="AI22" s="201"/>
      <c r="AJ22" s="346"/>
      <c r="AK22" s="346"/>
      <c r="AL22" s="346"/>
      <c r="AM22" s="346"/>
      <c r="AN22" s="330"/>
      <c r="AO22" s="330"/>
      <c r="AP22" s="341"/>
    </row>
    <row r="23" spans="1:42" ht="7.5" customHeight="1">
      <c r="A23" s="348"/>
      <c r="B23" s="330"/>
      <c r="C23" s="330"/>
      <c r="D23" s="330"/>
      <c r="E23" s="330"/>
      <c r="F23" s="330"/>
      <c r="G23" s="330"/>
      <c r="H23" s="340"/>
      <c r="I23" s="340"/>
      <c r="J23" s="340"/>
      <c r="K23" s="340"/>
      <c r="L23" s="333"/>
      <c r="M23" s="338"/>
      <c r="N23" s="337"/>
      <c r="O23" s="336"/>
      <c r="P23" s="337">
        <f>IF(NOT(ISERROR(MATCH(O23,_xlfn.ANCHORARRAY(E34),0))),N36&amp;"Por favor no seleccionar los criterios de impacto",O23)</f>
        <v>0</v>
      </c>
      <c r="Q23" s="338"/>
      <c r="R23" s="337"/>
      <c r="S23" s="339"/>
      <c r="T23" s="230">
        <v>5</v>
      </c>
      <c r="U23" s="193"/>
      <c r="V23" s="195" t="str">
        <f t="shared" si="13"/>
        <v/>
      </c>
      <c r="W23" s="196"/>
      <c r="X23" s="196"/>
      <c r="Y23" s="197" t="str">
        <f t="shared" si="12"/>
        <v/>
      </c>
      <c r="Z23" s="196"/>
      <c r="AA23" s="196"/>
      <c r="AB23" s="196"/>
      <c r="AC23" s="198" t="str">
        <f t="shared" si="14"/>
        <v/>
      </c>
      <c r="AD23" s="199" t="str">
        <f t="shared" si="2"/>
        <v/>
      </c>
      <c r="AE23" s="197" t="str">
        <f t="shared" si="10"/>
        <v/>
      </c>
      <c r="AF23" s="199" t="str">
        <f t="shared" si="4"/>
        <v/>
      </c>
      <c r="AG23" s="197" t="str">
        <f t="shared" si="15"/>
        <v/>
      </c>
      <c r="AH23" s="200" t="str">
        <f t="shared" ref="AH23:AH24" si="16">IFERROR(IF(OR(AND(AD23="Muy Baja",AF23="Leve"),AND(AD23="Muy Baja",AF23="Menor"),AND(AD23="Baja",AF23="Leve")),"Bajo",IF(OR(AND(AD23="Muy baja",AF23="Moderado"),AND(AD23="Baja",AF23="Menor"),AND(AD23="Baja",AF23="Moderado"),AND(AD23="Media",AF23="Leve"),AND(AD23="Media",AF23="Menor"),AND(AD23="Media",AF23="Moderado"),AND(AD23="Alta",AF23="Leve"),AND(AD23="Alta",AF23="Menor")),"Moderado",IF(OR(AND(AD23="Muy Baja",AF23="Mayor"),AND(AD23="Baja",AF23="Mayor"),AND(AD23="Media",AF23="Mayor"),AND(AD23="Alta",AF23="Moderado"),AND(AD23="Alta",AF23="Mayor"),AND(AD23="Muy Alta",AF23="Leve"),AND(AD23="Muy Alta",AF23="Menor"),AND(AD23="Muy Alta",AF23="Moderado"),AND(AD23="Muy Alta",AF23="Mayor")),"Alto",IF(OR(AND(AD23="Muy Baja",AF23="Catastrófico"),AND(AD23="Baja",AF23="Catastrófico"),AND(AD23="Media",AF23="Catastrófico"),AND(AD23="Alta",AF23="Catastrófico"),AND(AD23="Muy Alta",AF23="Catastrófico")),"Extremo","")))),"")</f>
        <v/>
      </c>
      <c r="AI23" s="201"/>
      <c r="AJ23" s="346"/>
      <c r="AK23" s="346"/>
      <c r="AL23" s="346"/>
      <c r="AM23" s="346"/>
      <c r="AN23" s="330"/>
      <c r="AO23" s="330"/>
      <c r="AP23" s="341"/>
    </row>
    <row r="24" spans="1:42" ht="7.5" customHeight="1">
      <c r="A24" s="348"/>
      <c r="B24" s="330"/>
      <c r="C24" s="330"/>
      <c r="D24" s="330"/>
      <c r="E24" s="330"/>
      <c r="F24" s="330"/>
      <c r="G24" s="330"/>
      <c r="H24" s="340"/>
      <c r="I24" s="340"/>
      <c r="J24" s="340"/>
      <c r="K24" s="340"/>
      <c r="L24" s="333"/>
      <c r="M24" s="338"/>
      <c r="N24" s="337"/>
      <c r="O24" s="336"/>
      <c r="P24" s="337">
        <f>IF(NOT(ISERROR(MATCH(O24,_xlfn.ANCHORARRAY(E35),0))),N37&amp;"Por favor no seleccionar los criterios de impacto",O24)</f>
        <v>0</v>
      </c>
      <c r="Q24" s="338"/>
      <c r="R24" s="337"/>
      <c r="S24" s="339"/>
      <c r="T24" s="230">
        <v>6</v>
      </c>
      <c r="U24" s="193"/>
      <c r="V24" s="195" t="str">
        <f t="shared" si="13"/>
        <v/>
      </c>
      <c r="W24" s="196"/>
      <c r="X24" s="196"/>
      <c r="Y24" s="197" t="str">
        <f t="shared" si="12"/>
        <v/>
      </c>
      <c r="Z24" s="196"/>
      <c r="AA24" s="196"/>
      <c r="AB24" s="196"/>
      <c r="AC24" s="198" t="str">
        <f t="shared" si="14"/>
        <v/>
      </c>
      <c r="AD24" s="199" t="str">
        <f t="shared" si="2"/>
        <v/>
      </c>
      <c r="AE24" s="197" t="str">
        <f t="shared" si="10"/>
        <v/>
      </c>
      <c r="AF24" s="199" t="str">
        <f t="shared" si="4"/>
        <v/>
      </c>
      <c r="AG24" s="197" t="str">
        <f t="shared" si="15"/>
        <v/>
      </c>
      <c r="AH24" s="200" t="str">
        <f t="shared" si="16"/>
        <v/>
      </c>
      <c r="AI24" s="201"/>
      <c r="AJ24" s="347"/>
      <c r="AK24" s="346"/>
      <c r="AL24" s="346"/>
      <c r="AM24" s="346"/>
      <c r="AN24" s="330"/>
      <c r="AO24" s="330"/>
      <c r="AP24" s="341"/>
    </row>
    <row r="25" spans="1:42" ht="37.5" customHeight="1">
      <c r="A25" s="348">
        <v>3</v>
      </c>
      <c r="B25" s="330"/>
      <c r="C25" s="330"/>
      <c r="D25" s="330"/>
      <c r="E25" s="330"/>
      <c r="F25" s="330"/>
      <c r="G25" s="330"/>
      <c r="H25" s="330"/>
      <c r="I25" s="330"/>
      <c r="J25" s="330"/>
      <c r="K25" s="330"/>
      <c r="L25" s="333"/>
      <c r="M25" s="338" t="str">
        <f>IF(L25&lt;=0,"",IF(L25&lt;=2,"Muy Baja",IF(L25&lt;=24,"Baja",IF(L25&lt;=500,"Media",IF(L25&lt;=5000,"Alta","Muy Alta")))))</f>
        <v/>
      </c>
      <c r="N25" s="337" t="str">
        <f>IF(M25="","",IF(M25="Muy Baja",0.2,IF(M25="Baja",0.4,IF(M25="Media",0.6,IF(M25="Alta",0.8,IF(M25="Muy Alta",1,))))))</f>
        <v/>
      </c>
      <c r="O25" s="336"/>
      <c r="P25" s="337">
        <f>IF(NOT(ISERROR(MATCH(O25,'Tabla Impacto'!$B$222:$B$224,0))),'Tabla Impacto'!$F$224&amp;"Por favor no seleccionar los criterios de impacto(Afectación Económica o presupuestal y Pérdida Reputacional)",O25)</f>
        <v>0</v>
      </c>
      <c r="Q25" s="338" t="str">
        <f>IF(OR(P25='Tabla Impacto'!$C$12,P25='Tabla Impacto'!$D$12),"Leve",IF(OR(P25='Tabla Impacto'!$C$13,P25='Tabla Impacto'!$D$13),"Menor",IF(OR(P25='Tabla Impacto'!$C$14,P25='Tabla Impacto'!$D$14),"Moderado",IF(OR(P25='Tabla Impacto'!$C$15,P25='Tabla Impacto'!$D$15),"Mayor",IF(OR(P25='Tabla Impacto'!$C$16,P25='Tabla Impacto'!$D$16),"Catastrófico","")))))</f>
        <v/>
      </c>
      <c r="R25" s="337" t="str">
        <f>IF(Q25="","",IF(Q25="Leve",0.2,IF(Q25="Menor",0.4,IF(Q25="Moderado",0.6,IF(Q25="Mayor",0.8,IF(Q25="Catastrófico",1,))))))</f>
        <v/>
      </c>
      <c r="S25" s="339" t="str">
        <f>IF(OR(AND(M25="Muy Baja",Q25="Leve"),AND(M25="Muy Baja",Q25="Menor"),AND(M25="Baja",Q25="Leve")),"Bajo",IF(OR(AND(M25="Muy baja",Q25="Moderado"),AND(M25="Baja",Q25="Menor"),AND(M25="Baja",Q25="Moderado"),AND(M25="Media",Q25="Leve"),AND(M25="Media",Q25="Menor"),AND(M25="Media",Q25="Moderado"),AND(M25="Alta",Q25="Leve"),AND(M25="Alta",Q25="Menor")),"Moderado",IF(OR(AND(M25="Muy Baja",Q25="Mayor"),AND(M25="Baja",Q25="Mayor"),AND(M25="Media",Q25="Mayor"),AND(M25="Alta",Q25="Moderado"),AND(M25="Alta",Q25="Mayor"),AND(M25="Muy Alta",Q25="Leve"),AND(M25="Muy Alta",Q25="Menor"),AND(M25="Muy Alta",Q25="Moderado"),AND(M25="Muy Alta",Q25="Mayor")),"Alto",IF(OR(AND(M25="Muy Baja",Q25="Catastrófico"),AND(M25="Baja",Q25="Catastrófico"),AND(M25="Media",Q25="Catastrófico"),AND(M25="Alta",Q25="Catastrófico"),AND(M25="Muy Alta",Q25="Catastrófico")),"Extremo",""))))</f>
        <v/>
      </c>
      <c r="T25" s="230">
        <v>1</v>
      </c>
      <c r="U25" s="193"/>
      <c r="V25" s="195" t="str">
        <f>IF(OR(W25="Preventivo",W25="Detectivo"),"Probabilidad",IF(W25="Correctivo","Impacto",""))</f>
        <v/>
      </c>
      <c r="W25" s="196"/>
      <c r="X25" s="196"/>
      <c r="Y25" s="197" t="str">
        <f>IF(AND(W25="Preventivo",X25="Automático"),"50%",IF(AND(W25="Preventivo",X25="Manual"),"40%",IF(AND(W25="Detectivo",X25="Automático"),"40%",IF(AND(W25="Detectivo",X25="Manual"),"30%",IF(AND(W25="Correctivo",X25="Automático"),"35%",IF(AND(W25="Correctivo",X25="Manual"),"25%",""))))))</f>
        <v/>
      </c>
      <c r="Z25" s="196"/>
      <c r="AA25" s="196"/>
      <c r="AB25" s="196"/>
      <c r="AC25" s="198" t="str">
        <f>IFERROR(IF(V25="Probabilidad",(N25-(+N25*Y25)),IF(V25="Impacto",N25,"")),"")</f>
        <v/>
      </c>
      <c r="AD25" s="199" t="str">
        <f>IFERROR(IF(AC25="","",IF(AC25&lt;=0.2,"Muy Baja",IF(AC25&lt;=0.4,"Baja",IF(AC25&lt;=0.6,"Media",IF(AC25&lt;=0.8,"Alta","Muy Alta"))))),"")</f>
        <v/>
      </c>
      <c r="AE25" s="197" t="str">
        <f>+AC25</f>
        <v/>
      </c>
      <c r="AF25" s="199" t="str">
        <f>IFERROR(IF(AG25="","",IF(AG25&lt;=0.2,"Leve",IF(AG25&lt;=0.4,"Menor",IF(AG25&lt;=0.6,"Moderado",IF(AG25&lt;=0.8,"Mayor","Catastrófico"))))),"")</f>
        <v/>
      </c>
      <c r="AG25" s="197" t="str">
        <f>IFERROR(IF(V25="Impacto",(R25-(+R25*Y25)),IF(V25="Probabilidad",R25,"")),"")</f>
        <v/>
      </c>
      <c r="AH25" s="200" t="str">
        <f>IFERROR(IF(OR(AND(AD25="Muy Baja",AF25="Leve"),AND(AD25="Muy Baja",AF25="Menor"),AND(AD25="Baja",AF25="Leve")),"Bajo",IF(OR(AND(AD25="Muy baja",AF25="Moderado"),AND(AD25="Baja",AF25="Menor"),AND(AD25="Baja",AF25="Moderado"),AND(AD25="Media",AF25="Leve"),AND(AD25="Media",AF25="Menor"),AND(AD25="Media",AF25="Moderado"),AND(AD25="Alta",AF25="Leve"),AND(AD25="Alta",AF25="Menor")),"Moderado",IF(OR(AND(AD25="Muy Baja",AF25="Mayor"),AND(AD25="Baja",AF25="Mayor"),AND(AD25="Media",AF25="Mayor"),AND(AD25="Alta",AF25="Moderado"),AND(AD25="Alta",AF25="Mayor"),AND(AD25="Muy Alta",AF25="Leve"),AND(AD25="Muy Alta",AF25="Menor"),AND(AD25="Muy Alta",AF25="Moderado"),AND(AD25="Muy Alta",AF25="Mayor")),"Alto",IF(OR(AND(AD25="Muy Baja",AF25="Catastrófico"),AND(AD25="Baja",AF25="Catastrófico"),AND(AD25="Media",AF25="Catastrófico"),AND(AD25="Alta",AF25="Catastrófico"),AND(AD25="Muy Alta",AF25="Catastrófico")),"Extremo","")))),"")</f>
        <v/>
      </c>
      <c r="AI25" s="201"/>
      <c r="AJ25" s="192"/>
      <c r="AK25" s="202"/>
      <c r="AL25" s="202"/>
      <c r="AM25" s="203"/>
      <c r="AN25" s="333"/>
      <c r="AO25" s="333"/>
      <c r="AP25" s="333"/>
    </row>
    <row r="26" spans="1:42" ht="37.5" customHeight="1">
      <c r="A26" s="348"/>
      <c r="B26" s="330"/>
      <c r="C26" s="330"/>
      <c r="D26" s="330"/>
      <c r="E26" s="330"/>
      <c r="F26" s="330"/>
      <c r="G26" s="330"/>
      <c r="H26" s="330"/>
      <c r="I26" s="330"/>
      <c r="J26" s="330"/>
      <c r="K26" s="330"/>
      <c r="L26" s="333"/>
      <c r="M26" s="338"/>
      <c r="N26" s="337"/>
      <c r="O26" s="336"/>
      <c r="P26" s="337">
        <f t="shared" ref="P26:P30" si="17">IF(NOT(ISERROR(MATCH(O26,_xlfn.ANCHORARRAY(E37),0))),N39&amp;"Por favor no seleccionar los criterios de impacto",O26)</f>
        <v>0</v>
      </c>
      <c r="Q26" s="338"/>
      <c r="R26" s="337"/>
      <c r="S26" s="339"/>
      <c r="T26" s="230">
        <v>2</v>
      </c>
      <c r="U26" s="193"/>
      <c r="V26" s="195" t="str">
        <f>IF(OR(W26="Preventivo",W26="Detectivo"),"Probabilidad",IF(W26="Correctivo","Impacto",""))</f>
        <v/>
      </c>
      <c r="W26" s="196"/>
      <c r="X26" s="196"/>
      <c r="Y26" s="197" t="str">
        <f t="shared" ref="Y26:Y30" si="18">IF(AND(W26="Preventivo",X26="Automático"),"50%",IF(AND(W26="Preventivo",X26="Manual"),"40%",IF(AND(W26="Detectivo",X26="Automático"),"40%",IF(AND(W26="Detectivo",X26="Manual"),"30%",IF(AND(W26="Correctivo",X26="Automático"),"35%",IF(AND(W26="Correctivo",X26="Manual"),"25%",""))))))</f>
        <v/>
      </c>
      <c r="Z26" s="196"/>
      <c r="AA26" s="196"/>
      <c r="AB26" s="196"/>
      <c r="AC26" s="198" t="str">
        <f>IFERROR(IF(AND(V25="Probabilidad",V26="Probabilidad"),(AE25-(+AE25*Y26)),IF(V26="Probabilidad",(N25-(+N25*Y26)),IF(V26="Impacto",AE25,""))),"")</f>
        <v/>
      </c>
      <c r="AD26" s="199" t="str">
        <f t="shared" si="2"/>
        <v/>
      </c>
      <c r="AE26" s="197" t="str">
        <f t="shared" ref="AE26:AE30" si="19">+AC26</f>
        <v/>
      </c>
      <c r="AF26" s="199" t="str">
        <f t="shared" si="4"/>
        <v/>
      </c>
      <c r="AG26" s="197" t="str">
        <f>IFERROR(IF(AND(V25="Impacto",V26="Impacto"),(AG19-(+AG19*Y26)),IF(V26="Impacto",($R$25-(+$R$25*Y26)),IF(V26="Probabilidad",AG19,""))),"")</f>
        <v/>
      </c>
      <c r="AH26" s="200" t="str">
        <f t="shared" ref="AH26:AH27" si="20">IFERROR(IF(OR(AND(AD26="Muy Baja",AF26="Leve"),AND(AD26="Muy Baja",AF26="Menor"),AND(AD26="Baja",AF26="Leve")),"Bajo",IF(OR(AND(AD26="Muy baja",AF26="Moderado"),AND(AD26="Baja",AF26="Menor"),AND(AD26="Baja",AF26="Moderado"),AND(AD26="Media",AF26="Leve"),AND(AD26="Media",AF26="Menor"),AND(AD26="Media",AF26="Moderado"),AND(AD26="Alta",AF26="Leve"),AND(AD26="Alta",AF26="Menor")),"Moderado",IF(OR(AND(AD26="Muy Baja",AF26="Mayor"),AND(AD26="Baja",AF26="Mayor"),AND(AD26="Media",AF26="Mayor"),AND(AD26="Alta",AF26="Moderado"),AND(AD26="Alta",AF26="Mayor"),AND(AD26="Muy Alta",AF26="Leve"),AND(AD26="Muy Alta",AF26="Menor"),AND(AD26="Muy Alta",AF26="Moderado"),AND(AD26="Muy Alta",AF26="Mayor")),"Alto",IF(OR(AND(AD26="Muy Baja",AF26="Catastrófico"),AND(AD26="Baja",AF26="Catastrófico"),AND(AD26="Media",AF26="Catastrófico"),AND(AD26="Alta",AF26="Catastrófico"),AND(AD26="Muy Alta",AF26="Catastrófico")),"Extremo","")))),"")</f>
        <v/>
      </c>
      <c r="AI26" s="201"/>
      <c r="AJ26" s="192"/>
      <c r="AK26" s="202"/>
      <c r="AL26" s="202"/>
      <c r="AM26" s="203"/>
      <c r="AN26" s="333"/>
      <c r="AO26" s="333"/>
      <c r="AP26" s="333"/>
    </row>
    <row r="27" spans="1:42" ht="37.5" customHeight="1">
      <c r="A27" s="348"/>
      <c r="B27" s="330"/>
      <c r="C27" s="330"/>
      <c r="D27" s="330"/>
      <c r="E27" s="330"/>
      <c r="F27" s="330"/>
      <c r="G27" s="330"/>
      <c r="H27" s="330"/>
      <c r="I27" s="330"/>
      <c r="J27" s="330"/>
      <c r="K27" s="330"/>
      <c r="L27" s="333"/>
      <c r="M27" s="338"/>
      <c r="N27" s="337"/>
      <c r="O27" s="336"/>
      <c r="P27" s="337">
        <f t="shared" si="17"/>
        <v>0</v>
      </c>
      <c r="Q27" s="338"/>
      <c r="R27" s="337"/>
      <c r="S27" s="339"/>
      <c r="T27" s="230">
        <v>3</v>
      </c>
      <c r="U27" s="193"/>
      <c r="V27" s="195" t="str">
        <f>IF(OR(W27="Preventivo",W27="Detectivo"),"Probabilidad",IF(W27="Correctivo","Impacto",""))</f>
        <v/>
      </c>
      <c r="W27" s="196"/>
      <c r="X27" s="196"/>
      <c r="Y27" s="197" t="str">
        <f t="shared" si="18"/>
        <v/>
      </c>
      <c r="Z27" s="196"/>
      <c r="AA27" s="196"/>
      <c r="AB27" s="196"/>
      <c r="AC27" s="198" t="str">
        <f>IFERROR(IF(AND(V26="Probabilidad",V27="Probabilidad"),(AE26-(+AE26*Y27)),IF(AND(V26="Impacto",V27="Probabilidad"),(AE25-(+AE25*Y27)),IF(V27="Impacto",AE26,""))),"")</f>
        <v/>
      </c>
      <c r="AD27" s="199" t="str">
        <f t="shared" si="2"/>
        <v/>
      </c>
      <c r="AE27" s="197" t="str">
        <f t="shared" si="19"/>
        <v/>
      </c>
      <c r="AF27" s="199" t="str">
        <f t="shared" si="4"/>
        <v/>
      </c>
      <c r="AG27" s="197" t="str">
        <f>IFERROR(IF(AND(V26="Impacto",V27="Impacto"),(AG26-(+AG26*Y27)),IF(AND(V26="Probabilidad",V27="Impacto"),(AG25-(+AG25*Y27)),IF(V27="Probabilidad",AG26,""))),"")</f>
        <v/>
      </c>
      <c r="AH27" s="200" t="str">
        <f t="shared" si="20"/>
        <v/>
      </c>
      <c r="AI27" s="201"/>
      <c r="AJ27" s="192"/>
      <c r="AK27" s="202"/>
      <c r="AL27" s="202"/>
      <c r="AM27" s="203"/>
      <c r="AN27" s="333"/>
      <c r="AO27" s="333"/>
      <c r="AP27" s="333"/>
    </row>
    <row r="28" spans="1:42" ht="37.5" customHeight="1">
      <c r="A28" s="348"/>
      <c r="B28" s="330"/>
      <c r="C28" s="330"/>
      <c r="D28" s="330"/>
      <c r="E28" s="330"/>
      <c r="F28" s="330"/>
      <c r="G28" s="330"/>
      <c r="H28" s="330"/>
      <c r="I28" s="330"/>
      <c r="J28" s="330"/>
      <c r="K28" s="330"/>
      <c r="L28" s="333"/>
      <c r="M28" s="338"/>
      <c r="N28" s="337"/>
      <c r="O28" s="336"/>
      <c r="P28" s="337">
        <f t="shared" si="17"/>
        <v>0</v>
      </c>
      <c r="Q28" s="338"/>
      <c r="R28" s="337"/>
      <c r="S28" s="339"/>
      <c r="T28" s="230">
        <v>4</v>
      </c>
      <c r="U28" s="193"/>
      <c r="V28" s="195" t="str">
        <f t="shared" ref="V28:V30" si="21">IF(OR(W28="Preventivo",W28="Detectivo"),"Probabilidad",IF(W28="Correctivo","Impacto",""))</f>
        <v/>
      </c>
      <c r="W28" s="196"/>
      <c r="X28" s="196"/>
      <c r="Y28" s="197" t="str">
        <f t="shared" si="18"/>
        <v/>
      </c>
      <c r="Z28" s="196"/>
      <c r="AA28" s="196"/>
      <c r="AB28" s="196"/>
      <c r="AC28" s="198" t="str">
        <f t="shared" ref="AC28:AC30" si="22">IFERROR(IF(AND(V27="Probabilidad",V28="Probabilidad"),(AE27-(+AE27*Y28)),IF(AND(V27="Impacto",V28="Probabilidad"),(AE26-(+AE26*Y28)),IF(V28="Impacto",AE27,""))),"")</f>
        <v/>
      </c>
      <c r="AD28" s="199" t="str">
        <f t="shared" si="2"/>
        <v/>
      </c>
      <c r="AE28" s="197" t="str">
        <f t="shared" si="19"/>
        <v/>
      </c>
      <c r="AF28" s="199" t="str">
        <f t="shared" si="4"/>
        <v/>
      </c>
      <c r="AG28" s="197" t="str">
        <f t="shared" ref="AG28:AG30" si="23">IFERROR(IF(AND(V27="Impacto",V28="Impacto"),(AG27-(+AG27*Y28)),IF(AND(V27="Probabilidad",V28="Impacto"),(AG26-(+AG26*Y28)),IF(V28="Probabilidad",AG27,""))),"")</f>
        <v/>
      </c>
      <c r="AH28" s="200" t="str">
        <f>IFERROR(IF(OR(AND(AD28="Muy Baja",AF28="Leve"),AND(AD28="Muy Baja",AF28="Menor"),AND(AD28="Baja",AF28="Leve")),"Bajo",IF(OR(AND(AD28="Muy baja",AF28="Moderado"),AND(AD28="Baja",AF28="Menor"),AND(AD28="Baja",AF28="Moderado"),AND(AD28="Media",AF28="Leve"),AND(AD28="Media",AF28="Menor"),AND(AD28="Media",AF28="Moderado"),AND(AD28="Alta",AF28="Leve"),AND(AD28="Alta",AF28="Menor")),"Moderado",IF(OR(AND(AD28="Muy Baja",AF28="Mayor"),AND(AD28="Baja",AF28="Mayor"),AND(AD28="Media",AF28="Mayor"),AND(AD28="Alta",AF28="Moderado"),AND(AD28="Alta",AF28="Mayor"),AND(AD28="Muy Alta",AF28="Leve"),AND(AD28="Muy Alta",AF28="Menor"),AND(AD28="Muy Alta",AF28="Moderado"),AND(AD28="Muy Alta",AF28="Mayor")),"Alto",IF(OR(AND(AD28="Muy Baja",AF28="Catastrófico"),AND(AD28="Baja",AF28="Catastrófico"),AND(AD28="Media",AF28="Catastrófico"),AND(AD28="Alta",AF28="Catastrófico"),AND(AD28="Muy Alta",AF28="Catastrófico")),"Extremo","")))),"")</f>
        <v/>
      </c>
      <c r="AI28" s="201"/>
      <c r="AJ28" s="192"/>
      <c r="AK28" s="202"/>
      <c r="AL28" s="202"/>
      <c r="AM28" s="203"/>
      <c r="AN28" s="333"/>
      <c r="AO28" s="333"/>
      <c r="AP28" s="333"/>
    </row>
    <row r="29" spans="1:42" ht="37.5" customHeight="1">
      <c r="A29" s="348"/>
      <c r="B29" s="330"/>
      <c r="C29" s="330"/>
      <c r="D29" s="330"/>
      <c r="E29" s="330"/>
      <c r="F29" s="330"/>
      <c r="G29" s="330"/>
      <c r="H29" s="330"/>
      <c r="I29" s="330"/>
      <c r="J29" s="330"/>
      <c r="K29" s="330"/>
      <c r="L29" s="333"/>
      <c r="M29" s="338"/>
      <c r="N29" s="337"/>
      <c r="O29" s="336"/>
      <c r="P29" s="337">
        <f t="shared" si="17"/>
        <v>0</v>
      </c>
      <c r="Q29" s="338"/>
      <c r="R29" s="337"/>
      <c r="S29" s="339"/>
      <c r="T29" s="230">
        <v>5</v>
      </c>
      <c r="U29" s="193"/>
      <c r="V29" s="195" t="str">
        <f t="shared" si="21"/>
        <v/>
      </c>
      <c r="W29" s="196"/>
      <c r="X29" s="196"/>
      <c r="Y29" s="197" t="str">
        <f t="shared" si="18"/>
        <v/>
      </c>
      <c r="Z29" s="196"/>
      <c r="AA29" s="196"/>
      <c r="AB29" s="196"/>
      <c r="AC29" s="198" t="str">
        <f t="shared" si="22"/>
        <v/>
      </c>
      <c r="AD29" s="199" t="str">
        <f t="shared" si="2"/>
        <v/>
      </c>
      <c r="AE29" s="197" t="str">
        <f t="shared" si="19"/>
        <v/>
      </c>
      <c r="AF29" s="199" t="str">
        <f t="shared" si="4"/>
        <v/>
      </c>
      <c r="AG29" s="197" t="str">
        <f t="shared" si="23"/>
        <v/>
      </c>
      <c r="AH29" s="200" t="str">
        <f t="shared" ref="AH29:AH30" si="24">IFERROR(IF(OR(AND(AD29="Muy Baja",AF29="Leve"),AND(AD29="Muy Baja",AF29="Menor"),AND(AD29="Baja",AF29="Leve")),"Bajo",IF(OR(AND(AD29="Muy baja",AF29="Moderado"),AND(AD29="Baja",AF29="Menor"),AND(AD29="Baja",AF29="Moderado"),AND(AD29="Media",AF29="Leve"),AND(AD29="Media",AF29="Menor"),AND(AD29="Media",AF29="Moderado"),AND(AD29="Alta",AF29="Leve"),AND(AD29="Alta",AF29="Menor")),"Moderado",IF(OR(AND(AD29="Muy Baja",AF29="Mayor"),AND(AD29="Baja",AF29="Mayor"),AND(AD29="Media",AF29="Mayor"),AND(AD29="Alta",AF29="Moderado"),AND(AD29="Alta",AF29="Mayor"),AND(AD29="Muy Alta",AF29="Leve"),AND(AD29="Muy Alta",AF29="Menor"),AND(AD29="Muy Alta",AF29="Moderado"),AND(AD29="Muy Alta",AF29="Mayor")),"Alto",IF(OR(AND(AD29="Muy Baja",AF29="Catastrófico"),AND(AD29="Baja",AF29="Catastrófico"),AND(AD29="Media",AF29="Catastrófico"),AND(AD29="Alta",AF29="Catastrófico"),AND(AD29="Muy Alta",AF29="Catastrófico")),"Extremo","")))),"")</f>
        <v/>
      </c>
      <c r="AI29" s="201"/>
      <c r="AJ29" s="192"/>
      <c r="AK29" s="202"/>
      <c r="AL29" s="202"/>
      <c r="AM29" s="203"/>
      <c r="AN29" s="333"/>
      <c r="AO29" s="333"/>
      <c r="AP29" s="333"/>
    </row>
    <row r="30" spans="1:42" ht="37.5" customHeight="1">
      <c r="A30" s="348"/>
      <c r="B30" s="330"/>
      <c r="C30" s="330"/>
      <c r="D30" s="330"/>
      <c r="E30" s="330"/>
      <c r="F30" s="330"/>
      <c r="G30" s="330"/>
      <c r="H30" s="330"/>
      <c r="I30" s="330"/>
      <c r="J30" s="330"/>
      <c r="K30" s="330"/>
      <c r="L30" s="333"/>
      <c r="M30" s="338"/>
      <c r="N30" s="337"/>
      <c r="O30" s="336"/>
      <c r="P30" s="337">
        <f t="shared" si="17"/>
        <v>0</v>
      </c>
      <c r="Q30" s="338"/>
      <c r="R30" s="337"/>
      <c r="S30" s="339"/>
      <c r="T30" s="230">
        <v>6</v>
      </c>
      <c r="U30" s="193"/>
      <c r="V30" s="195" t="str">
        <f t="shared" si="21"/>
        <v/>
      </c>
      <c r="W30" s="196"/>
      <c r="X30" s="196"/>
      <c r="Y30" s="197" t="str">
        <f t="shared" si="18"/>
        <v/>
      </c>
      <c r="Z30" s="196"/>
      <c r="AA30" s="196"/>
      <c r="AB30" s="196"/>
      <c r="AC30" s="198" t="str">
        <f t="shared" si="22"/>
        <v/>
      </c>
      <c r="AD30" s="199" t="str">
        <f t="shared" si="2"/>
        <v/>
      </c>
      <c r="AE30" s="197" t="str">
        <f t="shared" si="19"/>
        <v/>
      </c>
      <c r="AF30" s="199" t="str">
        <f t="shared" si="4"/>
        <v/>
      </c>
      <c r="AG30" s="197" t="str">
        <f t="shared" si="23"/>
        <v/>
      </c>
      <c r="AH30" s="200" t="str">
        <f t="shared" si="24"/>
        <v/>
      </c>
      <c r="AI30" s="201"/>
      <c r="AJ30" s="192"/>
      <c r="AK30" s="202"/>
      <c r="AL30" s="202"/>
      <c r="AM30" s="203"/>
      <c r="AN30" s="333"/>
      <c r="AO30" s="333"/>
      <c r="AP30" s="333"/>
    </row>
    <row r="31" spans="1:42" ht="37.5" customHeight="1">
      <c r="A31" s="348">
        <v>4</v>
      </c>
      <c r="B31" s="330"/>
      <c r="C31" s="330"/>
      <c r="D31" s="330"/>
      <c r="E31" s="330"/>
      <c r="F31" s="330"/>
      <c r="G31" s="330"/>
      <c r="H31" s="330"/>
      <c r="I31" s="330"/>
      <c r="J31" s="330"/>
      <c r="K31" s="330"/>
      <c r="L31" s="333"/>
      <c r="M31" s="338" t="str">
        <f>IF(L31&lt;=0,"",IF(L31&lt;=2,"Muy Baja",IF(L31&lt;=24,"Baja",IF(L31&lt;=500,"Media",IF(L31&lt;=5000,"Alta","Muy Alta")))))</f>
        <v/>
      </c>
      <c r="N31" s="337" t="str">
        <f>IF(M31="","",IF(M31="Muy Baja",0.2,IF(M31="Baja",0.4,IF(M31="Media",0.6,IF(M31="Alta",0.8,IF(M31="Muy Alta",1,))))))</f>
        <v/>
      </c>
      <c r="O31" s="336"/>
      <c r="P31" s="337">
        <f>IF(NOT(ISERROR(MATCH(O31,'Tabla Impacto'!$B$222:$B$224,0))),'Tabla Impacto'!$F$224&amp;"Por favor no seleccionar los criterios de impacto(Afectación Económica o presupuestal y Pérdida Reputacional)",O31)</f>
        <v>0</v>
      </c>
      <c r="Q31" s="338" t="str">
        <f>IF(OR(P31='Tabla Impacto'!$C$12,P31='Tabla Impacto'!$D$12),"Leve",IF(OR(P31='Tabla Impacto'!$C$13,P31='Tabla Impacto'!$D$13),"Menor",IF(OR(P31='Tabla Impacto'!$C$14,P31='Tabla Impacto'!$D$14),"Moderado",IF(OR(P31='Tabla Impacto'!$C$15,P31='Tabla Impacto'!$D$15),"Mayor",IF(OR(P31='Tabla Impacto'!$C$16,P31='Tabla Impacto'!$D$16),"Catastrófico","")))))</f>
        <v/>
      </c>
      <c r="R31" s="337" t="str">
        <f>IF(Q31="","",IF(Q31="Leve",0.2,IF(Q31="Menor",0.4,IF(Q31="Moderado",0.6,IF(Q31="Mayor",0.8,IF(Q31="Catastrófico",1,))))))</f>
        <v/>
      </c>
      <c r="S31" s="339" t="str">
        <f>IF(OR(AND(M31="Muy Baja",Q31="Leve"),AND(M31="Muy Baja",Q31="Menor"),AND(M31="Baja",Q31="Leve")),"Bajo",IF(OR(AND(M31="Muy baja",Q31="Moderado"),AND(M31="Baja",Q31="Menor"),AND(M31="Baja",Q31="Moderado"),AND(M31="Media",Q31="Leve"),AND(M31="Media",Q31="Menor"),AND(M31="Media",Q31="Moderado"),AND(M31="Alta",Q31="Leve"),AND(M31="Alta",Q31="Menor")),"Moderado",IF(OR(AND(M31="Muy Baja",Q31="Mayor"),AND(M31="Baja",Q31="Mayor"),AND(M31="Media",Q31="Mayor"),AND(M31="Alta",Q31="Moderado"),AND(M31="Alta",Q31="Mayor"),AND(M31="Muy Alta",Q31="Leve"),AND(M31="Muy Alta",Q31="Menor"),AND(M31="Muy Alta",Q31="Moderado"),AND(M31="Muy Alta",Q31="Mayor")),"Alto",IF(OR(AND(M31="Muy Baja",Q31="Catastrófico"),AND(M31="Baja",Q31="Catastrófico"),AND(M31="Media",Q31="Catastrófico"),AND(M31="Alta",Q31="Catastrófico"),AND(M31="Muy Alta",Q31="Catastrófico")),"Extremo",""))))</f>
        <v/>
      </c>
      <c r="T31" s="230">
        <v>1</v>
      </c>
      <c r="U31" s="193"/>
      <c r="V31" s="195" t="str">
        <f>IF(OR(W31="Preventivo",W31="Detectivo"),"Probabilidad",IF(W31="Correctivo","Impacto",""))</f>
        <v/>
      </c>
      <c r="W31" s="196"/>
      <c r="X31" s="196"/>
      <c r="Y31" s="197" t="str">
        <f>IF(AND(W31="Preventivo",X31="Automático"),"50%",IF(AND(W31="Preventivo",X31="Manual"),"40%",IF(AND(W31="Detectivo",X31="Automático"),"40%",IF(AND(W31="Detectivo",X31="Manual"),"30%",IF(AND(W31="Correctivo",X31="Automático"),"35%",IF(AND(W31="Correctivo",X31="Manual"),"25%",""))))))</f>
        <v/>
      </c>
      <c r="Z31" s="196"/>
      <c r="AA31" s="196"/>
      <c r="AB31" s="196"/>
      <c r="AC31" s="198" t="str">
        <f>IFERROR(IF(V31="Probabilidad",(N31-(+N31*Y31)),IF(V31="Impacto",N31,"")),"")</f>
        <v/>
      </c>
      <c r="AD31" s="199" t="str">
        <f>IFERROR(IF(AC31="","",IF(AC31&lt;=0.2,"Muy Baja",IF(AC31&lt;=0.4,"Baja",IF(AC31&lt;=0.6,"Media",IF(AC31&lt;=0.8,"Alta","Muy Alta"))))),"")</f>
        <v/>
      </c>
      <c r="AE31" s="197" t="str">
        <f>+AC31</f>
        <v/>
      </c>
      <c r="AF31" s="199" t="str">
        <f>IFERROR(IF(AG31="","",IF(AG31&lt;=0.2,"Leve",IF(AG31&lt;=0.4,"Menor",IF(AG31&lt;=0.6,"Moderado",IF(AG31&lt;=0.8,"Mayor","Catastrófico"))))),"")</f>
        <v/>
      </c>
      <c r="AG31" s="197" t="str">
        <f>IFERROR(IF(V31="Impacto",(R31-(+R31*Y31)),IF(V31="Probabilidad",R31,"")),"")</f>
        <v/>
      </c>
      <c r="AH31" s="200" t="str">
        <f>IFERROR(IF(OR(AND(AD31="Muy Baja",AF31="Leve"),AND(AD31="Muy Baja",AF31="Menor"),AND(AD31="Baja",AF31="Leve")),"Bajo",IF(OR(AND(AD31="Muy baja",AF31="Moderado"),AND(AD31="Baja",AF31="Menor"),AND(AD31="Baja",AF31="Moderado"),AND(AD31="Media",AF31="Leve"),AND(AD31="Media",AF31="Menor"),AND(AD31="Media",AF31="Moderado"),AND(AD31="Alta",AF31="Leve"),AND(AD31="Alta",AF31="Menor")),"Moderado",IF(OR(AND(AD31="Muy Baja",AF31="Mayor"),AND(AD31="Baja",AF31="Mayor"),AND(AD31="Media",AF31="Mayor"),AND(AD31="Alta",AF31="Moderado"),AND(AD31="Alta",AF31="Mayor"),AND(AD31="Muy Alta",AF31="Leve"),AND(AD31="Muy Alta",AF31="Menor"),AND(AD31="Muy Alta",AF31="Moderado"),AND(AD31="Muy Alta",AF31="Mayor")),"Alto",IF(OR(AND(AD31="Muy Baja",AF31="Catastrófico"),AND(AD31="Baja",AF31="Catastrófico"),AND(AD31="Media",AF31="Catastrófico"),AND(AD31="Alta",AF31="Catastrófico"),AND(AD31="Muy Alta",AF31="Catastrófico")),"Extremo","")))),"")</f>
        <v/>
      </c>
      <c r="AI31" s="201"/>
      <c r="AJ31" s="192"/>
      <c r="AK31" s="202"/>
      <c r="AL31" s="202"/>
      <c r="AM31" s="203"/>
      <c r="AN31" s="333"/>
      <c r="AO31" s="333"/>
      <c r="AP31" s="333"/>
    </row>
    <row r="32" spans="1:42" ht="37.5" customHeight="1">
      <c r="A32" s="348"/>
      <c r="B32" s="330"/>
      <c r="C32" s="330"/>
      <c r="D32" s="330"/>
      <c r="E32" s="330"/>
      <c r="F32" s="330"/>
      <c r="G32" s="330"/>
      <c r="H32" s="330"/>
      <c r="I32" s="330"/>
      <c r="J32" s="330"/>
      <c r="K32" s="330"/>
      <c r="L32" s="333"/>
      <c r="M32" s="338"/>
      <c r="N32" s="337"/>
      <c r="O32" s="336"/>
      <c r="P32" s="337">
        <f t="shared" ref="P32:P36" si="25">IF(NOT(ISERROR(MATCH(O32,_xlfn.ANCHORARRAY(E43),0))),N45&amp;"Por favor no seleccionar los criterios de impacto",O32)</f>
        <v>0</v>
      </c>
      <c r="Q32" s="338"/>
      <c r="R32" s="337"/>
      <c r="S32" s="339"/>
      <c r="T32" s="230">
        <v>2</v>
      </c>
      <c r="U32" s="193"/>
      <c r="V32" s="195" t="str">
        <f>IF(OR(W32="Preventivo",W32="Detectivo"),"Probabilidad",IF(W32="Correctivo","Impacto",""))</f>
        <v/>
      </c>
      <c r="W32" s="196"/>
      <c r="X32" s="196"/>
      <c r="Y32" s="197" t="str">
        <f t="shared" ref="Y32:Y36" si="26">IF(AND(W32="Preventivo",X32="Automático"),"50%",IF(AND(W32="Preventivo",X32="Manual"),"40%",IF(AND(W32="Detectivo",X32="Automático"),"40%",IF(AND(W32="Detectivo",X32="Manual"),"30%",IF(AND(W32="Correctivo",X32="Automático"),"35%",IF(AND(W32="Correctivo",X32="Manual"),"25%",""))))))</f>
        <v/>
      </c>
      <c r="Z32" s="196"/>
      <c r="AA32" s="196"/>
      <c r="AB32" s="196"/>
      <c r="AC32" s="198" t="str">
        <f>IFERROR(IF(AND(V31="Probabilidad",V32="Probabilidad"),(AE31-(+AE31*Y32)),IF(V32="Probabilidad",(N31-(+N31*Y32)),IF(V32="Impacto",AE31,""))),"")</f>
        <v/>
      </c>
      <c r="AD32" s="199" t="str">
        <f t="shared" si="2"/>
        <v/>
      </c>
      <c r="AE32" s="197" t="str">
        <f t="shared" ref="AE32:AE36" si="27">+AC32</f>
        <v/>
      </c>
      <c r="AF32" s="199" t="str">
        <f t="shared" si="4"/>
        <v/>
      </c>
      <c r="AG32" s="197" t="str">
        <f>IFERROR(IF(AND(V31="Impacto",V32="Impacto"),(AG25-(+AG25*Y32)),IF(V32="Impacto",($R$31-(+$R$31*Y32)),IF(V32="Probabilidad",AG25,""))),"")</f>
        <v/>
      </c>
      <c r="AH32" s="200" t="str">
        <f t="shared" ref="AH32:AH33" si="28">IFERROR(IF(OR(AND(AD32="Muy Baja",AF32="Leve"),AND(AD32="Muy Baja",AF32="Menor"),AND(AD32="Baja",AF32="Leve")),"Bajo",IF(OR(AND(AD32="Muy baja",AF32="Moderado"),AND(AD32="Baja",AF32="Menor"),AND(AD32="Baja",AF32="Moderado"),AND(AD32="Media",AF32="Leve"),AND(AD32="Media",AF32="Menor"),AND(AD32="Media",AF32="Moderado"),AND(AD32="Alta",AF32="Leve"),AND(AD32="Alta",AF32="Menor")),"Moderado",IF(OR(AND(AD32="Muy Baja",AF32="Mayor"),AND(AD32="Baja",AF32="Mayor"),AND(AD32="Media",AF32="Mayor"),AND(AD32="Alta",AF32="Moderado"),AND(AD32="Alta",AF32="Mayor"),AND(AD32="Muy Alta",AF32="Leve"),AND(AD32="Muy Alta",AF32="Menor"),AND(AD32="Muy Alta",AF32="Moderado"),AND(AD32="Muy Alta",AF32="Mayor")),"Alto",IF(OR(AND(AD32="Muy Baja",AF32="Catastrófico"),AND(AD32="Baja",AF32="Catastrófico"),AND(AD32="Media",AF32="Catastrófico"),AND(AD32="Alta",AF32="Catastrófico"),AND(AD32="Muy Alta",AF32="Catastrófico")),"Extremo","")))),"")</f>
        <v/>
      </c>
      <c r="AI32" s="201"/>
      <c r="AJ32" s="192"/>
      <c r="AK32" s="202"/>
      <c r="AL32" s="202"/>
      <c r="AM32" s="203"/>
      <c r="AN32" s="333"/>
      <c r="AO32" s="333"/>
      <c r="AP32" s="333"/>
    </row>
    <row r="33" spans="1:42" ht="37.5" customHeight="1">
      <c r="A33" s="348"/>
      <c r="B33" s="330"/>
      <c r="C33" s="330"/>
      <c r="D33" s="330"/>
      <c r="E33" s="330"/>
      <c r="F33" s="330"/>
      <c r="G33" s="330"/>
      <c r="H33" s="330"/>
      <c r="I33" s="330"/>
      <c r="J33" s="330"/>
      <c r="K33" s="330"/>
      <c r="L33" s="333"/>
      <c r="M33" s="338"/>
      <c r="N33" s="337"/>
      <c r="O33" s="336"/>
      <c r="P33" s="337">
        <f t="shared" si="25"/>
        <v>0</v>
      </c>
      <c r="Q33" s="338"/>
      <c r="R33" s="337"/>
      <c r="S33" s="339"/>
      <c r="T33" s="230">
        <v>3</v>
      </c>
      <c r="U33" s="194"/>
      <c r="V33" s="195" t="str">
        <f>IF(OR(W33="Preventivo",W33="Detectivo"),"Probabilidad",IF(W33="Correctivo","Impacto",""))</f>
        <v/>
      </c>
      <c r="W33" s="196"/>
      <c r="X33" s="196"/>
      <c r="Y33" s="197" t="str">
        <f t="shared" si="26"/>
        <v/>
      </c>
      <c r="Z33" s="196"/>
      <c r="AA33" s="196"/>
      <c r="AB33" s="196"/>
      <c r="AC33" s="198" t="str">
        <f>IFERROR(IF(AND(V32="Probabilidad",V33="Probabilidad"),(AE32-(+AE32*Y33)),IF(AND(V32="Impacto",V33="Probabilidad"),(AE31-(+AE31*Y33)),IF(V33="Impacto",AE32,""))),"")</f>
        <v/>
      </c>
      <c r="AD33" s="199" t="str">
        <f t="shared" si="2"/>
        <v/>
      </c>
      <c r="AE33" s="197" t="str">
        <f t="shared" si="27"/>
        <v/>
      </c>
      <c r="AF33" s="199" t="str">
        <f t="shared" si="4"/>
        <v/>
      </c>
      <c r="AG33" s="197" t="str">
        <f>IFERROR(IF(AND(V32="Impacto",V33="Impacto"),(AG32-(+AG32*Y33)),IF(AND(V32="Probabilidad",V33="Impacto"),(AG31-(+AG31*Y33)),IF(V33="Probabilidad",AG32,""))),"")</f>
        <v/>
      </c>
      <c r="AH33" s="200" t="str">
        <f t="shared" si="28"/>
        <v/>
      </c>
      <c r="AI33" s="201"/>
      <c r="AJ33" s="192"/>
      <c r="AK33" s="202"/>
      <c r="AL33" s="202"/>
      <c r="AM33" s="203"/>
      <c r="AN33" s="333"/>
      <c r="AO33" s="333"/>
      <c r="AP33" s="333"/>
    </row>
    <row r="34" spans="1:42" ht="37.5" customHeight="1">
      <c r="A34" s="348"/>
      <c r="B34" s="330"/>
      <c r="C34" s="330"/>
      <c r="D34" s="330"/>
      <c r="E34" s="330"/>
      <c r="F34" s="330"/>
      <c r="G34" s="330"/>
      <c r="H34" s="330"/>
      <c r="I34" s="330"/>
      <c r="J34" s="330"/>
      <c r="K34" s="330"/>
      <c r="L34" s="333"/>
      <c r="M34" s="338"/>
      <c r="N34" s="337"/>
      <c r="O34" s="336"/>
      <c r="P34" s="337">
        <f t="shared" si="25"/>
        <v>0</v>
      </c>
      <c r="Q34" s="338"/>
      <c r="R34" s="337"/>
      <c r="S34" s="339"/>
      <c r="T34" s="230">
        <v>4</v>
      </c>
      <c r="U34" s="193"/>
      <c r="V34" s="195" t="str">
        <f t="shared" ref="V34:V36" si="29">IF(OR(W34="Preventivo",W34="Detectivo"),"Probabilidad",IF(W34="Correctivo","Impacto",""))</f>
        <v/>
      </c>
      <c r="W34" s="196"/>
      <c r="X34" s="196"/>
      <c r="Y34" s="197" t="str">
        <f t="shared" si="26"/>
        <v/>
      </c>
      <c r="Z34" s="196"/>
      <c r="AA34" s="196"/>
      <c r="AB34" s="196"/>
      <c r="AC34" s="198" t="str">
        <f t="shared" ref="AC34:AC36" si="30">IFERROR(IF(AND(V33="Probabilidad",V34="Probabilidad"),(AE33-(+AE33*Y34)),IF(AND(V33="Impacto",V34="Probabilidad"),(AE32-(+AE32*Y34)),IF(V34="Impacto",AE33,""))),"")</f>
        <v/>
      </c>
      <c r="AD34" s="199" t="str">
        <f t="shared" si="2"/>
        <v/>
      </c>
      <c r="AE34" s="197" t="str">
        <f t="shared" si="27"/>
        <v/>
      </c>
      <c r="AF34" s="199" t="str">
        <f t="shared" si="4"/>
        <v/>
      </c>
      <c r="AG34" s="197" t="str">
        <f t="shared" ref="AG34:AG36" si="31">IFERROR(IF(AND(V33="Impacto",V34="Impacto"),(AG33-(+AG33*Y34)),IF(AND(V33="Probabilidad",V34="Impacto"),(AG32-(+AG32*Y34)),IF(V34="Probabilidad",AG33,""))),"")</f>
        <v/>
      </c>
      <c r="AH34" s="200" t="str">
        <f>IFERROR(IF(OR(AND(AD34="Muy Baja",AF34="Leve"),AND(AD34="Muy Baja",AF34="Menor"),AND(AD34="Baja",AF34="Leve")),"Bajo",IF(OR(AND(AD34="Muy baja",AF34="Moderado"),AND(AD34="Baja",AF34="Menor"),AND(AD34="Baja",AF34="Moderado"),AND(AD34="Media",AF34="Leve"),AND(AD34="Media",AF34="Menor"),AND(AD34="Media",AF34="Moderado"),AND(AD34="Alta",AF34="Leve"),AND(AD34="Alta",AF34="Menor")),"Moderado",IF(OR(AND(AD34="Muy Baja",AF34="Mayor"),AND(AD34="Baja",AF34="Mayor"),AND(AD34="Media",AF34="Mayor"),AND(AD34="Alta",AF34="Moderado"),AND(AD34="Alta",AF34="Mayor"),AND(AD34="Muy Alta",AF34="Leve"),AND(AD34="Muy Alta",AF34="Menor"),AND(AD34="Muy Alta",AF34="Moderado"),AND(AD34="Muy Alta",AF34="Mayor")),"Alto",IF(OR(AND(AD34="Muy Baja",AF34="Catastrófico"),AND(AD34="Baja",AF34="Catastrófico"),AND(AD34="Media",AF34="Catastrófico"),AND(AD34="Alta",AF34="Catastrófico"),AND(AD34="Muy Alta",AF34="Catastrófico")),"Extremo","")))),"")</f>
        <v/>
      </c>
      <c r="AI34" s="201"/>
      <c r="AJ34" s="192"/>
      <c r="AK34" s="202"/>
      <c r="AL34" s="202"/>
      <c r="AM34" s="203"/>
      <c r="AN34" s="333"/>
      <c r="AO34" s="333"/>
      <c r="AP34" s="333"/>
    </row>
    <row r="35" spans="1:42" ht="37.5" customHeight="1">
      <c r="A35" s="348"/>
      <c r="B35" s="330"/>
      <c r="C35" s="330"/>
      <c r="D35" s="330"/>
      <c r="E35" s="330"/>
      <c r="F35" s="330"/>
      <c r="G35" s="330"/>
      <c r="H35" s="330"/>
      <c r="I35" s="330"/>
      <c r="J35" s="330"/>
      <c r="K35" s="330"/>
      <c r="L35" s="333"/>
      <c r="M35" s="338"/>
      <c r="N35" s="337"/>
      <c r="O35" s="336"/>
      <c r="P35" s="337">
        <f t="shared" si="25"/>
        <v>0</v>
      </c>
      <c r="Q35" s="338"/>
      <c r="R35" s="337"/>
      <c r="S35" s="339"/>
      <c r="T35" s="230">
        <v>5</v>
      </c>
      <c r="U35" s="193"/>
      <c r="V35" s="195" t="str">
        <f t="shared" si="29"/>
        <v/>
      </c>
      <c r="W35" s="196"/>
      <c r="X35" s="196"/>
      <c r="Y35" s="197" t="str">
        <f t="shared" si="26"/>
        <v/>
      </c>
      <c r="Z35" s="196"/>
      <c r="AA35" s="196"/>
      <c r="AB35" s="196"/>
      <c r="AC35" s="198" t="str">
        <f t="shared" si="30"/>
        <v/>
      </c>
      <c r="AD35" s="199" t="str">
        <f>IFERROR(IF(AC35="","",IF(AC35&lt;=0.2,"Muy Baja",IF(AC35&lt;=0.4,"Baja",IF(AC35&lt;=0.6,"Media",IF(AC35&lt;=0.8,"Alta","Muy Alta"))))),"")</f>
        <v/>
      </c>
      <c r="AE35" s="197" t="str">
        <f t="shared" si="27"/>
        <v/>
      </c>
      <c r="AF35" s="199" t="str">
        <f t="shared" si="4"/>
        <v/>
      </c>
      <c r="AG35" s="197" t="str">
        <f t="shared" si="31"/>
        <v/>
      </c>
      <c r="AH35" s="200" t="str">
        <f t="shared" ref="AH35:AH36" si="32">IFERROR(IF(OR(AND(AD35="Muy Baja",AF35="Leve"),AND(AD35="Muy Baja",AF35="Menor"),AND(AD35="Baja",AF35="Leve")),"Bajo",IF(OR(AND(AD35="Muy baja",AF35="Moderado"),AND(AD35="Baja",AF35="Menor"),AND(AD35="Baja",AF35="Moderado"),AND(AD35="Media",AF35="Leve"),AND(AD35="Media",AF35="Menor"),AND(AD35="Media",AF35="Moderado"),AND(AD35="Alta",AF35="Leve"),AND(AD35="Alta",AF35="Menor")),"Moderado",IF(OR(AND(AD35="Muy Baja",AF35="Mayor"),AND(AD35="Baja",AF35="Mayor"),AND(AD35="Media",AF35="Mayor"),AND(AD35="Alta",AF35="Moderado"),AND(AD35="Alta",AF35="Mayor"),AND(AD35="Muy Alta",AF35="Leve"),AND(AD35="Muy Alta",AF35="Menor"),AND(AD35="Muy Alta",AF35="Moderado"),AND(AD35="Muy Alta",AF35="Mayor")),"Alto",IF(OR(AND(AD35="Muy Baja",AF35="Catastrófico"),AND(AD35="Baja",AF35="Catastrófico"),AND(AD35="Media",AF35="Catastrófico"),AND(AD35="Alta",AF35="Catastrófico"),AND(AD35="Muy Alta",AF35="Catastrófico")),"Extremo","")))),"")</f>
        <v/>
      </c>
      <c r="AI35" s="201"/>
      <c r="AJ35" s="192"/>
      <c r="AK35" s="202"/>
      <c r="AL35" s="202"/>
      <c r="AM35" s="203"/>
      <c r="AN35" s="333"/>
      <c r="AO35" s="333"/>
      <c r="AP35" s="333"/>
    </row>
    <row r="36" spans="1:42" ht="37.5" customHeight="1">
      <c r="A36" s="348"/>
      <c r="B36" s="330"/>
      <c r="C36" s="330"/>
      <c r="D36" s="330"/>
      <c r="E36" s="330"/>
      <c r="F36" s="330"/>
      <c r="G36" s="330"/>
      <c r="H36" s="330"/>
      <c r="I36" s="330"/>
      <c r="J36" s="330"/>
      <c r="K36" s="330"/>
      <c r="L36" s="333"/>
      <c r="M36" s="338"/>
      <c r="N36" s="337"/>
      <c r="O36" s="336"/>
      <c r="P36" s="337">
        <f t="shared" si="25"/>
        <v>0</v>
      </c>
      <c r="Q36" s="338"/>
      <c r="R36" s="337"/>
      <c r="S36" s="339"/>
      <c r="T36" s="230">
        <v>6</v>
      </c>
      <c r="U36" s="193"/>
      <c r="V36" s="195" t="str">
        <f t="shared" si="29"/>
        <v/>
      </c>
      <c r="W36" s="196"/>
      <c r="X36" s="196"/>
      <c r="Y36" s="197" t="str">
        <f t="shared" si="26"/>
        <v/>
      </c>
      <c r="Z36" s="196"/>
      <c r="AA36" s="196"/>
      <c r="AB36" s="196"/>
      <c r="AC36" s="198" t="str">
        <f t="shared" si="30"/>
        <v/>
      </c>
      <c r="AD36" s="199" t="str">
        <f t="shared" si="2"/>
        <v/>
      </c>
      <c r="AE36" s="197" t="str">
        <f t="shared" si="27"/>
        <v/>
      </c>
      <c r="AF36" s="199" t="str">
        <f t="shared" si="4"/>
        <v/>
      </c>
      <c r="AG36" s="197" t="str">
        <f t="shared" si="31"/>
        <v/>
      </c>
      <c r="AH36" s="200" t="str">
        <f t="shared" si="32"/>
        <v/>
      </c>
      <c r="AI36" s="201"/>
      <c r="AJ36" s="192"/>
      <c r="AK36" s="202"/>
      <c r="AL36" s="202"/>
      <c r="AM36" s="203"/>
      <c r="AN36" s="333"/>
      <c r="AO36" s="333"/>
      <c r="AP36" s="333"/>
    </row>
    <row r="37" spans="1:42" ht="37.5" customHeight="1">
      <c r="A37" s="348">
        <v>5</v>
      </c>
      <c r="B37" s="330"/>
      <c r="C37" s="330"/>
      <c r="D37" s="330"/>
      <c r="E37" s="330"/>
      <c r="F37" s="330"/>
      <c r="G37" s="330"/>
      <c r="H37" s="330"/>
      <c r="I37" s="330"/>
      <c r="J37" s="330"/>
      <c r="K37" s="330"/>
      <c r="L37" s="333"/>
      <c r="M37" s="338" t="str">
        <f>IF(L37&lt;=0,"",IF(L37&lt;=2,"Muy Baja",IF(L37&lt;=24,"Baja",IF(L37&lt;=500,"Media",IF(L37&lt;=5000,"Alta","Muy Alta")))))</f>
        <v/>
      </c>
      <c r="N37" s="337" t="str">
        <f>IF(M37="","",IF(M37="Muy Baja",0.2,IF(M37="Baja",0.4,IF(M37="Media",0.6,IF(M37="Alta",0.8,IF(M37="Muy Alta",1,))))))</f>
        <v/>
      </c>
      <c r="O37" s="336"/>
      <c r="P37" s="337">
        <f>IF(NOT(ISERROR(MATCH(O37,'Tabla Impacto'!$B$222:$B$224,0))),'Tabla Impacto'!$F$224&amp;"Por favor no seleccionar los criterios de impacto(Afectación Económica o presupuestal y Pérdida Reputacional)",O37)</f>
        <v>0</v>
      </c>
      <c r="Q37" s="338" t="str">
        <f>IF(OR(P37='Tabla Impacto'!$C$12,P37='Tabla Impacto'!$D$12),"Leve",IF(OR(P37='Tabla Impacto'!$C$13,P37='Tabla Impacto'!$D$13),"Menor",IF(OR(P37='Tabla Impacto'!$C$14,P37='Tabla Impacto'!$D$14),"Moderado",IF(OR(P37='Tabla Impacto'!$C$15,P37='Tabla Impacto'!$D$15),"Mayor",IF(OR(P37='Tabla Impacto'!$C$16,P37='Tabla Impacto'!$D$16),"Catastrófico","")))))</f>
        <v/>
      </c>
      <c r="R37" s="337" t="str">
        <f>IF(Q37="","",IF(Q37="Leve",0.2,IF(Q37="Menor",0.4,IF(Q37="Moderado",0.6,IF(Q37="Mayor",0.8,IF(Q37="Catastrófico",1,))))))</f>
        <v/>
      </c>
      <c r="S37" s="339" t="str">
        <f>IF(OR(AND(M37="Muy Baja",Q37="Leve"),AND(M37="Muy Baja",Q37="Menor"),AND(M37="Baja",Q37="Leve")),"Bajo",IF(OR(AND(M37="Muy baja",Q37="Moderado"),AND(M37="Baja",Q37="Menor"),AND(M37="Baja",Q37="Moderado"),AND(M37="Media",Q37="Leve"),AND(M37="Media",Q37="Menor"),AND(M37="Media",Q37="Moderado"),AND(M37="Alta",Q37="Leve"),AND(M37="Alta",Q37="Menor")),"Moderado",IF(OR(AND(M37="Muy Baja",Q37="Mayor"),AND(M37="Baja",Q37="Mayor"),AND(M37="Media",Q37="Mayor"),AND(M37="Alta",Q37="Moderado"),AND(M37="Alta",Q37="Mayor"),AND(M37="Muy Alta",Q37="Leve"),AND(M37="Muy Alta",Q37="Menor"),AND(M37="Muy Alta",Q37="Moderado"),AND(M37="Muy Alta",Q37="Mayor")),"Alto",IF(OR(AND(M37="Muy Baja",Q37="Catastrófico"),AND(M37="Baja",Q37="Catastrófico"),AND(M37="Media",Q37="Catastrófico"),AND(M37="Alta",Q37="Catastrófico"),AND(M37="Muy Alta",Q37="Catastrófico")),"Extremo",""))))</f>
        <v/>
      </c>
      <c r="T37" s="230">
        <v>1</v>
      </c>
      <c r="U37" s="193"/>
      <c r="V37" s="195" t="str">
        <f>IF(OR(W37="Preventivo",W37="Detectivo"),"Probabilidad",IF(W37="Correctivo","Impacto",""))</f>
        <v/>
      </c>
      <c r="W37" s="196"/>
      <c r="X37" s="196"/>
      <c r="Y37" s="197" t="str">
        <f>IF(AND(W37="Preventivo",X37="Automático"),"50%",IF(AND(W37="Preventivo",X37="Manual"),"40%",IF(AND(W37="Detectivo",X37="Automático"),"40%",IF(AND(W37="Detectivo",X37="Manual"),"30%",IF(AND(W37="Correctivo",X37="Automático"),"35%",IF(AND(W37="Correctivo",X37="Manual"),"25%",""))))))</f>
        <v/>
      </c>
      <c r="Z37" s="196"/>
      <c r="AA37" s="196"/>
      <c r="AB37" s="196"/>
      <c r="AC37" s="198" t="str">
        <f>IFERROR(IF(V37="Probabilidad",(N37-(+N37*Y37)),IF(V37="Impacto",N37,"")),"")</f>
        <v/>
      </c>
      <c r="AD37" s="199" t="str">
        <f>IFERROR(IF(AC37="","",IF(AC37&lt;=0.2,"Muy Baja",IF(AC37&lt;=0.4,"Baja",IF(AC37&lt;=0.6,"Media",IF(AC37&lt;=0.8,"Alta","Muy Alta"))))),"")</f>
        <v/>
      </c>
      <c r="AE37" s="197" t="str">
        <f>+AC37</f>
        <v/>
      </c>
      <c r="AF37" s="199" t="str">
        <f>IFERROR(IF(AG37="","",IF(AG37&lt;=0.2,"Leve",IF(AG37&lt;=0.4,"Menor",IF(AG37&lt;=0.6,"Moderado",IF(AG37&lt;=0.8,"Mayor","Catastrófico"))))),"")</f>
        <v/>
      </c>
      <c r="AG37" s="197" t="str">
        <f>IFERROR(IF(V37="Impacto",(R37-(+R37*Y37)),IF(V37="Probabilidad",R37,"")),"")</f>
        <v/>
      </c>
      <c r="AH37" s="200" t="str">
        <f>IFERROR(IF(OR(AND(AD37="Muy Baja",AF37="Leve"),AND(AD37="Muy Baja",AF37="Menor"),AND(AD37="Baja",AF37="Leve")),"Bajo",IF(OR(AND(AD37="Muy baja",AF37="Moderado"),AND(AD37="Baja",AF37="Menor"),AND(AD37="Baja",AF37="Moderado"),AND(AD37="Media",AF37="Leve"),AND(AD37="Media",AF37="Menor"),AND(AD37="Media",AF37="Moderado"),AND(AD37="Alta",AF37="Leve"),AND(AD37="Alta",AF37="Menor")),"Moderado",IF(OR(AND(AD37="Muy Baja",AF37="Mayor"),AND(AD37="Baja",AF37="Mayor"),AND(AD37="Media",AF37="Mayor"),AND(AD37="Alta",AF37="Moderado"),AND(AD37="Alta",AF37="Mayor"),AND(AD37="Muy Alta",AF37="Leve"),AND(AD37="Muy Alta",AF37="Menor"),AND(AD37="Muy Alta",AF37="Moderado"),AND(AD37="Muy Alta",AF37="Mayor")),"Alto",IF(OR(AND(AD37="Muy Baja",AF37="Catastrófico"),AND(AD37="Baja",AF37="Catastrófico"),AND(AD37="Media",AF37="Catastrófico"),AND(AD37="Alta",AF37="Catastrófico"),AND(AD37="Muy Alta",AF37="Catastrófico")),"Extremo","")))),"")</f>
        <v/>
      </c>
      <c r="AI37" s="201"/>
      <c r="AJ37" s="192"/>
      <c r="AK37" s="202"/>
      <c r="AL37" s="202"/>
      <c r="AM37" s="203"/>
      <c r="AN37" s="333"/>
      <c r="AO37" s="333"/>
      <c r="AP37" s="333"/>
    </row>
    <row r="38" spans="1:42" ht="37.5" customHeight="1">
      <c r="A38" s="348"/>
      <c r="B38" s="330"/>
      <c r="C38" s="330"/>
      <c r="D38" s="330"/>
      <c r="E38" s="330"/>
      <c r="F38" s="330"/>
      <c r="G38" s="330"/>
      <c r="H38" s="330"/>
      <c r="I38" s="330"/>
      <c r="J38" s="330"/>
      <c r="K38" s="330"/>
      <c r="L38" s="333"/>
      <c r="M38" s="338"/>
      <c r="N38" s="337"/>
      <c r="O38" s="336"/>
      <c r="P38" s="337">
        <f t="shared" ref="P38:P42" si="33">IF(NOT(ISERROR(MATCH(O38,_xlfn.ANCHORARRAY(E49),0))),N51&amp;"Por favor no seleccionar los criterios de impacto",O38)</f>
        <v>0</v>
      </c>
      <c r="Q38" s="338"/>
      <c r="R38" s="337"/>
      <c r="S38" s="339"/>
      <c r="T38" s="230">
        <v>2</v>
      </c>
      <c r="U38" s="193"/>
      <c r="V38" s="195" t="str">
        <f>IF(OR(W38="Preventivo",W38="Detectivo"),"Probabilidad",IF(W38="Correctivo","Impacto",""))</f>
        <v/>
      </c>
      <c r="W38" s="196"/>
      <c r="X38" s="196"/>
      <c r="Y38" s="197" t="str">
        <f t="shared" ref="Y38:Y42" si="34">IF(AND(W38="Preventivo",X38="Automático"),"50%",IF(AND(W38="Preventivo",X38="Manual"),"40%",IF(AND(W38="Detectivo",X38="Automático"),"40%",IF(AND(W38="Detectivo",X38="Manual"),"30%",IF(AND(W38="Correctivo",X38="Automático"),"35%",IF(AND(W38="Correctivo",X38="Manual"),"25%",""))))))</f>
        <v/>
      </c>
      <c r="Z38" s="196"/>
      <c r="AA38" s="196"/>
      <c r="AB38" s="196"/>
      <c r="AC38" s="198" t="str">
        <f>IFERROR(IF(AND(V37="Probabilidad",V38="Probabilidad"),(AE37-(+AE37*Y38)),IF(V38="Probabilidad",(N37-(+N37*Y38)),IF(V38="Impacto",AE37,""))),"")</f>
        <v/>
      </c>
      <c r="AD38" s="199" t="str">
        <f t="shared" si="2"/>
        <v/>
      </c>
      <c r="AE38" s="197" t="str">
        <f t="shared" ref="AE38:AE42" si="35">+AC38</f>
        <v/>
      </c>
      <c r="AF38" s="199" t="str">
        <f t="shared" si="4"/>
        <v/>
      </c>
      <c r="AG38" s="197" t="str">
        <f>IFERROR(IF(AND(V37="Impacto",V38="Impacto"),(AG31-(+AG31*Y38)),IF(V38="Impacto",($R$37-(+$R$37*Y38)),IF(V38="Probabilidad",AG31,""))),"")</f>
        <v/>
      </c>
      <c r="AH38" s="200" t="str">
        <f t="shared" ref="AH38:AH39" si="36">IFERROR(IF(OR(AND(AD38="Muy Baja",AF38="Leve"),AND(AD38="Muy Baja",AF38="Menor"),AND(AD38="Baja",AF38="Leve")),"Bajo",IF(OR(AND(AD38="Muy baja",AF38="Moderado"),AND(AD38="Baja",AF38="Menor"),AND(AD38="Baja",AF38="Moderado"),AND(AD38="Media",AF38="Leve"),AND(AD38="Media",AF38="Menor"),AND(AD38="Media",AF38="Moderado"),AND(AD38="Alta",AF38="Leve"),AND(AD38="Alta",AF38="Menor")),"Moderado",IF(OR(AND(AD38="Muy Baja",AF38="Mayor"),AND(AD38="Baja",AF38="Mayor"),AND(AD38="Media",AF38="Mayor"),AND(AD38="Alta",AF38="Moderado"),AND(AD38="Alta",AF38="Mayor"),AND(AD38="Muy Alta",AF38="Leve"),AND(AD38="Muy Alta",AF38="Menor"),AND(AD38="Muy Alta",AF38="Moderado"),AND(AD38="Muy Alta",AF38="Mayor")),"Alto",IF(OR(AND(AD38="Muy Baja",AF38="Catastrófico"),AND(AD38="Baja",AF38="Catastrófico"),AND(AD38="Media",AF38="Catastrófico"),AND(AD38="Alta",AF38="Catastrófico"),AND(AD38="Muy Alta",AF38="Catastrófico")),"Extremo","")))),"")</f>
        <v/>
      </c>
      <c r="AI38" s="201"/>
      <c r="AJ38" s="192"/>
      <c r="AK38" s="202"/>
      <c r="AL38" s="202"/>
      <c r="AM38" s="203"/>
      <c r="AN38" s="333"/>
      <c r="AO38" s="333"/>
      <c r="AP38" s="333"/>
    </row>
    <row r="39" spans="1:42" ht="37.5" customHeight="1">
      <c r="A39" s="348"/>
      <c r="B39" s="330"/>
      <c r="C39" s="330"/>
      <c r="D39" s="330"/>
      <c r="E39" s="330"/>
      <c r="F39" s="330"/>
      <c r="G39" s="330"/>
      <c r="H39" s="330"/>
      <c r="I39" s="330"/>
      <c r="J39" s="330"/>
      <c r="K39" s="330"/>
      <c r="L39" s="333"/>
      <c r="M39" s="338"/>
      <c r="N39" s="337"/>
      <c r="O39" s="336"/>
      <c r="P39" s="337">
        <f t="shared" si="33"/>
        <v>0</v>
      </c>
      <c r="Q39" s="338"/>
      <c r="R39" s="337"/>
      <c r="S39" s="339"/>
      <c r="T39" s="230">
        <v>3</v>
      </c>
      <c r="U39" s="194"/>
      <c r="V39" s="195" t="str">
        <f>IF(OR(W39="Preventivo",W39="Detectivo"),"Probabilidad",IF(W39="Correctivo","Impacto",""))</f>
        <v/>
      </c>
      <c r="W39" s="196"/>
      <c r="X39" s="196"/>
      <c r="Y39" s="197" t="str">
        <f t="shared" si="34"/>
        <v/>
      </c>
      <c r="Z39" s="196"/>
      <c r="AA39" s="196"/>
      <c r="AB39" s="196"/>
      <c r="AC39" s="198" t="str">
        <f>IFERROR(IF(AND(V38="Probabilidad",V39="Probabilidad"),(AE38-(+AE38*Y39)),IF(AND(V38="Impacto",V39="Probabilidad"),(AE37-(+AE37*Y39)),IF(V39="Impacto",AE38,""))),"")</f>
        <v/>
      </c>
      <c r="AD39" s="199" t="str">
        <f t="shared" si="2"/>
        <v/>
      </c>
      <c r="AE39" s="197" t="str">
        <f t="shared" si="35"/>
        <v/>
      </c>
      <c r="AF39" s="199" t="str">
        <f t="shared" si="4"/>
        <v/>
      </c>
      <c r="AG39" s="197" t="str">
        <f>IFERROR(IF(AND(V38="Impacto",V39="Impacto"),(AG38-(+AG38*Y39)),IF(AND(V38="Probabilidad",V39="Impacto"),(AG37-(+AG37*Y39)),IF(V39="Probabilidad",AG38,""))),"")</f>
        <v/>
      </c>
      <c r="AH39" s="200" t="str">
        <f t="shared" si="36"/>
        <v/>
      </c>
      <c r="AI39" s="201"/>
      <c r="AJ39" s="192"/>
      <c r="AK39" s="202"/>
      <c r="AL39" s="202"/>
      <c r="AM39" s="203"/>
      <c r="AN39" s="333"/>
      <c r="AO39" s="333"/>
      <c r="AP39" s="333"/>
    </row>
    <row r="40" spans="1:42" ht="37.5" customHeight="1">
      <c r="A40" s="348"/>
      <c r="B40" s="330"/>
      <c r="C40" s="330"/>
      <c r="D40" s="330"/>
      <c r="E40" s="330"/>
      <c r="F40" s="330"/>
      <c r="G40" s="330"/>
      <c r="H40" s="330"/>
      <c r="I40" s="330"/>
      <c r="J40" s="330"/>
      <c r="K40" s="330"/>
      <c r="L40" s="333"/>
      <c r="M40" s="338"/>
      <c r="N40" s="337"/>
      <c r="O40" s="336"/>
      <c r="P40" s="337">
        <f t="shared" si="33"/>
        <v>0</v>
      </c>
      <c r="Q40" s="338"/>
      <c r="R40" s="337"/>
      <c r="S40" s="339"/>
      <c r="T40" s="230">
        <v>4</v>
      </c>
      <c r="U40" s="193"/>
      <c r="V40" s="195" t="str">
        <f t="shared" ref="V40:V42" si="37">IF(OR(W40="Preventivo",W40="Detectivo"),"Probabilidad",IF(W40="Correctivo","Impacto",""))</f>
        <v/>
      </c>
      <c r="W40" s="196"/>
      <c r="X40" s="196"/>
      <c r="Y40" s="197" t="str">
        <f t="shared" si="34"/>
        <v/>
      </c>
      <c r="Z40" s="196"/>
      <c r="AA40" s="196"/>
      <c r="AB40" s="196"/>
      <c r="AC40" s="198" t="str">
        <f t="shared" ref="AC40:AC42" si="38">IFERROR(IF(AND(V39="Probabilidad",V40="Probabilidad"),(AE39-(+AE39*Y40)),IF(AND(V39="Impacto",V40="Probabilidad"),(AE38-(+AE38*Y40)),IF(V40="Impacto",AE39,""))),"")</f>
        <v/>
      </c>
      <c r="AD40" s="199" t="str">
        <f t="shared" si="2"/>
        <v/>
      </c>
      <c r="AE40" s="197" t="str">
        <f t="shared" si="35"/>
        <v/>
      </c>
      <c r="AF40" s="199" t="str">
        <f t="shared" si="4"/>
        <v/>
      </c>
      <c r="AG40" s="197" t="str">
        <f t="shared" ref="AG40:AG42" si="39">IFERROR(IF(AND(V39="Impacto",V40="Impacto"),(AG39-(+AG39*Y40)),IF(AND(V39="Probabilidad",V40="Impacto"),(AG38-(+AG38*Y40)),IF(V40="Probabilidad",AG39,""))),"")</f>
        <v/>
      </c>
      <c r="AH40" s="200" t="str">
        <f>IFERROR(IF(OR(AND(AD40="Muy Baja",AF40="Leve"),AND(AD40="Muy Baja",AF40="Menor"),AND(AD40="Baja",AF40="Leve")),"Bajo",IF(OR(AND(AD40="Muy baja",AF40="Moderado"),AND(AD40="Baja",AF40="Menor"),AND(AD40="Baja",AF40="Moderado"),AND(AD40="Media",AF40="Leve"),AND(AD40="Media",AF40="Menor"),AND(AD40="Media",AF40="Moderado"),AND(AD40="Alta",AF40="Leve"),AND(AD40="Alta",AF40="Menor")),"Moderado",IF(OR(AND(AD40="Muy Baja",AF40="Mayor"),AND(AD40="Baja",AF40="Mayor"),AND(AD40="Media",AF40="Mayor"),AND(AD40="Alta",AF40="Moderado"),AND(AD40="Alta",AF40="Mayor"),AND(AD40="Muy Alta",AF40="Leve"),AND(AD40="Muy Alta",AF40="Menor"),AND(AD40="Muy Alta",AF40="Moderado"),AND(AD40="Muy Alta",AF40="Mayor")),"Alto",IF(OR(AND(AD40="Muy Baja",AF40="Catastrófico"),AND(AD40="Baja",AF40="Catastrófico"),AND(AD40="Media",AF40="Catastrófico"),AND(AD40="Alta",AF40="Catastrófico"),AND(AD40="Muy Alta",AF40="Catastrófico")),"Extremo","")))),"")</f>
        <v/>
      </c>
      <c r="AI40" s="201"/>
      <c r="AJ40" s="192"/>
      <c r="AK40" s="202"/>
      <c r="AL40" s="202"/>
      <c r="AM40" s="203"/>
      <c r="AN40" s="333"/>
      <c r="AO40" s="333"/>
      <c r="AP40" s="333"/>
    </row>
    <row r="41" spans="1:42" ht="37.5" customHeight="1">
      <c r="A41" s="348"/>
      <c r="B41" s="330"/>
      <c r="C41" s="330"/>
      <c r="D41" s="330"/>
      <c r="E41" s="330"/>
      <c r="F41" s="330"/>
      <c r="G41" s="330"/>
      <c r="H41" s="330"/>
      <c r="I41" s="330"/>
      <c r="J41" s="330"/>
      <c r="K41" s="330"/>
      <c r="L41" s="333"/>
      <c r="M41" s="338"/>
      <c r="N41" s="337"/>
      <c r="O41" s="336"/>
      <c r="P41" s="337">
        <f t="shared" si="33"/>
        <v>0</v>
      </c>
      <c r="Q41" s="338"/>
      <c r="R41" s="337"/>
      <c r="S41" s="339"/>
      <c r="T41" s="230">
        <v>5</v>
      </c>
      <c r="U41" s="193"/>
      <c r="V41" s="195" t="str">
        <f t="shared" si="37"/>
        <v/>
      </c>
      <c r="W41" s="196"/>
      <c r="X41" s="196"/>
      <c r="Y41" s="197" t="str">
        <f t="shared" si="34"/>
        <v/>
      </c>
      <c r="Z41" s="196"/>
      <c r="AA41" s="196"/>
      <c r="AB41" s="196"/>
      <c r="AC41" s="198" t="str">
        <f t="shared" si="38"/>
        <v/>
      </c>
      <c r="AD41" s="199" t="str">
        <f t="shared" si="2"/>
        <v/>
      </c>
      <c r="AE41" s="197" t="str">
        <f t="shared" si="35"/>
        <v/>
      </c>
      <c r="AF41" s="199" t="str">
        <f t="shared" si="4"/>
        <v/>
      </c>
      <c r="AG41" s="197" t="str">
        <f t="shared" si="39"/>
        <v/>
      </c>
      <c r="AH41" s="200" t="str">
        <f t="shared" ref="AH41:AH42" si="40">IFERROR(IF(OR(AND(AD41="Muy Baja",AF41="Leve"),AND(AD41="Muy Baja",AF41="Menor"),AND(AD41="Baja",AF41="Leve")),"Bajo",IF(OR(AND(AD41="Muy baja",AF41="Moderado"),AND(AD41="Baja",AF41="Menor"),AND(AD41="Baja",AF41="Moderado"),AND(AD41="Media",AF41="Leve"),AND(AD41="Media",AF41="Menor"),AND(AD41="Media",AF41="Moderado"),AND(AD41="Alta",AF41="Leve"),AND(AD41="Alta",AF41="Menor")),"Moderado",IF(OR(AND(AD41="Muy Baja",AF41="Mayor"),AND(AD41="Baja",AF41="Mayor"),AND(AD41="Media",AF41="Mayor"),AND(AD41="Alta",AF41="Moderado"),AND(AD41="Alta",AF41="Mayor"),AND(AD41="Muy Alta",AF41="Leve"),AND(AD41="Muy Alta",AF41="Menor"),AND(AD41="Muy Alta",AF41="Moderado"),AND(AD41="Muy Alta",AF41="Mayor")),"Alto",IF(OR(AND(AD41="Muy Baja",AF41="Catastrófico"),AND(AD41="Baja",AF41="Catastrófico"),AND(AD41="Media",AF41="Catastrófico"),AND(AD41="Alta",AF41="Catastrófico"),AND(AD41="Muy Alta",AF41="Catastrófico")),"Extremo","")))),"")</f>
        <v/>
      </c>
      <c r="AI41" s="201"/>
      <c r="AJ41" s="192"/>
      <c r="AK41" s="202"/>
      <c r="AL41" s="202"/>
      <c r="AM41" s="203"/>
      <c r="AN41" s="333"/>
      <c r="AO41" s="333"/>
      <c r="AP41" s="333"/>
    </row>
    <row r="42" spans="1:42" ht="37.5" customHeight="1">
      <c r="A42" s="348"/>
      <c r="B42" s="330"/>
      <c r="C42" s="330"/>
      <c r="D42" s="330"/>
      <c r="E42" s="330"/>
      <c r="F42" s="330"/>
      <c r="G42" s="330"/>
      <c r="H42" s="330"/>
      <c r="I42" s="330"/>
      <c r="J42" s="330"/>
      <c r="K42" s="330"/>
      <c r="L42" s="333"/>
      <c r="M42" s="338"/>
      <c r="N42" s="337"/>
      <c r="O42" s="336"/>
      <c r="P42" s="337">
        <f t="shared" si="33"/>
        <v>0</v>
      </c>
      <c r="Q42" s="338"/>
      <c r="R42" s="337"/>
      <c r="S42" s="339"/>
      <c r="T42" s="230">
        <v>6</v>
      </c>
      <c r="U42" s="193"/>
      <c r="V42" s="195" t="str">
        <f t="shared" si="37"/>
        <v/>
      </c>
      <c r="W42" s="196"/>
      <c r="X42" s="196"/>
      <c r="Y42" s="197" t="str">
        <f t="shared" si="34"/>
        <v/>
      </c>
      <c r="Z42" s="196"/>
      <c r="AA42" s="196"/>
      <c r="AB42" s="196"/>
      <c r="AC42" s="198" t="str">
        <f t="shared" si="38"/>
        <v/>
      </c>
      <c r="AD42" s="199" t="str">
        <f t="shared" si="2"/>
        <v/>
      </c>
      <c r="AE42" s="197" t="str">
        <f t="shared" si="35"/>
        <v/>
      </c>
      <c r="AF42" s="199" t="str">
        <f t="shared" si="4"/>
        <v/>
      </c>
      <c r="AG42" s="197" t="str">
        <f t="shared" si="39"/>
        <v/>
      </c>
      <c r="AH42" s="200" t="str">
        <f t="shared" si="40"/>
        <v/>
      </c>
      <c r="AI42" s="201"/>
      <c r="AJ42" s="192"/>
      <c r="AK42" s="202"/>
      <c r="AL42" s="202"/>
      <c r="AM42" s="203"/>
      <c r="AN42" s="333"/>
      <c r="AO42" s="333"/>
      <c r="AP42" s="333"/>
    </row>
    <row r="43" spans="1:42" ht="37.5" customHeight="1">
      <c r="A43" s="348">
        <v>6</v>
      </c>
      <c r="B43" s="330"/>
      <c r="C43" s="330"/>
      <c r="D43" s="330"/>
      <c r="E43" s="356"/>
      <c r="F43" s="330"/>
      <c r="G43" s="330"/>
      <c r="H43" s="330"/>
      <c r="I43" s="330"/>
      <c r="J43" s="330"/>
      <c r="K43" s="330"/>
      <c r="L43" s="333"/>
      <c r="M43" s="338" t="str">
        <f>IF(L43&lt;=0,"",IF(L43&lt;=2,"Muy Baja",IF(L43&lt;=24,"Baja",IF(L43&lt;=500,"Media",IF(L43&lt;=5000,"Alta","Muy Alta")))))</f>
        <v/>
      </c>
      <c r="N43" s="337" t="str">
        <f>IF(M43="","",IF(M43="Muy Baja",0.2,IF(M43="Baja",0.4,IF(M43="Media",0.6,IF(M43="Alta",0.8,IF(M43="Muy Alta",1,))))))</f>
        <v/>
      </c>
      <c r="O43" s="336"/>
      <c r="P43" s="337">
        <f>IF(NOT(ISERROR(MATCH(O43,'Tabla Impacto'!$B$222:$B$224,0))),'Tabla Impacto'!$F$224&amp;"Por favor no seleccionar los criterios de impacto(Afectación Económica o presupuestal y Pérdida Reputacional)",O43)</f>
        <v>0</v>
      </c>
      <c r="Q43" s="338" t="str">
        <f>IF(OR(P43='Tabla Impacto'!$C$12,P43='Tabla Impacto'!$D$12),"Leve",IF(OR(P43='Tabla Impacto'!$C$13,P43='Tabla Impacto'!$D$13),"Menor",IF(OR(P43='Tabla Impacto'!$C$14,P43='Tabla Impacto'!$D$14),"Moderado",IF(OR(P43='Tabla Impacto'!$C$15,P43='Tabla Impacto'!$D$15),"Mayor",IF(OR(P43='Tabla Impacto'!$C$16,P43='Tabla Impacto'!$D$16),"Catastrófico","")))))</f>
        <v/>
      </c>
      <c r="R43" s="337" t="str">
        <f>IF(Q43="","",IF(Q43="Leve",0.2,IF(Q43="Menor",0.4,IF(Q43="Moderado",0.6,IF(Q43="Mayor",0.8,IF(Q43="Catastrófico",1,))))))</f>
        <v/>
      </c>
      <c r="S43" s="339" t="str">
        <f>IF(OR(AND(M43="Muy Baja",Q43="Leve"),AND(M43="Muy Baja",Q43="Menor"),AND(M43="Baja",Q43="Leve")),"Bajo",IF(OR(AND(M43="Muy baja",Q43="Moderado"),AND(M43="Baja",Q43="Menor"),AND(M43="Baja",Q43="Moderado"),AND(M43="Media",Q43="Leve"),AND(M43="Media",Q43="Menor"),AND(M43="Media",Q43="Moderado"),AND(M43="Alta",Q43="Leve"),AND(M43="Alta",Q43="Menor")),"Moderado",IF(OR(AND(M43="Muy Baja",Q43="Mayor"),AND(M43="Baja",Q43="Mayor"),AND(M43="Media",Q43="Mayor"),AND(M43="Alta",Q43="Moderado"),AND(M43="Alta",Q43="Mayor"),AND(M43="Muy Alta",Q43="Leve"),AND(M43="Muy Alta",Q43="Menor"),AND(M43="Muy Alta",Q43="Moderado"),AND(M43="Muy Alta",Q43="Mayor")),"Alto",IF(OR(AND(M43="Muy Baja",Q43="Catastrófico"),AND(M43="Baja",Q43="Catastrófico"),AND(M43="Media",Q43="Catastrófico"),AND(M43="Alta",Q43="Catastrófico"),AND(M43="Muy Alta",Q43="Catastrófico")),"Extremo",""))))</f>
        <v/>
      </c>
      <c r="T43" s="230">
        <v>1</v>
      </c>
      <c r="U43" s="193"/>
      <c r="V43" s="195" t="str">
        <f>IF(OR(W43="Preventivo",W43="Detectivo"),"Probabilidad",IF(W43="Correctivo","Impacto",""))</f>
        <v/>
      </c>
      <c r="W43" s="196"/>
      <c r="X43" s="196"/>
      <c r="Y43" s="197" t="str">
        <f>IF(AND(W43="Preventivo",X43="Automático"),"50%",IF(AND(W43="Preventivo",X43="Manual"),"40%",IF(AND(W43="Detectivo",X43="Automático"),"40%",IF(AND(W43="Detectivo",X43="Manual"),"30%",IF(AND(W43="Correctivo",X43="Automático"),"35%",IF(AND(W43="Correctivo",X43="Manual"),"25%",""))))))</f>
        <v/>
      </c>
      <c r="Z43" s="196"/>
      <c r="AA43" s="196"/>
      <c r="AB43" s="196"/>
      <c r="AC43" s="198" t="str">
        <f>IFERROR(IF(V43="Probabilidad",(N43-(+N43*Y43)),IF(V43="Impacto",N43,"")),"")</f>
        <v/>
      </c>
      <c r="AD43" s="199" t="str">
        <f>IFERROR(IF(AC43="","",IF(AC43&lt;=0.2,"Muy Baja",IF(AC43&lt;=0.4,"Baja",IF(AC43&lt;=0.6,"Media",IF(AC43&lt;=0.8,"Alta","Muy Alta"))))),"")</f>
        <v/>
      </c>
      <c r="AE43" s="197" t="str">
        <f>+AC43</f>
        <v/>
      </c>
      <c r="AF43" s="199" t="str">
        <f>IFERROR(IF(AG43="","",IF(AG43&lt;=0.2,"Leve",IF(AG43&lt;=0.4,"Menor",IF(AG43&lt;=0.6,"Moderado",IF(AG43&lt;=0.8,"Mayor","Catastrófico"))))),"")</f>
        <v/>
      </c>
      <c r="AG43" s="197" t="str">
        <f>IFERROR(IF(V43="Impacto",(R43-(+R43*Y43)),IF(V43="Probabilidad",R43,"")),"")</f>
        <v/>
      </c>
      <c r="AH43" s="200" t="str">
        <f>IFERROR(IF(OR(AND(AD43="Muy Baja",AF43="Leve"),AND(AD43="Muy Baja",AF43="Menor"),AND(AD43="Baja",AF43="Leve")),"Bajo",IF(OR(AND(AD43="Muy baja",AF43="Moderado"),AND(AD43="Baja",AF43="Menor"),AND(AD43="Baja",AF43="Moderado"),AND(AD43="Media",AF43="Leve"),AND(AD43="Media",AF43="Menor"),AND(AD43="Media",AF43="Moderado"),AND(AD43="Alta",AF43="Leve"),AND(AD43="Alta",AF43="Menor")),"Moderado",IF(OR(AND(AD43="Muy Baja",AF43="Mayor"),AND(AD43="Baja",AF43="Mayor"),AND(AD43="Media",AF43="Mayor"),AND(AD43="Alta",AF43="Moderado"),AND(AD43="Alta",AF43="Mayor"),AND(AD43="Muy Alta",AF43="Leve"),AND(AD43="Muy Alta",AF43="Menor"),AND(AD43="Muy Alta",AF43="Moderado"),AND(AD43="Muy Alta",AF43="Mayor")),"Alto",IF(OR(AND(AD43="Muy Baja",AF43="Catastrófico"),AND(AD43="Baja",AF43="Catastrófico"),AND(AD43="Media",AF43="Catastrófico"),AND(AD43="Alta",AF43="Catastrófico"),AND(AD43="Muy Alta",AF43="Catastrófico")),"Extremo","")))),"")</f>
        <v/>
      </c>
      <c r="AI43" s="196"/>
      <c r="AJ43" s="192"/>
      <c r="AK43" s="202"/>
      <c r="AL43" s="202"/>
      <c r="AM43" s="203"/>
      <c r="AN43" s="333"/>
      <c r="AO43" s="333"/>
      <c r="AP43" s="333"/>
    </row>
    <row r="44" spans="1:42" ht="37.5" customHeight="1">
      <c r="A44" s="348"/>
      <c r="B44" s="330"/>
      <c r="C44" s="330"/>
      <c r="D44" s="330"/>
      <c r="E44" s="357"/>
      <c r="F44" s="330"/>
      <c r="G44" s="330"/>
      <c r="H44" s="330"/>
      <c r="I44" s="330"/>
      <c r="J44" s="330"/>
      <c r="K44" s="330"/>
      <c r="L44" s="333"/>
      <c r="M44" s="338"/>
      <c r="N44" s="337"/>
      <c r="O44" s="336"/>
      <c r="P44" s="337">
        <f t="shared" ref="P44:P48" si="41">IF(NOT(ISERROR(MATCH(O44,_xlfn.ANCHORARRAY(E55),0))),N57&amp;"Por favor no seleccionar los criterios de impacto",O44)</f>
        <v>0</v>
      </c>
      <c r="Q44" s="338"/>
      <c r="R44" s="337"/>
      <c r="S44" s="339"/>
      <c r="T44" s="230">
        <v>2</v>
      </c>
      <c r="U44" s="193"/>
      <c r="V44" s="195" t="str">
        <f>IF(OR(W44="Preventivo",W44="Detectivo"),"Probabilidad",IF(W44="Correctivo","Impacto",""))</f>
        <v/>
      </c>
      <c r="W44" s="196"/>
      <c r="X44" s="196"/>
      <c r="Y44" s="197" t="str">
        <f t="shared" ref="Y44:Y48" si="42">IF(AND(W44="Preventivo",X44="Automático"),"50%",IF(AND(W44="Preventivo",X44="Manual"),"40%",IF(AND(W44="Detectivo",X44="Automático"),"40%",IF(AND(W44="Detectivo",X44="Manual"),"30%",IF(AND(W44="Correctivo",X44="Automático"),"35%",IF(AND(W44="Correctivo",X44="Manual"),"25%",""))))))</f>
        <v/>
      </c>
      <c r="Z44" s="196"/>
      <c r="AA44" s="196"/>
      <c r="AB44" s="196"/>
      <c r="AC44" s="198" t="str">
        <f>IFERROR(IF(AND(V43="Probabilidad",V44="Probabilidad"),(AE43-(+AE43*Y44)),IF(V44="Probabilidad",(N43-(+N43*Y44)),IF(V44="Impacto",AE43,""))),"")</f>
        <v/>
      </c>
      <c r="AD44" s="199" t="str">
        <f t="shared" si="2"/>
        <v/>
      </c>
      <c r="AE44" s="197" t="str">
        <f t="shared" ref="AE44:AE48" si="43">+AC44</f>
        <v/>
      </c>
      <c r="AF44" s="199" t="str">
        <f t="shared" si="4"/>
        <v/>
      </c>
      <c r="AG44" s="197" t="str">
        <f>IFERROR(IF(AND(V43="Impacto",V44="Impacto"),(AG37-(+AG37*Y44)),IF(V44="Impacto",($R$43-(+$R$43*Y44)),IF(V44="Probabilidad",AG37,""))),"")</f>
        <v/>
      </c>
      <c r="AH44" s="200" t="str">
        <f t="shared" ref="AH44:AH45" si="44">IFERROR(IF(OR(AND(AD44="Muy Baja",AF44="Leve"),AND(AD44="Muy Baja",AF44="Menor"),AND(AD44="Baja",AF44="Leve")),"Bajo",IF(OR(AND(AD44="Muy baja",AF44="Moderado"),AND(AD44="Baja",AF44="Menor"),AND(AD44="Baja",AF44="Moderado"),AND(AD44="Media",AF44="Leve"),AND(AD44="Media",AF44="Menor"),AND(AD44="Media",AF44="Moderado"),AND(AD44="Alta",AF44="Leve"),AND(AD44="Alta",AF44="Menor")),"Moderado",IF(OR(AND(AD44="Muy Baja",AF44="Mayor"),AND(AD44="Baja",AF44="Mayor"),AND(AD44="Media",AF44="Mayor"),AND(AD44="Alta",AF44="Moderado"),AND(AD44="Alta",AF44="Mayor"),AND(AD44="Muy Alta",AF44="Leve"),AND(AD44="Muy Alta",AF44="Menor"),AND(AD44="Muy Alta",AF44="Moderado"),AND(AD44="Muy Alta",AF44="Mayor")),"Alto",IF(OR(AND(AD44="Muy Baja",AF44="Catastrófico"),AND(AD44="Baja",AF44="Catastrófico"),AND(AD44="Media",AF44="Catastrófico"),AND(AD44="Alta",AF44="Catastrófico"),AND(AD44="Muy Alta",AF44="Catastrófico")),"Extremo","")))),"")</f>
        <v/>
      </c>
      <c r="AI44" s="201"/>
      <c r="AJ44" s="192"/>
      <c r="AK44" s="202"/>
      <c r="AL44" s="202"/>
      <c r="AM44" s="203"/>
      <c r="AN44" s="333"/>
      <c r="AO44" s="333"/>
      <c r="AP44" s="333"/>
    </row>
    <row r="45" spans="1:42" ht="37.5" customHeight="1">
      <c r="A45" s="348"/>
      <c r="B45" s="330"/>
      <c r="C45" s="330"/>
      <c r="D45" s="330"/>
      <c r="E45" s="357"/>
      <c r="F45" s="330"/>
      <c r="G45" s="330"/>
      <c r="H45" s="330"/>
      <c r="I45" s="330"/>
      <c r="J45" s="330"/>
      <c r="K45" s="330"/>
      <c r="L45" s="333"/>
      <c r="M45" s="338"/>
      <c r="N45" s="337"/>
      <c r="O45" s="336"/>
      <c r="P45" s="337">
        <f t="shared" si="41"/>
        <v>0</v>
      </c>
      <c r="Q45" s="338"/>
      <c r="R45" s="337"/>
      <c r="S45" s="339"/>
      <c r="T45" s="230">
        <v>3</v>
      </c>
      <c r="U45" s="194"/>
      <c r="V45" s="195" t="str">
        <f>IF(OR(W45="Preventivo",W45="Detectivo"),"Probabilidad",IF(W45="Correctivo","Impacto",""))</f>
        <v/>
      </c>
      <c r="W45" s="196"/>
      <c r="X45" s="196"/>
      <c r="Y45" s="197" t="str">
        <f t="shared" si="42"/>
        <v/>
      </c>
      <c r="Z45" s="196"/>
      <c r="AA45" s="196"/>
      <c r="AB45" s="196"/>
      <c r="AC45" s="198" t="str">
        <f>IFERROR(IF(AND(V44="Probabilidad",V45="Probabilidad"),(AE44-(+AE44*Y45)),IF(AND(V44="Impacto",V45="Probabilidad"),(AE43-(+AE43*Y45)),IF(V45="Impacto",AE44,""))),"")</f>
        <v/>
      </c>
      <c r="AD45" s="199" t="str">
        <f t="shared" si="2"/>
        <v/>
      </c>
      <c r="AE45" s="197" t="str">
        <f t="shared" si="43"/>
        <v/>
      </c>
      <c r="AF45" s="199" t="str">
        <f t="shared" si="4"/>
        <v/>
      </c>
      <c r="AG45" s="197" t="str">
        <f>IFERROR(IF(AND(V44="Impacto",V45="Impacto"),(AG44-(+AG44*Y45)),IF(AND(V44="Probabilidad",V45="Impacto"),(AG43-(+AG43*Y45)),IF(V45="Probabilidad",AG44,""))),"")</f>
        <v/>
      </c>
      <c r="AH45" s="200" t="str">
        <f t="shared" si="44"/>
        <v/>
      </c>
      <c r="AI45" s="201"/>
      <c r="AJ45" s="192"/>
      <c r="AK45" s="202"/>
      <c r="AL45" s="202"/>
      <c r="AM45" s="203"/>
      <c r="AN45" s="333"/>
      <c r="AO45" s="333"/>
      <c r="AP45" s="333"/>
    </row>
    <row r="46" spans="1:42" ht="37.5" customHeight="1">
      <c r="A46" s="348"/>
      <c r="B46" s="330"/>
      <c r="C46" s="330"/>
      <c r="D46" s="330"/>
      <c r="E46" s="357"/>
      <c r="F46" s="330"/>
      <c r="G46" s="330"/>
      <c r="H46" s="330"/>
      <c r="I46" s="330"/>
      <c r="J46" s="330"/>
      <c r="K46" s="330"/>
      <c r="L46" s="333"/>
      <c r="M46" s="338"/>
      <c r="N46" s="337"/>
      <c r="O46" s="336"/>
      <c r="P46" s="337">
        <f t="shared" si="41"/>
        <v>0</v>
      </c>
      <c r="Q46" s="338"/>
      <c r="R46" s="337"/>
      <c r="S46" s="339"/>
      <c r="T46" s="230">
        <v>4</v>
      </c>
      <c r="U46" s="193"/>
      <c r="V46" s="195" t="str">
        <f t="shared" ref="V46:V48" si="45">IF(OR(W46="Preventivo",W46="Detectivo"),"Probabilidad",IF(W46="Correctivo","Impacto",""))</f>
        <v/>
      </c>
      <c r="W46" s="196"/>
      <c r="X46" s="196"/>
      <c r="Y46" s="197" t="str">
        <f t="shared" si="42"/>
        <v/>
      </c>
      <c r="Z46" s="196"/>
      <c r="AA46" s="196"/>
      <c r="AB46" s="196"/>
      <c r="AC46" s="198" t="str">
        <f t="shared" ref="AC46:AC48" si="46">IFERROR(IF(AND(V45="Probabilidad",V46="Probabilidad"),(AE45-(+AE45*Y46)),IF(AND(V45="Impacto",V46="Probabilidad"),(AE44-(+AE44*Y46)),IF(V46="Impacto",AE45,""))),"")</f>
        <v/>
      </c>
      <c r="AD46" s="199" t="str">
        <f t="shared" si="2"/>
        <v/>
      </c>
      <c r="AE46" s="197" t="str">
        <f t="shared" si="43"/>
        <v/>
      </c>
      <c r="AF46" s="199" t="str">
        <f t="shared" si="4"/>
        <v/>
      </c>
      <c r="AG46" s="197" t="str">
        <f t="shared" ref="AG46:AG48" si="47">IFERROR(IF(AND(V45="Impacto",V46="Impacto"),(AG45-(+AG45*Y46)),IF(AND(V45="Probabilidad",V46="Impacto"),(AG44-(+AG44*Y46)),IF(V46="Probabilidad",AG45,""))),"")</f>
        <v/>
      </c>
      <c r="AH46" s="200" t="str">
        <f>IFERROR(IF(OR(AND(AD46="Muy Baja",AF46="Leve"),AND(AD46="Muy Baja",AF46="Menor"),AND(AD46="Baja",AF46="Leve")),"Bajo",IF(OR(AND(AD46="Muy baja",AF46="Moderado"),AND(AD46="Baja",AF46="Menor"),AND(AD46="Baja",AF46="Moderado"),AND(AD46="Media",AF46="Leve"),AND(AD46="Media",AF46="Menor"),AND(AD46="Media",AF46="Moderado"),AND(AD46="Alta",AF46="Leve"),AND(AD46="Alta",AF46="Menor")),"Moderado",IF(OR(AND(AD46="Muy Baja",AF46="Mayor"),AND(AD46="Baja",AF46="Mayor"),AND(AD46="Media",AF46="Mayor"),AND(AD46="Alta",AF46="Moderado"),AND(AD46="Alta",AF46="Mayor"),AND(AD46="Muy Alta",AF46="Leve"),AND(AD46="Muy Alta",AF46="Menor"),AND(AD46="Muy Alta",AF46="Moderado"),AND(AD46="Muy Alta",AF46="Mayor")),"Alto",IF(OR(AND(AD46="Muy Baja",AF46="Catastrófico"),AND(AD46="Baja",AF46="Catastrófico"),AND(AD46="Media",AF46="Catastrófico"),AND(AD46="Alta",AF46="Catastrófico"),AND(AD46="Muy Alta",AF46="Catastrófico")),"Extremo","")))),"")</f>
        <v/>
      </c>
      <c r="AI46" s="201"/>
      <c r="AJ46" s="192"/>
      <c r="AK46" s="202"/>
      <c r="AL46" s="202"/>
      <c r="AM46" s="203"/>
      <c r="AN46" s="333"/>
      <c r="AO46" s="333"/>
      <c r="AP46" s="333"/>
    </row>
    <row r="47" spans="1:42" ht="37.5" customHeight="1">
      <c r="A47" s="348"/>
      <c r="B47" s="330"/>
      <c r="C47" s="330"/>
      <c r="D47" s="330"/>
      <c r="E47" s="357"/>
      <c r="F47" s="330"/>
      <c r="G47" s="330"/>
      <c r="H47" s="330"/>
      <c r="I47" s="330"/>
      <c r="J47" s="330"/>
      <c r="K47" s="330"/>
      <c r="L47" s="333"/>
      <c r="M47" s="338"/>
      <c r="N47" s="337"/>
      <c r="O47" s="336"/>
      <c r="P47" s="337">
        <f t="shared" si="41"/>
        <v>0</v>
      </c>
      <c r="Q47" s="338"/>
      <c r="R47" s="337"/>
      <c r="S47" s="339"/>
      <c r="T47" s="230">
        <v>5</v>
      </c>
      <c r="U47" s="193"/>
      <c r="V47" s="195" t="str">
        <f t="shared" si="45"/>
        <v/>
      </c>
      <c r="W47" s="196"/>
      <c r="X47" s="196"/>
      <c r="Y47" s="197" t="str">
        <f t="shared" si="42"/>
        <v/>
      </c>
      <c r="Z47" s="196"/>
      <c r="AA47" s="196"/>
      <c r="AB47" s="196"/>
      <c r="AC47" s="198" t="str">
        <f t="shared" si="46"/>
        <v/>
      </c>
      <c r="AD47" s="199" t="str">
        <f t="shared" si="2"/>
        <v/>
      </c>
      <c r="AE47" s="197" t="str">
        <f t="shared" si="43"/>
        <v/>
      </c>
      <c r="AF47" s="199" t="str">
        <f t="shared" si="4"/>
        <v/>
      </c>
      <c r="AG47" s="197" t="str">
        <f t="shared" si="47"/>
        <v/>
      </c>
      <c r="AH47" s="200" t="str">
        <f t="shared" ref="AH47" si="48">IFERROR(IF(OR(AND(AD47="Muy Baja",AF47="Leve"),AND(AD47="Muy Baja",AF47="Menor"),AND(AD47="Baja",AF47="Leve")),"Bajo",IF(OR(AND(AD47="Muy baja",AF47="Moderado"),AND(AD47="Baja",AF47="Menor"),AND(AD47="Baja",AF47="Moderado"),AND(AD47="Media",AF47="Leve"),AND(AD47="Media",AF47="Menor"),AND(AD47="Media",AF47="Moderado"),AND(AD47="Alta",AF47="Leve"),AND(AD47="Alta",AF47="Menor")),"Moderado",IF(OR(AND(AD47="Muy Baja",AF47="Mayor"),AND(AD47="Baja",AF47="Mayor"),AND(AD47="Media",AF47="Mayor"),AND(AD47="Alta",AF47="Moderado"),AND(AD47="Alta",AF47="Mayor"),AND(AD47="Muy Alta",AF47="Leve"),AND(AD47="Muy Alta",AF47="Menor"),AND(AD47="Muy Alta",AF47="Moderado"),AND(AD47="Muy Alta",AF47="Mayor")),"Alto",IF(OR(AND(AD47="Muy Baja",AF47="Catastrófico"),AND(AD47="Baja",AF47="Catastrófico"),AND(AD47="Media",AF47="Catastrófico"),AND(AD47="Alta",AF47="Catastrófico"),AND(AD47="Muy Alta",AF47="Catastrófico")),"Extremo","")))),"")</f>
        <v/>
      </c>
      <c r="AI47" s="201"/>
      <c r="AJ47" s="192"/>
      <c r="AK47" s="202"/>
      <c r="AL47" s="202"/>
      <c r="AM47" s="203"/>
      <c r="AN47" s="333"/>
      <c r="AO47" s="333"/>
      <c r="AP47" s="333"/>
    </row>
    <row r="48" spans="1:42" ht="37.5" customHeight="1">
      <c r="A48" s="348"/>
      <c r="B48" s="330"/>
      <c r="C48" s="330"/>
      <c r="D48" s="330"/>
      <c r="E48" s="358"/>
      <c r="F48" s="330"/>
      <c r="G48" s="330"/>
      <c r="H48" s="330"/>
      <c r="I48" s="330"/>
      <c r="J48" s="330"/>
      <c r="K48" s="330"/>
      <c r="L48" s="333"/>
      <c r="M48" s="338"/>
      <c r="N48" s="337"/>
      <c r="O48" s="336"/>
      <c r="P48" s="337">
        <f t="shared" si="41"/>
        <v>0</v>
      </c>
      <c r="Q48" s="338"/>
      <c r="R48" s="337"/>
      <c r="S48" s="339"/>
      <c r="T48" s="230">
        <v>6</v>
      </c>
      <c r="U48" s="193"/>
      <c r="V48" s="195" t="str">
        <f t="shared" si="45"/>
        <v/>
      </c>
      <c r="W48" s="196"/>
      <c r="X48" s="196"/>
      <c r="Y48" s="197" t="str">
        <f t="shared" si="42"/>
        <v/>
      </c>
      <c r="Z48" s="196"/>
      <c r="AA48" s="196"/>
      <c r="AB48" s="196"/>
      <c r="AC48" s="198" t="str">
        <f t="shared" si="46"/>
        <v/>
      </c>
      <c r="AD48" s="199" t="str">
        <f t="shared" si="2"/>
        <v/>
      </c>
      <c r="AE48" s="197" t="str">
        <f t="shared" si="43"/>
        <v/>
      </c>
      <c r="AF48" s="199" t="str">
        <f>IFERROR(IF(AG48="","",IF(AG48&lt;=0.2,"Leve",IF(AG48&lt;=0.4,"Menor",IF(AG48&lt;=0.6,"Moderado",IF(AG48&lt;=0.8,"Mayor","Catastrófico"))))),"")</f>
        <v/>
      </c>
      <c r="AG48" s="197" t="str">
        <f t="shared" si="47"/>
        <v/>
      </c>
      <c r="AH48" s="200" t="str">
        <f>IFERROR(IF(OR(AND(AD48="Muy Baja",AF48="Leve"),AND(AD48="Muy Baja",AF48="Menor"),AND(AD48="Baja",AF48="Leve")),"Bajo",IF(OR(AND(AD48="Muy baja",AF48="Moderado"),AND(AD48="Baja",AF48="Menor"),AND(AD48="Baja",AF48="Moderado"),AND(AD48="Media",AF48="Leve"),AND(AD48="Media",AF48="Menor"),AND(AD48="Media",AF48="Moderado"),AND(AD48="Alta",AF48="Leve"),AND(AD48="Alta",AF48="Menor")),"Moderado",IF(OR(AND(AD48="Muy Baja",AF48="Mayor"),AND(AD48="Baja",AF48="Mayor"),AND(AD48="Media",AF48="Mayor"),AND(AD48="Alta",AF48="Moderado"),AND(AD48="Alta",AF48="Mayor"),AND(AD48="Muy Alta",AF48="Leve"),AND(AD48="Muy Alta",AF48="Menor"),AND(AD48="Muy Alta",AF48="Moderado"),AND(AD48="Muy Alta",AF48="Mayor")),"Alto",IF(OR(AND(AD48="Muy Baja",AF48="Catastrófico"),AND(AD48="Baja",AF48="Catastrófico"),AND(AD48="Media",AF48="Catastrófico"),AND(AD48="Alta",AF48="Catastrófico"),AND(AD48="Muy Alta",AF48="Catastrófico")),"Extremo","")))),"")</f>
        <v/>
      </c>
      <c r="AI48" s="201"/>
      <c r="AJ48" s="192"/>
      <c r="AK48" s="202"/>
      <c r="AL48" s="202"/>
      <c r="AM48" s="203"/>
      <c r="AN48" s="333"/>
      <c r="AO48" s="333"/>
      <c r="AP48" s="333"/>
    </row>
    <row r="49" spans="1:42" ht="37.5" customHeight="1">
      <c r="A49" s="348">
        <v>7</v>
      </c>
      <c r="B49" s="330"/>
      <c r="C49" s="330"/>
      <c r="D49" s="367"/>
      <c r="E49" s="330"/>
      <c r="F49" s="330"/>
      <c r="G49" s="330"/>
      <c r="H49" s="330"/>
      <c r="I49" s="330"/>
      <c r="J49" s="330"/>
      <c r="K49" s="330"/>
      <c r="L49" s="333"/>
      <c r="M49" s="338" t="str">
        <f>IF(L49&lt;=0,"",IF(L49&lt;=2,"Muy Baja",IF(L49&lt;=24,"Baja",IF(L49&lt;=500,"Media",IF(L49&lt;=5000,"Alta","Muy Alta")))))</f>
        <v/>
      </c>
      <c r="N49" s="337" t="str">
        <f>IF(M49="","",IF(M49="Muy Baja",0.2,IF(M49="Baja",0.4,IF(M49="Media",0.6,IF(M49="Alta",0.8,IF(M49="Muy Alta",1,))))))</f>
        <v/>
      </c>
      <c r="O49" s="336"/>
      <c r="P49" s="337">
        <f>IF(NOT(ISERROR(MATCH(O49,'Tabla Impacto'!$B$222:$B$224,0))),'Tabla Impacto'!$F$224&amp;"Por favor no seleccionar los criterios de impacto(Afectación Económica o presupuestal y Pérdida Reputacional)",O49)</f>
        <v>0</v>
      </c>
      <c r="Q49" s="338" t="str">
        <f>IF(OR(P49='Tabla Impacto'!$C$12,P49='Tabla Impacto'!$D$12),"Leve",IF(OR(P49='Tabla Impacto'!$C$13,P49='Tabla Impacto'!$D$13),"Menor",IF(OR(P49='Tabla Impacto'!$C$14,P49='Tabla Impacto'!$D$14),"Moderado",IF(OR(P49='Tabla Impacto'!$C$15,P49='Tabla Impacto'!$D$15),"Mayor",IF(OR(P49='Tabla Impacto'!$C$16,P49='Tabla Impacto'!$D$16),"Catastrófico","")))))</f>
        <v/>
      </c>
      <c r="R49" s="337" t="str">
        <f>IF(Q49="","",IF(Q49="Leve",0.2,IF(Q49="Menor",0.4,IF(Q49="Moderado",0.6,IF(Q49="Mayor",0.8,IF(Q49="Catastrófico",1,))))))</f>
        <v/>
      </c>
      <c r="S49" s="339" t="str">
        <f>IF(OR(AND(M49="Muy Baja",Q49="Leve"),AND(M49="Muy Baja",Q49="Menor"),AND(M49="Baja",Q49="Leve")),"Bajo",IF(OR(AND(M49="Muy baja",Q49="Moderado"),AND(M49="Baja",Q49="Menor"),AND(M49="Baja",Q49="Moderado"),AND(M49="Media",Q49="Leve"),AND(M49="Media",Q49="Menor"),AND(M49="Media",Q49="Moderado"),AND(M49="Alta",Q49="Leve"),AND(M49="Alta",Q49="Menor")),"Moderado",IF(OR(AND(M49="Muy Baja",Q49="Mayor"),AND(M49="Baja",Q49="Mayor"),AND(M49="Media",Q49="Mayor"),AND(M49="Alta",Q49="Moderado"),AND(M49="Alta",Q49="Mayor"),AND(M49="Muy Alta",Q49="Leve"),AND(M49="Muy Alta",Q49="Menor"),AND(M49="Muy Alta",Q49="Moderado"),AND(M49="Muy Alta",Q49="Mayor")),"Alto",IF(OR(AND(M49="Muy Baja",Q49="Catastrófico"),AND(M49="Baja",Q49="Catastrófico"),AND(M49="Media",Q49="Catastrófico"),AND(M49="Alta",Q49="Catastrófico"),AND(M49="Muy Alta",Q49="Catastrófico")),"Extremo",""))))</f>
        <v/>
      </c>
      <c r="T49" s="230">
        <v>1</v>
      </c>
      <c r="U49" s="205"/>
      <c r="V49" s="195" t="str">
        <f>IF(OR(W49="Preventivo",W49="Detectivo"),"Probabilidad",IF(W49="Correctivo","Impacto",""))</f>
        <v/>
      </c>
      <c r="W49" s="196"/>
      <c r="X49" s="196"/>
      <c r="Y49" s="197" t="str">
        <f>IF(AND(W49="Preventivo",X49="Automático"),"50%",IF(AND(W49="Preventivo",X49="Manual"),"40%",IF(AND(W49="Detectivo",X49="Automático"),"40%",IF(AND(W49="Detectivo",X49="Manual"),"30%",IF(AND(W49="Correctivo",X49="Automático"),"35%",IF(AND(W49="Correctivo",X49="Manual"),"25%",""))))))</f>
        <v/>
      </c>
      <c r="Z49" s="196"/>
      <c r="AA49" s="196"/>
      <c r="AB49" s="196"/>
      <c r="AC49" s="198" t="str">
        <f>IFERROR(IF(V49="Probabilidad",(N49-(+N49*Y49)),IF(V49="Impacto",N49,"")),"")</f>
        <v/>
      </c>
      <c r="AD49" s="199" t="str">
        <f>IFERROR(IF(AC49="","",IF(AC49&lt;=0.2,"Muy Baja",IF(AC49&lt;=0.4,"Baja",IF(AC49&lt;=0.6,"Media",IF(AC49&lt;=0.8,"Alta","Muy Alta"))))),"")</f>
        <v/>
      </c>
      <c r="AE49" s="197" t="str">
        <f>+AC49</f>
        <v/>
      </c>
      <c r="AF49" s="199" t="str">
        <f>IFERROR(IF(AG49="","",IF(AG49&lt;=0.2,"Leve",IF(AG49&lt;=0.4,"Menor",IF(AG49&lt;=0.6,"Moderado",IF(AG49&lt;=0.8,"Mayor","Catastrófico"))))),"")</f>
        <v/>
      </c>
      <c r="AG49" s="197" t="str">
        <f>IFERROR(IF(V49="Impacto",(R49-(+R49*Y49)),IF(V49="Probabilidad",R49,"")),"")</f>
        <v/>
      </c>
      <c r="AH49" s="200" t="str">
        <f>IFERROR(IF(OR(AND(AD49="Muy Baja",AF49="Leve"),AND(AD49="Muy Baja",AF49="Menor"),AND(AD49="Baja",AF49="Leve")),"Bajo",IF(OR(AND(AD49="Muy baja",AF49="Moderado"),AND(AD49="Baja",AF49="Menor"),AND(AD49="Baja",AF49="Moderado"),AND(AD49="Media",AF49="Leve"),AND(AD49="Media",AF49="Menor"),AND(AD49="Media",AF49="Moderado"),AND(AD49="Alta",AF49="Leve"),AND(AD49="Alta",AF49="Menor")),"Moderado",IF(OR(AND(AD49="Muy Baja",AF49="Mayor"),AND(AD49="Baja",AF49="Mayor"),AND(AD49="Media",AF49="Mayor"),AND(AD49="Alta",AF49="Moderado"),AND(AD49="Alta",AF49="Mayor"),AND(AD49="Muy Alta",AF49="Leve"),AND(AD49="Muy Alta",AF49="Menor"),AND(AD49="Muy Alta",AF49="Moderado"),AND(AD49="Muy Alta",AF49="Mayor")),"Alto",IF(OR(AND(AD49="Muy Baja",AF49="Catastrófico"),AND(AD49="Baja",AF49="Catastrófico"),AND(AD49="Media",AF49="Catastrófico"),AND(AD49="Alta",AF49="Catastrófico"),AND(AD49="Muy Alta",AF49="Catastrófico")),"Extremo","")))),"")</f>
        <v/>
      </c>
      <c r="AI49" s="201"/>
      <c r="AJ49" s="192"/>
      <c r="AK49" s="202"/>
      <c r="AL49" s="202"/>
      <c r="AM49" s="203"/>
      <c r="AN49" s="333"/>
      <c r="AO49" s="333"/>
      <c r="AP49" s="333"/>
    </row>
    <row r="50" spans="1:42" ht="37.5" customHeight="1">
      <c r="A50" s="348"/>
      <c r="B50" s="330"/>
      <c r="C50" s="330"/>
      <c r="D50" s="367"/>
      <c r="E50" s="330"/>
      <c r="F50" s="330"/>
      <c r="G50" s="330"/>
      <c r="H50" s="330"/>
      <c r="I50" s="330"/>
      <c r="J50" s="330"/>
      <c r="K50" s="330"/>
      <c r="L50" s="333"/>
      <c r="M50" s="338"/>
      <c r="N50" s="337"/>
      <c r="O50" s="336"/>
      <c r="P50" s="337">
        <f t="shared" ref="P50:P54" si="49">IF(NOT(ISERROR(MATCH(O50,_xlfn.ANCHORARRAY(E61),0))),N63&amp;"Por favor no seleccionar los criterios de impacto",O50)</f>
        <v>0</v>
      </c>
      <c r="Q50" s="338"/>
      <c r="R50" s="337"/>
      <c r="S50" s="339"/>
      <c r="T50" s="230">
        <v>2</v>
      </c>
      <c r="U50" s="193"/>
      <c r="V50" s="195" t="str">
        <f>IF(OR(W50="Preventivo",W50="Detectivo"),"Probabilidad",IF(W50="Correctivo","Impacto",""))</f>
        <v/>
      </c>
      <c r="W50" s="196"/>
      <c r="X50" s="196"/>
      <c r="Y50" s="197" t="str">
        <f t="shared" ref="Y50:Y54" si="50">IF(AND(W50="Preventivo",X50="Automático"),"50%",IF(AND(W50="Preventivo",X50="Manual"),"40%",IF(AND(W50="Detectivo",X50="Automático"),"40%",IF(AND(W50="Detectivo",X50="Manual"),"30%",IF(AND(W50="Correctivo",X50="Automático"),"35%",IF(AND(W50="Correctivo",X50="Manual"),"25%",""))))))</f>
        <v/>
      </c>
      <c r="Z50" s="196"/>
      <c r="AA50" s="196"/>
      <c r="AB50" s="196"/>
      <c r="AC50" s="198" t="str">
        <f>IFERROR(IF(AND(V49="Probabilidad",V50="Probabilidad"),(AE49-(+AE49*Y50)),IF(V50="Probabilidad",(N49-(+N49*Y50)),IF(V50="Impacto",AE49,""))),"")</f>
        <v/>
      </c>
      <c r="AD50" s="199" t="str">
        <f t="shared" si="2"/>
        <v/>
      </c>
      <c r="AE50" s="197" t="str">
        <f t="shared" ref="AE50:AE54" si="51">+AC50</f>
        <v/>
      </c>
      <c r="AF50" s="199" t="str">
        <f t="shared" si="4"/>
        <v/>
      </c>
      <c r="AG50" s="197" t="str">
        <f>IFERROR(IF(AND(V49="Impacto",V50="Impacto"),(AG43-(+AG43*Y50)),IF(V50="Impacto",($R$49-(+$R$49*Y50)),IF(V50="Probabilidad",AG43,""))),"")</f>
        <v/>
      </c>
      <c r="AH50" s="200" t="str">
        <f t="shared" ref="AH50:AH51" si="52">IFERROR(IF(OR(AND(AD50="Muy Baja",AF50="Leve"),AND(AD50="Muy Baja",AF50="Menor"),AND(AD50="Baja",AF50="Leve")),"Bajo",IF(OR(AND(AD50="Muy baja",AF50="Moderado"),AND(AD50="Baja",AF50="Menor"),AND(AD50="Baja",AF50="Moderado"),AND(AD50="Media",AF50="Leve"),AND(AD50="Media",AF50="Menor"),AND(AD50="Media",AF50="Moderado"),AND(AD50="Alta",AF50="Leve"),AND(AD50="Alta",AF50="Menor")),"Moderado",IF(OR(AND(AD50="Muy Baja",AF50="Mayor"),AND(AD50="Baja",AF50="Mayor"),AND(AD50="Media",AF50="Mayor"),AND(AD50="Alta",AF50="Moderado"),AND(AD50="Alta",AF50="Mayor"),AND(AD50="Muy Alta",AF50="Leve"),AND(AD50="Muy Alta",AF50="Menor"),AND(AD50="Muy Alta",AF50="Moderado"),AND(AD50="Muy Alta",AF50="Mayor")),"Alto",IF(OR(AND(AD50="Muy Baja",AF50="Catastrófico"),AND(AD50="Baja",AF50="Catastrófico"),AND(AD50="Media",AF50="Catastrófico"),AND(AD50="Alta",AF50="Catastrófico"),AND(AD50="Muy Alta",AF50="Catastrófico")),"Extremo","")))),"")</f>
        <v/>
      </c>
      <c r="AI50" s="201"/>
      <c r="AJ50" s="192"/>
      <c r="AK50" s="202"/>
      <c r="AL50" s="202"/>
      <c r="AM50" s="203"/>
      <c r="AN50" s="333"/>
      <c r="AO50" s="333"/>
      <c r="AP50" s="333"/>
    </row>
    <row r="51" spans="1:42" ht="37.5" customHeight="1">
      <c r="A51" s="348"/>
      <c r="B51" s="330"/>
      <c r="C51" s="330"/>
      <c r="D51" s="367"/>
      <c r="E51" s="330"/>
      <c r="F51" s="330"/>
      <c r="G51" s="330"/>
      <c r="H51" s="330"/>
      <c r="I51" s="330"/>
      <c r="J51" s="330"/>
      <c r="K51" s="330"/>
      <c r="L51" s="333"/>
      <c r="M51" s="338"/>
      <c r="N51" s="337"/>
      <c r="O51" s="336"/>
      <c r="P51" s="337">
        <f t="shared" si="49"/>
        <v>0</v>
      </c>
      <c r="Q51" s="338"/>
      <c r="R51" s="337"/>
      <c r="S51" s="339"/>
      <c r="T51" s="230">
        <v>3</v>
      </c>
      <c r="U51" s="194"/>
      <c r="V51" s="195" t="str">
        <f>IF(OR(W51="Preventivo",W51="Detectivo"),"Probabilidad",IF(W51="Correctivo","Impacto",""))</f>
        <v/>
      </c>
      <c r="W51" s="196"/>
      <c r="X51" s="196"/>
      <c r="Y51" s="197" t="str">
        <f t="shared" si="50"/>
        <v/>
      </c>
      <c r="Z51" s="196"/>
      <c r="AA51" s="196"/>
      <c r="AB51" s="196"/>
      <c r="AC51" s="198" t="str">
        <f>IFERROR(IF(AND(V50="Probabilidad",V51="Probabilidad"),(AE50-(+AE50*Y51)),IF(AND(V50="Impacto",V51="Probabilidad"),(AE49-(+AE49*Y51)),IF(V51="Impacto",AE50,""))),"")</f>
        <v/>
      </c>
      <c r="AD51" s="199" t="str">
        <f t="shared" si="2"/>
        <v/>
      </c>
      <c r="AE51" s="197" t="str">
        <f t="shared" si="51"/>
        <v/>
      </c>
      <c r="AF51" s="199" t="str">
        <f t="shared" si="4"/>
        <v/>
      </c>
      <c r="AG51" s="197" t="str">
        <f>IFERROR(IF(AND(V50="Impacto",V51="Impacto"),(AG50-(+AG50*Y51)),IF(AND(V50="Probabilidad",V51="Impacto"),(AG49-(+AG49*Y51)),IF(V51="Probabilidad",AG50,""))),"")</f>
        <v/>
      </c>
      <c r="AH51" s="200" t="str">
        <f t="shared" si="52"/>
        <v/>
      </c>
      <c r="AI51" s="201"/>
      <c r="AJ51" s="192"/>
      <c r="AK51" s="202"/>
      <c r="AL51" s="202"/>
      <c r="AM51" s="203"/>
      <c r="AN51" s="333"/>
      <c r="AO51" s="333"/>
      <c r="AP51" s="333"/>
    </row>
    <row r="52" spans="1:42" ht="37.5" customHeight="1">
      <c r="A52" s="348"/>
      <c r="B52" s="330"/>
      <c r="C52" s="330"/>
      <c r="D52" s="367"/>
      <c r="E52" s="330"/>
      <c r="F52" s="330"/>
      <c r="G52" s="330"/>
      <c r="H52" s="330"/>
      <c r="I52" s="330"/>
      <c r="J52" s="330"/>
      <c r="K52" s="330"/>
      <c r="L52" s="333"/>
      <c r="M52" s="338"/>
      <c r="N52" s="337"/>
      <c r="O52" s="336"/>
      <c r="P52" s="337">
        <f t="shared" si="49"/>
        <v>0</v>
      </c>
      <c r="Q52" s="338"/>
      <c r="R52" s="337"/>
      <c r="S52" s="339"/>
      <c r="T52" s="230">
        <v>4</v>
      </c>
      <c r="U52" s="193"/>
      <c r="V52" s="195" t="str">
        <f t="shared" ref="V52:V54" si="53">IF(OR(W52="Preventivo",W52="Detectivo"),"Probabilidad",IF(W52="Correctivo","Impacto",""))</f>
        <v/>
      </c>
      <c r="W52" s="196"/>
      <c r="X52" s="196"/>
      <c r="Y52" s="197" t="str">
        <f t="shared" si="50"/>
        <v/>
      </c>
      <c r="Z52" s="196"/>
      <c r="AA52" s="196"/>
      <c r="AB52" s="196"/>
      <c r="AC52" s="198" t="str">
        <f t="shared" ref="AC52:AC54" si="54">IFERROR(IF(AND(V51="Probabilidad",V52="Probabilidad"),(AE51-(+AE51*Y52)),IF(AND(V51="Impacto",V52="Probabilidad"),(AE50-(+AE50*Y52)),IF(V52="Impacto",AE51,""))),"")</f>
        <v/>
      </c>
      <c r="AD52" s="199" t="str">
        <f t="shared" si="2"/>
        <v/>
      </c>
      <c r="AE52" s="197" t="str">
        <f t="shared" si="51"/>
        <v/>
      </c>
      <c r="AF52" s="199" t="str">
        <f t="shared" si="4"/>
        <v/>
      </c>
      <c r="AG52" s="197" t="str">
        <f t="shared" ref="AG52:AG54" si="55">IFERROR(IF(AND(V51="Impacto",V52="Impacto"),(AG51-(+AG51*Y52)),IF(AND(V51="Probabilidad",V52="Impacto"),(AG50-(+AG50*Y52)),IF(V52="Probabilidad",AG51,""))),"")</f>
        <v/>
      </c>
      <c r="AH52" s="200" t="str">
        <f>IFERROR(IF(OR(AND(AD52="Muy Baja",AF52="Leve"),AND(AD52="Muy Baja",AF52="Menor"),AND(AD52="Baja",AF52="Leve")),"Bajo",IF(OR(AND(AD52="Muy baja",AF52="Moderado"),AND(AD52="Baja",AF52="Menor"),AND(AD52="Baja",AF52="Moderado"),AND(AD52="Media",AF52="Leve"),AND(AD52="Media",AF52="Menor"),AND(AD52="Media",AF52="Moderado"),AND(AD52="Alta",AF52="Leve"),AND(AD52="Alta",AF52="Menor")),"Moderado",IF(OR(AND(AD52="Muy Baja",AF52="Mayor"),AND(AD52="Baja",AF52="Mayor"),AND(AD52="Media",AF52="Mayor"),AND(AD52="Alta",AF52="Moderado"),AND(AD52="Alta",AF52="Mayor"),AND(AD52="Muy Alta",AF52="Leve"),AND(AD52="Muy Alta",AF52="Menor"),AND(AD52="Muy Alta",AF52="Moderado"),AND(AD52="Muy Alta",AF52="Mayor")),"Alto",IF(OR(AND(AD52="Muy Baja",AF52="Catastrófico"),AND(AD52="Baja",AF52="Catastrófico"),AND(AD52="Media",AF52="Catastrófico"),AND(AD52="Alta",AF52="Catastrófico"),AND(AD52="Muy Alta",AF52="Catastrófico")),"Extremo","")))),"")</f>
        <v/>
      </c>
      <c r="AI52" s="201"/>
      <c r="AJ52" s="192"/>
      <c r="AK52" s="202"/>
      <c r="AL52" s="202"/>
      <c r="AM52" s="203"/>
      <c r="AN52" s="333"/>
      <c r="AO52" s="333"/>
      <c r="AP52" s="333"/>
    </row>
    <row r="53" spans="1:42" ht="37.5" customHeight="1">
      <c r="A53" s="348"/>
      <c r="B53" s="330"/>
      <c r="C53" s="330"/>
      <c r="D53" s="367"/>
      <c r="E53" s="330"/>
      <c r="F53" s="330"/>
      <c r="G53" s="330"/>
      <c r="H53" s="330"/>
      <c r="I53" s="330"/>
      <c r="J53" s="330"/>
      <c r="K53" s="330"/>
      <c r="L53" s="333"/>
      <c r="M53" s="338"/>
      <c r="N53" s="337"/>
      <c r="O53" s="336"/>
      <c r="P53" s="337">
        <f t="shared" si="49"/>
        <v>0</v>
      </c>
      <c r="Q53" s="338"/>
      <c r="R53" s="337"/>
      <c r="S53" s="339"/>
      <c r="T53" s="230">
        <v>5</v>
      </c>
      <c r="U53" s="193"/>
      <c r="V53" s="195" t="str">
        <f t="shared" si="53"/>
        <v/>
      </c>
      <c r="W53" s="196"/>
      <c r="X53" s="196"/>
      <c r="Y53" s="197" t="str">
        <f t="shared" si="50"/>
        <v/>
      </c>
      <c r="Z53" s="196"/>
      <c r="AA53" s="196"/>
      <c r="AB53" s="196"/>
      <c r="AC53" s="198" t="str">
        <f t="shared" si="54"/>
        <v/>
      </c>
      <c r="AD53" s="199" t="str">
        <f t="shared" si="2"/>
        <v/>
      </c>
      <c r="AE53" s="197" t="str">
        <f t="shared" si="51"/>
        <v/>
      </c>
      <c r="AF53" s="199" t="str">
        <f t="shared" si="4"/>
        <v/>
      </c>
      <c r="AG53" s="197" t="str">
        <f t="shared" si="55"/>
        <v/>
      </c>
      <c r="AH53" s="200" t="str">
        <f t="shared" ref="AH53:AH54" si="56">IFERROR(IF(OR(AND(AD53="Muy Baja",AF53="Leve"),AND(AD53="Muy Baja",AF53="Menor"),AND(AD53="Baja",AF53="Leve")),"Bajo",IF(OR(AND(AD53="Muy baja",AF53="Moderado"),AND(AD53="Baja",AF53="Menor"),AND(AD53="Baja",AF53="Moderado"),AND(AD53="Media",AF53="Leve"),AND(AD53="Media",AF53="Menor"),AND(AD53="Media",AF53="Moderado"),AND(AD53="Alta",AF53="Leve"),AND(AD53="Alta",AF53="Menor")),"Moderado",IF(OR(AND(AD53="Muy Baja",AF53="Mayor"),AND(AD53="Baja",AF53="Mayor"),AND(AD53="Media",AF53="Mayor"),AND(AD53="Alta",AF53="Moderado"),AND(AD53="Alta",AF53="Mayor"),AND(AD53="Muy Alta",AF53="Leve"),AND(AD53="Muy Alta",AF53="Menor"),AND(AD53="Muy Alta",AF53="Moderado"),AND(AD53="Muy Alta",AF53="Mayor")),"Alto",IF(OR(AND(AD53="Muy Baja",AF53="Catastrófico"),AND(AD53="Baja",AF53="Catastrófico"),AND(AD53="Media",AF53="Catastrófico"),AND(AD53="Alta",AF53="Catastrófico"),AND(AD53="Muy Alta",AF53="Catastrófico")),"Extremo","")))),"")</f>
        <v/>
      </c>
      <c r="AI53" s="201"/>
      <c r="AJ53" s="192"/>
      <c r="AK53" s="202"/>
      <c r="AL53" s="202"/>
      <c r="AM53" s="203"/>
      <c r="AN53" s="333"/>
      <c r="AO53" s="333"/>
      <c r="AP53" s="333"/>
    </row>
    <row r="54" spans="1:42" ht="37.5" customHeight="1">
      <c r="A54" s="348"/>
      <c r="B54" s="330"/>
      <c r="C54" s="330"/>
      <c r="D54" s="367"/>
      <c r="E54" s="330"/>
      <c r="F54" s="330"/>
      <c r="G54" s="330"/>
      <c r="H54" s="330"/>
      <c r="I54" s="330"/>
      <c r="J54" s="330"/>
      <c r="K54" s="330"/>
      <c r="L54" s="333"/>
      <c r="M54" s="338"/>
      <c r="N54" s="337"/>
      <c r="O54" s="336"/>
      <c r="P54" s="337">
        <f t="shared" si="49"/>
        <v>0</v>
      </c>
      <c r="Q54" s="338"/>
      <c r="R54" s="337"/>
      <c r="S54" s="339"/>
      <c r="T54" s="230">
        <v>6</v>
      </c>
      <c r="U54" s="193"/>
      <c r="V54" s="195" t="str">
        <f t="shared" si="53"/>
        <v/>
      </c>
      <c r="W54" s="196"/>
      <c r="X54" s="196"/>
      <c r="Y54" s="197" t="str">
        <f t="shared" si="50"/>
        <v/>
      </c>
      <c r="Z54" s="196"/>
      <c r="AA54" s="196"/>
      <c r="AB54" s="196"/>
      <c r="AC54" s="198" t="str">
        <f t="shared" si="54"/>
        <v/>
      </c>
      <c r="AD54" s="199" t="str">
        <f t="shared" si="2"/>
        <v/>
      </c>
      <c r="AE54" s="197" t="str">
        <f t="shared" si="51"/>
        <v/>
      </c>
      <c r="AF54" s="199" t="str">
        <f t="shared" si="4"/>
        <v/>
      </c>
      <c r="AG54" s="197" t="str">
        <f t="shared" si="55"/>
        <v/>
      </c>
      <c r="AH54" s="200" t="str">
        <f t="shared" si="56"/>
        <v/>
      </c>
      <c r="AI54" s="201"/>
      <c r="AJ54" s="192"/>
      <c r="AK54" s="202"/>
      <c r="AL54" s="202"/>
      <c r="AM54" s="203"/>
      <c r="AN54" s="333"/>
      <c r="AO54" s="333"/>
      <c r="AP54" s="333"/>
    </row>
    <row r="55" spans="1:42" ht="37.5" customHeight="1">
      <c r="A55" s="348">
        <v>8</v>
      </c>
      <c r="B55" s="330"/>
      <c r="C55" s="330"/>
      <c r="D55" s="330"/>
      <c r="E55" s="330"/>
      <c r="F55" s="330"/>
      <c r="G55" s="330"/>
      <c r="H55" s="330"/>
      <c r="I55" s="330"/>
      <c r="J55" s="330"/>
      <c r="K55" s="330"/>
      <c r="L55" s="333"/>
      <c r="M55" s="338" t="str">
        <f>IF(L55&lt;=0,"",IF(L55&lt;=2,"Muy Baja",IF(L55&lt;=24,"Baja",IF(L55&lt;=500,"Media",IF(L55&lt;=5000,"Alta","Muy Alta")))))</f>
        <v/>
      </c>
      <c r="N55" s="337" t="str">
        <f>IF(M55="","",IF(M55="Muy Baja",0.2,IF(M55="Baja",0.4,IF(M55="Media",0.6,IF(M55="Alta",0.8,IF(M55="Muy Alta",1,))))))</f>
        <v/>
      </c>
      <c r="O55" s="336"/>
      <c r="P55" s="337">
        <f>IF(NOT(ISERROR(MATCH(O55,'Tabla Impacto'!$B$222:$B$224,0))),'Tabla Impacto'!$F$224&amp;"Por favor no seleccionar los criterios de impacto(Afectación Económica o presupuestal y Pérdida Reputacional)",O55)</f>
        <v>0</v>
      </c>
      <c r="Q55" s="338" t="str">
        <f>IF(OR(P55='Tabla Impacto'!$C$12,P55='Tabla Impacto'!$D$12),"Leve",IF(OR(P55='Tabla Impacto'!$C$13,P55='Tabla Impacto'!$D$13),"Menor",IF(OR(P55='Tabla Impacto'!$C$14,P55='Tabla Impacto'!$D$14),"Moderado",IF(OR(P55='Tabla Impacto'!$C$15,P55='Tabla Impacto'!$D$15),"Mayor",IF(OR(P55='Tabla Impacto'!$C$16,P55='Tabla Impacto'!$D$16),"Catastrófico","")))))</f>
        <v/>
      </c>
      <c r="R55" s="337" t="str">
        <f>IF(Q55="","",IF(Q55="Leve",0.2,IF(Q55="Menor",0.4,IF(Q55="Moderado",0.6,IF(Q55="Mayor",0.8,IF(Q55="Catastrófico",1,))))))</f>
        <v/>
      </c>
      <c r="S55" s="339" t="str">
        <f>IF(OR(AND(M55="Muy Baja",Q55="Leve"),AND(M55="Muy Baja",Q55="Menor"),AND(M55="Baja",Q55="Leve")),"Bajo",IF(OR(AND(M55="Muy baja",Q55="Moderado"),AND(M55="Baja",Q55="Menor"),AND(M55="Baja",Q55="Moderado"),AND(M55="Media",Q55="Leve"),AND(M55="Media",Q55="Menor"),AND(M55="Media",Q55="Moderado"),AND(M55="Alta",Q55="Leve"),AND(M55="Alta",Q55="Menor")),"Moderado",IF(OR(AND(M55="Muy Baja",Q55="Mayor"),AND(M55="Baja",Q55="Mayor"),AND(M55="Media",Q55="Mayor"),AND(M55="Alta",Q55="Moderado"),AND(M55="Alta",Q55="Mayor"),AND(M55="Muy Alta",Q55="Leve"),AND(M55="Muy Alta",Q55="Menor"),AND(M55="Muy Alta",Q55="Moderado"),AND(M55="Muy Alta",Q55="Mayor")),"Alto",IF(OR(AND(M55="Muy Baja",Q55="Catastrófico"),AND(M55="Baja",Q55="Catastrófico"),AND(M55="Media",Q55="Catastrófico"),AND(M55="Alta",Q55="Catastrófico"),AND(M55="Muy Alta",Q55="Catastrófico")),"Extremo",""))))</f>
        <v/>
      </c>
      <c r="T55" s="230">
        <v>1</v>
      </c>
      <c r="U55" s="193"/>
      <c r="V55" s="195" t="str">
        <f>IF(OR(W55="Preventivo",W55="Detectivo"),"Probabilidad",IF(W55="Correctivo","Impacto",""))</f>
        <v/>
      </c>
      <c r="W55" s="196"/>
      <c r="X55" s="196"/>
      <c r="Y55" s="197" t="str">
        <f>IF(AND(W55="Preventivo",X55="Automático"),"50%",IF(AND(W55="Preventivo",X55="Manual"),"40%",IF(AND(W55="Detectivo",X55="Automático"),"40%",IF(AND(W55="Detectivo",X55="Manual"),"30%",IF(AND(W55="Correctivo",X55="Automático"),"35%",IF(AND(W55="Correctivo",X55="Manual"),"25%",""))))))</f>
        <v/>
      </c>
      <c r="Z55" s="196"/>
      <c r="AA55" s="196"/>
      <c r="AB55" s="196"/>
      <c r="AC55" s="198" t="str">
        <f>IFERROR(IF(V55="Probabilidad",(N55-(+N55*Y55)),IF(V55="Impacto",N55,"")),"")</f>
        <v/>
      </c>
      <c r="AD55" s="199" t="str">
        <f>IFERROR(IF(AC55="","",IF(AC55&lt;=0.2,"Muy Baja",IF(AC55&lt;=0.4,"Baja",IF(AC55&lt;=0.6,"Media",IF(AC55&lt;=0.8,"Alta","Muy Alta"))))),"")</f>
        <v/>
      </c>
      <c r="AE55" s="197" t="str">
        <f>+AC55</f>
        <v/>
      </c>
      <c r="AF55" s="199" t="str">
        <f>IFERROR(IF(AG55="","",IF(AG55&lt;=0.2,"Leve",IF(AG55&lt;=0.4,"Menor",IF(AG55&lt;=0.6,"Moderado",IF(AG55&lt;=0.8,"Mayor","Catastrófico"))))),"")</f>
        <v/>
      </c>
      <c r="AG55" s="197" t="str">
        <f>IFERROR(IF(V55="Impacto",(R55-(+R55*Y55)),IF(V55="Probabilidad",R55,"")),"")</f>
        <v/>
      </c>
      <c r="AH55" s="200" t="str">
        <f>IFERROR(IF(OR(AND(AD55="Muy Baja",AF55="Leve"),AND(AD55="Muy Baja",AF55="Menor"),AND(AD55="Baja",AF55="Leve")),"Bajo",IF(OR(AND(AD55="Muy baja",AF55="Moderado"),AND(AD55="Baja",AF55="Menor"),AND(AD55="Baja",AF55="Moderado"),AND(AD55="Media",AF55="Leve"),AND(AD55="Media",AF55="Menor"),AND(AD55="Media",AF55="Moderado"),AND(AD55="Alta",AF55="Leve"),AND(AD55="Alta",AF55="Menor")),"Moderado",IF(OR(AND(AD55="Muy Baja",AF55="Mayor"),AND(AD55="Baja",AF55="Mayor"),AND(AD55="Media",AF55="Mayor"),AND(AD55="Alta",AF55="Moderado"),AND(AD55="Alta",AF55="Mayor"),AND(AD55="Muy Alta",AF55="Leve"),AND(AD55="Muy Alta",AF55="Menor"),AND(AD55="Muy Alta",AF55="Moderado"),AND(AD55="Muy Alta",AF55="Mayor")),"Alto",IF(OR(AND(AD55="Muy Baja",AF55="Catastrófico"),AND(AD55="Baja",AF55="Catastrófico"),AND(AD55="Media",AF55="Catastrófico"),AND(AD55="Alta",AF55="Catastrófico"),AND(AD55="Muy Alta",AF55="Catastrófico")),"Extremo","")))),"")</f>
        <v/>
      </c>
      <c r="AI55" s="201"/>
      <c r="AJ55" s="192"/>
      <c r="AK55" s="202"/>
      <c r="AL55" s="202"/>
      <c r="AM55" s="203"/>
      <c r="AN55" s="333"/>
      <c r="AO55" s="333"/>
      <c r="AP55" s="333"/>
    </row>
    <row r="56" spans="1:42" ht="37.5" customHeight="1">
      <c r="A56" s="348"/>
      <c r="B56" s="330"/>
      <c r="C56" s="330"/>
      <c r="D56" s="330"/>
      <c r="E56" s="330"/>
      <c r="F56" s="330"/>
      <c r="G56" s="330"/>
      <c r="H56" s="330"/>
      <c r="I56" s="330"/>
      <c r="J56" s="330"/>
      <c r="K56" s="330"/>
      <c r="L56" s="333"/>
      <c r="M56" s="338"/>
      <c r="N56" s="337"/>
      <c r="O56" s="336"/>
      <c r="P56" s="337">
        <f>IF(NOT(ISERROR(MATCH(O56,_xlfn.ANCHORARRAY(E67),0))),N69&amp;"Por favor no seleccionar los criterios de impacto",O56)</f>
        <v>0</v>
      </c>
      <c r="Q56" s="338"/>
      <c r="R56" s="337"/>
      <c r="S56" s="339"/>
      <c r="T56" s="230">
        <v>2</v>
      </c>
      <c r="U56" s="193"/>
      <c r="V56" s="195" t="str">
        <f>IF(OR(W56="Preventivo",W56="Detectivo"),"Probabilidad",IF(W56="Correctivo","Impacto",""))</f>
        <v/>
      </c>
      <c r="W56" s="196"/>
      <c r="X56" s="196"/>
      <c r="Y56" s="197" t="str">
        <f t="shared" ref="Y56:Y60" si="57">IF(AND(W56="Preventivo",X56="Automático"),"50%",IF(AND(W56="Preventivo",X56="Manual"),"40%",IF(AND(W56="Detectivo",X56="Automático"),"40%",IF(AND(W56="Detectivo",X56="Manual"),"30%",IF(AND(W56="Correctivo",X56="Automático"),"35%",IF(AND(W56="Correctivo",X56="Manual"),"25%",""))))))</f>
        <v/>
      </c>
      <c r="Z56" s="196"/>
      <c r="AA56" s="196"/>
      <c r="AB56" s="196"/>
      <c r="AC56" s="198" t="str">
        <f>IFERROR(IF(AND(V55="Probabilidad",V56="Probabilidad"),(AE55-(+AE55*Y56)),IF(V56="Probabilidad",(N55-(+N55*Y56)),IF(V56="Impacto",AE55,""))),"")</f>
        <v/>
      </c>
      <c r="AD56" s="199" t="str">
        <f t="shared" si="2"/>
        <v/>
      </c>
      <c r="AE56" s="197" t="str">
        <f t="shared" ref="AE56:AE60" si="58">+AC56</f>
        <v/>
      </c>
      <c r="AF56" s="199" t="str">
        <f t="shared" si="4"/>
        <v/>
      </c>
      <c r="AG56" s="197" t="str">
        <f>IFERROR(IF(AND(V55="Impacto",V56="Impacto"),(AG49-(+AG49*Y56)),IF(V56="Impacto",($R$55-(+$R$55*Y56)),IF(V56="Probabilidad",AG49,""))),"")</f>
        <v/>
      </c>
      <c r="AH56" s="200" t="str">
        <f t="shared" ref="AH56:AH57" si="59">IFERROR(IF(OR(AND(AD56="Muy Baja",AF56="Leve"),AND(AD56="Muy Baja",AF56="Menor"),AND(AD56="Baja",AF56="Leve")),"Bajo",IF(OR(AND(AD56="Muy baja",AF56="Moderado"),AND(AD56="Baja",AF56="Menor"),AND(AD56="Baja",AF56="Moderado"),AND(AD56="Media",AF56="Leve"),AND(AD56="Media",AF56="Menor"),AND(AD56="Media",AF56="Moderado"),AND(AD56="Alta",AF56="Leve"),AND(AD56="Alta",AF56="Menor")),"Moderado",IF(OR(AND(AD56="Muy Baja",AF56="Mayor"),AND(AD56="Baja",AF56="Mayor"),AND(AD56="Media",AF56="Mayor"),AND(AD56="Alta",AF56="Moderado"),AND(AD56="Alta",AF56="Mayor"),AND(AD56="Muy Alta",AF56="Leve"),AND(AD56="Muy Alta",AF56="Menor"),AND(AD56="Muy Alta",AF56="Moderado"),AND(AD56="Muy Alta",AF56="Mayor")),"Alto",IF(OR(AND(AD56="Muy Baja",AF56="Catastrófico"),AND(AD56="Baja",AF56="Catastrófico"),AND(AD56="Media",AF56="Catastrófico"),AND(AD56="Alta",AF56="Catastrófico"),AND(AD56="Muy Alta",AF56="Catastrófico")),"Extremo","")))),"")</f>
        <v/>
      </c>
      <c r="AI56" s="201"/>
      <c r="AJ56" s="192"/>
      <c r="AK56" s="202"/>
      <c r="AL56" s="202"/>
      <c r="AM56" s="203"/>
      <c r="AN56" s="333"/>
      <c r="AO56" s="333"/>
      <c r="AP56" s="333"/>
    </row>
    <row r="57" spans="1:42" ht="37.5" customHeight="1">
      <c r="A57" s="348"/>
      <c r="B57" s="330"/>
      <c r="C57" s="330"/>
      <c r="D57" s="330"/>
      <c r="E57" s="330"/>
      <c r="F57" s="330"/>
      <c r="G57" s="330"/>
      <c r="H57" s="330"/>
      <c r="I57" s="330"/>
      <c r="J57" s="330"/>
      <c r="K57" s="330"/>
      <c r="L57" s="333"/>
      <c r="M57" s="338"/>
      <c r="N57" s="337"/>
      <c r="O57" s="336"/>
      <c r="P57" s="337">
        <f>IF(NOT(ISERROR(MATCH(O57,_xlfn.ANCHORARRAY(E68),0))),N70&amp;"Por favor no seleccionar los criterios de impacto",O57)</f>
        <v>0</v>
      </c>
      <c r="Q57" s="338"/>
      <c r="R57" s="337"/>
      <c r="S57" s="339"/>
      <c r="T57" s="230">
        <v>3</v>
      </c>
      <c r="U57" s="194"/>
      <c r="V57" s="195" t="str">
        <f>IF(OR(W57="Preventivo",W57="Detectivo"),"Probabilidad",IF(W57="Correctivo","Impacto",""))</f>
        <v/>
      </c>
      <c r="W57" s="196"/>
      <c r="X57" s="196"/>
      <c r="Y57" s="197" t="str">
        <f t="shared" si="57"/>
        <v/>
      </c>
      <c r="Z57" s="196"/>
      <c r="AA57" s="196"/>
      <c r="AB57" s="196"/>
      <c r="AC57" s="198" t="str">
        <f>IFERROR(IF(AND(V56="Probabilidad",V57="Probabilidad"),(AE56-(+AE56*Y57)),IF(AND(V56="Impacto",V57="Probabilidad"),(AE55-(+AE55*Y57)),IF(V57="Impacto",AE56,""))),"")</f>
        <v/>
      </c>
      <c r="AD57" s="199" t="str">
        <f t="shared" si="2"/>
        <v/>
      </c>
      <c r="AE57" s="197" t="str">
        <f t="shared" si="58"/>
        <v/>
      </c>
      <c r="AF57" s="199" t="str">
        <f t="shared" si="4"/>
        <v/>
      </c>
      <c r="AG57" s="197" t="str">
        <f>IFERROR(IF(AND(V56="Impacto",V57="Impacto"),(AG56-(+AG56*Y57)),IF(AND(V56="Probabilidad",V57="Impacto"),(AG55-(+AG55*Y57)),IF(V57="Probabilidad",AG56,""))),"")</f>
        <v/>
      </c>
      <c r="AH57" s="200" t="str">
        <f t="shared" si="59"/>
        <v/>
      </c>
      <c r="AI57" s="201"/>
      <c r="AJ57" s="192"/>
      <c r="AK57" s="202"/>
      <c r="AL57" s="202"/>
      <c r="AM57" s="203"/>
      <c r="AN57" s="333"/>
      <c r="AO57" s="333"/>
      <c r="AP57" s="333"/>
    </row>
    <row r="58" spans="1:42" ht="37.5" customHeight="1">
      <c r="A58" s="348"/>
      <c r="B58" s="330"/>
      <c r="C58" s="330"/>
      <c r="D58" s="330"/>
      <c r="E58" s="330"/>
      <c r="F58" s="330"/>
      <c r="G58" s="330"/>
      <c r="H58" s="330"/>
      <c r="I58" s="330"/>
      <c r="J58" s="330"/>
      <c r="K58" s="330"/>
      <c r="L58" s="333"/>
      <c r="M58" s="338"/>
      <c r="N58" s="337"/>
      <c r="O58" s="336"/>
      <c r="P58" s="337">
        <f>IF(NOT(ISERROR(MATCH(O58,_xlfn.ANCHORARRAY(E69),0))),N71&amp;"Por favor no seleccionar los criterios de impacto",O58)</f>
        <v>0</v>
      </c>
      <c r="Q58" s="338"/>
      <c r="R58" s="337"/>
      <c r="S58" s="339"/>
      <c r="T58" s="230">
        <v>4</v>
      </c>
      <c r="U58" s="193"/>
      <c r="V58" s="195" t="str">
        <f t="shared" ref="V58:V60" si="60">IF(OR(W58="Preventivo",W58="Detectivo"),"Probabilidad",IF(W58="Correctivo","Impacto",""))</f>
        <v/>
      </c>
      <c r="W58" s="196"/>
      <c r="X58" s="196"/>
      <c r="Y58" s="197" t="str">
        <f t="shared" si="57"/>
        <v/>
      </c>
      <c r="Z58" s="196"/>
      <c r="AA58" s="196"/>
      <c r="AB58" s="196"/>
      <c r="AC58" s="198" t="str">
        <f t="shared" ref="AC58:AC60" si="61">IFERROR(IF(AND(V57="Probabilidad",V58="Probabilidad"),(AE57-(+AE57*Y58)),IF(AND(V57="Impacto",V58="Probabilidad"),(AE56-(+AE56*Y58)),IF(V58="Impacto",AE57,""))),"")</f>
        <v/>
      </c>
      <c r="AD58" s="199" t="str">
        <f t="shared" si="2"/>
        <v/>
      </c>
      <c r="AE58" s="197" t="str">
        <f t="shared" si="58"/>
        <v/>
      </c>
      <c r="AF58" s="199" t="str">
        <f t="shared" si="4"/>
        <v/>
      </c>
      <c r="AG58" s="197" t="str">
        <f t="shared" ref="AG58:AG60" si="62">IFERROR(IF(AND(V57="Impacto",V58="Impacto"),(AG57-(+AG57*Y58)),IF(AND(V57="Probabilidad",V58="Impacto"),(AG56-(+AG56*Y58)),IF(V58="Probabilidad",AG57,""))),"")</f>
        <v/>
      </c>
      <c r="AH58" s="200" t="str">
        <f>IFERROR(IF(OR(AND(AD58="Muy Baja",AF58="Leve"),AND(AD58="Muy Baja",AF58="Menor"),AND(AD58="Baja",AF58="Leve")),"Bajo",IF(OR(AND(AD58="Muy baja",AF58="Moderado"),AND(AD58="Baja",AF58="Menor"),AND(AD58="Baja",AF58="Moderado"),AND(AD58="Media",AF58="Leve"),AND(AD58="Media",AF58="Menor"),AND(AD58="Media",AF58="Moderado"),AND(AD58="Alta",AF58="Leve"),AND(AD58="Alta",AF58="Menor")),"Moderado",IF(OR(AND(AD58="Muy Baja",AF58="Mayor"),AND(AD58="Baja",AF58="Mayor"),AND(AD58="Media",AF58="Mayor"),AND(AD58="Alta",AF58="Moderado"),AND(AD58="Alta",AF58="Mayor"),AND(AD58="Muy Alta",AF58="Leve"),AND(AD58="Muy Alta",AF58="Menor"),AND(AD58="Muy Alta",AF58="Moderado"),AND(AD58="Muy Alta",AF58="Mayor")),"Alto",IF(OR(AND(AD58="Muy Baja",AF58="Catastrófico"),AND(AD58="Baja",AF58="Catastrófico"),AND(AD58="Media",AF58="Catastrófico"),AND(AD58="Alta",AF58="Catastrófico"),AND(AD58="Muy Alta",AF58="Catastrófico")),"Extremo","")))),"")</f>
        <v/>
      </c>
      <c r="AI58" s="201"/>
      <c r="AJ58" s="192"/>
      <c r="AK58" s="202"/>
      <c r="AL58" s="202"/>
      <c r="AM58" s="203"/>
      <c r="AN58" s="333"/>
      <c r="AO58" s="333"/>
      <c r="AP58" s="333"/>
    </row>
    <row r="59" spans="1:42" ht="37.5" customHeight="1">
      <c r="A59" s="348"/>
      <c r="B59" s="330"/>
      <c r="C59" s="330"/>
      <c r="D59" s="330"/>
      <c r="E59" s="330"/>
      <c r="F59" s="330"/>
      <c r="G59" s="330"/>
      <c r="H59" s="330"/>
      <c r="I59" s="330"/>
      <c r="J59" s="330"/>
      <c r="K59" s="330"/>
      <c r="L59" s="333"/>
      <c r="M59" s="338"/>
      <c r="N59" s="337"/>
      <c r="O59" s="336"/>
      <c r="P59" s="337">
        <f>IF(NOT(ISERROR(MATCH(O59,_xlfn.ANCHORARRAY(E70),0))),N72&amp;"Por favor no seleccionar los criterios de impacto",O59)</f>
        <v>0</v>
      </c>
      <c r="Q59" s="338"/>
      <c r="R59" s="337"/>
      <c r="S59" s="339"/>
      <c r="T59" s="230">
        <v>5</v>
      </c>
      <c r="U59" s="193"/>
      <c r="V59" s="195" t="str">
        <f t="shared" si="60"/>
        <v/>
      </c>
      <c r="W59" s="196"/>
      <c r="X59" s="196"/>
      <c r="Y59" s="197" t="str">
        <f t="shared" si="57"/>
        <v/>
      </c>
      <c r="Z59" s="196"/>
      <c r="AA59" s="196"/>
      <c r="AB59" s="196"/>
      <c r="AC59" s="198" t="str">
        <f t="shared" si="61"/>
        <v/>
      </c>
      <c r="AD59" s="199" t="str">
        <f t="shared" si="2"/>
        <v/>
      </c>
      <c r="AE59" s="197" t="str">
        <f t="shared" si="58"/>
        <v/>
      </c>
      <c r="AF59" s="199" t="str">
        <f t="shared" si="4"/>
        <v/>
      </c>
      <c r="AG59" s="197" t="str">
        <f t="shared" si="62"/>
        <v/>
      </c>
      <c r="AH59" s="200" t="str">
        <f t="shared" ref="AH59:AH60" si="63">IFERROR(IF(OR(AND(AD59="Muy Baja",AF59="Leve"),AND(AD59="Muy Baja",AF59="Menor"),AND(AD59="Baja",AF59="Leve")),"Bajo",IF(OR(AND(AD59="Muy baja",AF59="Moderado"),AND(AD59="Baja",AF59="Menor"),AND(AD59="Baja",AF59="Moderado"),AND(AD59="Media",AF59="Leve"),AND(AD59="Media",AF59="Menor"),AND(AD59="Media",AF59="Moderado"),AND(AD59="Alta",AF59="Leve"),AND(AD59="Alta",AF59="Menor")),"Moderado",IF(OR(AND(AD59="Muy Baja",AF59="Mayor"),AND(AD59="Baja",AF59="Mayor"),AND(AD59="Media",AF59="Mayor"),AND(AD59="Alta",AF59="Moderado"),AND(AD59="Alta",AF59="Mayor"),AND(AD59="Muy Alta",AF59="Leve"),AND(AD59="Muy Alta",AF59="Menor"),AND(AD59="Muy Alta",AF59="Moderado"),AND(AD59="Muy Alta",AF59="Mayor")),"Alto",IF(OR(AND(AD59="Muy Baja",AF59="Catastrófico"),AND(AD59="Baja",AF59="Catastrófico"),AND(AD59="Media",AF59="Catastrófico"),AND(AD59="Alta",AF59="Catastrófico"),AND(AD59="Muy Alta",AF59="Catastrófico")),"Extremo","")))),"")</f>
        <v/>
      </c>
      <c r="AI59" s="201"/>
      <c r="AJ59" s="192"/>
      <c r="AK59" s="202"/>
      <c r="AL59" s="202"/>
      <c r="AM59" s="203"/>
      <c r="AN59" s="333"/>
      <c r="AO59" s="333"/>
      <c r="AP59" s="333"/>
    </row>
    <row r="60" spans="1:42" ht="37.5" customHeight="1">
      <c r="A60" s="348"/>
      <c r="B60" s="330"/>
      <c r="C60" s="330"/>
      <c r="D60" s="330"/>
      <c r="E60" s="330"/>
      <c r="F60" s="330"/>
      <c r="G60" s="330"/>
      <c r="H60" s="330"/>
      <c r="I60" s="330"/>
      <c r="J60" s="330"/>
      <c r="K60" s="330"/>
      <c r="L60" s="333"/>
      <c r="M60" s="338"/>
      <c r="N60" s="337"/>
      <c r="O60" s="336"/>
      <c r="P60" s="337">
        <f>IF(NOT(ISERROR(MATCH(O60,_xlfn.ANCHORARRAY(E71),0))),N73&amp;"Por favor no seleccionar los criterios de impacto",O60)</f>
        <v>0</v>
      </c>
      <c r="Q60" s="338"/>
      <c r="R60" s="337"/>
      <c r="S60" s="339"/>
      <c r="T60" s="230">
        <v>6</v>
      </c>
      <c r="U60" s="193"/>
      <c r="V60" s="195" t="str">
        <f t="shared" si="60"/>
        <v/>
      </c>
      <c r="W60" s="196"/>
      <c r="X60" s="196"/>
      <c r="Y60" s="197" t="str">
        <f t="shared" si="57"/>
        <v/>
      </c>
      <c r="Z60" s="196"/>
      <c r="AA60" s="196"/>
      <c r="AB60" s="196"/>
      <c r="AC60" s="198" t="str">
        <f t="shared" si="61"/>
        <v/>
      </c>
      <c r="AD60" s="199" t="str">
        <f t="shared" si="2"/>
        <v/>
      </c>
      <c r="AE60" s="197" t="str">
        <f t="shared" si="58"/>
        <v/>
      </c>
      <c r="AF60" s="199" t="str">
        <f t="shared" si="4"/>
        <v/>
      </c>
      <c r="AG60" s="197" t="str">
        <f t="shared" si="62"/>
        <v/>
      </c>
      <c r="AH60" s="200" t="str">
        <f t="shared" si="63"/>
        <v/>
      </c>
      <c r="AI60" s="201"/>
      <c r="AJ60" s="192"/>
      <c r="AK60" s="202"/>
      <c r="AL60" s="202"/>
      <c r="AM60" s="203"/>
      <c r="AN60" s="333"/>
      <c r="AO60" s="333"/>
      <c r="AP60" s="333"/>
    </row>
    <row r="61" spans="1:42" ht="37.5" customHeight="1">
      <c r="A61" s="348">
        <v>9</v>
      </c>
      <c r="B61" s="330"/>
      <c r="C61" s="330"/>
      <c r="D61" s="330"/>
      <c r="E61" s="330"/>
      <c r="F61" s="330"/>
      <c r="G61" s="330"/>
      <c r="H61" s="330"/>
      <c r="I61" s="330"/>
      <c r="J61" s="330"/>
      <c r="K61" s="330"/>
      <c r="L61" s="333"/>
      <c r="M61" s="338" t="str">
        <f>IF(L61&lt;=0,"",IF(L61&lt;=2,"Muy Baja",IF(L61&lt;=24,"Baja",IF(L61&lt;=500,"Media",IF(L61&lt;=5000,"Alta","Muy Alta")))))</f>
        <v/>
      </c>
      <c r="N61" s="337" t="str">
        <f>IF(M61="","",IF(M61="Muy Baja",0.2,IF(M61="Baja",0.4,IF(M61="Media",0.6,IF(M61="Alta",0.8,IF(M61="Muy Alta",1,))))))</f>
        <v/>
      </c>
      <c r="O61" s="336"/>
      <c r="P61" s="337">
        <f>IF(NOT(ISERROR(MATCH(O61,'Tabla Impacto'!$B$222:$B$224,0))),'Tabla Impacto'!$F$224&amp;"Por favor no seleccionar los criterios de impacto(Afectación Económica o presupuestal y Pérdida Reputacional)",O61)</f>
        <v>0</v>
      </c>
      <c r="Q61" s="338" t="str">
        <f>IF(OR(P61='Tabla Impacto'!$C$12,P61='Tabla Impacto'!$D$12),"Leve",IF(OR(P61='Tabla Impacto'!$C$13,P61='Tabla Impacto'!$D$13),"Menor",IF(OR(P61='Tabla Impacto'!$C$14,P61='Tabla Impacto'!$D$14),"Moderado",IF(OR(P61='Tabla Impacto'!$C$15,P61='Tabla Impacto'!$D$15),"Mayor",IF(OR(P61='Tabla Impacto'!$C$16,P61='Tabla Impacto'!$D$16),"Catastrófico","")))))</f>
        <v/>
      </c>
      <c r="R61" s="337" t="str">
        <f>IF(Q61="","",IF(Q61="Leve",0.2,IF(Q61="Menor",0.4,IF(Q61="Moderado",0.6,IF(Q61="Mayor",0.8,IF(Q61="Catastrófico",1,))))))</f>
        <v/>
      </c>
      <c r="S61" s="339" t="str">
        <f>IF(OR(AND(M61="Muy Baja",Q61="Leve"),AND(M61="Muy Baja",Q61="Menor"),AND(M61="Baja",Q61="Leve")),"Bajo",IF(OR(AND(M61="Muy baja",Q61="Moderado"),AND(M61="Baja",Q61="Menor"),AND(M61="Baja",Q61="Moderado"),AND(M61="Media",Q61="Leve"),AND(M61="Media",Q61="Menor"),AND(M61="Media",Q61="Moderado"),AND(M61="Alta",Q61="Leve"),AND(M61="Alta",Q61="Menor")),"Moderado",IF(OR(AND(M61="Muy Baja",Q61="Mayor"),AND(M61="Baja",Q61="Mayor"),AND(M61="Media",Q61="Mayor"),AND(M61="Alta",Q61="Moderado"),AND(M61="Alta",Q61="Mayor"),AND(M61="Muy Alta",Q61="Leve"),AND(M61="Muy Alta",Q61="Menor"),AND(M61="Muy Alta",Q61="Moderado"),AND(M61="Muy Alta",Q61="Mayor")),"Alto",IF(OR(AND(M61="Muy Baja",Q61="Catastrófico"),AND(M61="Baja",Q61="Catastrófico"),AND(M61="Media",Q61="Catastrófico"),AND(M61="Alta",Q61="Catastrófico"),AND(M61="Muy Alta",Q61="Catastrófico")),"Extremo",""))))</f>
        <v/>
      </c>
      <c r="T61" s="230">
        <v>1</v>
      </c>
      <c r="U61" s="193"/>
      <c r="V61" s="195" t="str">
        <f>IF(OR(W61="Preventivo",W61="Detectivo"),"Probabilidad",IF(W61="Correctivo","Impacto",""))</f>
        <v/>
      </c>
      <c r="W61" s="196"/>
      <c r="X61" s="196"/>
      <c r="Y61" s="197" t="str">
        <f>IF(AND(W61="Preventivo",X61="Automático"),"50%",IF(AND(W61="Preventivo",X61="Manual"),"40%",IF(AND(W61="Detectivo",X61="Automático"),"40%",IF(AND(W61="Detectivo",X61="Manual"),"30%",IF(AND(W61="Correctivo",X61="Automático"),"35%",IF(AND(W61="Correctivo",X61="Manual"),"25%",""))))))</f>
        <v/>
      </c>
      <c r="Z61" s="196"/>
      <c r="AA61" s="196"/>
      <c r="AB61" s="196"/>
      <c r="AC61" s="198" t="str">
        <f>IFERROR(IF(V61="Probabilidad",(N61-(+N61*Y61)),IF(V61="Impacto",N61,"")),"")</f>
        <v/>
      </c>
      <c r="AD61" s="199" t="str">
        <f>IFERROR(IF(AC61="","",IF(AC61&lt;=0.2,"Muy Baja",IF(AC61&lt;=0.4,"Baja",IF(AC61&lt;=0.6,"Media",IF(AC61&lt;=0.8,"Alta","Muy Alta"))))),"")</f>
        <v/>
      </c>
      <c r="AE61" s="197" t="str">
        <f>+AC61</f>
        <v/>
      </c>
      <c r="AF61" s="199" t="str">
        <f>IFERROR(IF(AG61="","",IF(AG61&lt;=0.2,"Leve",IF(AG61&lt;=0.4,"Menor",IF(AG61&lt;=0.6,"Moderado",IF(AG61&lt;=0.8,"Mayor","Catastrófico"))))),"")</f>
        <v/>
      </c>
      <c r="AG61" s="197" t="str">
        <f>IFERROR(IF(V61="Impacto",(R61-(+R61*Y61)),IF(V61="Probabilidad",R61,"")),"")</f>
        <v/>
      </c>
      <c r="AH61" s="200" t="str">
        <f>IFERROR(IF(OR(AND(AD61="Muy Baja",AF61="Leve"),AND(AD61="Muy Baja",AF61="Menor"),AND(AD61="Baja",AF61="Leve")),"Bajo",IF(OR(AND(AD61="Muy baja",AF61="Moderado"),AND(AD61="Baja",AF61="Menor"),AND(AD61="Baja",AF61="Moderado"),AND(AD61="Media",AF61="Leve"),AND(AD61="Media",AF61="Menor"),AND(AD61="Media",AF61="Moderado"),AND(AD61="Alta",AF61="Leve"),AND(AD61="Alta",AF61="Menor")),"Moderado",IF(OR(AND(AD61="Muy Baja",AF61="Mayor"),AND(AD61="Baja",AF61="Mayor"),AND(AD61="Media",AF61="Mayor"),AND(AD61="Alta",AF61="Moderado"),AND(AD61="Alta",AF61="Mayor"),AND(AD61="Muy Alta",AF61="Leve"),AND(AD61="Muy Alta",AF61="Menor"),AND(AD61="Muy Alta",AF61="Moderado"),AND(AD61="Muy Alta",AF61="Mayor")),"Alto",IF(OR(AND(AD61="Muy Baja",AF61="Catastrófico"),AND(AD61="Baja",AF61="Catastrófico"),AND(AD61="Media",AF61="Catastrófico"),AND(AD61="Alta",AF61="Catastrófico"),AND(AD61="Muy Alta",AF61="Catastrófico")),"Extremo","")))),"")</f>
        <v/>
      </c>
      <c r="AI61" s="201"/>
      <c r="AJ61" s="192"/>
      <c r="AK61" s="202"/>
      <c r="AL61" s="202"/>
      <c r="AM61" s="203"/>
      <c r="AN61" s="333"/>
      <c r="AO61" s="333"/>
      <c r="AP61" s="333"/>
    </row>
    <row r="62" spans="1:42" ht="37.5" customHeight="1">
      <c r="A62" s="348"/>
      <c r="B62" s="330"/>
      <c r="C62" s="330"/>
      <c r="D62" s="330"/>
      <c r="E62" s="330"/>
      <c r="F62" s="330"/>
      <c r="G62" s="330"/>
      <c r="H62" s="330"/>
      <c r="I62" s="330"/>
      <c r="J62" s="330"/>
      <c r="K62" s="330"/>
      <c r="L62" s="333"/>
      <c r="M62" s="338"/>
      <c r="N62" s="337"/>
      <c r="O62" s="336"/>
      <c r="P62" s="337">
        <f>IF(NOT(ISERROR(MATCH(O62,_xlfn.ANCHORARRAY(E73),0))),N75&amp;"Por favor no seleccionar los criterios de impacto",O62)</f>
        <v>0</v>
      </c>
      <c r="Q62" s="338"/>
      <c r="R62" s="337"/>
      <c r="S62" s="339"/>
      <c r="T62" s="230">
        <v>2</v>
      </c>
      <c r="U62" s="193"/>
      <c r="V62" s="195" t="str">
        <f>IF(OR(W62="Preventivo",W62="Detectivo"),"Probabilidad",IF(W62="Correctivo","Impacto",""))</f>
        <v/>
      </c>
      <c r="W62" s="196"/>
      <c r="X62" s="196"/>
      <c r="Y62" s="197" t="str">
        <f t="shared" ref="Y62:Y66" si="64">IF(AND(W62="Preventivo",X62="Automático"),"50%",IF(AND(W62="Preventivo",X62="Manual"),"40%",IF(AND(W62="Detectivo",X62="Automático"),"40%",IF(AND(W62="Detectivo",X62="Manual"),"30%",IF(AND(W62="Correctivo",X62="Automático"),"35%",IF(AND(W62="Correctivo",X62="Manual"),"25%",""))))))</f>
        <v/>
      </c>
      <c r="Z62" s="196"/>
      <c r="AA62" s="196"/>
      <c r="AB62" s="196"/>
      <c r="AC62" s="198" t="str">
        <f>IFERROR(IF(AND(V61="Probabilidad",V62="Probabilidad"),(AE61-(+AE61*Y62)),IF(V62="Probabilidad",(N61-(+N61*Y62)),IF(V62="Impacto",AE61,""))),"")</f>
        <v/>
      </c>
      <c r="AD62" s="199" t="str">
        <f t="shared" si="2"/>
        <v/>
      </c>
      <c r="AE62" s="197" t="str">
        <f t="shared" ref="AE62:AE66" si="65">+AC62</f>
        <v/>
      </c>
      <c r="AF62" s="199" t="str">
        <f t="shared" si="4"/>
        <v/>
      </c>
      <c r="AG62" s="197" t="str">
        <f>IFERROR(IF(AND(V61="Impacto",V62="Impacto"),(AG55-(+AG55*Y62)),IF(V62="Impacto",($R$61-(+$R$61*Y62)),IF(V62="Probabilidad",AG55,""))),"")</f>
        <v/>
      </c>
      <c r="AH62" s="200" t="str">
        <f t="shared" ref="AH62:AH63" si="66">IFERROR(IF(OR(AND(AD62="Muy Baja",AF62="Leve"),AND(AD62="Muy Baja",AF62="Menor"),AND(AD62="Baja",AF62="Leve")),"Bajo",IF(OR(AND(AD62="Muy baja",AF62="Moderado"),AND(AD62="Baja",AF62="Menor"),AND(AD62="Baja",AF62="Moderado"),AND(AD62="Media",AF62="Leve"),AND(AD62="Media",AF62="Menor"),AND(AD62="Media",AF62="Moderado"),AND(AD62="Alta",AF62="Leve"),AND(AD62="Alta",AF62="Menor")),"Moderado",IF(OR(AND(AD62="Muy Baja",AF62="Mayor"),AND(AD62="Baja",AF62="Mayor"),AND(AD62="Media",AF62="Mayor"),AND(AD62="Alta",AF62="Moderado"),AND(AD62="Alta",AF62="Mayor"),AND(AD62="Muy Alta",AF62="Leve"),AND(AD62="Muy Alta",AF62="Menor"),AND(AD62="Muy Alta",AF62="Moderado"),AND(AD62="Muy Alta",AF62="Mayor")),"Alto",IF(OR(AND(AD62="Muy Baja",AF62="Catastrófico"),AND(AD62="Baja",AF62="Catastrófico"),AND(AD62="Media",AF62="Catastrófico"),AND(AD62="Alta",AF62="Catastrófico"),AND(AD62="Muy Alta",AF62="Catastrófico")),"Extremo","")))),"")</f>
        <v/>
      </c>
      <c r="AI62" s="201"/>
      <c r="AJ62" s="192"/>
      <c r="AK62" s="202"/>
      <c r="AL62" s="202"/>
      <c r="AM62" s="203"/>
      <c r="AN62" s="333"/>
      <c r="AO62" s="333"/>
      <c r="AP62" s="333"/>
    </row>
    <row r="63" spans="1:42" ht="37.5" customHeight="1">
      <c r="A63" s="348"/>
      <c r="B63" s="330"/>
      <c r="C63" s="330"/>
      <c r="D63" s="330"/>
      <c r="E63" s="330"/>
      <c r="F63" s="330"/>
      <c r="G63" s="330"/>
      <c r="H63" s="330"/>
      <c r="I63" s="330"/>
      <c r="J63" s="330"/>
      <c r="K63" s="330"/>
      <c r="L63" s="333"/>
      <c r="M63" s="338"/>
      <c r="N63" s="337"/>
      <c r="O63" s="336"/>
      <c r="P63" s="337">
        <f>IF(NOT(ISERROR(MATCH(O63,_xlfn.ANCHORARRAY(E74),0))),N76&amp;"Por favor no seleccionar los criterios de impacto",O63)</f>
        <v>0</v>
      </c>
      <c r="Q63" s="338"/>
      <c r="R63" s="337"/>
      <c r="S63" s="339"/>
      <c r="T63" s="230">
        <v>3</v>
      </c>
      <c r="U63" s="193"/>
      <c r="V63" s="195" t="str">
        <f>IF(OR(W63="Preventivo",W63="Detectivo"),"Probabilidad",IF(W63="Correctivo","Impacto",""))</f>
        <v/>
      </c>
      <c r="W63" s="196"/>
      <c r="X63" s="196"/>
      <c r="Y63" s="197" t="str">
        <f t="shared" si="64"/>
        <v/>
      </c>
      <c r="Z63" s="196"/>
      <c r="AA63" s="196"/>
      <c r="AB63" s="196"/>
      <c r="AC63" s="198" t="str">
        <f>IFERROR(IF(AND(V62="Probabilidad",V63="Probabilidad"),(AE62-(+AE62*Y63)),IF(AND(V62="Impacto",V63="Probabilidad"),(AE61-(+AE61*Y63)),IF(V63="Impacto",AE62,""))),"")</f>
        <v/>
      </c>
      <c r="AD63" s="199" t="str">
        <f t="shared" si="2"/>
        <v/>
      </c>
      <c r="AE63" s="197" t="str">
        <f t="shared" si="65"/>
        <v/>
      </c>
      <c r="AF63" s="199" t="str">
        <f t="shared" si="4"/>
        <v/>
      </c>
      <c r="AG63" s="197" t="str">
        <f>IFERROR(IF(AND(V62="Impacto",V63="Impacto"),(AG62-(+AG62*Y63)),IF(AND(V62="Probabilidad",V63="Impacto"),(AG61-(+AG61*Y63)),IF(V63="Probabilidad",AG62,""))),"")</f>
        <v/>
      </c>
      <c r="AH63" s="200" t="str">
        <f t="shared" si="66"/>
        <v/>
      </c>
      <c r="AI63" s="201"/>
      <c r="AJ63" s="192"/>
      <c r="AK63" s="202"/>
      <c r="AL63" s="202"/>
      <c r="AM63" s="203"/>
      <c r="AN63" s="333"/>
      <c r="AO63" s="333"/>
      <c r="AP63" s="333"/>
    </row>
    <row r="64" spans="1:42" ht="37.5" customHeight="1">
      <c r="A64" s="348"/>
      <c r="B64" s="330"/>
      <c r="C64" s="330"/>
      <c r="D64" s="330"/>
      <c r="E64" s="330"/>
      <c r="F64" s="330"/>
      <c r="G64" s="330"/>
      <c r="H64" s="330"/>
      <c r="I64" s="330"/>
      <c r="J64" s="330"/>
      <c r="K64" s="330"/>
      <c r="L64" s="333"/>
      <c r="M64" s="338"/>
      <c r="N64" s="337"/>
      <c r="O64" s="336"/>
      <c r="P64" s="337">
        <f>IF(NOT(ISERROR(MATCH(O64,_xlfn.ANCHORARRAY(E75),0))),N77&amp;"Por favor no seleccionar los criterios de impacto",O64)</f>
        <v>0</v>
      </c>
      <c r="Q64" s="338"/>
      <c r="R64" s="337"/>
      <c r="S64" s="339"/>
      <c r="T64" s="230">
        <v>4</v>
      </c>
      <c r="U64" s="193"/>
      <c r="V64" s="195" t="str">
        <f t="shared" ref="V64:V66" si="67">IF(OR(W64="Preventivo",W64="Detectivo"),"Probabilidad",IF(W64="Correctivo","Impacto",""))</f>
        <v/>
      </c>
      <c r="W64" s="196"/>
      <c r="X64" s="196"/>
      <c r="Y64" s="197" t="str">
        <f t="shared" si="64"/>
        <v/>
      </c>
      <c r="Z64" s="196"/>
      <c r="AA64" s="196"/>
      <c r="AB64" s="196"/>
      <c r="AC64" s="198" t="str">
        <f t="shared" ref="AC64:AC66" si="68">IFERROR(IF(AND(V63="Probabilidad",V64="Probabilidad"),(AE63-(+AE63*Y64)),IF(AND(V63="Impacto",V64="Probabilidad"),(AE62-(+AE62*Y64)),IF(V64="Impacto",AE63,""))),"")</f>
        <v/>
      </c>
      <c r="AD64" s="199" t="str">
        <f t="shared" si="2"/>
        <v/>
      </c>
      <c r="AE64" s="197" t="str">
        <f t="shared" si="65"/>
        <v/>
      </c>
      <c r="AF64" s="199" t="str">
        <f t="shared" si="4"/>
        <v/>
      </c>
      <c r="AG64" s="197" t="str">
        <f t="shared" ref="AG64:AG66" si="69">IFERROR(IF(AND(V63="Impacto",V64="Impacto"),(AG63-(+AG63*Y64)),IF(AND(V63="Probabilidad",V64="Impacto"),(AG62-(+AG62*Y64)),IF(V64="Probabilidad",AG63,""))),"")</f>
        <v/>
      </c>
      <c r="AH64" s="200" t="str">
        <f>IFERROR(IF(OR(AND(AD64="Muy Baja",AF64="Leve"),AND(AD64="Muy Baja",AF64="Menor"),AND(AD64="Baja",AF64="Leve")),"Bajo",IF(OR(AND(AD64="Muy baja",AF64="Moderado"),AND(AD64="Baja",AF64="Menor"),AND(AD64="Baja",AF64="Moderado"),AND(AD64="Media",AF64="Leve"),AND(AD64="Media",AF64="Menor"),AND(AD64="Media",AF64="Moderado"),AND(AD64="Alta",AF64="Leve"),AND(AD64="Alta",AF64="Menor")),"Moderado",IF(OR(AND(AD64="Muy Baja",AF64="Mayor"),AND(AD64="Baja",AF64="Mayor"),AND(AD64="Media",AF64="Mayor"),AND(AD64="Alta",AF64="Moderado"),AND(AD64="Alta",AF64="Mayor"),AND(AD64="Muy Alta",AF64="Leve"),AND(AD64="Muy Alta",AF64="Menor"),AND(AD64="Muy Alta",AF64="Moderado"),AND(AD64="Muy Alta",AF64="Mayor")),"Alto",IF(OR(AND(AD64="Muy Baja",AF64="Catastrófico"),AND(AD64="Baja",AF64="Catastrófico"),AND(AD64="Media",AF64="Catastrófico"),AND(AD64="Alta",AF64="Catastrófico"),AND(AD64="Muy Alta",AF64="Catastrófico")),"Extremo","")))),"")</f>
        <v/>
      </c>
      <c r="AI64" s="201"/>
      <c r="AJ64" s="192"/>
      <c r="AK64" s="202"/>
      <c r="AL64" s="202"/>
      <c r="AM64" s="203"/>
      <c r="AN64" s="333"/>
      <c r="AO64" s="333"/>
      <c r="AP64" s="333"/>
    </row>
    <row r="65" spans="1:42" ht="37.5" customHeight="1">
      <c r="A65" s="348"/>
      <c r="B65" s="330"/>
      <c r="C65" s="330"/>
      <c r="D65" s="330"/>
      <c r="E65" s="330"/>
      <c r="F65" s="330"/>
      <c r="G65" s="330"/>
      <c r="H65" s="330"/>
      <c r="I65" s="330"/>
      <c r="J65" s="330"/>
      <c r="K65" s="330"/>
      <c r="L65" s="333"/>
      <c r="M65" s="338"/>
      <c r="N65" s="337"/>
      <c r="O65" s="336"/>
      <c r="P65" s="337">
        <f>IF(NOT(ISERROR(MATCH(O65,_xlfn.ANCHORARRAY(E76),0))),N78&amp;"Por favor no seleccionar los criterios de impacto",O65)</f>
        <v>0</v>
      </c>
      <c r="Q65" s="338"/>
      <c r="R65" s="337"/>
      <c r="S65" s="339"/>
      <c r="T65" s="230">
        <v>5</v>
      </c>
      <c r="U65" s="193"/>
      <c r="V65" s="195" t="str">
        <f t="shared" si="67"/>
        <v/>
      </c>
      <c r="W65" s="196"/>
      <c r="X65" s="196"/>
      <c r="Y65" s="197" t="str">
        <f t="shared" si="64"/>
        <v/>
      </c>
      <c r="Z65" s="196"/>
      <c r="AA65" s="196"/>
      <c r="AB65" s="196"/>
      <c r="AC65" s="198" t="str">
        <f t="shared" si="68"/>
        <v/>
      </c>
      <c r="AD65" s="199" t="str">
        <f t="shared" si="2"/>
        <v/>
      </c>
      <c r="AE65" s="197" t="str">
        <f t="shared" si="65"/>
        <v/>
      </c>
      <c r="AF65" s="199" t="str">
        <f t="shared" si="4"/>
        <v/>
      </c>
      <c r="AG65" s="197" t="str">
        <f t="shared" si="69"/>
        <v/>
      </c>
      <c r="AH65" s="200" t="str">
        <f t="shared" ref="AH65:AH66" si="70">IFERROR(IF(OR(AND(AD65="Muy Baja",AF65="Leve"),AND(AD65="Muy Baja",AF65="Menor"),AND(AD65="Baja",AF65="Leve")),"Bajo",IF(OR(AND(AD65="Muy baja",AF65="Moderado"),AND(AD65="Baja",AF65="Menor"),AND(AD65="Baja",AF65="Moderado"),AND(AD65="Media",AF65="Leve"),AND(AD65="Media",AF65="Menor"),AND(AD65="Media",AF65="Moderado"),AND(AD65="Alta",AF65="Leve"),AND(AD65="Alta",AF65="Menor")),"Moderado",IF(OR(AND(AD65="Muy Baja",AF65="Mayor"),AND(AD65="Baja",AF65="Mayor"),AND(AD65="Media",AF65="Mayor"),AND(AD65="Alta",AF65="Moderado"),AND(AD65="Alta",AF65="Mayor"),AND(AD65="Muy Alta",AF65="Leve"),AND(AD65="Muy Alta",AF65="Menor"),AND(AD65="Muy Alta",AF65="Moderado"),AND(AD65="Muy Alta",AF65="Mayor")),"Alto",IF(OR(AND(AD65="Muy Baja",AF65="Catastrófico"),AND(AD65="Baja",AF65="Catastrófico"),AND(AD65="Media",AF65="Catastrófico"),AND(AD65="Alta",AF65="Catastrófico"),AND(AD65="Muy Alta",AF65="Catastrófico")),"Extremo","")))),"")</f>
        <v/>
      </c>
      <c r="AI65" s="201"/>
      <c r="AJ65" s="192"/>
      <c r="AK65" s="202"/>
      <c r="AL65" s="202"/>
      <c r="AM65" s="203"/>
      <c r="AN65" s="333"/>
      <c r="AO65" s="333"/>
      <c r="AP65" s="333"/>
    </row>
    <row r="66" spans="1:42" ht="37.5" customHeight="1">
      <c r="A66" s="348"/>
      <c r="B66" s="330"/>
      <c r="C66" s="330"/>
      <c r="D66" s="330"/>
      <c r="E66" s="330"/>
      <c r="F66" s="330"/>
      <c r="G66" s="330"/>
      <c r="H66" s="330"/>
      <c r="I66" s="330"/>
      <c r="J66" s="330"/>
      <c r="K66" s="330"/>
      <c r="L66" s="333"/>
      <c r="M66" s="338"/>
      <c r="N66" s="337"/>
      <c r="O66" s="336"/>
      <c r="P66" s="337">
        <f>IF(NOT(ISERROR(MATCH(O66,_xlfn.ANCHORARRAY(E77),0))),N79&amp;"Por favor no seleccionar los criterios de impacto",O66)</f>
        <v>0</v>
      </c>
      <c r="Q66" s="338"/>
      <c r="R66" s="337"/>
      <c r="S66" s="339"/>
      <c r="T66" s="230">
        <v>6</v>
      </c>
      <c r="U66" s="193"/>
      <c r="V66" s="195" t="str">
        <f t="shared" si="67"/>
        <v/>
      </c>
      <c r="W66" s="196"/>
      <c r="X66" s="196"/>
      <c r="Y66" s="197" t="str">
        <f t="shared" si="64"/>
        <v/>
      </c>
      <c r="Z66" s="196"/>
      <c r="AA66" s="196"/>
      <c r="AB66" s="196"/>
      <c r="AC66" s="198" t="str">
        <f t="shared" si="68"/>
        <v/>
      </c>
      <c r="AD66" s="199" t="str">
        <f t="shared" si="2"/>
        <v/>
      </c>
      <c r="AE66" s="197" t="str">
        <f t="shared" si="65"/>
        <v/>
      </c>
      <c r="AF66" s="199" t="str">
        <f t="shared" si="4"/>
        <v/>
      </c>
      <c r="AG66" s="197" t="str">
        <f t="shared" si="69"/>
        <v/>
      </c>
      <c r="AH66" s="200" t="str">
        <f t="shared" si="70"/>
        <v/>
      </c>
      <c r="AI66" s="201"/>
      <c r="AJ66" s="192"/>
      <c r="AK66" s="202"/>
      <c r="AL66" s="202"/>
      <c r="AM66" s="203"/>
      <c r="AN66" s="333"/>
      <c r="AO66" s="333"/>
      <c r="AP66" s="333"/>
    </row>
    <row r="67" spans="1:42" ht="37.5" customHeight="1">
      <c r="A67" s="348">
        <v>10</v>
      </c>
      <c r="B67" s="330"/>
      <c r="C67" s="330"/>
      <c r="D67" s="330"/>
      <c r="E67" s="330"/>
      <c r="F67" s="330"/>
      <c r="G67" s="330"/>
      <c r="H67" s="330"/>
      <c r="I67" s="330"/>
      <c r="J67" s="330"/>
      <c r="K67" s="330"/>
      <c r="L67" s="333"/>
      <c r="M67" s="338" t="str">
        <f>IF(L67&lt;=0,"",IF(L67&lt;=2,"Muy Baja",IF(L67&lt;=24,"Baja",IF(L67&lt;=500,"Media",IF(L67&lt;=5000,"Alta","Muy Alta")))))</f>
        <v/>
      </c>
      <c r="N67" s="337" t="str">
        <f>IF(M67="","",IF(M67="Muy Baja",0.2,IF(M67="Baja",0.4,IF(M67="Media",0.6,IF(M67="Alta",0.8,IF(M67="Muy Alta",1,))))))</f>
        <v/>
      </c>
      <c r="O67" s="336"/>
      <c r="P67" s="337">
        <f>IF(NOT(ISERROR(MATCH(O67,'Tabla Impacto'!$B$222:$B$224,0))),'Tabla Impacto'!$F$224&amp;"Por favor no seleccionar los criterios de impacto(Afectación Económica o presupuestal y Pérdida Reputacional)",O67)</f>
        <v>0</v>
      </c>
      <c r="Q67" s="338" t="str">
        <f>IF(OR(P67='Tabla Impacto'!$C$12,P67='Tabla Impacto'!$D$12),"Leve",IF(OR(P67='Tabla Impacto'!$C$13,P67='Tabla Impacto'!$D$13),"Menor",IF(OR(P67='Tabla Impacto'!$C$14,P67='Tabla Impacto'!$D$14),"Moderado",IF(OR(P67='Tabla Impacto'!$C$15,P67='Tabla Impacto'!$D$15),"Mayor",IF(OR(P67='Tabla Impacto'!$C$16,P67='Tabla Impacto'!$D$16),"Catastrófico","")))))</f>
        <v/>
      </c>
      <c r="R67" s="337" t="str">
        <f>IF(Q67="","",IF(Q67="Leve",0.2,IF(Q67="Menor",0.4,IF(Q67="Moderado",0.6,IF(Q67="Mayor",0.8,IF(Q67="Catastrófico",1,))))))</f>
        <v/>
      </c>
      <c r="S67" s="339" t="str">
        <f>IF(OR(AND(M67="Muy Baja",Q67="Leve"),AND(M67="Muy Baja",Q67="Menor"),AND(M67="Baja",Q67="Leve")),"Bajo",IF(OR(AND(M67="Muy baja",Q67="Moderado"),AND(M67="Baja",Q67="Menor"),AND(M67="Baja",Q67="Moderado"),AND(M67="Media",Q67="Leve"),AND(M67="Media",Q67="Menor"),AND(M67="Media",Q67="Moderado"),AND(M67="Alta",Q67="Leve"),AND(M67="Alta",Q67="Menor")),"Moderado",IF(OR(AND(M67="Muy Baja",Q67="Mayor"),AND(M67="Baja",Q67="Mayor"),AND(M67="Media",Q67="Mayor"),AND(M67="Alta",Q67="Moderado"),AND(M67="Alta",Q67="Mayor"),AND(M67="Muy Alta",Q67="Leve"),AND(M67="Muy Alta",Q67="Menor"),AND(M67="Muy Alta",Q67="Moderado"),AND(M67="Muy Alta",Q67="Mayor")),"Alto",IF(OR(AND(M67="Muy Baja",Q67="Catastrófico"),AND(M67="Baja",Q67="Catastrófico"),AND(M67="Media",Q67="Catastrófico"),AND(M67="Alta",Q67="Catastrófico"),AND(M67="Muy Alta",Q67="Catastrófico")),"Extremo",""))))</f>
        <v/>
      </c>
      <c r="T67" s="230">
        <v>1</v>
      </c>
      <c r="U67" s="193"/>
      <c r="V67" s="195" t="str">
        <f>IF(OR(W67="Preventivo",W67="Detectivo"),"Probabilidad",IF(W67="Correctivo","Impacto",""))</f>
        <v/>
      </c>
      <c r="W67" s="196"/>
      <c r="X67" s="196"/>
      <c r="Y67" s="197" t="str">
        <f>IF(AND(W67="Preventivo",X67="Automático"),"50%",IF(AND(W67="Preventivo",X67="Manual"),"40%",IF(AND(W67="Detectivo",X67="Automático"),"40%",IF(AND(W67="Detectivo",X67="Manual"),"30%",IF(AND(W67="Correctivo",X67="Automático"),"35%",IF(AND(W67="Correctivo",X67="Manual"),"25%",""))))))</f>
        <v/>
      </c>
      <c r="Z67" s="196"/>
      <c r="AA67" s="196"/>
      <c r="AB67" s="196"/>
      <c r="AC67" s="198" t="str">
        <f>IFERROR(IF(V67="Probabilidad",(N67-(+N67*Y67)),IF(V67="Impacto",N67,"")),"")</f>
        <v/>
      </c>
      <c r="AD67" s="199" t="str">
        <f>IFERROR(IF(AC67="","",IF(AC67&lt;=0.2,"Muy Baja",IF(AC67&lt;=0.4,"Baja",IF(AC67&lt;=0.6,"Media",IF(AC67&lt;=0.8,"Alta","Muy Alta"))))),"")</f>
        <v/>
      </c>
      <c r="AE67" s="197" t="str">
        <f>+AC67</f>
        <v/>
      </c>
      <c r="AF67" s="199" t="str">
        <f>IFERROR(IF(AG67="","",IF(AG67&lt;=0.2,"Leve",IF(AG67&lt;=0.4,"Menor",IF(AG67&lt;=0.6,"Moderado",IF(AG67&lt;=0.8,"Mayor","Catastrófico"))))),"")</f>
        <v/>
      </c>
      <c r="AG67" s="197" t="str">
        <f>IFERROR(IF(V67="Impacto",(R67-(+R67*Y67)),IF(V67="Probabilidad",R67,"")),"")</f>
        <v/>
      </c>
      <c r="AH67" s="200" t="str">
        <f>IFERROR(IF(OR(AND(AD67="Muy Baja",AF67="Leve"),AND(AD67="Muy Baja",AF67="Menor"),AND(AD67="Baja",AF67="Leve")),"Bajo",IF(OR(AND(AD67="Muy baja",AF67="Moderado"),AND(AD67="Baja",AF67="Menor"),AND(AD67="Baja",AF67="Moderado"),AND(AD67="Media",AF67="Leve"),AND(AD67="Media",AF67="Menor"),AND(AD67="Media",AF67="Moderado"),AND(AD67="Alta",AF67="Leve"),AND(AD67="Alta",AF67="Menor")),"Moderado",IF(OR(AND(AD67="Muy Baja",AF67="Mayor"),AND(AD67="Baja",AF67="Mayor"),AND(AD67="Media",AF67="Mayor"),AND(AD67="Alta",AF67="Moderado"),AND(AD67="Alta",AF67="Mayor"),AND(AD67="Muy Alta",AF67="Leve"),AND(AD67="Muy Alta",AF67="Menor"),AND(AD67="Muy Alta",AF67="Moderado"),AND(AD67="Muy Alta",AF67="Mayor")),"Alto",IF(OR(AND(AD67="Muy Baja",AF67="Catastrófico"),AND(AD67="Baja",AF67="Catastrófico"),AND(AD67="Media",AF67="Catastrófico"),AND(AD67="Alta",AF67="Catastrófico"),AND(AD67="Muy Alta",AF67="Catastrófico")),"Extremo","")))),"")</f>
        <v/>
      </c>
      <c r="AI67" s="201"/>
      <c r="AJ67" s="192"/>
      <c r="AK67" s="202"/>
      <c r="AL67" s="202"/>
      <c r="AM67" s="203"/>
      <c r="AN67" s="333"/>
      <c r="AO67" s="333"/>
      <c r="AP67" s="333"/>
    </row>
    <row r="68" spans="1:42" ht="37.5" customHeight="1">
      <c r="A68" s="348"/>
      <c r="B68" s="330"/>
      <c r="C68" s="330"/>
      <c r="D68" s="330"/>
      <c r="E68" s="330"/>
      <c r="F68" s="330"/>
      <c r="G68" s="330"/>
      <c r="H68" s="330"/>
      <c r="I68" s="330"/>
      <c r="J68" s="330"/>
      <c r="K68" s="330"/>
      <c r="L68" s="333"/>
      <c r="M68" s="338"/>
      <c r="N68" s="337"/>
      <c r="O68" s="336"/>
      <c r="P68" s="337">
        <f>IF(NOT(ISERROR(MATCH(O68,_xlfn.ANCHORARRAY(E79),0))),N81&amp;"Por favor no seleccionar los criterios de impacto",O68)</f>
        <v>0</v>
      </c>
      <c r="Q68" s="338"/>
      <c r="R68" s="337"/>
      <c r="S68" s="339"/>
      <c r="T68" s="230">
        <v>2</v>
      </c>
      <c r="U68" s="193"/>
      <c r="V68" s="195" t="str">
        <f>IF(OR(W68="Preventivo",W68="Detectivo"),"Probabilidad",IF(W68="Correctivo","Impacto",""))</f>
        <v/>
      </c>
      <c r="W68" s="196"/>
      <c r="X68" s="196"/>
      <c r="Y68" s="197" t="str">
        <f t="shared" ref="Y68:Y72" si="71">IF(AND(W68="Preventivo",X68="Automático"),"50%",IF(AND(W68="Preventivo",X68="Manual"),"40%",IF(AND(W68="Detectivo",X68="Automático"),"40%",IF(AND(W68="Detectivo",X68="Manual"),"30%",IF(AND(W68="Correctivo",X68="Automático"),"35%",IF(AND(W68="Correctivo",X68="Manual"),"25%",""))))))</f>
        <v/>
      </c>
      <c r="Z68" s="196"/>
      <c r="AA68" s="196"/>
      <c r="AB68" s="196"/>
      <c r="AC68" s="198" t="str">
        <f>IFERROR(IF(AND(V67="Probabilidad",V68="Probabilidad"),(AE67-(+AE67*Y68)),IF(V68="Probabilidad",(N67-(+N67*Y68)),IF(V68="Impacto",AE67,""))),"")</f>
        <v/>
      </c>
      <c r="AD68" s="199" t="str">
        <f t="shared" si="2"/>
        <v/>
      </c>
      <c r="AE68" s="197" t="str">
        <f t="shared" ref="AE68:AE72" si="72">+AC68</f>
        <v/>
      </c>
      <c r="AF68" s="199" t="str">
        <f t="shared" si="4"/>
        <v/>
      </c>
      <c r="AG68" s="197" t="str">
        <f>IFERROR(IF(AND(V67="Impacto",V68="Impacto"),(AG61-(+AG61*Y68)),IF(V68="Impacto",($R$67-(+$R$67*Y68)),IF(V68="Probabilidad",AG61,""))),"")</f>
        <v/>
      </c>
      <c r="AH68" s="200" t="str">
        <f t="shared" ref="AH68:AH69" si="73">IFERROR(IF(OR(AND(AD68="Muy Baja",AF68="Leve"),AND(AD68="Muy Baja",AF68="Menor"),AND(AD68="Baja",AF68="Leve")),"Bajo",IF(OR(AND(AD68="Muy baja",AF68="Moderado"),AND(AD68="Baja",AF68="Menor"),AND(AD68="Baja",AF68="Moderado"),AND(AD68="Media",AF68="Leve"),AND(AD68="Media",AF68="Menor"),AND(AD68="Media",AF68="Moderado"),AND(AD68="Alta",AF68="Leve"),AND(AD68="Alta",AF68="Menor")),"Moderado",IF(OR(AND(AD68="Muy Baja",AF68="Mayor"),AND(AD68="Baja",AF68="Mayor"),AND(AD68="Media",AF68="Mayor"),AND(AD68="Alta",AF68="Moderado"),AND(AD68="Alta",AF68="Mayor"),AND(AD68="Muy Alta",AF68="Leve"),AND(AD68="Muy Alta",AF68="Menor"),AND(AD68="Muy Alta",AF68="Moderado"),AND(AD68="Muy Alta",AF68="Mayor")),"Alto",IF(OR(AND(AD68="Muy Baja",AF68="Catastrófico"),AND(AD68="Baja",AF68="Catastrófico"),AND(AD68="Media",AF68="Catastrófico"),AND(AD68="Alta",AF68="Catastrófico"),AND(AD68="Muy Alta",AF68="Catastrófico")),"Extremo","")))),"")</f>
        <v/>
      </c>
      <c r="AI68" s="201"/>
      <c r="AJ68" s="192"/>
      <c r="AK68" s="202"/>
      <c r="AL68" s="202"/>
      <c r="AM68" s="203"/>
      <c r="AN68" s="333"/>
      <c r="AO68" s="333"/>
      <c r="AP68" s="333"/>
    </row>
    <row r="69" spans="1:42" ht="37.5" customHeight="1">
      <c r="A69" s="348"/>
      <c r="B69" s="330"/>
      <c r="C69" s="330"/>
      <c r="D69" s="330"/>
      <c r="E69" s="330"/>
      <c r="F69" s="330"/>
      <c r="G69" s="330"/>
      <c r="H69" s="330"/>
      <c r="I69" s="330"/>
      <c r="J69" s="330"/>
      <c r="K69" s="330"/>
      <c r="L69" s="333"/>
      <c r="M69" s="338"/>
      <c r="N69" s="337"/>
      <c r="O69" s="336"/>
      <c r="P69" s="337">
        <f>IF(NOT(ISERROR(MATCH(O69,_xlfn.ANCHORARRAY(E80),0))),N82&amp;"Por favor no seleccionar los criterios de impacto",O69)</f>
        <v>0</v>
      </c>
      <c r="Q69" s="338"/>
      <c r="R69" s="337"/>
      <c r="S69" s="339"/>
      <c r="T69" s="230">
        <v>3</v>
      </c>
      <c r="U69" s="193"/>
      <c r="V69" s="195" t="str">
        <f>IF(OR(W69="Preventivo",W69="Detectivo"),"Probabilidad",IF(W69="Correctivo","Impacto",""))</f>
        <v/>
      </c>
      <c r="W69" s="196"/>
      <c r="X69" s="196"/>
      <c r="Y69" s="197" t="str">
        <f t="shared" si="71"/>
        <v/>
      </c>
      <c r="Z69" s="196"/>
      <c r="AA69" s="196"/>
      <c r="AB69" s="196"/>
      <c r="AC69" s="198" t="str">
        <f>IFERROR(IF(AND(V68="Probabilidad",V69="Probabilidad"),(AE68-(+AE68*Y69)),IF(AND(V68="Impacto",V69="Probabilidad"),(AE67-(+AE67*Y69)),IF(V69="Impacto",AE68,""))),"")</f>
        <v/>
      </c>
      <c r="AD69" s="199" t="str">
        <f t="shared" si="2"/>
        <v/>
      </c>
      <c r="AE69" s="197" t="str">
        <f t="shared" si="72"/>
        <v/>
      </c>
      <c r="AF69" s="199" t="str">
        <f t="shared" si="4"/>
        <v/>
      </c>
      <c r="AG69" s="197" t="str">
        <f>IFERROR(IF(AND(V68="Impacto",V69="Impacto"),(AG68-(+AG68*Y69)),IF(AND(V68="Probabilidad",V69="Impacto"),(AG67-(+AG67*Y69)),IF(V69="Probabilidad",AG68,""))),"")</f>
        <v/>
      </c>
      <c r="AH69" s="200" t="str">
        <f t="shared" si="73"/>
        <v/>
      </c>
      <c r="AI69" s="201"/>
      <c r="AJ69" s="192"/>
      <c r="AK69" s="202"/>
      <c r="AL69" s="202"/>
      <c r="AM69" s="203"/>
      <c r="AN69" s="333"/>
      <c r="AO69" s="333"/>
      <c r="AP69" s="333"/>
    </row>
    <row r="70" spans="1:42" ht="37.5" customHeight="1">
      <c r="A70" s="348"/>
      <c r="B70" s="330"/>
      <c r="C70" s="330"/>
      <c r="D70" s="330"/>
      <c r="E70" s="330"/>
      <c r="F70" s="330"/>
      <c r="G70" s="330"/>
      <c r="H70" s="330"/>
      <c r="I70" s="330"/>
      <c r="J70" s="330"/>
      <c r="K70" s="330"/>
      <c r="L70" s="333"/>
      <c r="M70" s="338"/>
      <c r="N70" s="337"/>
      <c r="O70" s="336"/>
      <c r="P70" s="337">
        <f>IF(NOT(ISERROR(MATCH(O70,_xlfn.ANCHORARRAY(E81),0))),N83&amp;"Por favor no seleccionar los criterios de impacto",O70)</f>
        <v>0</v>
      </c>
      <c r="Q70" s="338"/>
      <c r="R70" s="337"/>
      <c r="S70" s="339"/>
      <c r="T70" s="230">
        <v>4</v>
      </c>
      <c r="U70" s="193"/>
      <c r="V70" s="195" t="str">
        <f t="shared" ref="V70:V72" si="74">IF(OR(W70="Preventivo",W70="Detectivo"),"Probabilidad",IF(W70="Correctivo","Impacto",""))</f>
        <v/>
      </c>
      <c r="W70" s="196"/>
      <c r="X70" s="196"/>
      <c r="Y70" s="197" t="str">
        <f t="shared" si="71"/>
        <v/>
      </c>
      <c r="Z70" s="196"/>
      <c r="AA70" s="196"/>
      <c r="AB70" s="196"/>
      <c r="AC70" s="198" t="str">
        <f t="shared" ref="AC70:AC72" si="75">IFERROR(IF(AND(V69="Probabilidad",V70="Probabilidad"),(AE69-(+AE69*Y70)),IF(AND(V69="Impacto",V70="Probabilidad"),(AE68-(+AE68*Y70)),IF(V70="Impacto",AE69,""))),"")</f>
        <v/>
      </c>
      <c r="AD70" s="199" t="str">
        <f t="shared" si="2"/>
        <v/>
      </c>
      <c r="AE70" s="197" t="str">
        <f t="shared" si="72"/>
        <v/>
      </c>
      <c r="AF70" s="199" t="str">
        <f t="shared" si="4"/>
        <v/>
      </c>
      <c r="AG70" s="197" t="str">
        <f t="shared" ref="AG70:AG72" si="76">IFERROR(IF(AND(V69="Impacto",V70="Impacto"),(AG69-(+AG69*Y70)),IF(AND(V69="Probabilidad",V70="Impacto"),(AG68-(+AG68*Y70)),IF(V70="Probabilidad",AG69,""))),"")</f>
        <v/>
      </c>
      <c r="AH70" s="200" t="str">
        <f>IFERROR(IF(OR(AND(AD70="Muy Baja",AF70="Leve"),AND(AD70="Muy Baja",AF70="Menor"),AND(AD70="Baja",AF70="Leve")),"Bajo",IF(OR(AND(AD70="Muy baja",AF70="Moderado"),AND(AD70="Baja",AF70="Menor"),AND(AD70="Baja",AF70="Moderado"),AND(AD70="Media",AF70="Leve"),AND(AD70="Media",AF70="Menor"),AND(AD70="Media",AF70="Moderado"),AND(AD70="Alta",AF70="Leve"),AND(AD70="Alta",AF70="Menor")),"Moderado",IF(OR(AND(AD70="Muy Baja",AF70="Mayor"),AND(AD70="Baja",AF70="Mayor"),AND(AD70="Media",AF70="Mayor"),AND(AD70="Alta",AF70="Moderado"),AND(AD70="Alta",AF70="Mayor"),AND(AD70="Muy Alta",AF70="Leve"),AND(AD70="Muy Alta",AF70="Menor"),AND(AD70="Muy Alta",AF70="Moderado"),AND(AD70="Muy Alta",AF70="Mayor")),"Alto",IF(OR(AND(AD70="Muy Baja",AF70="Catastrófico"),AND(AD70="Baja",AF70="Catastrófico"),AND(AD70="Media",AF70="Catastrófico"),AND(AD70="Alta",AF70="Catastrófico"),AND(AD70="Muy Alta",AF70="Catastrófico")),"Extremo","")))),"")</f>
        <v/>
      </c>
      <c r="AI70" s="201"/>
      <c r="AJ70" s="192"/>
      <c r="AK70" s="202"/>
      <c r="AL70" s="202"/>
      <c r="AM70" s="203"/>
      <c r="AN70" s="333"/>
      <c r="AO70" s="333"/>
      <c r="AP70" s="333"/>
    </row>
    <row r="71" spans="1:42" ht="37.5" customHeight="1">
      <c r="A71" s="348"/>
      <c r="B71" s="330"/>
      <c r="C71" s="330"/>
      <c r="D71" s="330"/>
      <c r="E71" s="330"/>
      <c r="F71" s="330"/>
      <c r="G71" s="330"/>
      <c r="H71" s="330"/>
      <c r="I71" s="330"/>
      <c r="J71" s="330"/>
      <c r="K71" s="330"/>
      <c r="L71" s="333"/>
      <c r="M71" s="338"/>
      <c r="N71" s="337"/>
      <c r="O71" s="336"/>
      <c r="P71" s="337">
        <f>IF(NOT(ISERROR(MATCH(O71,_xlfn.ANCHORARRAY(E82),0))),N84&amp;"Por favor no seleccionar los criterios de impacto",O71)</f>
        <v>0</v>
      </c>
      <c r="Q71" s="338"/>
      <c r="R71" s="337"/>
      <c r="S71" s="339"/>
      <c r="T71" s="230">
        <v>5</v>
      </c>
      <c r="U71" s="193"/>
      <c r="V71" s="195" t="str">
        <f t="shared" si="74"/>
        <v/>
      </c>
      <c r="W71" s="196"/>
      <c r="X71" s="196"/>
      <c r="Y71" s="197" t="str">
        <f t="shared" si="71"/>
        <v/>
      </c>
      <c r="Z71" s="196"/>
      <c r="AA71" s="196"/>
      <c r="AB71" s="196"/>
      <c r="AC71" s="198" t="str">
        <f t="shared" si="75"/>
        <v/>
      </c>
      <c r="AD71" s="199" t="str">
        <f t="shared" si="2"/>
        <v/>
      </c>
      <c r="AE71" s="197" t="str">
        <f t="shared" si="72"/>
        <v/>
      </c>
      <c r="AF71" s="199" t="str">
        <f t="shared" si="4"/>
        <v/>
      </c>
      <c r="AG71" s="197" t="str">
        <f t="shared" si="76"/>
        <v/>
      </c>
      <c r="AH71" s="200" t="str">
        <f t="shared" ref="AH71:AH72" si="77">IFERROR(IF(OR(AND(AD71="Muy Baja",AF71="Leve"),AND(AD71="Muy Baja",AF71="Menor"),AND(AD71="Baja",AF71="Leve")),"Bajo",IF(OR(AND(AD71="Muy baja",AF71="Moderado"),AND(AD71="Baja",AF71="Menor"),AND(AD71="Baja",AF71="Moderado"),AND(AD71="Media",AF71="Leve"),AND(AD71="Media",AF71="Menor"),AND(AD71="Media",AF71="Moderado"),AND(AD71="Alta",AF71="Leve"),AND(AD71="Alta",AF71="Menor")),"Moderado",IF(OR(AND(AD71="Muy Baja",AF71="Mayor"),AND(AD71="Baja",AF71="Mayor"),AND(AD71="Media",AF71="Mayor"),AND(AD71="Alta",AF71="Moderado"),AND(AD71="Alta",AF71="Mayor"),AND(AD71="Muy Alta",AF71="Leve"),AND(AD71="Muy Alta",AF71="Menor"),AND(AD71="Muy Alta",AF71="Moderado"),AND(AD71="Muy Alta",AF71="Mayor")),"Alto",IF(OR(AND(AD71="Muy Baja",AF71="Catastrófico"),AND(AD71="Baja",AF71="Catastrófico"),AND(AD71="Media",AF71="Catastrófico"),AND(AD71="Alta",AF71="Catastrófico"),AND(AD71="Muy Alta",AF71="Catastrófico")),"Extremo","")))),"")</f>
        <v/>
      </c>
      <c r="AI71" s="201"/>
      <c r="AJ71" s="192"/>
      <c r="AK71" s="202"/>
      <c r="AL71" s="202"/>
      <c r="AM71" s="203"/>
      <c r="AN71" s="333"/>
      <c r="AO71" s="333"/>
      <c r="AP71" s="333"/>
    </row>
    <row r="72" spans="1:42" ht="37.5" customHeight="1">
      <c r="A72" s="348"/>
      <c r="B72" s="330"/>
      <c r="C72" s="330"/>
      <c r="D72" s="330"/>
      <c r="E72" s="330"/>
      <c r="F72" s="330"/>
      <c r="G72" s="330"/>
      <c r="H72" s="330"/>
      <c r="I72" s="330"/>
      <c r="J72" s="330"/>
      <c r="K72" s="330"/>
      <c r="L72" s="333"/>
      <c r="M72" s="338"/>
      <c r="N72" s="337"/>
      <c r="O72" s="336"/>
      <c r="P72" s="337">
        <f>IF(NOT(ISERROR(MATCH(O72,_xlfn.ANCHORARRAY(E83),0))),N85&amp;"Por favor no seleccionar los criterios de impacto",O72)</f>
        <v>0</v>
      </c>
      <c r="Q72" s="338"/>
      <c r="R72" s="337"/>
      <c r="S72" s="339"/>
      <c r="T72" s="230">
        <v>6</v>
      </c>
      <c r="U72" s="193"/>
      <c r="V72" s="195" t="str">
        <f t="shared" si="74"/>
        <v/>
      </c>
      <c r="W72" s="196"/>
      <c r="X72" s="196"/>
      <c r="Y72" s="197" t="str">
        <f t="shared" si="71"/>
        <v/>
      </c>
      <c r="Z72" s="196"/>
      <c r="AA72" s="196"/>
      <c r="AB72" s="196"/>
      <c r="AC72" s="198" t="str">
        <f t="shared" si="75"/>
        <v/>
      </c>
      <c r="AD72" s="199" t="str">
        <f t="shared" si="2"/>
        <v/>
      </c>
      <c r="AE72" s="197" t="str">
        <f t="shared" si="72"/>
        <v/>
      </c>
      <c r="AF72" s="199" t="str">
        <f t="shared" si="4"/>
        <v/>
      </c>
      <c r="AG72" s="197" t="str">
        <f t="shared" si="76"/>
        <v/>
      </c>
      <c r="AH72" s="200" t="str">
        <f t="shared" si="77"/>
        <v/>
      </c>
      <c r="AI72" s="201"/>
      <c r="AJ72" s="192"/>
      <c r="AK72" s="202"/>
      <c r="AL72" s="202"/>
      <c r="AM72" s="203"/>
      <c r="AN72" s="333"/>
      <c r="AO72" s="333"/>
      <c r="AP72" s="333"/>
    </row>
    <row r="73" spans="1:42" ht="49.5" customHeight="1">
      <c r="A73" s="232"/>
      <c r="B73" s="359" t="s">
        <v>213</v>
      </c>
      <c r="C73" s="360"/>
      <c r="D73" s="360"/>
      <c r="E73" s="360"/>
      <c r="F73" s="360"/>
      <c r="G73" s="360"/>
      <c r="H73" s="360"/>
      <c r="I73" s="360"/>
      <c r="J73" s="360"/>
      <c r="K73" s="360"/>
      <c r="L73" s="360"/>
      <c r="M73" s="360"/>
      <c r="N73" s="360"/>
      <c r="O73" s="360"/>
      <c r="P73" s="360"/>
      <c r="Q73" s="360"/>
      <c r="R73" s="360"/>
      <c r="S73" s="360"/>
      <c r="T73" s="360"/>
      <c r="U73" s="360"/>
      <c r="V73" s="360"/>
      <c r="W73" s="360"/>
      <c r="X73" s="360"/>
      <c r="Y73" s="360"/>
      <c r="Z73" s="360"/>
      <c r="AA73" s="360"/>
      <c r="AB73" s="360"/>
      <c r="AC73" s="360"/>
      <c r="AD73" s="360"/>
      <c r="AE73" s="360"/>
      <c r="AF73" s="360"/>
      <c r="AG73" s="360"/>
      <c r="AH73" s="360"/>
      <c r="AI73" s="360"/>
      <c r="AJ73" s="360"/>
      <c r="AK73" s="360"/>
      <c r="AL73" s="360"/>
      <c r="AM73" s="360"/>
    </row>
    <row r="75" spans="1:42" ht="15.75">
      <c r="A75" s="204"/>
      <c r="B75" s="222" t="s">
        <v>214</v>
      </c>
      <c r="C75" s="204"/>
      <c r="D75" s="204"/>
      <c r="G75" s="204"/>
      <c r="H75" s="204"/>
      <c r="I75" s="204"/>
      <c r="J75" s="204"/>
      <c r="K75" s="204"/>
    </row>
  </sheetData>
  <dataConsolidate/>
  <mergeCells count="291">
    <mergeCell ref="AL13:AL18"/>
    <mergeCell ref="AM13:AM18"/>
    <mergeCell ref="AJ19:AJ24"/>
    <mergeCell ref="AK20:AK24"/>
    <mergeCell ref="AL20:AL24"/>
    <mergeCell ref="AM20:AM24"/>
    <mergeCell ref="R25:R30"/>
    <mergeCell ref="S25:S30"/>
    <mergeCell ref="A1:C4"/>
    <mergeCell ref="D1:S2"/>
    <mergeCell ref="D3:K3"/>
    <mergeCell ref="L3:S3"/>
    <mergeCell ref="D4:S4"/>
    <mergeCell ref="W6:AP6"/>
    <mergeCell ref="W7:AP7"/>
    <mergeCell ref="W8:AP8"/>
    <mergeCell ref="U1:AP2"/>
    <mergeCell ref="U3:AI3"/>
    <mergeCell ref="U4:AP4"/>
    <mergeCell ref="AJ3:AP3"/>
    <mergeCell ref="A6:B6"/>
    <mergeCell ref="A7:B7"/>
    <mergeCell ref="A8:B8"/>
    <mergeCell ref="O25:O30"/>
    <mergeCell ref="P25:P30"/>
    <mergeCell ref="Q25:Q30"/>
    <mergeCell ref="A25:A30"/>
    <mergeCell ref="B25:B30"/>
    <mergeCell ref="C25:C30"/>
    <mergeCell ref="D25:D30"/>
    <mergeCell ref="F49:F54"/>
    <mergeCell ref="F55:F60"/>
    <mergeCell ref="K55:K60"/>
    <mergeCell ref="L37:L42"/>
    <mergeCell ref="M37:M42"/>
    <mergeCell ref="B55:B60"/>
    <mergeCell ref="C55:C60"/>
    <mergeCell ref="D55:D60"/>
    <mergeCell ref="E55:E60"/>
    <mergeCell ref="A49:A54"/>
    <mergeCell ref="B49:B54"/>
    <mergeCell ref="C49:C54"/>
    <mergeCell ref="D49:D54"/>
    <mergeCell ref="E49:E54"/>
    <mergeCell ref="A37:A42"/>
    <mergeCell ref="B37:B42"/>
    <mergeCell ref="C37:C42"/>
    <mergeCell ref="A43:A48"/>
    <mergeCell ref="R37:R42"/>
    <mergeCell ref="S37:S42"/>
    <mergeCell ref="R43:R48"/>
    <mergeCell ref="S43:S48"/>
    <mergeCell ref="O49:O54"/>
    <mergeCell ref="P49:P54"/>
    <mergeCell ref="Q49:Q54"/>
    <mergeCell ref="O43:O48"/>
    <mergeCell ref="P43:P48"/>
    <mergeCell ref="Q43:Q48"/>
    <mergeCell ref="F61:F66"/>
    <mergeCell ref="C6:S6"/>
    <mergeCell ref="T6:V6"/>
    <mergeCell ref="A10:L10"/>
    <mergeCell ref="M10:S10"/>
    <mergeCell ref="T10:AB10"/>
    <mergeCell ref="AC10:AI10"/>
    <mergeCell ref="AJ10:AM10"/>
    <mergeCell ref="E61:E66"/>
    <mergeCell ref="G61:G66"/>
    <mergeCell ref="L61:L66"/>
    <mergeCell ref="M61:M66"/>
    <mergeCell ref="N61:N66"/>
    <mergeCell ref="I61:I66"/>
    <mergeCell ref="J61:J66"/>
    <mergeCell ref="K61:K66"/>
    <mergeCell ref="N37:N42"/>
    <mergeCell ref="O37:O42"/>
    <mergeCell ref="L43:L48"/>
    <mergeCell ref="M43:M48"/>
    <mergeCell ref="N43:N48"/>
    <mergeCell ref="P37:P42"/>
    <mergeCell ref="Q37:Q42"/>
    <mergeCell ref="A55:A60"/>
    <mergeCell ref="B73:AM73"/>
    <mergeCell ref="R61:R66"/>
    <mergeCell ref="S61:S66"/>
    <mergeCell ref="A67:A72"/>
    <mergeCell ref="B67:B72"/>
    <mergeCell ref="C67:C72"/>
    <mergeCell ref="D67:D72"/>
    <mergeCell ref="E67:E72"/>
    <mergeCell ref="G67:G72"/>
    <mergeCell ref="L67:L72"/>
    <mergeCell ref="M67:M72"/>
    <mergeCell ref="N67:N72"/>
    <mergeCell ref="O67:O72"/>
    <mergeCell ref="P67:P72"/>
    <mergeCell ref="Q67:Q72"/>
    <mergeCell ref="R67:R72"/>
    <mergeCell ref="S67:S72"/>
    <mergeCell ref="O61:O66"/>
    <mergeCell ref="P61:P66"/>
    <mergeCell ref="Q61:Q66"/>
    <mergeCell ref="A61:A66"/>
    <mergeCell ref="B61:B66"/>
    <mergeCell ref="C61:C66"/>
    <mergeCell ref="D61:D66"/>
    <mergeCell ref="I67:I72"/>
    <mergeCell ref="J67:J72"/>
    <mergeCell ref="K67:K72"/>
    <mergeCell ref="F67:F72"/>
    <mergeCell ref="R49:R54"/>
    <mergeCell ref="S49:S54"/>
    <mergeCell ref="G55:G60"/>
    <mergeCell ref="L55:L60"/>
    <mergeCell ref="M55:M60"/>
    <mergeCell ref="N55:N60"/>
    <mergeCell ref="O55:O60"/>
    <mergeCell ref="G49:G54"/>
    <mergeCell ref="L49:L54"/>
    <mergeCell ref="M49:M54"/>
    <mergeCell ref="N49:N54"/>
    <mergeCell ref="P55:P60"/>
    <mergeCell ref="Q55:Q60"/>
    <mergeCell ref="R55:R60"/>
    <mergeCell ref="S55:S60"/>
    <mergeCell ref="I49:I54"/>
    <mergeCell ref="J49:J54"/>
    <mergeCell ref="K49:K54"/>
    <mergeCell ref="I55:I60"/>
    <mergeCell ref="J55:J60"/>
    <mergeCell ref="B43:B48"/>
    <mergeCell ref="C43:C48"/>
    <mergeCell ref="D43:D48"/>
    <mergeCell ref="E43:E48"/>
    <mergeCell ref="G43:G48"/>
    <mergeCell ref="D37:D42"/>
    <mergeCell ref="E37:E42"/>
    <mergeCell ref="G37:G42"/>
    <mergeCell ref="F37:F42"/>
    <mergeCell ref="F43:F48"/>
    <mergeCell ref="A31:A36"/>
    <mergeCell ref="B31:B36"/>
    <mergeCell ref="C31:C36"/>
    <mergeCell ref="D31:D36"/>
    <mergeCell ref="E31:E36"/>
    <mergeCell ref="G31:G36"/>
    <mergeCell ref="L31:L36"/>
    <mergeCell ref="M31:M36"/>
    <mergeCell ref="N31:N36"/>
    <mergeCell ref="H31:H36"/>
    <mergeCell ref="F31:F36"/>
    <mergeCell ref="E25:E30"/>
    <mergeCell ref="G25:G30"/>
    <mergeCell ref="L25:L30"/>
    <mergeCell ref="M25:M30"/>
    <mergeCell ref="N25:N30"/>
    <mergeCell ref="H25:H30"/>
    <mergeCell ref="F25:F30"/>
    <mergeCell ref="G19:G24"/>
    <mergeCell ref="L19:L24"/>
    <mergeCell ref="M19:M24"/>
    <mergeCell ref="N19:N24"/>
    <mergeCell ref="O19:O24"/>
    <mergeCell ref="A19:A24"/>
    <mergeCell ref="B19:B24"/>
    <mergeCell ref="C19:C24"/>
    <mergeCell ref="D19:D24"/>
    <mergeCell ref="E19:E24"/>
    <mergeCell ref="H19:H24"/>
    <mergeCell ref="F19:F24"/>
    <mergeCell ref="C7:S7"/>
    <mergeCell ref="C8:S8"/>
    <mergeCell ref="F11:F12"/>
    <mergeCell ref="G13:G18"/>
    <mergeCell ref="L13:L18"/>
    <mergeCell ref="M13:M18"/>
    <mergeCell ref="A13:A18"/>
    <mergeCell ref="B13:B18"/>
    <mergeCell ref="C13:C18"/>
    <mergeCell ref="D13:D18"/>
    <mergeCell ref="E13:E18"/>
    <mergeCell ref="A11:A12"/>
    <mergeCell ref="G11:G12"/>
    <mergeCell ref="E11:E12"/>
    <mergeCell ref="D11:D12"/>
    <mergeCell ref="C11:C12"/>
    <mergeCell ref="B11:B12"/>
    <mergeCell ref="F13:F18"/>
    <mergeCell ref="S13:S18"/>
    <mergeCell ref="N13:N18"/>
    <mergeCell ref="O13:O18"/>
    <mergeCell ref="P13:P18"/>
    <mergeCell ref="Q13:Q18"/>
    <mergeCell ref="R13:R18"/>
    <mergeCell ref="H13:H18"/>
    <mergeCell ref="L11:L12"/>
    <mergeCell ref="M11:M12"/>
    <mergeCell ref="S11:S12"/>
    <mergeCell ref="O11:O12"/>
    <mergeCell ref="P11:P12"/>
    <mergeCell ref="AN10:AP10"/>
    <mergeCell ref="AN11:AN12"/>
    <mergeCell ref="AO11:AO12"/>
    <mergeCell ref="AP11:AP12"/>
    <mergeCell ref="AN13:AN18"/>
    <mergeCell ref="AO13:AO18"/>
    <mergeCell ref="AP13:AP18"/>
    <mergeCell ref="I11:I12"/>
    <mergeCell ref="J11:J12"/>
    <mergeCell ref="K11:K12"/>
    <mergeCell ref="AI11:AI12"/>
    <mergeCell ref="AL11:AL12"/>
    <mergeCell ref="T11:T12"/>
    <mergeCell ref="AH11:AH12"/>
    <mergeCell ref="AG11:AG12"/>
    <mergeCell ref="AC11:AC12"/>
    <mergeCell ref="U11:U12"/>
    <mergeCell ref="AF11:AF12"/>
    <mergeCell ref="AD11:AD12"/>
    <mergeCell ref="AE11:AE12"/>
    <mergeCell ref="V11:V12"/>
    <mergeCell ref="W11:AB11"/>
    <mergeCell ref="AJ13:AJ18"/>
    <mergeCell ref="AK13:AK18"/>
    <mergeCell ref="AN19:AN24"/>
    <mergeCell ref="AO19:AO24"/>
    <mergeCell ref="AP19:AP24"/>
    <mergeCell ref="AP43:AP48"/>
    <mergeCell ref="AN49:AN54"/>
    <mergeCell ref="AO49:AO54"/>
    <mergeCell ref="AP49:AP54"/>
    <mergeCell ref="AN55:AN60"/>
    <mergeCell ref="AO55:AO60"/>
    <mergeCell ref="AP55:AP60"/>
    <mergeCell ref="AN25:AN30"/>
    <mergeCell ref="AO25:AO30"/>
    <mergeCell ref="AP25:AP30"/>
    <mergeCell ref="AN31:AN36"/>
    <mergeCell ref="AO31:AO36"/>
    <mergeCell ref="AP31:AP36"/>
    <mergeCell ref="AN37:AN42"/>
    <mergeCell ref="AO37:AO42"/>
    <mergeCell ref="AP37:AP42"/>
    <mergeCell ref="AP61:AP66"/>
    <mergeCell ref="AN67:AN72"/>
    <mergeCell ref="AO67:AO72"/>
    <mergeCell ref="AP67:AP72"/>
    <mergeCell ref="K13:K18"/>
    <mergeCell ref="I13:I18"/>
    <mergeCell ref="J13:J18"/>
    <mergeCell ref="I19:I24"/>
    <mergeCell ref="J19:J24"/>
    <mergeCell ref="K19:K24"/>
    <mergeCell ref="I25:I30"/>
    <mergeCell ref="J25:J30"/>
    <mergeCell ref="K25:K30"/>
    <mergeCell ref="I31:I36"/>
    <mergeCell ref="J31:J36"/>
    <mergeCell ref="K31:K36"/>
    <mergeCell ref="I37:I42"/>
    <mergeCell ref="J37:J42"/>
    <mergeCell ref="K37:K42"/>
    <mergeCell ref="I43:I48"/>
    <mergeCell ref="J43:J48"/>
    <mergeCell ref="K43:K48"/>
    <mergeCell ref="AN43:AN48"/>
    <mergeCell ref="AO43:AO48"/>
    <mergeCell ref="H67:H72"/>
    <mergeCell ref="H61:H66"/>
    <mergeCell ref="H55:H60"/>
    <mergeCell ref="H49:H54"/>
    <mergeCell ref="H43:H48"/>
    <mergeCell ref="H37:H42"/>
    <mergeCell ref="H11:H12"/>
    <mergeCell ref="AN61:AN66"/>
    <mergeCell ref="AO61:AO66"/>
    <mergeCell ref="N11:N12"/>
    <mergeCell ref="Q11:Q12"/>
    <mergeCell ref="R11:R12"/>
    <mergeCell ref="AJ11:AJ12"/>
    <mergeCell ref="AM11:AM12"/>
    <mergeCell ref="AK11:AK12"/>
    <mergeCell ref="O31:O36"/>
    <mergeCell ref="P31:P36"/>
    <mergeCell ref="Q31:Q36"/>
    <mergeCell ref="R31:R36"/>
    <mergeCell ref="S31:S36"/>
    <mergeCell ref="P19:P24"/>
    <mergeCell ref="Q19:Q24"/>
    <mergeCell ref="R19:R24"/>
    <mergeCell ref="S19:S24"/>
  </mergeCells>
  <conditionalFormatting sqref="M13 M19">
    <cfRule type="cellIs" dxfId="234" priority="324" operator="equal">
      <formula>"Muy Alta"</formula>
    </cfRule>
    <cfRule type="cellIs" dxfId="233" priority="325" operator="equal">
      <formula>"Alta"</formula>
    </cfRule>
    <cfRule type="cellIs" dxfId="232" priority="326" operator="equal">
      <formula>"Media"</formula>
    </cfRule>
    <cfRule type="cellIs" dxfId="231" priority="327" operator="equal">
      <formula>"Baja"</formula>
    </cfRule>
    <cfRule type="cellIs" dxfId="230" priority="328" operator="equal">
      <formula>"Muy Baja"</formula>
    </cfRule>
  </conditionalFormatting>
  <conditionalFormatting sqref="Q13 Q19 Q25 Q31 Q37 Q43 Q49 Q55 Q61 Q67">
    <cfRule type="cellIs" dxfId="229" priority="319" operator="equal">
      <formula>"Catastrófico"</formula>
    </cfRule>
    <cfRule type="cellIs" dxfId="228" priority="320" operator="equal">
      <formula>"Mayor"</formula>
    </cfRule>
    <cfRule type="cellIs" dxfId="227" priority="321" operator="equal">
      <formula>"Moderado"</formula>
    </cfRule>
    <cfRule type="cellIs" dxfId="226" priority="322" operator="equal">
      <formula>"Menor"</formula>
    </cfRule>
    <cfRule type="cellIs" dxfId="225" priority="323" operator="equal">
      <formula>"Leve"</formula>
    </cfRule>
  </conditionalFormatting>
  <conditionalFormatting sqref="S13">
    <cfRule type="cellIs" dxfId="224" priority="315" operator="equal">
      <formula>"Extremo"</formula>
    </cfRule>
    <cfRule type="cellIs" dxfId="223" priority="316" operator="equal">
      <formula>"Alto"</formula>
    </cfRule>
    <cfRule type="cellIs" dxfId="222" priority="317" operator="equal">
      <formula>"Moderado"</formula>
    </cfRule>
    <cfRule type="cellIs" dxfId="221" priority="318" operator="equal">
      <formula>"Bajo"</formula>
    </cfRule>
  </conditionalFormatting>
  <conditionalFormatting sqref="AD13:AD18">
    <cfRule type="cellIs" dxfId="220" priority="310" operator="equal">
      <formula>"Muy Alta"</formula>
    </cfRule>
    <cfRule type="cellIs" dxfId="219" priority="311" operator="equal">
      <formula>"Alta"</formula>
    </cfRule>
    <cfRule type="cellIs" dxfId="218" priority="312" operator="equal">
      <formula>"Media"</formula>
    </cfRule>
    <cfRule type="cellIs" dxfId="217" priority="313" operator="equal">
      <formula>"Baja"</formula>
    </cfRule>
    <cfRule type="cellIs" dxfId="216" priority="314" operator="equal">
      <formula>"Muy Baja"</formula>
    </cfRule>
  </conditionalFormatting>
  <conditionalFormatting sqref="AF13:AF18">
    <cfRule type="cellIs" dxfId="215" priority="305" operator="equal">
      <formula>"Catastrófico"</formula>
    </cfRule>
    <cfRule type="cellIs" dxfId="214" priority="306" operator="equal">
      <formula>"Mayor"</formula>
    </cfRule>
    <cfRule type="cellIs" dxfId="213" priority="307" operator="equal">
      <formula>"Moderado"</formula>
    </cfRule>
    <cfRule type="cellIs" dxfId="212" priority="308" operator="equal">
      <formula>"Menor"</formula>
    </cfRule>
    <cfRule type="cellIs" dxfId="211" priority="309" operator="equal">
      <formula>"Leve"</formula>
    </cfRule>
  </conditionalFormatting>
  <conditionalFormatting sqref="AH13:AH18">
    <cfRule type="cellIs" dxfId="210" priority="301" operator="equal">
      <formula>"Extremo"</formula>
    </cfRule>
    <cfRule type="cellIs" dxfId="209" priority="302" operator="equal">
      <formula>"Alto"</formula>
    </cfRule>
    <cfRule type="cellIs" dxfId="208" priority="303" operator="equal">
      <formula>"Moderado"</formula>
    </cfRule>
    <cfRule type="cellIs" dxfId="207" priority="304" operator="equal">
      <formula>"Bajo"</formula>
    </cfRule>
  </conditionalFormatting>
  <conditionalFormatting sqref="M61">
    <cfRule type="cellIs" dxfId="206" priority="58" operator="equal">
      <formula>"Muy Alta"</formula>
    </cfRule>
    <cfRule type="cellIs" dxfId="205" priority="59" operator="equal">
      <formula>"Alta"</formula>
    </cfRule>
    <cfRule type="cellIs" dxfId="204" priority="60" operator="equal">
      <formula>"Media"</formula>
    </cfRule>
    <cfRule type="cellIs" dxfId="203" priority="61" operator="equal">
      <formula>"Baja"</formula>
    </cfRule>
    <cfRule type="cellIs" dxfId="202" priority="62" operator="equal">
      <formula>"Muy Baja"</formula>
    </cfRule>
  </conditionalFormatting>
  <conditionalFormatting sqref="S19">
    <cfRule type="cellIs" dxfId="201" priority="245" operator="equal">
      <formula>"Extremo"</formula>
    </cfRule>
    <cfRule type="cellIs" dxfId="200" priority="246" operator="equal">
      <formula>"Alto"</formula>
    </cfRule>
    <cfRule type="cellIs" dxfId="199" priority="247" operator="equal">
      <formula>"Moderado"</formula>
    </cfRule>
    <cfRule type="cellIs" dxfId="198" priority="248" operator="equal">
      <formula>"Bajo"</formula>
    </cfRule>
  </conditionalFormatting>
  <conditionalFormatting sqref="AD19:AD24">
    <cfRule type="cellIs" dxfId="197" priority="240" operator="equal">
      <formula>"Muy Alta"</formula>
    </cfRule>
    <cfRule type="cellIs" dxfId="196" priority="241" operator="equal">
      <formula>"Alta"</formula>
    </cfRule>
    <cfRule type="cellIs" dxfId="195" priority="242" operator="equal">
      <formula>"Media"</formula>
    </cfRule>
    <cfRule type="cellIs" dxfId="194" priority="243" operator="equal">
      <formula>"Baja"</formula>
    </cfRule>
    <cfRule type="cellIs" dxfId="193" priority="244" operator="equal">
      <formula>"Muy Baja"</formula>
    </cfRule>
  </conditionalFormatting>
  <conditionalFormatting sqref="AF19:AF24">
    <cfRule type="cellIs" dxfId="192" priority="235" operator="equal">
      <formula>"Catastrófico"</formula>
    </cfRule>
    <cfRule type="cellIs" dxfId="191" priority="236" operator="equal">
      <formula>"Mayor"</formula>
    </cfRule>
    <cfRule type="cellIs" dxfId="190" priority="237" operator="equal">
      <formula>"Moderado"</formula>
    </cfRule>
    <cfRule type="cellIs" dxfId="189" priority="238" operator="equal">
      <formula>"Menor"</formula>
    </cfRule>
    <cfRule type="cellIs" dxfId="188" priority="239" operator="equal">
      <formula>"Leve"</formula>
    </cfRule>
  </conditionalFormatting>
  <conditionalFormatting sqref="AH19:AH24">
    <cfRule type="cellIs" dxfId="187" priority="231" operator="equal">
      <formula>"Extremo"</formula>
    </cfRule>
    <cfRule type="cellIs" dxfId="186" priority="232" operator="equal">
      <formula>"Alto"</formula>
    </cfRule>
    <cfRule type="cellIs" dxfId="185" priority="233" operator="equal">
      <formula>"Moderado"</formula>
    </cfRule>
    <cfRule type="cellIs" dxfId="184" priority="234" operator="equal">
      <formula>"Bajo"</formula>
    </cfRule>
  </conditionalFormatting>
  <conditionalFormatting sqref="M25">
    <cfRule type="cellIs" dxfId="183" priority="226" operator="equal">
      <formula>"Muy Alta"</formula>
    </cfRule>
    <cfRule type="cellIs" dxfId="182" priority="227" operator="equal">
      <formula>"Alta"</formula>
    </cfRule>
    <cfRule type="cellIs" dxfId="181" priority="228" operator="equal">
      <formula>"Media"</formula>
    </cfRule>
    <cfRule type="cellIs" dxfId="180" priority="229" operator="equal">
      <formula>"Baja"</formula>
    </cfRule>
    <cfRule type="cellIs" dxfId="179" priority="230" operator="equal">
      <formula>"Muy Baja"</formula>
    </cfRule>
  </conditionalFormatting>
  <conditionalFormatting sqref="S25">
    <cfRule type="cellIs" dxfId="178" priority="217" operator="equal">
      <formula>"Extremo"</formula>
    </cfRule>
    <cfRule type="cellIs" dxfId="177" priority="218" operator="equal">
      <formula>"Alto"</formula>
    </cfRule>
    <cfRule type="cellIs" dxfId="176" priority="219" operator="equal">
      <formula>"Moderado"</formula>
    </cfRule>
    <cfRule type="cellIs" dxfId="175" priority="220" operator="equal">
      <formula>"Bajo"</formula>
    </cfRule>
  </conditionalFormatting>
  <conditionalFormatting sqref="AD25:AD30">
    <cfRule type="cellIs" dxfId="174" priority="212" operator="equal">
      <formula>"Muy Alta"</formula>
    </cfRule>
    <cfRule type="cellIs" dxfId="173" priority="213" operator="equal">
      <formula>"Alta"</formula>
    </cfRule>
    <cfRule type="cellIs" dxfId="172" priority="214" operator="equal">
      <formula>"Media"</formula>
    </cfRule>
    <cfRule type="cellIs" dxfId="171" priority="215" operator="equal">
      <formula>"Baja"</formula>
    </cfRule>
    <cfRule type="cellIs" dxfId="170" priority="216" operator="equal">
      <formula>"Muy Baja"</formula>
    </cfRule>
  </conditionalFormatting>
  <conditionalFormatting sqref="AF25:AF30">
    <cfRule type="cellIs" dxfId="169" priority="207" operator="equal">
      <formula>"Catastrófico"</formula>
    </cfRule>
    <cfRule type="cellIs" dxfId="168" priority="208" operator="equal">
      <formula>"Mayor"</formula>
    </cfRule>
    <cfRule type="cellIs" dxfId="167" priority="209" operator="equal">
      <formula>"Moderado"</formula>
    </cfRule>
    <cfRule type="cellIs" dxfId="166" priority="210" operator="equal">
      <formula>"Menor"</formula>
    </cfRule>
    <cfRule type="cellIs" dxfId="165" priority="211" operator="equal">
      <formula>"Leve"</formula>
    </cfRule>
  </conditionalFormatting>
  <conditionalFormatting sqref="AH25:AH30">
    <cfRule type="cellIs" dxfId="164" priority="203" operator="equal">
      <formula>"Extremo"</formula>
    </cfRule>
    <cfRule type="cellIs" dxfId="163" priority="204" operator="equal">
      <formula>"Alto"</formula>
    </cfRule>
    <cfRule type="cellIs" dxfId="162" priority="205" operator="equal">
      <formula>"Moderado"</formula>
    </cfRule>
    <cfRule type="cellIs" dxfId="161" priority="206" operator="equal">
      <formula>"Bajo"</formula>
    </cfRule>
  </conditionalFormatting>
  <conditionalFormatting sqref="M31">
    <cfRule type="cellIs" dxfId="160" priority="198" operator="equal">
      <formula>"Muy Alta"</formula>
    </cfRule>
    <cfRule type="cellIs" dxfId="159" priority="199" operator="equal">
      <formula>"Alta"</formula>
    </cfRule>
    <cfRule type="cellIs" dxfId="158" priority="200" operator="equal">
      <formula>"Media"</formula>
    </cfRule>
    <cfRule type="cellIs" dxfId="157" priority="201" operator="equal">
      <formula>"Baja"</formula>
    </cfRule>
    <cfRule type="cellIs" dxfId="156" priority="202" operator="equal">
      <formula>"Muy Baja"</formula>
    </cfRule>
  </conditionalFormatting>
  <conditionalFormatting sqref="S31">
    <cfRule type="cellIs" dxfId="155" priority="189" operator="equal">
      <formula>"Extremo"</formula>
    </cfRule>
    <cfRule type="cellIs" dxfId="154" priority="190" operator="equal">
      <formula>"Alto"</formula>
    </cfRule>
    <cfRule type="cellIs" dxfId="153" priority="191" operator="equal">
      <formula>"Moderado"</formula>
    </cfRule>
    <cfRule type="cellIs" dxfId="152" priority="192" operator="equal">
      <formula>"Bajo"</formula>
    </cfRule>
  </conditionalFormatting>
  <conditionalFormatting sqref="AD31:AD36">
    <cfRule type="cellIs" dxfId="151" priority="184" operator="equal">
      <formula>"Muy Alta"</formula>
    </cfRule>
    <cfRule type="cellIs" dxfId="150" priority="185" operator="equal">
      <formula>"Alta"</formula>
    </cfRule>
    <cfRule type="cellIs" dxfId="149" priority="186" operator="equal">
      <formula>"Media"</formula>
    </cfRule>
    <cfRule type="cellIs" dxfId="148" priority="187" operator="equal">
      <formula>"Baja"</formula>
    </cfRule>
    <cfRule type="cellIs" dxfId="147" priority="188" operator="equal">
      <formula>"Muy Baja"</formula>
    </cfRule>
  </conditionalFormatting>
  <conditionalFormatting sqref="AF31:AF36">
    <cfRule type="cellIs" dxfId="146" priority="179" operator="equal">
      <formula>"Catastrófico"</formula>
    </cfRule>
    <cfRule type="cellIs" dxfId="145" priority="180" operator="equal">
      <formula>"Mayor"</formula>
    </cfRule>
    <cfRule type="cellIs" dxfId="144" priority="181" operator="equal">
      <formula>"Moderado"</formula>
    </cfRule>
    <cfRule type="cellIs" dxfId="143" priority="182" operator="equal">
      <formula>"Menor"</formula>
    </cfRule>
    <cfRule type="cellIs" dxfId="142" priority="183" operator="equal">
      <formula>"Leve"</formula>
    </cfRule>
  </conditionalFormatting>
  <conditionalFormatting sqref="AH31:AH36">
    <cfRule type="cellIs" dxfId="141" priority="175" operator="equal">
      <formula>"Extremo"</formula>
    </cfRule>
    <cfRule type="cellIs" dxfId="140" priority="176" operator="equal">
      <formula>"Alto"</formula>
    </cfRule>
    <cfRule type="cellIs" dxfId="139" priority="177" operator="equal">
      <formula>"Moderado"</formula>
    </cfRule>
    <cfRule type="cellIs" dxfId="138" priority="178" operator="equal">
      <formula>"Bajo"</formula>
    </cfRule>
  </conditionalFormatting>
  <conditionalFormatting sqref="M37">
    <cfRule type="cellIs" dxfId="137" priority="170" operator="equal">
      <formula>"Muy Alta"</formula>
    </cfRule>
    <cfRule type="cellIs" dxfId="136" priority="171" operator="equal">
      <formula>"Alta"</formula>
    </cfRule>
    <cfRule type="cellIs" dxfId="135" priority="172" operator="equal">
      <formula>"Media"</formula>
    </cfRule>
    <cfRule type="cellIs" dxfId="134" priority="173" operator="equal">
      <formula>"Baja"</formula>
    </cfRule>
    <cfRule type="cellIs" dxfId="133" priority="174" operator="equal">
      <formula>"Muy Baja"</formula>
    </cfRule>
  </conditionalFormatting>
  <conditionalFormatting sqref="S37">
    <cfRule type="cellIs" dxfId="132" priority="161" operator="equal">
      <formula>"Extremo"</formula>
    </cfRule>
    <cfRule type="cellIs" dxfId="131" priority="162" operator="equal">
      <formula>"Alto"</formula>
    </cfRule>
    <cfRule type="cellIs" dxfId="130" priority="163" operator="equal">
      <formula>"Moderado"</formula>
    </cfRule>
    <cfRule type="cellIs" dxfId="129" priority="164" operator="equal">
      <formula>"Bajo"</formula>
    </cfRule>
  </conditionalFormatting>
  <conditionalFormatting sqref="AD37:AD42">
    <cfRule type="cellIs" dxfId="128" priority="156" operator="equal">
      <formula>"Muy Alta"</formula>
    </cfRule>
    <cfRule type="cellIs" dxfId="127" priority="157" operator="equal">
      <formula>"Alta"</formula>
    </cfRule>
    <cfRule type="cellIs" dxfId="126" priority="158" operator="equal">
      <formula>"Media"</formula>
    </cfRule>
    <cfRule type="cellIs" dxfId="125" priority="159" operator="equal">
      <formula>"Baja"</formula>
    </cfRule>
    <cfRule type="cellIs" dxfId="124" priority="160" operator="equal">
      <formula>"Muy Baja"</formula>
    </cfRule>
  </conditionalFormatting>
  <conditionalFormatting sqref="AF37:AF42">
    <cfRule type="cellIs" dxfId="123" priority="151" operator="equal">
      <formula>"Catastrófico"</formula>
    </cfRule>
    <cfRule type="cellIs" dxfId="122" priority="152" operator="equal">
      <formula>"Mayor"</formula>
    </cfRule>
    <cfRule type="cellIs" dxfId="121" priority="153" operator="equal">
      <formula>"Moderado"</formula>
    </cfRule>
    <cfRule type="cellIs" dxfId="120" priority="154" operator="equal">
      <formula>"Menor"</formula>
    </cfRule>
    <cfRule type="cellIs" dxfId="119" priority="155" operator="equal">
      <formula>"Leve"</formula>
    </cfRule>
  </conditionalFormatting>
  <conditionalFormatting sqref="AH37:AH42">
    <cfRule type="cellIs" dxfId="118" priority="147" operator="equal">
      <formula>"Extremo"</formula>
    </cfRule>
    <cfRule type="cellIs" dxfId="117" priority="148" operator="equal">
      <formula>"Alto"</formula>
    </cfRule>
    <cfRule type="cellIs" dxfId="116" priority="149" operator="equal">
      <formula>"Moderado"</formula>
    </cfRule>
    <cfRule type="cellIs" dxfId="115" priority="150" operator="equal">
      <formula>"Bajo"</formula>
    </cfRule>
  </conditionalFormatting>
  <conditionalFormatting sqref="M43">
    <cfRule type="cellIs" dxfId="114" priority="142" operator="equal">
      <formula>"Muy Alta"</formula>
    </cfRule>
    <cfRule type="cellIs" dxfId="113" priority="143" operator="equal">
      <formula>"Alta"</formula>
    </cfRule>
    <cfRule type="cellIs" dxfId="112" priority="144" operator="equal">
      <formula>"Media"</formula>
    </cfRule>
    <cfRule type="cellIs" dxfId="111" priority="145" operator="equal">
      <formula>"Baja"</formula>
    </cfRule>
    <cfRule type="cellIs" dxfId="110" priority="146" operator="equal">
      <formula>"Muy Baja"</formula>
    </cfRule>
  </conditionalFormatting>
  <conditionalFormatting sqref="S43">
    <cfRule type="cellIs" dxfId="109" priority="133" operator="equal">
      <formula>"Extremo"</formula>
    </cfRule>
    <cfRule type="cellIs" dxfId="108" priority="134" operator="equal">
      <formula>"Alto"</formula>
    </cfRule>
    <cfRule type="cellIs" dxfId="107" priority="135" operator="equal">
      <formula>"Moderado"</formula>
    </cfRule>
    <cfRule type="cellIs" dxfId="106" priority="136" operator="equal">
      <formula>"Bajo"</formula>
    </cfRule>
  </conditionalFormatting>
  <conditionalFormatting sqref="AD43:AD48">
    <cfRule type="cellIs" dxfId="105" priority="128" operator="equal">
      <formula>"Muy Alta"</formula>
    </cfRule>
    <cfRule type="cellIs" dxfId="104" priority="129" operator="equal">
      <formula>"Alta"</formula>
    </cfRule>
    <cfRule type="cellIs" dxfId="103" priority="130" operator="equal">
      <formula>"Media"</formula>
    </cfRule>
    <cfRule type="cellIs" dxfId="102" priority="131" operator="equal">
      <formula>"Baja"</formula>
    </cfRule>
    <cfRule type="cellIs" dxfId="101" priority="132" operator="equal">
      <formula>"Muy Baja"</formula>
    </cfRule>
  </conditionalFormatting>
  <conditionalFormatting sqref="AF43:AF48">
    <cfRule type="cellIs" dxfId="100" priority="123" operator="equal">
      <formula>"Catastrófico"</formula>
    </cfRule>
    <cfRule type="cellIs" dxfId="99" priority="124" operator="equal">
      <formula>"Mayor"</formula>
    </cfRule>
    <cfRule type="cellIs" dxfId="98" priority="125" operator="equal">
      <formula>"Moderado"</formula>
    </cfRule>
    <cfRule type="cellIs" dxfId="97" priority="126" operator="equal">
      <formula>"Menor"</formula>
    </cfRule>
    <cfRule type="cellIs" dxfId="96" priority="127" operator="equal">
      <formula>"Leve"</formula>
    </cfRule>
  </conditionalFormatting>
  <conditionalFormatting sqref="AH43:AH48">
    <cfRule type="cellIs" dxfId="95" priority="119" operator="equal">
      <formula>"Extremo"</formula>
    </cfRule>
    <cfRule type="cellIs" dxfId="94" priority="120" operator="equal">
      <formula>"Alto"</formula>
    </cfRule>
    <cfRule type="cellIs" dxfId="93" priority="121" operator="equal">
      <formula>"Moderado"</formula>
    </cfRule>
    <cfRule type="cellIs" dxfId="92" priority="122" operator="equal">
      <formula>"Bajo"</formula>
    </cfRule>
  </conditionalFormatting>
  <conditionalFormatting sqref="M49">
    <cfRule type="cellIs" dxfId="91" priority="114" operator="equal">
      <formula>"Muy Alta"</formula>
    </cfRule>
    <cfRule type="cellIs" dxfId="90" priority="115" operator="equal">
      <formula>"Alta"</formula>
    </cfRule>
    <cfRule type="cellIs" dxfId="89" priority="116" operator="equal">
      <formula>"Media"</formula>
    </cfRule>
    <cfRule type="cellIs" dxfId="88" priority="117" operator="equal">
      <formula>"Baja"</formula>
    </cfRule>
    <cfRule type="cellIs" dxfId="87" priority="118" operator="equal">
      <formula>"Muy Baja"</formula>
    </cfRule>
  </conditionalFormatting>
  <conditionalFormatting sqref="S49">
    <cfRule type="cellIs" dxfId="86" priority="105" operator="equal">
      <formula>"Extremo"</formula>
    </cfRule>
    <cfRule type="cellIs" dxfId="85" priority="106" operator="equal">
      <formula>"Alto"</formula>
    </cfRule>
    <cfRule type="cellIs" dxfId="84" priority="107" operator="equal">
      <formula>"Moderado"</formula>
    </cfRule>
    <cfRule type="cellIs" dxfId="83" priority="108" operator="equal">
      <formula>"Bajo"</formula>
    </cfRule>
  </conditionalFormatting>
  <conditionalFormatting sqref="AD49:AD54">
    <cfRule type="cellIs" dxfId="82" priority="100" operator="equal">
      <formula>"Muy Alta"</formula>
    </cfRule>
    <cfRule type="cellIs" dxfId="81" priority="101" operator="equal">
      <formula>"Alta"</formula>
    </cfRule>
    <cfRule type="cellIs" dxfId="80" priority="102" operator="equal">
      <formula>"Media"</formula>
    </cfRule>
    <cfRule type="cellIs" dxfId="79" priority="103" operator="equal">
      <formula>"Baja"</formula>
    </cfRule>
    <cfRule type="cellIs" dxfId="78" priority="104" operator="equal">
      <formula>"Muy Baja"</formula>
    </cfRule>
  </conditionalFormatting>
  <conditionalFormatting sqref="AF49:AF54">
    <cfRule type="cellIs" dxfId="77" priority="95" operator="equal">
      <formula>"Catastrófico"</formula>
    </cfRule>
    <cfRule type="cellIs" dxfId="76" priority="96" operator="equal">
      <formula>"Mayor"</formula>
    </cfRule>
    <cfRule type="cellIs" dxfId="75" priority="97" operator="equal">
      <formula>"Moderado"</formula>
    </cfRule>
    <cfRule type="cellIs" dxfId="74" priority="98" operator="equal">
      <formula>"Menor"</formula>
    </cfRule>
    <cfRule type="cellIs" dxfId="73" priority="99" operator="equal">
      <formula>"Leve"</formula>
    </cfRule>
  </conditionalFormatting>
  <conditionalFormatting sqref="AH49:AH54">
    <cfRule type="cellIs" dxfId="72" priority="91" operator="equal">
      <formula>"Extremo"</formula>
    </cfRule>
    <cfRule type="cellIs" dxfId="71" priority="92" operator="equal">
      <formula>"Alto"</formula>
    </cfRule>
    <cfRule type="cellIs" dxfId="70" priority="93" operator="equal">
      <formula>"Moderado"</formula>
    </cfRule>
    <cfRule type="cellIs" dxfId="69" priority="94" operator="equal">
      <formula>"Bajo"</formula>
    </cfRule>
  </conditionalFormatting>
  <conditionalFormatting sqref="S55">
    <cfRule type="cellIs" dxfId="68" priority="77" operator="equal">
      <formula>"Extremo"</formula>
    </cfRule>
    <cfRule type="cellIs" dxfId="67" priority="78" operator="equal">
      <formula>"Alto"</formula>
    </cfRule>
    <cfRule type="cellIs" dxfId="66" priority="79" operator="equal">
      <formula>"Moderado"</formula>
    </cfRule>
    <cfRule type="cellIs" dxfId="65" priority="80" operator="equal">
      <formula>"Bajo"</formula>
    </cfRule>
  </conditionalFormatting>
  <conditionalFormatting sqref="AD55:AD60">
    <cfRule type="cellIs" dxfId="64" priority="72" operator="equal">
      <formula>"Muy Alta"</formula>
    </cfRule>
    <cfRule type="cellIs" dxfId="63" priority="73" operator="equal">
      <formula>"Alta"</formula>
    </cfRule>
    <cfRule type="cellIs" dxfId="62" priority="74" operator="equal">
      <formula>"Media"</formula>
    </cfRule>
    <cfRule type="cellIs" dxfId="61" priority="75" operator="equal">
      <formula>"Baja"</formula>
    </cfRule>
    <cfRule type="cellIs" dxfId="60" priority="76" operator="equal">
      <formula>"Muy Baja"</formula>
    </cfRule>
  </conditionalFormatting>
  <conditionalFormatting sqref="AF55:AF60">
    <cfRule type="cellIs" dxfId="59" priority="67" operator="equal">
      <formula>"Catastrófico"</formula>
    </cfRule>
    <cfRule type="cellIs" dxfId="58" priority="68" operator="equal">
      <formula>"Mayor"</formula>
    </cfRule>
    <cfRule type="cellIs" dxfId="57" priority="69" operator="equal">
      <formula>"Moderado"</formula>
    </cfRule>
    <cfRule type="cellIs" dxfId="56" priority="70" operator="equal">
      <formula>"Menor"</formula>
    </cfRule>
    <cfRule type="cellIs" dxfId="55" priority="71" operator="equal">
      <formula>"Leve"</formula>
    </cfRule>
  </conditionalFormatting>
  <conditionalFormatting sqref="AH55:AH60">
    <cfRule type="cellIs" dxfId="54" priority="63" operator="equal">
      <formula>"Extremo"</formula>
    </cfRule>
    <cfRule type="cellIs" dxfId="53" priority="64" operator="equal">
      <formula>"Alto"</formula>
    </cfRule>
    <cfRule type="cellIs" dxfId="52" priority="65" operator="equal">
      <formula>"Moderado"</formula>
    </cfRule>
    <cfRule type="cellIs" dxfId="51" priority="66" operator="equal">
      <formula>"Bajo"</formula>
    </cfRule>
  </conditionalFormatting>
  <conditionalFormatting sqref="S61">
    <cfRule type="cellIs" dxfId="50" priority="49" operator="equal">
      <formula>"Extremo"</formula>
    </cfRule>
    <cfRule type="cellIs" dxfId="49" priority="50" operator="equal">
      <formula>"Alto"</formula>
    </cfRule>
    <cfRule type="cellIs" dxfId="48" priority="51" operator="equal">
      <formula>"Moderado"</formula>
    </cfRule>
    <cfRule type="cellIs" dxfId="47" priority="52" operator="equal">
      <formula>"Bajo"</formula>
    </cfRule>
  </conditionalFormatting>
  <conditionalFormatting sqref="AD61:AD66">
    <cfRule type="cellIs" dxfId="46" priority="44" operator="equal">
      <formula>"Muy Alta"</formula>
    </cfRule>
    <cfRule type="cellIs" dxfId="45" priority="45" operator="equal">
      <formula>"Alta"</formula>
    </cfRule>
    <cfRule type="cellIs" dxfId="44" priority="46" operator="equal">
      <formula>"Media"</formula>
    </cfRule>
    <cfRule type="cellIs" dxfId="43" priority="47" operator="equal">
      <formula>"Baja"</formula>
    </cfRule>
    <cfRule type="cellIs" dxfId="42" priority="48" operator="equal">
      <formula>"Muy Baja"</formula>
    </cfRule>
  </conditionalFormatting>
  <conditionalFormatting sqref="AF61:AF66">
    <cfRule type="cellIs" dxfId="41" priority="39" operator="equal">
      <formula>"Catastrófico"</formula>
    </cfRule>
    <cfRule type="cellIs" dxfId="40" priority="40" operator="equal">
      <formula>"Mayor"</formula>
    </cfRule>
    <cfRule type="cellIs" dxfId="39" priority="41" operator="equal">
      <formula>"Moderado"</formula>
    </cfRule>
    <cfRule type="cellIs" dxfId="38" priority="42" operator="equal">
      <formula>"Menor"</formula>
    </cfRule>
    <cfRule type="cellIs" dxfId="37" priority="43" operator="equal">
      <formula>"Leve"</formula>
    </cfRule>
  </conditionalFormatting>
  <conditionalFormatting sqref="AH61:AH66">
    <cfRule type="cellIs" dxfId="36" priority="35" operator="equal">
      <formula>"Extremo"</formula>
    </cfRule>
    <cfRule type="cellIs" dxfId="35" priority="36" operator="equal">
      <formula>"Alto"</formula>
    </cfRule>
    <cfRule type="cellIs" dxfId="34" priority="37" operator="equal">
      <formula>"Moderado"</formula>
    </cfRule>
    <cfRule type="cellIs" dxfId="33" priority="38" operator="equal">
      <formula>"Bajo"</formula>
    </cfRule>
  </conditionalFormatting>
  <conditionalFormatting sqref="M67">
    <cfRule type="cellIs" dxfId="32" priority="30" operator="equal">
      <formula>"Muy Alta"</formula>
    </cfRule>
    <cfRule type="cellIs" dxfId="31" priority="31" operator="equal">
      <formula>"Alta"</formula>
    </cfRule>
    <cfRule type="cellIs" dxfId="30" priority="32" operator="equal">
      <formula>"Media"</formula>
    </cfRule>
    <cfRule type="cellIs" dxfId="29" priority="33" operator="equal">
      <formula>"Baja"</formula>
    </cfRule>
    <cfRule type="cellIs" dxfId="28" priority="34" operator="equal">
      <formula>"Muy Baja"</formula>
    </cfRule>
  </conditionalFormatting>
  <conditionalFormatting sqref="S67">
    <cfRule type="cellIs" dxfId="27" priority="21" operator="equal">
      <formula>"Extremo"</formula>
    </cfRule>
    <cfRule type="cellIs" dxfId="26" priority="22" operator="equal">
      <formula>"Alto"</formula>
    </cfRule>
    <cfRule type="cellIs" dxfId="25" priority="23" operator="equal">
      <formula>"Moderado"</formula>
    </cfRule>
    <cfRule type="cellIs" dxfId="24" priority="24" operator="equal">
      <formula>"Bajo"</formula>
    </cfRule>
  </conditionalFormatting>
  <conditionalFormatting sqref="AD67:AD72">
    <cfRule type="cellIs" dxfId="23" priority="16" operator="equal">
      <formula>"Muy Alta"</formula>
    </cfRule>
    <cfRule type="cellIs" dxfId="22" priority="17" operator="equal">
      <formula>"Alta"</formula>
    </cfRule>
    <cfRule type="cellIs" dxfId="21" priority="18" operator="equal">
      <formula>"Media"</formula>
    </cfRule>
    <cfRule type="cellIs" dxfId="20" priority="19" operator="equal">
      <formula>"Baja"</formula>
    </cfRule>
    <cfRule type="cellIs" dxfId="19" priority="20" operator="equal">
      <formula>"Muy Baja"</formula>
    </cfRule>
  </conditionalFormatting>
  <conditionalFormatting sqref="AF67:AF72">
    <cfRule type="cellIs" dxfId="18" priority="11" operator="equal">
      <formula>"Catastrófico"</formula>
    </cfRule>
    <cfRule type="cellIs" dxfId="17" priority="12" operator="equal">
      <formula>"Mayor"</formula>
    </cfRule>
    <cfRule type="cellIs" dxfId="16" priority="13" operator="equal">
      <formula>"Moderado"</formula>
    </cfRule>
    <cfRule type="cellIs" dxfId="15" priority="14" operator="equal">
      <formula>"Menor"</formula>
    </cfRule>
    <cfRule type="cellIs" dxfId="14" priority="15" operator="equal">
      <formula>"Leve"</formula>
    </cfRule>
  </conditionalFormatting>
  <conditionalFormatting sqref="AH67:AH72">
    <cfRule type="cellIs" dxfId="13" priority="7" operator="equal">
      <formula>"Extremo"</formula>
    </cfRule>
    <cfRule type="cellIs" dxfId="12" priority="8" operator="equal">
      <formula>"Alto"</formula>
    </cfRule>
    <cfRule type="cellIs" dxfId="11" priority="9" operator="equal">
      <formula>"Moderado"</formula>
    </cfRule>
    <cfRule type="cellIs" dxfId="10" priority="10" operator="equal">
      <formula>"Bajo"</formula>
    </cfRule>
  </conditionalFormatting>
  <conditionalFormatting sqref="P13:P72">
    <cfRule type="containsText" dxfId="9" priority="6" operator="containsText" text="❌">
      <formula>NOT(ISERROR(SEARCH("❌",P13)))</formula>
    </cfRule>
  </conditionalFormatting>
  <conditionalFormatting sqref="M55">
    <cfRule type="cellIs" dxfId="8" priority="1" operator="equal">
      <formula>"Muy Alta"</formula>
    </cfRule>
    <cfRule type="cellIs" dxfId="7" priority="2" operator="equal">
      <formula>"Alta"</formula>
    </cfRule>
    <cfRule type="cellIs" dxfId="6" priority="3" operator="equal">
      <formula>"Media"</formula>
    </cfRule>
    <cfRule type="cellIs" dxfId="5" priority="4" operator="equal">
      <formula>"Baja"</formula>
    </cfRule>
    <cfRule type="cellIs" dxfId="4" priority="5" operator="equal">
      <formula>"Muy Baja"</formula>
    </cfRule>
  </conditionalFormatting>
  <dataValidations count="1">
    <dataValidation type="list" allowBlank="1" showInputMessage="1" showErrorMessage="1" sqref="J67 J55 J61" xr:uid="{00000000-0002-0000-0300-000000000000}">
      <formula1>$B$31:$B$38</formula1>
    </dataValidation>
  </dataValidations>
  <pageMargins left="0.70866141732283472" right="0.70866141732283472" top="0.74803149606299213" bottom="0.74803149606299213" header="0.31496062992125984" footer="0.31496062992125984"/>
  <pageSetup scale="40" orientation="landscape" r:id="rId1"/>
  <headerFooter>
    <oddFooter>&amp;LAvenida Calle 26 No. 57-83 Torre 8, Piso 8 CEMSA - C.P. 111321
PBX:(+57) 601-3779555 - Información: Línea 195
Sede Operativa - Atención al Ciudadano: Calle 22D No. 120-40
www.umv.gov.co&amp;CDESI-FM-018
Página &amp;P de &amp;N</oddFooter>
  </headerFooter>
  <rowBreaks count="2" manualBreakCount="2">
    <brk id="24" max="40" man="1"/>
    <brk id="30" max="37" man="1"/>
  </rowBreaks>
  <colBreaks count="1" manualBreakCount="1">
    <brk id="19" max="73" man="1"/>
  </colBreaks>
  <ignoredErrors>
    <ignoredError sqref="AG15" formula="1"/>
  </ignoredErrors>
  <drawing r:id="rId2"/>
  <legacyDrawing r:id="rId3"/>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300-000001000000}">
          <x14:formula1>
            <xm:f>'Tabla Valoración controles'!$D$4:$D$6</xm:f>
          </x14:formula1>
          <xm:sqref>W21:W72</xm:sqref>
        </x14:dataValidation>
        <x14:dataValidation type="list" allowBlank="1" showInputMessage="1" showErrorMessage="1" xr:uid="{00000000-0002-0000-0300-000002000000}">
          <x14:formula1>
            <xm:f>'Tabla Valoración controles'!$D$7:$D$8</xm:f>
          </x14:formula1>
          <xm:sqref>X21:X72</xm:sqref>
        </x14:dataValidation>
        <x14:dataValidation type="list" allowBlank="1" showInputMessage="1" showErrorMessage="1" xr:uid="{00000000-0002-0000-0300-000003000000}">
          <x14:formula1>
            <xm:f>'Tabla Valoración controles'!$D$9:$D$10</xm:f>
          </x14:formula1>
          <xm:sqref>Z21:Z72</xm:sqref>
        </x14:dataValidation>
        <x14:dataValidation type="list" allowBlank="1" showInputMessage="1" showErrorMessage="1" xr:uid="{00000000-0002-0000-0300-000004000000}">
          <x14:formula1>
            <xm:f>'Tabla Valoración controles'!$D$11:$D$12</xm:f>
          </x14:formula1>
          <xm:sqref>AA21:AA72</xm:sqref>
        </x14:dataValidation>
        <x14:dataValidation type="list" allowBlank="1" showInputMessage="1" showErrorMessage="1" xr:uid="{00000000-0002-0000-0300-000005000000}">
          <x14:formula1>
            <xm:f>'Tabla Valoración controles'!$D$13:$D$14</xm:f>
          </x14:formula1>
          <xm:sqref>AB21:AB72</xm:sqref>
        </x14:dataValidation>
        <x14:dataValidation type="list" allowBlank="1" showInputMessage="1" showErrorMessage="1" xr:uid="{00000000-0002-0000-0300-000006000000}">
          <x14:formula1>
            <xm:f>'Opciones Tratamiento'!$E$2:$E$4</xm:f>
          </x14:formula1>
          <xm:sqref>B13:B72</xm:sqref>
        </x14:dataValidation>
        <x14:dataValidation type="list" allowBlank="1" showInputMessage="1" showErrorMessage="1" xr:uid="{00000000-0002-0000-0300-000007000000}">
          <x14:formula1>
            <xm:f>'Opciones Tratamiento'!$B$2:$B$5</xm:f>
          </x14:formula1>
          <xm:sqref>AI13:AI72</xm:sqref>
        </x14:dataValidation>
        <x14:dataValidation type="list" allowBlank="1" showInputMessage="1" showErrorMessage="1" xr:uid="{00000000-0002-0000-0300-000008000000}">
          <x14:formula1>
            <xm:f>'Tabla Impacto'!$F$211:$F$222</xm:f>
          </x14:formula1>
          <xm:sqref>O13:O72</xm:sqref>
        </x14:dataValidation>
        <x14:dataValidation type="custom" allowBlank="1" showInputMessage="1" showErrorMessage="1" error="Recuerde que las acciones se generan bajo la medida de mitigar el riesgo" xr:uid="{00000000-0002-0000-0300-000009000000}">
          <x14:formula1>
            <xm:f>IF(OR(AI25='Opciones Tratamiento'!$B$2,AI25='Opciones Tratamiento'!$B$3,AI25='Opciones Tratamiento'!$B$4),ISBLANK(AI25),ISTEXT(AI25))</xm:f>
          </x14:formula1>
          <xm:sqref>AJ25:AJ72</xm:sqref>
        </x14:dataValidation>
        <x14:dataValidation type="custom" allowBlank="1" showInputMessage="1" showErrorMessage="1" error="Recuerde que las acciones se generan bajo la medida de mitigar el riesgo" xr:uid="{00000000-0002-0000-0300-00000A000000}">
          <x14:formula1>
            <xm:f>IF(OR(AI14='Opciones Tratamiento'!$B$2,AI14='Opciones Tratamiento'!$B$3,AI14='Opciones Tratamiento'!$B$4),ISBLANK(AI14),ISTEXT(AI14))</xm:f>
          </x14:formula1>
          <xm:sqref>AK14:AL18 AK20:AL72</xm:sqref>
        </x14:dataValidation>
        <x14:dataValidation type="custom" allowBlank="1" showInputMessage="1" showErrorMessage="1" error="Recuerde que las acciones se generan bajo la medida de mitigar el riesgo" xr:uid="{00000000-0002-0000-0300-00000B000000}">
          <x14:formula1>
            <xm:f>IF(OR(AI14='Opciones Tratamiento'!$B$2,AI14='Opciones Tratamiento'!$B$3,AI14='Opciones Tratamiento'!$B$4),ISBLANK(AI14),ISTEXT(AI14))</xm:f>
          </x14:formula1>
          <xm:sqref>AM14:AM18 AM20:AM72</xm:sqref>
        </x14:dataValidation>
        <x14:dataValidation type="list" allowBlank="1" showInputMessage="1" showErrorMessage="1" xr:uid="{00000000-0002-0000-0300-00000C000000}">
          <x14:formula1>
            <xm:f>'Opciones Tratamiento'!$B$13:$B$23</xm:f>
          </x14:formula1>
          <xm:sqref>G13:G72</xm:sqref>
        </x14:dataValidation>
        <x14:dataValidation type="list" allowBlank="1" showInputMessage="1" showErrorMessage="1" xr:uid="{00000000-0002-0000-0300-00000D000000}">
          <x14:formula1>
            <xm:f>'Opciones Tratamiento'!$B$28:$B$35</xm:f>
          </x14:formula1>
          <xm:sqref>J13 J31 J19 J25 J37 J49 J43</xm:sqref>
        </x14:dataValidation>
        <x14:dataValidation type="list" allowBlank="1" showInputMessage="1" showErrorMessage="1" xr:uid="{00000000-0002-0000-0300-00000E000000}">
          <x14:formula1>
            <xm:f>'Tipo de riesgos'!$AX$3:$AX$5</xm:f>
          </x14:formula1>
          <xm:sqref>F13:F72</xm:sqref>
        </x14:dataValidation>
        <x14:dataValidation type="custom" allowBlank="1" showInputMessage="1" showErrorMessage="1" error="Recuerde que las acciones se generan bajo la medida de mitigar el riesgo" xr:uid="{00000000-0002-0000-0300-00000F000000}">
          <x14:formula1>
            <xm:f>IF(OR(#REF!='Opciones Tratamiento'!$B$2,#REF!='Opciones Tratamiento'!$B$3,#REF!='Opciones Tratamiento'!$B$4),ISBLANK(#REF!),ISTEXT(#REF!))</xm:f>
          </x14:formula1>
          <xm:sqref>AN25:AP25 AN67:AP67 AN61:AP61 AN55:AP55 AN49:AP49 AN43:AP43 AN37:AP37 AN31:AP31</xm:sqref>
        </x14:dataValidation>
        <x14:dataValidation type="list" allowBlank="1" showInputMessage="1" showErrorMessage="1" xr:uid="{00000000-0002-0000-0300-000010000000}">
          <x14:formula1>
            <xm:f>Intructivo!$C$300:$C$316</xm:f>
          </x14:formula1>
          <xm:sqref>C6:S6</xm:sqref>
        </x14:dataValidation>
        <x14:dataValidation type="list" allowBlank="1" showInputMessage="1" showErrorMessage="1" xr:uid="{00000000-0002-0000-0300-000011000000}">
          <x14:formula1>
            <xm:f>Amenazas!$C$2:$C$10</xm:f>
          </x14:formula1>
          <xm:sqref>H13:H72</xm:sqref>
        </x14:dataValidation>
        <x14:dataValidation type="list" allowBlank="1" showInputMessage="1" showErrorMessage="1" xr:uid="{00000000-0002-0000-0300-000012000000}">
          <x14:formula1>
            <xm:f>'D:\OneDrive - uaermv\NATA SIG\2021\12. Diciembre\MR 2022\Observaciones\[9.13 GAM MR-2022-OBS OAP.xlsx]Tabla Valoración controles'!#REF!</xm:f>
          </x14:formula1>
          <xm:sqref>W13:X20 Z13:AB20</xm:sqref>
        </x14:dataValidation>
        <x14:dataValidation type="custom" allowBlank="1" showInputMessage="1" showErrorMessage="1" error="Recuerde que las acciones se generan bajo la medida de mitigar el riesgo" xr:uid="{00000000-0002-0000-0300-000017000000}">
          <x14:formula1>
            <xm:f>IF(OR(AI13='D:\OneDrive - uaermv\NATA SIG\2021\12. Diciembre\MR 2022\Observaciones\[9.13 GAM MR-2022-OBS OAP.xlsx]Opciones Tratamiento'!#REF!,AI13='D:\OneDrive - uaermv\NATA SIG\2021\12. Diciembre\MR 2022\Observaciones\[9.13 GAM MR-2022-OBS OAP.xlsx]Opciones Tratamiento'!#REF!,AI13='D:\OneDrive - uaermv\NATA SIG\2021\12. Diciembre\MR 2022\Observaciones\[9.13 GAM MR-2022-OBS OAP.xlsx]Opciones Tratamiento'!#REF!),ISBLANK(AI13),ISTEXT(AI13))</xm:f>
          </x14:formula1>
          <xm:sqref>AM13 AM19</xm:sqref>
        </x14:dataValidation>
        <x14:dataValidation type="custom" allowBlank="1" showInputMessage="1" showErrorMessage="1" error="Recuerde que las acciones se generan bajo la medida de mitigar el riesgo" xr:uid="{00000000-0002-0000-0300-000018000000}">
          <x14:formula1>
            <xm:f>IF(OR(AI13='D:\OneDrive - uaermv\NATA SIG\2021\12. Diciembre\MR 2022\Observaciones\[9.13 GAM MR-2022-OBS OAP.xlsx]Opciones Tratamiento'!#REF!,AI13='D:\OneDrive - uaermv\NATA SIG\2021\12. Diciembre\MR 2022\Observaciones\[9.13 GAM MR-2022-OBS OAP.xlsx]Opciones Tratamiento'!#REF!,AI13='D:\OneDrive - uaermv\NATA SIG\2021\12. Diciembre\MR 2022\Observaciones\[9.13 GAM MR-2022-OBS OAP.xlsx]Opciones Tratamiento'!#REF!),ISBLANK(AI13),ISTEXT(AI13))</xm:f>
          </x14:formula1>
          <xm:sqref>AK13:AL13 AK19:AL19</xm:sqref>
        </x14:dataValidation>
        <x14:dataValidation type="custom" allowBlank="1" showInputMessage="1" showErrorMessage="1" error="Recuerde que las acciones se generan bajo la medida de mitigar el riesgo" xr:uid="{00000000-0002-0000-0300-000019000000}">
          <x14:formula1>
            <xm:f>IF(OR(AI13='D:\OneDrive - uaermv\NATA SIG\2021\12. Diciembre\MR 2022\Observaciones\[9.13 GAM MR-2022-OBS OAP.xlsx]Opciones Tratamiento'!#REF!,AI13='D:\OneDrive - uaermv\NATA SIG\2021\12. Diciembre\MR 2022\Observaciones\[9.13 GAM MR-2022-OBS OAP.xlsx]Opciones Tratamiento'!#REF!,AI13='D:\OneDrive - uaermv\NATA SIG\2021\12. Diciembre\MR 2022\Observaciones\[9.13 GAM MR-2022-OBS OAP.xlsx]Opciones Tratamiento'!#REF!),ISBLANK(AI13),ISTEXT(AI13))</xm:f>
          </x14:formula1>
          <xm:sqref>AJ13 AJ19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U140"/>
  <sheetViews>
    <sheetView zoomScale="40" zoomScaleNormal="40" workbookViewId="0">
      <selection activeCell="BB42" sqref="BB42"/>
    </sheetView>
  </sheetViews>
  <sheetFormatPr defaultColWidth="11.42578125" defaultRowHeight="15"/>
  <cols>
    <col min="2" max="39" width="5.7109375" customWidth="1"/>
    <col min="41" max="46" width="5.7109375" customWidth="1"/>
  </cols>
  <sheetData>
    <row r="1" spans="1:99">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c r="A2" s="66"/>
      <c r="B2" s="410" t="s">
        <v>215</v>
      </c>
      <c r="C2" s="410"/>
      <c r="D2" s="410"/>
      <c r="E2" s="410"/>
      <c r="F2" s="410"/>
      <c r="G2" s="410"/>
      <c r="H2" s="410"/>
      <c r="I2" s="410"/>
      <c r="J2" s="447" t="s">
        <v>15</v>
      </c>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447"/>
      <c r="AK2" s="447"/>
      <c r="AL2" s="447"/>
      <c r="AM2" s="447"/>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c r="A3" s="66"/>
      <c r="B3" s="410"/>
      <c r="C3" s="410"/>
      <c r="D3" s="410"/>
      <c r="E3" s="410"/>
      <c r="F3" s="410"/>
      <c r="G3" s="410"/>
      <c r="H3" s="410"/>
      <c r="I3" s="410"/>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447"/>
      <c r="AK3" s="447"/>
      <c r="AL3" s="447"/>
      <c r="AM3" s="447"/>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c r="A4" s="66"/>
      <c r="B4" s="410"/>
      <c r="C4" s="410"/>
      <c r="D4" s="410"/>
      <c r="E4" s="410"/>
      <c r="F4" s="410"/>
      <c r="G4" s="410"/>
      <c r="H4" s="410"/>
      <c r="I4" s="410"/>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447"/>
      <c r="AM4" s="447"/>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75" thickBot="1">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c r="A6" s="66"/>
      <c r="B6" s="458" t="s">
        <v>216</v>
      </c>
      <c r="C6" s="458"/>
      <c r="D6" s="459"/>
      <c r="E6" s="448" t="s">
        <v>217</v>
      </c>
      <c r="F6" s="449"/>
      <c r="G6" s="449"/>
      <c r="H6" s="449"/>
      <c r="I6" s="450"/>
      <c r="J6" s="444" t="str">
        <f>IF(AND('Mapa riesgos'!$M$13="Muy Alta",'Mapa riesgos'!$Q$13="Leve"),CONCATENATE("R",'Mapa riesgos'!$A$13),"")</f>
        <v/>
      </c>
      <c r="K6" s="445"/>
      <c r="L6" s="445" t="str">
        <f>IF(AND('Mapa riesgos'!$M$19="Muy Alta",'Mapa riesgos'!$Q$19="Leve"),CONCATENATE("R",'Mapa riesgos'!$A$19),"")</f>
        <v/>
      </c>
      <c r="M6" s="445"/>
      <c r="N6" s="445" t="str">
        <f>IF(AND('Mapa riesgos'!$M$25="Muy Alta",'Mapa riesgos'!$Q$25="Leve"),CONCATENATE("R",'Mapa riesgos'!$A$25),"")</f>
        <v/>
      </c>
      <c r="O6" s="446"/>
      <c r="P6" s="444" t="str">
        <f>IF(AND('Mapa riesgos'!$M$13="Muy Alta",'Mapa riesgos'!$Q$13="Menor"),CONCATENATE("R",'Mapa riesgos'!$A$13),"")</f>
        <v/>
      </c>
      <c r="Q6" s="445"/>
      <c r="R6" s="445" t="str">
        <f>IF(AND('Mapa riesgos'!$M$19="Muy Alta",'Mapa riesgos'!$Q$19="Menor"),CONCATENATE("R",'Mapa riesgos'!$A$19),"")</f>
        <v/>
      </c>
      <c r="S6" s="445"/>
      <c r="T6" s="445" t="str">
        <f>IF(AND('Mapa riesgos'!$M$25="Muy Alta",'Mapa riesgos'!$Q$25="Menor"),CONCATENATE("R",'Mapa riesgos'!$A$25),"")</f>
        <v/>
      </c>
      <c r="U6" s="446"/>
      <c r="V6" s="444" t="str">
        <f>IF(AND('Mapa riesgos'!$M$13="Muy Alta",'Mapa riesgos'!$Q$13="Moderado"),CONCATENATE("R",'Mapa riesgos'!$A$13),"")</f>
        <v/>
      </c>
      <c r="W6" s="445"/>
      <c r="X6" s="445" t="str">
        <f>IF(AND('Mapa riesgos'!$M$19="Muy Alta",'Mapa riesgos'!$Q$19="Moderado"),CONCATENATE("R",'Mapa riesgos'!$A$19),"")</f>
        <v/>
      </c>
      <c r="Y6" s="445"/>
      <c r="Z6" s="445" t="str">
        <f>IF(AND('Mapa riesgos'!$M$25="Muy Alta",'Mapa riesgos'!$Q$25="Moderado"),CONCATENATE("R",'Mapa riesgos'!$A$25),"")</f>
        <v/>
      </c>
      <c r="AA6" s="446"/>
      <c r="AB6" s="444" t="str">
        <f>IF(AND('Mapa riesgos'!$M$13="Muy Alta",'Mapa riesgos'!$Q$13="Mayor"),CONCATENATE("R",'Mapa riesgos'!$A$13),"")</f>
        <v/>
      </c>
      <c r="AC6" s="445"/>
      <c r="AD6" s="445" t="str">
        <f>IF(AND('Mapa riesgos'!$M$19="Muy Alta",'Mapa riesgos'!$Q$19="Mayor"),CONCATENATE("R",'Mapa riesgos'!$A$19),"")</f>
        <v/>
      </c>
      <c r="AE6" s="445"/>
      <c r="AF6" s="445" t="str">
        <f>IF(AND('Mapa riesgos'!$M$25="Muy Alta",'Mapa riesgos'!$Q$25="Mayor"),CONCATENATE("R",'Mapa riesgos'!$A$25),"")</f>
        <v/>
      </c>
      <c r="AG6" s="446"/>
      <c r="AH6" s="435" t="str">
        <f>IF(AND('Mapa riesgos'!$M$13="Muy Alta",'Mapa riesgos'!$Q$13="Catastrófico"),CONCATENATE("R",'Mapa riesgos'!$A$13),"")</f>
        <v/>
      </c>
      <c r="AI6" s="436"/>
      <c r="AJ6" s="436" t="str">
        <f>IF(AND('Mapa riesgos'!$M$19="Muy Alta",'Mapa riesgos'!$Q$19="Catastrófico"),CONCATENATE("R",'Mapa riesgos'!$A$19),"")</f>
        <v/>
      </c>
      <c r="AK6" s="436"/>
      <c r="AL6" s="436" t="str">
        <f>IF(AND('Mapa riesgos'!$M$25="Muy Alta",'Mapa riesgos'!$Q$25="Catastrófico"),CONCATENATE("R",'Mapa riesgos'!$A$25),"")</f>
        <v/>
      </c>
      <c r="AM6" s="437"/>
      <c r="AO6" s="460" t="s">
        <v>218</v>
      </c>
      <c r="AP6" s="461"/>
      <c r="AQ6" s="461"/>
      <c r="AR6" s="461"/>
      <c r="AS6" s="461"/>
      <c r="AT6" s="462"/>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c r="A7" s="66"/>
      <c r="B7" s="458"/>
      <c r="C7" s="458"/>
      <c r="D7" s="459"/>
      <c r="E7" s="451"/>
      <c r="F7" s="452"/>
      <c r="G7" s="452"/>
      <c r="H7" s="452"/>
      <c r="I7" s="453"/>
      <c r="J7" s="438"/>
      <c r="K7" s="439"/>
      <c r="L7" s="439"/>
      <c r="M7" s="439"/>
      <c r="N7" s="439"/>
      <c r="O7" s="440"/>
      <c r="P7" s="438"/>
      <c r="Q7" s="439"/>
      <c r="R7" s="439"/>
      <c r="S7" s="439"/>
      <c r="T7" s="439"/>
      <c r="U7" s="440"/>
      <c r="V7" s="438"/>
      <c r="W7" s="439"/>
      <c r="X7" s="439"/>
      <c r="Y7" s="439"/>
      <c r="Z7" s="439"/>
      <c r="AA7" s="440"/>
      <c r="AB7" s="438"/>
      <c r="AC7" s="439"/>
      <c r="AD7" s="439"/>
      <c r="AE7" s="439"/>
      <c r="AF7" s="439"/>
      <c r="AG7" s="440"/>
      <c r="AH7" s="429"/>
      <c r="AI7" s="430"/>
      <c r="AJ7" s="430"/>
      <c r="AK7" s="430"/>
      <c r="AL7" s="430"/>
      <c r="AM7" s="431"/>
      <c r="AN7" s="66"/>
      <c r="AO7" s="463"/>
      <c r="AP7" s="464"/>
      <c r="AQ7" s="464"/>
      <c r="AR7" s="464"/>
      <c r="AS7" s="464"/>
      <c r="AT7" s="465"/>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c r="A8" s="66"/>
      <c r="B8" s="458"/>
      <c r="C8" s="458"/>
      <c r="D8" s="459"/>
      <c r="E8" s="451"/>
      <c r="F8" s="452"/>
      <c r="G8" s="452"/>
      <c r="H8" s="452"/>
      <c r="I8" s="453"/>
      <c r="J8" s="438" t="str">
        <f>IF(AND('Mapa riesgos'!$M$31="Muy Alta",'Mapa riesgos'!$Q$31="Leve"),CONCATENATE("R",'Mapa riesgos'!$A$31),"")</f>
        <v/>
      </c>
      <c r="K8" s="439"/>
      <c r="L8" s="439" t="str">
        <f>IF(AND('Mapa riesgos'!$M$37="Muy Alta",'Mapa riesgos'!$Q$37="Leve"),CONCATENATE("R",'Mapa riesgos'!$A$37),"")</f>
        <v/>
      </c>
      <c r="M8" s="439"/>
      <c r="N8" s="439" t="str">
        <f>IF(AND('Mapa riesgos'!$M$43="Muy Alta",'Mapa riesgos'!$Q$43="Leve"),CONCATENATE("R",'Mapa riesgos'!$A$43),"")</f>
        <v/>
      </c>
      <c r="O8" s="440"/>
      <c r="P8" s="438" t="str">
        <f>IF(AND('Mapa riesgos'!$M$31="Muy Alta",'Mapa riesgos'!$Q$31="Menor"),CONCATENATE("R",'Mapa riesgos'!$A$31),"")</f>
        <v/>
      </c>
      <c r="Q8" s="439"/>
      <c r="R8" s="439" t="str">
        <f>IF(AND('Mapa riesgos'!$M$37="Muy Alta",'Mapa riesgos'!$Q$37="Menor"),CONCATENATE("R",'Mapa riesgos'!$A$37),"")</f>
        <v/>
      </c>
      <c r="S8" s="439"/>
      <c r="T8" s="439" t="str">
        <f>IF(AND('Mapa riesgos'!$M$43="Muy Alta",'Mapa riesgos'!$Q$43="Menor"),CONCATENATE("R",'Mapa riesgos'!$A$43),"")</f>
        <v/>
      </c>
      <c r="U8" s="440"/>
      <c r="V8" s="438" t="str">
        <f>IF(AND('Mapa riesgos'!$M$31="Muy Alta",'Mapa riesgos'!$Q$31="Moderado"),CONCATENATE("R",'Mapa riesgos'!$A$31),"")</f>
        <v/>
      </c>
      <c r="W8" s="439"/>
      <c r="X8" s="439" t="str">
        <f>IF(AND('Mapa riesgos'!$M$37="Muy Alta",'Mapa riesgos'!$Q$37="Moderado"),CONCATENATE("R",'Mapa riesgos'!$A$37),"")</f>
        <v/>
      </c>
      <c r="Y8" s="439"/>
      <c r="Z8" s="439" t="str">
        <f>IF(AND('Mapa riesgos'!$M$43="Muy Alta",'Mapa riesgos'!$Q$43="Moderado"),CONCATENATE("R",'Mapa riesgos'!$A$43),"")</f>
        <v/>
      </c>
      <c r="AA8" s="440"/>
      <c r="AB8" s="438" t="str">
        <f>IF(AND('Mapa riesgos'!$M$31="Muy Alta",'Mapa riesgos'!$Q$31="Mayor"),CONCATENATE("R",'Mapa riesgos'!$A$31),"")</f>
        <v/>
      </c>
      <c r="AC8" s="439"/>
      <c r="AD8" s="439" t="str">
        <f>IF(AND('Mapa riesgos'!$M$37="Muy Alta",'Mapa riesgos'!$Q$37="Mayor"),CONCATENATE("R",'Mapa riesgos'!$A$37),"")</f>
        <v/>
      </c>
      <c r="AE8" s="439"/>
      <c r="AF8" s="439" t="str">
        <f>IF(AND('Mapa riesgos'!$M$43="Muy Alta",'Mapa riesgos'!$Q$43="Mayor"),CONCATENATE("R",'Mapa riesgos'!$A$43),"")</f>
        <v/>
      </c>
      <c r="AG8" s="440"/>
      <c r="AH8" s="429" t="str">
        <f>IF(AND('Mapa riesgos'!$M$31="Muy Alta",'Mapa riesgos'!$Q$31="Catastrófico"),CONCATENATE("R",'Mapa riesgos'!$A$31),"")</f>
        <v/>
      </c>
      <c r="AI8" s="430"/>
      <c r="AJ8" s="430" t="str">
        <f>IF(AND('Mapa riesgos'!$M$37="Muy Alta",'Mapa riesgos'!$Q$37="Catastrófico"),CONCATENATE("R",'Mapa riesgos'!$A$37),"")</f>
        <v/>
      </c>
      <c r="AK8" s="430"/>
      <c r="AL8" s="430" t="str">
        <f>IF(AND('Mapa riesgos'!$M$43="Muy Alta",'Mapa riesgos'!$Q$43="Catastrófico"),CONCATENATE("R",'Mapa riesgos'!$A$43),"")</f>
        <v/>
      </c>
      <c r="AM8" s="431"/>
      <c r="AN8" s="66"/>
      <c r="AO8" s="463"/>
      <c r="AP8" s="464"/>
      <c r="AQ8" s="464"/>
      <c r="AR8" s="464"/>
      <c r="AS8" s="464"/>
      <c r="AT8" s="465"/>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c r="A9" s="66"/>
      <c r="B9" s="458"/>
      <c r="C9" s="458"/>
      <c r="D9" s="459"/>
      <c r="E9" s="451"/>
      <c r="F9" s="452"/>
      <c r="G9" s="452"/>
      <c r="H9" s="452"/>
      <c r="I9" s="453"/>
      <c r="J9" s="438"/>
      <c r="K9" s="439"/>
      <c r="L9" s="439"/>
      <c r="M9" s="439"/>
      <c r="N9" s="439"/>
      <c r="O9" s="440"/>
      <c r="P9" s="438"/>
      <c r="Q9" s="439"/>
      <c r="R9" s="439"/>
      <c r="S9" s="439"/>
      <c r="T9" s="439"/>
      <c r="U9" s="440"/>
      <c r="V9" s="438"/>
      <c r="W9" s="439"/>
      <c r="X9" s="439"/>
      <c r="Y9" s="439"/>
      <c r="Z9" s="439"/>
      <c r="AA9" s="440"/>
      <c r="AB9" s="438"/>
      <c r="AC9" s="439"/>
      <c r="AD9" s="439"/>
      <c r="AE9" s="439"/>
      <c r="AF9" s="439"/>
      <c r="AG9" s="440"/>
      <c r="AH9" s="429"/>
      <c r="AI9" s="430"/>
      <c r="AJ9" s="430"/>
      <c r="AK9" s="430"/>
      <c r="AL9" s="430"/>
      <c r="AM9" s="431"/>
      <c r="AN9" s="66"/>
      <c r="AO9" s="463"/>
      <c r="AP9" s="464"/>
      <c r="AQ9" s="464"/>
      <c r="AR9" s="464"/>
      <c r="AS9" s="464"/>
      <c r="AT9" s="465"/>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c r="A10" s="66"/>
      <c r="B10" s="458"/>
      <c r="C10" s="458"/>
      <c r="D10" s="459"/>
      <c r="E10" s="451"/>
      <c r="F10" s="452"/>
      <c r="G10" s="452"/>
      <c r="H10" s="452"/>
      <c r="I10" s="453"/>
      <c r="J10" s="438" t="str">
        <f>IF(AND('Mapa riesgos'!$M$49="Muy Alta",'Mapa riesgos'!$Q$49="Leve"),CONCATENATE("R",'Mapa riesgos'!$A$49),"")</f>
        <v/>
      </c>
      <c r="K10" s="439"/>
      <c r="L10" s="439" t="str">
        <f>IF(AND('Mapa riesgos'!$M$55="Muy Alta",'Mapa riesgos'!$Q$55="Leve"),CONCATENATE("R",'Mapa riesgos'!$A$55),"")</f>
        <v/>
      </c>
      <c r="M10" s="439"/>
      <c r="N10" s="439" t="str">
        <f>IF(AND('Mapa riesgos'!$M$61="Muy Alta",'Mapa riesgos'!$Q$61="Leve"),CONCATENATE("R",'Mapa riesgos'!$A$61),"")</f>
        <v/>
      </c>
      <c r="O10" s="440"/>
      <c r="P10" s="438" t="str">
        <f>IF(AND('Mapa riesgos'!$M$49="Muy Alta",'Mapa riesgos'!$Q$49="Menor"),CONCATENATE("R",'Mapa riesgos'!$A$49),"")</f>
        <v/>
      </c>
      <c r="Q10" s="439"/>
      <c r="R10" s="439" t="str">
        <f>IF(AND('Mapa riesgos'!$M$55="Muy Alta",'Mapa riesgos'!$Q$55="Menor"),CONCATENATE("R",'Mapa riesgos'!$A$55),"")</f>
        <v/>
      </c>
      <c r="S10" s="439"/>
      <c r="T10" s="439" t="str">
        <f>IF(AND('Mapa riesgos'!$M$61="Muy Alta",'Mapa riesgos'!$Q$61="Menor"),CONCATENATE("R",'Mapa riesgos'!$A$61),"")</f>
        <v/>
      </c>
      <c r="U10" s="440"/>
      <c r="V10" s="438" t="str">
        <f>IF(AND('Mapa riesgos'!$M$49="Muy Alta",'Mapa riesgos'!$Q$49="Moderado"),CONCATENATE("R",'Mapa riesgos'!$A$49),"")</f>
        <v/>
      </c>
      <c r="W10" s="439"/>
      <c r="X10" s="439" t="str">
        <f>IF(AND('Mapa riesgos'!$M$55="Muy Alta",'Mapa riesgos'!$Q$55="Moderado"),CONCATENATE("R",'Mapa riesgos'!$A$55),"")</f>
        <v/>
      </c>
      <c r="Y10" s="439"/>
      <c r="Z10" s="439" t="str">
        <f>IF(AND('Mapa riesgos'!$M$61="Muy Alta",'Mapa riesgos'!$Q$61="Moderado"),CONCATENATE("R",'Mapa riesgos'!$A$61),"")</f>
        <v/>
      </c>
      <c r="AA10" s="440"/>
      <c r="AB10" s="438" t="str">
        <f>IF(AND('Mapa riesgos'!$M$49="Muy Alta",'Mapa riesgos'!$Q$49="Mayor"),CONCATENATE("R",'Mapa riesgos'!$A$49),"")</f>
        <v/>
      </c>
      <c r="AC10" s="439"/>
      <c r="AD10" s="439" t="str">
        <f>IF(AND('Mapa riesgos'!$M$55="Muy Alta",'Mapa riesgos'!$Q$55="Mayor"),CONCATENATE("R",'Mapa riesgos'!$A$55),"")</f>
        <v/>
      </c>
      <c r="AE10" s="439"/>
      <c r="AF10" s="439" t="str">
        <f>IF(AND('Mapa riesgos'!$M$61="Muy Alta",'Mapa riesgos'!$Q$61="Mayor"),CONCATENATE("R",'Mapa riesgos'!$A$61),"")</f>
        <v/>
      </c>
      <c r="AG10" s="440"/>
      <c r="AH10" s="429" t="str">
        <f>IF(AND('Mapa riesgos'!$M$49="Muy Alta",'Mapa riesgos'!$Q$49="Catastrófico"),CONCATENATE("R",'Mapa riesgos'!$A$49),"")</f>
        <v/>
      </c>
      <c r="AI10" s="430"/>
      <c r="AJ10" s="430" t="str">
        <f>IF(AND('Mapa riesgos'!$M$55="Muy Alta",'Mapa riesgos'!$Q$55="Catastrófico"),CONCATENATE("R",'Mapa riesgos'!$A$55),"")</f>
        <v/>
      </c>
      <c r="AK10" s="430"/>
      <c r="AL10" s="430" t="str">
        <f>IF(AND('Mapa riesgos'!$M$61="Muy Alta",'Mapa riesgos'!$Q$61="Catastrófico"),CONCATENATE("R",'Mapa riesgos'!$A$61),"")</f>
        <v/>
      </c>
      <c r="AM10" s="431"/>
      <c r="AN10" s="66"/>
      <c r="AO10" s="463"/>
      <c r="AP10" s="464"/>
      <c r="AQ10" s="464"/>
      <c r="AR10" s="464"/>
      <c r="AS10" s="464"/>
      <c r="AT10" s="465"/>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c r="A11" s="66"/>
      <c r="B11" s="458"/>
      <c r="C11" s="458"/>
      <c r="D11" s="459"/>
      <c r="E11" s="451"/>
      <c r="F11" s="452"/>
      <c r="G11" s="452"/>
      <c r="H11" s="452"/>
      <c r="I11" s="453"/>
      <c r="J11" s="438"/>
      <c r="K11" s="439"/>
      <c r="L11" s="439"/>
      <c r="M11" s="439"/>
      <c r="N11" s="439"/>
      <c r="O11" s="440"/>
      <c r="P11" s="438"/>
      <c r="Q11" s="439"/>
      <c r="R11" s="439"/>
      <c r="S11" s="439"/>
      <c r="T11" s="439"/>
      <c r="U11" s="440"/>
      <c r="V11" s="438"/>
      <c r="W11" s="439"/>
      <c r="X11" s="439"/>
      <c r="Y11" s="439"/>
      <c r="Z11" s="439"/>
      <c r="AA11" s="440"/>
      <c r="AB11" s="438"/>
      <c r="AC11" s="439"/>
      <c r="AD11" s="439"/>
      <c r="AE11" s="439"/>
      <c r="AF11" s="439"/>
      <c r="AG11" s="440"/>
      <c r="AH11" s="429"/>
      <c r="AI11" s="430"/>
      <c r="AJ11" s="430"/>
      <c r="AK11" s="430"/>
      <c r="AL11" s="430"/>
      <c r="AM11" s="431"/>
      <c r="AN11" s="66"/>
      <c r="AO11" s="463"/>
      <c r="AP11" s="464"/>
      <c r="AQ11" s="464"/>
      <c r="AR11" s="464"/>
      <c r="AS11" s="464"/>
      <c r="AT11" s="465"/>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c r="A12" s="66"/>
      <c r="B12" s="458"/>
      <c r="C12" s="458"/>
      <c r="D12" s="459"/>
      <c r="E12" s="451"/>
      <c r="F12" s="452"/>
      <c r="G12" s="452"/>
      <c r="H12" s="452"/>
      <c r="I12" s="453"/>
      <c r="J12" s="438" t="str">
        <f>IF(AND('Mapa riesgos'!$M$67="Muy Alta",'Mapa riesgos'!$Q$67="Leve"),CONCATENATE("R",'Mapa riesgos'!$A$67),"")</f>
        <v/>
      </c>
      <c r="K12" s="439"/>
      <c r="L12" s="439" t="str">
        <f>IF(AND('Mapa riesgos'!$M$73="Muy Alta",'Mapa riesgos'!$Q$73="Leve"),CONCATENATE("R",'Mapa riesgos'!$A$73),"")</f>
        <v/>
      </c>
      <c r="M12" s="439"/>
      <c r="N12" s="439" t="str">
        <f>IF(AND('Mapa riesgos'!$M$79="Muy Alta",'Mapa riesgos'!$Q$79="Leve"),CONCATENATE("R",'Mapa riesgos'!$A$79),"")</f>
        <v/>
      </c>
      <c r="O12" s="440"/>
      <c r="P12" s="438" t="str">
        <f>IF(AND('Mapa riesgos'!$M$67="Muy Alta",'Mapa riesgos'!$Q$67="Menor"),CONCATENATE("R",'Mapa riesgos'!$A$67),"")</f>
        <v/>
      </c>
      <c r="Q12" s="439"/>
      <c r="R12" s="439" t="str">
        <f>IF(AND('Mapa riesgos'!$M$73="Muy Alta",'Mapa riesgos'!$Q$73="Menor"),CONCATENATE("R",'Mapa riesgos'!$A$73),"")</f>
        <v/>
      </c>
      <c r="S12" s="439"/>
      <c r="T12" s="439" t="str">
        <f>IF(AND('Mapa riesgos'!$M$79="Muy Alta",'Mapa riesgos'!$Q$79="Menor"),CONCATENATE("R",'Mapa riesgos'!$A$79),"")</f>
        <v/>
      </c>
      <c r="U12" s="440"/>
      <c r="V12" s="438" t="str">
        <f>IF(AND('Mapa riesgos'!$M$67="Muy Alta",'Mapa riesgos'!$Q$67="Moderado"),CONCATENATE("R",'Mapa riesgos'!$A$67),"")</f>
        <v/>
      </c>
      <c r="W12" s="439"/>
      <c r="X12" s="439" t="str">
        <f>IF(AND('Mapa riesgos'!$M$73="Muy Alta",'Mapa riesgos'!$Q$73="Moderado"),CONCATENATE("R",'Mapa riesgos'!$A$73),"")</f>
        <v/>
      </c>
      <c r="Y12" s="439"/>
      <c r="Z12" s="439" t="str">
        <f>IF(AND('Mapa riesgos'!$M$79="Muy Alta",'Mapa riesgos'!$Q$79="Moderado"),CONCATENATE("R",'Mapa riesgos'!$A$79),"")</f>
        <v/>
      </c>
      <c r="AA12" s="440"/>
      <c r="AB12" s="438" t="str">
        <f>IF(AND('Mapa riesgos'!$M$67="Muy Alta",'Mapa riesgos'!$Q$67="Mayor"),CONCATENATE("R",'Mapa riesgos'!$A$67),"")</f>
        <v/>
      </c>
      <c r="AC12" s="439"/>
      <c r="AD12" s="439" t="str">
        <f>IF(AND('Mapa riesgos'!$M$73="Muy Alta",'Mapa riesgos'!$Q$73="Mayor"),CONCATENATE("R",'Mapa riesgos'!$A$73),"")</f>
        <v/>
      </c>
      <c r="AE12" s="439"/>
      <c r="AF12" s="439" t="str">
        <f>IF(AND('Mapa riesgos'!$M$79="Muy Alta",'Mapa riesgos'!$Q$79="Mayor"),CONCATENATE("R",'Mapa riesgos'!$A$79),"")</f>
        <v/>
      </c>
      <c r="AG12" s="440"/>
      <c r="AH12" s="429" t="str">
        <f>IF(AND('Mapa riesgos'!$M$67="Muy Alta",'Mapa riesgos'!$Q$67="Catastrófico"),CONCATENATE("R",'Mapa riesgos'!$A$67),"")</f>
        <v/>
      </c>
      <c r="AI12" s="430"/>
      <c r="AJ12" s="430" t="str">
        <f>IF(AND('Mapa riesgos'!$M$73="Muy Alta",'Mapa riesgos'!$Q$73="Catastrófico"),CONCATENATE("R",'Mapa riesgos'!$A$73),"")</f>
        <v/>
      </c>
      <c r="AK12" s="430"/>
      <c r="AL12" s="430" t="str">
        <f>IF(AND('Mapa riesgos'!$M$79="Muy Alta",'Mapa riesgos'!$Q$79="Catastrófico"),CONCATENATE("R",'Mapa riesgos'!$A$79),"")</f>
        <v/>
      </c>
      <c r="AM12" s="431"/>
      <c r="AN12" s="66"/>
      <c r="AO12" s="463"/>
      <c r="AP12" s="464"/>
      <c r="AQ12" s="464"/>
      <c r="AR12" s="464"/>
      <c r="AS12" s="464"/>
      <c r="AT12" s="465"/>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c r="A13" s="66"/>
      <c r="B13" s="458"/>
      <c r="C13" s="458"/>
      <c r="D13" s="459"/>
      <c r="E13" s="454"/>
      <c r="F13" s="455"/>
      <c r="G13" s="455"/>
      <c r="H13" s="455"/>
      <c r="I13" s="456"/>
      <c r="J13" s="438"/>
      <c r="K13" s="439"/>
      <c r="L13" s="439"/>
      <c r="M13" s="439"/>
      <c r="N13" s="439"/>
      <c r="O13" s="440"/>
      <c r="P13" s="438"/>
      <c r="Q13" s="439"/>
      <c r="R13" s="439"/>
      <c r="S13" s="439"/>
      <c r="T13" s="439"/>
      <c r="U13" s="440"/>
      <c r="V13" s="438"/>
      <c r="W13" s="439"/>
      <c r="X13" s="439"/>
      <c r="Y13" s="439"/>
      <c r="Z13" s="439"/>
      <c r="AA13" s="440"/>
      <c r="AB13" s="438"/>
      <c r="AC13" s="439"/>
      <c r="AD13" s="439"/>
      <c r="AE13" s="439"/>
      <c r="AF13" s="439"/>
      <c r="AG13" s="440"/>
      <c r="AH13" s="432"/>
      <c r="AI13" s="433"/>
      <c r="AJ13" s="433"/>
      <c r="AK13" s="433"/>
      <c r="AL13" s="433"/>
      <c r="AM13" s="434"/>
      <c r="AN13" s="66"/>
      <c r="AO13" s="466"/>
      <c r="AP13" s="467"/>
      <c r="AQ13" s="467"/>
      <c r="AR13" s="467"/>
      <c r="AS13" s="467"/>
      <c r="AT13" s="468"/>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c r="A14" s="66"/>
      <c r="B14" s="458"/>
      <c r="C14" s="458"/>
      <c r="D14" s="459"/>
      <c r="E14" s="448" t="s">
        <v>219</v>
      </c>
      <c r="F14" s="449"/>
      <c r="G14" s="449"/>
      <c r="H14" s="449"/>
      <c r="I14" s="449"/>
      <c r="J14" s="426" t="str">
        <f>IF(AND('Mapa riesgos'!$M$13="Alta",'Mapa riesgos'!$Q$13="Leve"),CONCATENATE("R",'Mapa riesgos'!$A$13),"")</f>
        <v/>
      </c>
      <c r="K14" s="427"/>
      <c r="L14" s="427" t="str">
        <f>IF(AND('Mapa riesgos'!$M$19="Alta",'Mapa riesgos'!$Q$19="Leve"),CONCATENATE("R",'Mapa riesgos'!$A$19),"")</f>
        <v/>
      </c>
      <c r="M14" s="427"/>
      <c r="N14" s="427" t="str">
        <f>IF(AND('Mapa riesgos'!$M$25="Alta",'Mapa riesgos'!$Q$25="Leve"),CONCATENATE("R",'Mapa riesgos'!$A$25),"")</f>
        <v/>
      </c>
      <c r="O14" s="428"/>
      <c r="P14" s="426" t="str">
        <f>IF(AND('Mapa riesgos'!$M$13="Alta",'Mapa riesgos'!$Q$13="Menor"),CONCATENATE("R",'Mapa riesgos'!$A$13),"")</f>
        <v/>
      </c>
      <c r="Q14" s="427"/>
      <c r="R14" s="427" t="str">
        <f>IF(AND('Mapa riesgos'!$M$19="Alta",'Mapa riesgos'!$Q$19="Menor"),CONCATENATE("R",'Mapa riesgos'!$A$19),"")</f>
        <v/>
      </c>
      <c r="S14" s="427"/>
      <c r="T14" s="427" t="str">
        <f>IF(AND('Mapa riesgos'!$M$25="Alta",'Mapa riesgos'!$Q$25="Menor"),CONCATENATE("R",'Mapa riesgos'!$A$25),"")</f>
        <v/>
      </c>
      <c r="U14" s="428"/>
      <c r="V14" s="444" t="str">
        <f>IF(AND('Mapa riesgos'!$M$13="Alta",'Mapa riesgos'!$Q$13="Moderado"),CONCATENATE("R",'Mapa riesgos'!$A$13),"")</f>
        <v>R1</v>
      </c>
      <c r="W14" s="445"/>
      <c r="X14" s="445" t="str">
        <f>IF(AND('Mapa riesgos'!$M$19="Alta",'Mapa riesgos'!$Q$19="Moderado"),CONCATENATE("R",'Mapa riesgos'!$A$19),"")</f>
        <v>R2</v>
      </c>
      <c r="Y14" s="445"/>
      <c r="Z14" s="445" t="str">
        <f>IF(AND('Mapa riesgos'!$M$25="Alta",'Mapa riesgos'!$Q$25="Moderado"),CONCATENATE("R",'Mapa riesgos'!$A$25),"")</f>
        <v/>
      </c>
      <c r="AA14" s="446"/>
      <c r="AB14" s="444" t="str">
        <f>IF(AND('Mapa riesgos'!$M$13="Alta",'Mapa riesgos'!$Q$13="Mayor"),CONCATENATE("R",'Mapa riesgos'!$A$13),"")</f>
        <v/>
      </c>
      <c r="AC14" s="445"/>
      <c r="AD14" s="445" t="str">
        <f>IF(AND('Mapa riesgos'!$M$19="Alta",'Mapa riesgos'!$Q$19="Mayor"),CONCATENATE("R",'Mapa riesgos'!$A$19),"")</f>
        <v/>
      </c>
      <c r="AE14" s="445"/>
      <c r="AF14" s="445" t="str">
        <f>IF(AND('Mapa riesgos'!$M$25="Alta",'Mapa riesgos'!$Q$25="Mayor"),CONCATENATE("R",'Mapa riesgos'!$A$25),"")</f>
        <v/>
      </c>
      <c r="AG14" s="446"/>
      <c r="AH14" s="435" t="str">
        <f>IF(AND('Mapa riesgos'!$M$13="Alta",'Mapa riesgos'!$Q$13="Catastrófico"),CONCATENATE("R",'Mapa riesgos'!$A$13),"")</f>
        <v/>
      </c>
      <c r="AI14" s="436"/>
      <c r="AJ14" s="436" t="str">
        <f>IF(AND('Mapa riesgos'!$M$19="Alta",'Mapa riesgos'!$Q$19="Catastrófico"),CONCATENATE("R",'Mapa riesgos'!$A$19),"")</f>
        <v/>
      </c>
      <c r="AK14" s="436"/>
      <c r="AL14" s="436" t="str">
        <f>IF(AND('Mapa riesgos'!$M$25="Alta",'Mapa riesgos'!$Q$25="Catastrófico"),CONCATENATE("R",'Mapa riesgos'!$A$25),"")</f>
        <v/>
      </c>
      <c r="AM14" s="437"/>
      <c r="AN14" s="66"/>
      <c r="AO14" s="469" t="s">
        <v>220</v>
      </c>
      <c r="AP14" s="470"/>
      <c r="AQ14" s="470"/>
      <c r="AR14" s="470"/>
      <c r="AS14" s="470"/>
      <c r="AT14" s="471"/>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c r="A15" s="66"/>
      <c r="B15" s="458"/>
      <c r="C15" s="458"/>
      <c r="D15" s="459"/>
      <c r="E15" s="451"/>
      <c r="F15" s="452"/>
      <c r="G15" s="452"/>
      <c r="H15" s="452"/>
      <c r="I15" s="452"/>
      <c r="J15" s="420"/>
      <c r="K15" s="421"/>
      <c r="L15" s="421"/>
      <c r="M15" s="421"/>
      <c r="N15" s="421"/>
      <c r="O15" s="422"/>
      <c r="P15" s="420"/>
      <c r="Q15" s="421"/>
      <c r="R15" s="421"/>
      <c r="S15" s="421"/>
      <c r="T15" s="421"/>
      <c r="U15" s="422"/>
      <c r="V15" s="438"/>
      <c r="W15" s="439"/>
      <c r="X15" s="439"/>
      <c r="Y15" s="439"/>
      <c r="Z15" s="439"/>
      <c r="AA15" s="440"/>
      <c r="AB15" s="438"/>
      <c r="AC15" s="439"/>
      <c r="AD15" s="439"/>
      <c r="AE15" s="439"/>
      <c r="AF15" s="439"/>
      <c r="AG15" s="440"/>
      <c r="AH15" s="429"/>
      <c r="AI15" s="430"/>
      <c r="AJ15" s="430"/>
      <c r="AK15" s="430"/>
      <c r="AL15" s="430"/>
      <c r="AM15" s="431"/>
      <c r="AN15" s="66"/>
      <c r="AO15" s="472"/>
      <c r="AP15" s="473"/>
      <c r="AQ15" s="473"/>
      <c r="AR15" s="473"/>
      <c r="AS15" s="473"/>
      <c r="AT15" s="474"/>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c r="A16" s="66"/>
      <c r="B16" s="458"/>
      <c r="C16" s="458"/>
      <c r="D16" s="459"/>
      <c r="E16" s="451"/>
      <c r="F16" s="452"/>
      <c r="G16" s="452"/>
      <c r="H16" s="452"/>
      <c r="I16" s="452"/>
      <c r="J16" s="420" t="str">
        <f>IF(AND('Mapa riesgos'!$M$31="Alta",'Mapa riesgos'!$Q$31="Leve"),CONCATENATE("R",'Mapa riesgos'!$A$31),"")</f>
        <v/>
      </c>
      <c r="K16" s="421"/>
      <c r="L16" s="421" t="str">
        <f>IF(AND('Mapa riesgos'!$M$37="Alta",'Mapa riesgos'!$Q$37="Leve"),CONCATENATE("R",'Mapa riesgos'!$A$37),"")</f>
        <v/>
      </c>
      <c r="M16" s="421"/>
      <c r="N16" s="421" t="str">
        <f>IF(AND('Mapa riesgos'!$M$43="Alta",'Mapa riesgos'!$Q$43="Leve"),CONCATENATE("R",'Mapa riesgos'!$A$43),"")</f>
        <v/>
      </c>
      <c r="O16" s="422"/>
      <c r="P16" s="420" t="str">
        <f>IF(AND('Mapa riesgos'!$M$31="Alta",'Mapa riesgos'!$Q$31="Menor"),CONCATENATE("R",'Mapa riesgos'!$A$31),"")</f>
        <v/>
      </c>
      <c r="Q16" s="421"/>
      <c r="R16" s="421" t="str">
        <f>IF(AND('Mapa riesgos'!$M$37="Alta",'Mapa riesgos'!$Q$37="Menor"),CONCATENATE("R",'Mapa riesgos'!$A$37),"")</f>
        <v/>
      </c>
      <c r="S16" s="421"/>
      <c r="T16" s="421" t="str">
        <f>IF(AND('Mapa riesgos'!$M$43="Alta",'Mapa riesgos'!$Q$43="Menor"),CONCATENATE("R",'Mapa riesgos'!$A$43),"")</f>
        <v/>
      </c>
      <c r="U16" s="422"/>
      <c r="V16" s="438" t="str">
        <f>IF(AND('Mapa riesgos'!$M$31="Alta",'Mapa riesgos'!$Q$31="Moderado"),CONCATENATE("R",'Mapa riesgos'!$A$31),"")</f>
        <v/>
      </c>
      <c r="W16" s="439"/>
      <c r="X16" s="439" t="str">
        <f>IF(AND('Mapa riesgos'!$M$37="Alta",'Mapa riesgos'!$Q$37="Moderado"),CONCATENATE("R",'Mapa riesgos'!$A$37),"")</f>
        <v/>
      </c>
      <c r="Y16" s="439"/>
      <c r="Z16" s="439" t="str">
        <f>IF(AND('Mapa riesgos'!$M$43="Alta",'Mapa riesgos'!$Q$43="Moderado"),CONCATENATE("R",'Mapa riesgos'!$A$43),"")</f>
        <v/>
      </c>
      <c r="AA16" s="440"/>
      <c r="AB16" s="438" t="str">
        <f>IF(AND('Mapa riesgos'!$M$31="Alta",'Mapa riesgos'!$Q$31="Mayor"),CONCATENATE("R",'Mapa riesgos'!$A$31),"")</f>
        <v/>
      </c>
      <c r="AC16" s="439"/>
      <c r="AD16" s="439" t="str">
        <f>IF(AND('Mapa riesgos'!$M$37="Alta",'Mapa riesgos'!$Q$37="Mayor"),CONCATENATE("R",'Mapa riesgos'!$A$37),"")</f>
        <v/>
      </c>
      <c r="AE16" s="439"/>
      <c r="AF16" s="439" t="str">
        <f>IF(AND('Mapa riesgos'!$M$43="Alta",'Mapa riesgos'!$Q$43="Mayor"),CONCATENATE("R",'Mapa riesgos'!$A$43),"")</f>
        <v/>
      </c>
      <c r="AG16" s="440"/>
      <c r="AH16" s="429" t="str">
        <f>IF(AND('Mapa riesgos'!$M$31="Alta",'Mapa riesgos'!$Q$31="Catastrófico"),CONCATENATE("R",'Mapa riesgos'!$A$31),"")</f>
        <v/>
      </c>
      <c r="AI16" s="430"/>
      <c r="AJ16" s="430" t="str">
        <f>IF(AND('Mapa riesgos'!$M$37="Alta",'Mapa riesgos'!$Q$37="Catastrófico"),CONCATENATE("R",'Mapa riesgos'!$A$37),"")</f>
        <v/>
      </c>
      <c r="AK16" s="430"/>
      <c r="AL16" s="430" t="str">
        <f>IF(AND('Mapa riesgos'!$M$43="Alta",'Mapa riesgos'!$Q$43="Catastrófico"),CONCATENATE("R",'Mapa riesgos'!$A$43),"")</f>
        <v/>
      </c>
      <c r="AM16" s="431"/>
      <c r="AN16" s="66"/>
      <c r="AO16" s="472"/>
      <c r="AP16" s="473"/>
      <c r="AQ16" s="473"/>
      <c r="AR16" s="473"/>
      <c r="AS16" s="473"/>
      <c r="AT16" s="474"/>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c r="A17" s="66"/>
      <c r="B17" s="458"/>
      <c r="C17" s="458"/>
      <c r="D17" s="459"/>
      <c r="E17" s="451"/>
      <c r="F17" s="452"/>
      <c r="G17" s="452"/>
      <c r="H17" s="452"/>
      <c r="I17" s="452"/>
      <c r="J17" s="420"/>
      <c r="K17" s="421"/>
      <c r="L17" s="421"/>
      <c r="M17" s="421"/>
      <c r="N17" s="421"/>
      <c r="O17" s="422"/>
      <c r="P17" s="420"/>
      <c r="Q17" s="421"/>
      <c r="R17" s="421"/>
      <c r="S17" s="421"/>
      <c r="T17" s="421"/>
      <c r="U17" s="422"/>
      <c r="V17" s="438"/>
      <c r="W17" s="439"/>
      <c r="X17" s="439"/>
      <c r="Y17" s="439"/>
      <c r="Z17" s="439"/>
      <c r="AA17" s="440"/>
      <c r="AB17" s="438"/>
      <c r="AC17" s="439"/>
      <c r="AD17" s="439"/>
      <c r="AE17" s="439"/>
      <c r="AF17" s="439"/>
      <c r="AG17" s="440"/>
      <c r="AH17" s="429"/>
      <c r="AI17" s="430"/>
      <c r="AJ17" s="430"/>
      <c r="AK17" s="430"/>
      <c r="AL17" s="430"/>
      <c r="AM17" s="431"/>
      <c r="AN17" s="66"/>
      <c r="AO17" s="472"/>
      <c r="AP17" s="473"/>
      <c r="AQ17" s="473"/>
      <c r="AR17" s="473"/>
      <c r="AS17" s="473"/>
      <c r="AT17" s="474"/>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c r="A18" s="66"/>
      <c r="B18" s="458"/>
      <c r="C18" s="458"/>
      <c r="D18" s="459"/>
      <c r="E18" s="451"/>
      <c r="F18" s="452"/>
      <c r="G18" s="452"/>
      <c r="H18" s="452"/>
      <c r="I18" s="452"/>
      <c r="J18" s="420" t="str">
        <f>IF(AND('Mapa riesgos'!$M$49="Alta",'Mapa riesgos'!$Q$49="Leve"),CONCATENATE("R",'Mapa riesgos'!$A$49),"")</f>
        <v/>
      </c>
      <c r="K18" s="421"/>
      <c r="L18" s="421" t="str">
        <f>IF(AND('Mapa riesgos'!$M$55="Alta",'Mapa riesgos'!$Q$55="Leve"),CONCATENATE("R",'Mapa riesgos'!$A$55),"")</f>
        <v/>
      </c>
      <c r="M18" s="421"/>
      <c r="N18" s="421" t="str">
        <f>IF(AND('Mapa riesgos'!$M$61="Alta",'Mapa riesgos'!$Q$61="Leve"),CONCATENATE("R",'Mapa riesgos'!$A$61),"")</f>
        <v/>
      </c>
      <c r="O18" s="422"/>
      <c r="P18" s="420" t="str">
        <f>IF(AND('Mapa riesgos'!$M$49="Alta",'Mapa riesgos'!$Q$49="Menor"),CONCATENATE("R",'Mapa riesgos'!$A$49),"")</f>
        <v/>
      </c>
      <c r="Q18" s="421"/>
      <c r="R18" s="421" t="str">
        <f>IF(AND('Mapa riesgos'!$M$55="Alta",'Mapa riesgos'!$Q$55="Menor"),CONCATENATE("R",'Mapa riesgos'!$A$55),"")</f>
        <v/>
      </c>
      <c r="S18" s="421"/>
      <c r="T18" s="421" t="str">
        <f>IF(AND('Mapa riesgos'!$M$61="Alta",'Mapa riesgos'!$Q$61="Menor"),CONCATENATE("R",'Mapa riesgos'!$A$61),"")</f>
        <v/>
      </c>
      <c r="U18" s="422"/>
      <c r="V18" s="438" t="str">
        <f>IF(AND('Mapa riesgos'!$M$49="Alta",'Mapa riesgos'!$Q$49="Moderado"),CONCATENATE("R",'Mapa riesgos'!$A$49),"")</f>
        <v/>
      </c>
      <c r="W18" s="439"/>
      <c r="X18" s="439" t="str">
        <f>IF(AND('Mapa riesgos'!$M$55="Alta",'Mapa riesgos'!$Q$55="Moderado"),CONCATENATE("R",'Mapa riesgos'!$A$55),"")</f>
        <v/>
      </c>
      <c r="Y18" s="439"/>
      <c r="Z18" s="439" t="str">
        <f>IF(AND('Mapa riesgos'!$M$61="Alta",'Mapa riesgos'!$Q$61="Moderado"),CONCATENATE("R",'Mapa riesgos'!$A$61),"")</f>
        <v/>
      </c>
      <c r="AA18" s="440"/>
      <c r="AB18" s="438" t="str">
        <f>IF(AND('Mapa riesgos'!$M$49="Alta",'Mapa riesgos'!$Q$49="Mayor"),CONCATENATE("R",'Mapa riesgos'!$A$49),"")</f>
        <v/>
      </c>
      <c r="AC18" s="439"/>
      <c r="AD18" s="439" t="str">
        <f>IF(AND('Mapa riesgos'!$M$55="Alta",'Mapa riesgos'!$Q$55="Mayor"),CONCATENATE("R",'Mapa riesgos'!$A$55),"")</f>
        <v/>
      </c>
      <c r="AE18" s="439"/>
      <c r="AF18" s="439" t="str">
        <f>IF(AND('Mapa riesgos'!$M$61="Alta",'Mapa riesgos'!$Q$61="Mayor"),CONCATENATE("R",'Mapa riesgos'!$A$61),"")</f>
        <v/>
      </c>
      <c r="AG18" s="440"/>
      <c r="AH18" s="429" t="str">
        <f>IF(AND('Mapa riesgos'!$M$49="Alta",'Mapa riesgos'!$Q$49="Catastrófico"),CONCATENATE("R",'Mapa riesgos'!$A$49),"")</f>
        <v/>
      </c>
      <c r="AI18" s="430"/>
      <c r="AJ18" s="430" t="str">
        <f>IF(AND('Mapa riesgos'!$M$55="Alta",'Mapa riesgos'!$Q$55="Catastrófico"),CONCATENATE("R",'Mapa riesgos'!$A$55),"")</f>
        <v/>
      </c>
      <c r="AK18" s="430"/>
      <c r="AL18" s="430" t="str">
        <f>IF(AND('Mapa riesgos'!$M$61="Alta",'Mapa riesgos'!$Q$61="Catastrófico"),CONCATENATE("R",'Mapa riesgos'!$A$61),"")</f>
        <v/>
      </c>
      <c r="AM18" s="431"/>
      <c r="AN18" s="66"/>
      <c r="AO18" s="472"/>
      <c r="AP18" s="473"/>
      <c r="AQ18" s="473"/>
      <c r="AR18" s="473"/>
      <c r="AS18" s="473"/>
      <c r="AT18" s="474"/>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c r="A19" s="66"/>
      <c r="B19" s="458"/>
      <c r="C19" s="458"/>
      <c r="D19" s="459"/>
      <c r="E19" s="451"/>
      <c r="F19" s="452"/>
      <c r="G19" s="452"/>
      <c r="H19" s="452"/>
      <c r="I19" s="452"/>
      <c r="J19" s="420"/>
      <c r="K19" s="421"/>
      <c r="L19" s="421"/>
      <c r="M19" s="421"/>
      <c r="N19" s="421"/>
      <c r="O19" s="422"/>
      <c r="P19" s="420"/>
      <c r="Q19" s="421"/>
      <c r="R19" s="421"/>
      <c r="S19" s="421"/>
      <c r="T19" s="421"/>
      <c r="U19" s="422"/>
      <c r="V19" s="438"/>
      <c r="W19" s="439"/>
      <c r="X19" s="439"/>
      <c r="Y19" s="439"/>
      <c r="Z19" s="439"/>
      <c r="AA19" s="440"/>
      <c r="AB19" s="438"/>
      <c r="AC19" s="439"/>
      <c r="AD19" s="439"/>
      <c r="AE19" s="439"/>
      <c r="AF19" s="439"/>
      <c r="AG19" s="440"/>
      <c r="AH19" s="429"/>
      <c r="AI19" s="430"/>
      <c r="AJ19" s="430"/>
      <c r="AK19" s="430"/>
      <c r="AL19" s="430"/>
      <c r="AM19" s="431"/>
      <c r="AN19" s="66"/>
      <c r="AO19" s="472"/>
      <c r="AP19" s="473"/>
      <c r="AQ19" s="473"/>
      <c r="AR19" s="473"/>
      <c r="AS19" s="473"/>
      <c r="AT19" s="474"/>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c r="A20" s="66"/>
      <c r="B20" s="458"/>
      <c r="C20" s="458"/>
      <c r="D20" s="459"/>
      <c r="E20" s="451"/>
      <c r="F20" s="452"/>
      <c r="G20" s="452"/>
      <c r="H20" s="452"/>
      <c r="I20" s="452"/>
      <c r="J20" s="420" t="str">
        <f>IF(AND('Mapa riesgos'!$M$67="Alta",'Mapa riesgos'!$Q$67="Leve"),CONCATENATE("R",'Mapa riesgos'!$A$67),"")</f>
        <v/>
      </c>
      <c r="K20" s="421"/>
      <c r="L20" s="421" t="str">
        <f>IF(AND('Mapa riesgos'!$M$73="Alta",'Mapa riesgos'!$Q$73="Leve"),CONCATENATE("R",'Mapa riesgos'!$A$73),"")</f>
        <v/>
      </c>
      <c r="M20" s="421"/>
      <c r="N20" s="421" t="str">
        <f>IF(AND('Mapa riesgos'!$M$79="Alta",'Mapa riesgos'!$Q$79="Leve"),CONCATENATE("R",'Mapa riesgos'!$A$79),"")</f>
        <v/>
      </c>
      <c r="O20" s="422"/>
      <c r="P20" s="420" t="str">
        <f>IF(AND('Mapa riesgos'!$M$67="Alta",'Mapa riesgos'!$Q$67="Menor"),CONCATENATE("R",'Mapa riesgos'!$A$67),"")</f>
        <v/>
      </c>
      <c r="Q20" s="421"/>
      <c r="R20" s="421" t="str">
        <f>IF(AND('Mapa riesgos'!$M$73="Alta",'Mapa riesgos'!$Q$73="Menor"),CONCATENATE("R",'Mapa riesgos'!$A$73),"")</f>
        <v/>
      </c>
      <c r="S20" s="421"/>
      <c r="T20" s="421" t="str">
        <f>IF(AND('Mapa riesgos'!$M$79="Alta",'Mapa riesgos'!$Q$79="Menor"),CONCATENATE("R",'Mapa riesgos'!$A$79),"")</f>
        <v/>
      </c>
      <c r="U20" s="422"/>
      <c r="V20" s="438" t="str">
        <f>IF(AND('Mapa riesgos'!$M$67="Alta",'Mapa riesgos'!$Q$67="Moderado"),CONCATENATE("R",'Mapa riesgos'!$A$67),"")</f>
        <v/>
      </c>
      <c r="W20" s="439"/>
      <c r="X20" s="439" t="str">
        <f>IF(AND('Mapa riesgos'!$M$73="Alta",'Mapa riesgos'!$Q$73="Moderado"),CONCATENATE("R",'Mapa riesgos'!$A$73),"")</f>
        <v/>
      </c>
      <c r="Y20" s="439"/>
      <c r="Z20" s="439" t="str">
        <f>IF(AND('Mapa riesgos'!$M$79="Alta",'Mapa riesgos'!$Q$79="Moderado"),CONCATENATE("R",'Mapa riesgos'!$A$79),"")</f>
        <v/>
      </c>
      <c r="AA20" s="440"/>
      <c r="AB20" s="438" t="str">
        <f>IF(AND('Mapa riesgos'!$M$67="Alta",'Mapa riesgos'!$Q$67="Mayor"),CONCATENATE("R",'Mapa riesgos'!$A$67),"")</f>
        <v/>
      </c>
      <c r="AC20" s="439"/>
      <c r="AD20" s="439" t="str">
        <f>IF(AND('Mapa riesgos'!$M$73="Alta",'Mapa riesgos'!$Q$73="Mayor"),CONCATENATE("R",'Mapa riesgos'!$A$73),"")</f>
        <v/>
      </c>
      <c r="AE20" s="439"/>
      <c r="AF20" s="439" t="str">
        <f>IF(AND('Mapa riesgos'!$M$79="Alta",'Mapa riesgos'!$Q$79="Mayor"),CONCATENATE("R",'Mapa riesgos'!$A$79),"")</f>
        <v/>
      </c>
      <c r="AG20" s="440"/>
      <c r="AH20" s="429" t="str">
        <f>IF(AND('Mapa riesgos'!$M$67="Alta",'Mapa riesgos'!$Q$67="Catastrófico"),CONCATENATE("R",'Mapa riesgos'!$A$67),"")</f>
        <v/>
      </c>
      <c r="AI20" s="430"/>
      <c r="AJ20" s="430" t="str">
        <f>IF(AND('Mapa riesgos'!$M$73="Alta",'Mapa riesgos'!$Q$73="Catastrófico"),CONCATENATE("R",'Mapa riesgos'!$A$73),"")</f>
        <v/>
      </c>
      <c r="AK20" s="430"/>
      <c r="AL20" s="430" t="str">
        <f>IF(AND('Mapa riesgos'!$M$79="Alta",'Mapa riesgos'!$Q$79="Catastrófico"),CONCATENATE("R",'Mapa riesgos'!$A$79),"")</f>
        <v/>
      </c>
      <c r="AM20" s="431"/>
      <c r="AN20" s="66"/>
      <c r="AO20" s="472"/>
      <c r="AP20" s="473"/>
      <c r="AQ20" s="473"/>
      <c r="AR20" s="473"/>
      <c r="AS20" s="473"/>
      <c r="AT20" s="474"/>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c r="A21" s="66"/>
      <c r="B21" s="458"/>
      <c r="C21" s="458"/>
      <c r="D21" s="459"/>
      <c r="E21" s="454"/>
      <c r="F21" s="455"/>
      <c r="G21" s="455"/>
      <c r="H21" s="455"/>
      <c r="I21" s="455"/>
      <c r="J21" s="423"/>
      <c r="K21" s="424"/>
      <c r="L21" s="424"/>
      <c r="M21" s="424"/>
      <c r="N21" s="424"/>
      <c r="O21" s="425"/>
      <c r="P21" s="423"/>
      <c r="Q21" s="424"/>
      <c r="R21" s="424"/>
      <c r="S21" s="424"/>
      <c r="T21" s="424"/>
      <c r="U21" s="425"/>
      <c r="V21" s="441"/>
      <c r="W21" s="442"/>
      <c r="X21" s="442"/>
      <c r="Y21" s="442"/>
      <c r="Z21" s="442"/>
      <c r="AA21" s="443"/>
      <c r="AB21" s="441"/>
      <c r="AC21" s="442"/>
      <c r="AD21" s="442"/>
      <c r="AE21" s="442"/>
      <c r="AF21" s="442"/>
      <c r="AG21" s="443"/>
      <c r="AH21" s="432"/>
      <c r="AI21" s="433"/>
      <c r="AJ21" s="433"/>
      <c r="AK21" s="433"/>
      <c r="AL21" s="433"/>
      <c r="AM21" s="434"/>
      <c r="AN21" s="66"/>
      <c r="AO21" s="475"/>
      <c r="AP21" s="476"/>
      <c r="AQ21" s="476"/>
      <c r="AR21" s="476"/>
      <c r="AS21" s="476"/>
      <c r="AT21" s="477"/>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c r="A22" s="66"/>
      <c r="B22" s="458"/>
      <c r="C22" s="458"/>
      <c r="D22" s="459"/>
      <c r="E22" s="448" t="s">
        <v>221</v>
      </c>
      <c r="F22" s="449"/>
      <c r="G22" s="449"/>
      <c r="H22" s="449"/>
      <c r="I22" s="450"/>
      <c r="J22" s="426" t="str">
        <f>IF(AND('Mapa riesgos'!$M$13="Media",'Mapa riesgos'!$Q$13="Leve"),CONCATENATE("R",'Mapa riesgos'!$A$13),"")</f>
        <v/>
      </c>
      <c r="K22" s="427"/>
      <c r="L22" s="427" t="str">
        <f>IF(AND('Mapa riesgos'!$M$19="Media",'Mapa riesgos'!$Q$19="Leve"),CONCATENATE("R",'Mapa riesgos'!$A$19),"")</f>
        <v/>
      </c>
      <c r="M22" s="427"/>
      <c r="N22" s="427" t="str">
        <f>IF(AND('Mapa riesgos'!$M$25="Media",'Mapa riesgos'!$Q$25="Leve"),CONCATENATE("R",'Mapa riesgos'!$A$25),"")</f>
        <v/>
      </c>
      <c r="O22" s="428"/>
      <c r="P22" s="426" t="str">
        <f>IF(AND('Mapa riesgos'!$M$13="Media",'Mapa riesgos'!$Q$13="Menor"),CONCATENATE("R",'Mapa riesgos'!$A$13),"")</f>
        <v/>
      </c>
      <c r="Q22" s="427"/>
      <c r="R22" s="427" t="str">
        <f>IF(AND('Mapa riesgos'!$M$19="Media",'Mapa riesgos'!$Q$19="Menor"),CONCATENATE("R",'Mapa riesgos'!$A$19),"")</f>
        <v/>
      </c>
      <c r="S22" s="427"/>
      <c r="T22" s="427" t="str">
        <f>IF(AND('Mapa riesgos'!$M$25="Media",'Mapa riesgos'!$Q$25="Menor"),CONCATENATE("R",'Mapa riesgos'!$A$25),"")</f>
        <v/>
      </c>
      <c r="U22" s="428"/>
      <c r="V22" s="426" t="str">
        <f>IF(AND('Mapa riesgos'!$M$13="Media",'Mapa riesgos'!$Q$13="Moderado"),CONCATENATE("R",'Mapa riesgos'!$A$13),"")</f>
        <v/>
      </c>
      <c r="W22" s="427"/>
      <c r="X22" s="427" t="str">
        <f>IF(AND('Mapa riesgos'!$M$19="Media",'Mapa riesgos'!$Q$19="Moderado"),CONCATENATE("R",'Mapa riesgos'!$A$19),"")</f>
        <v/>
      </c>
      <c r="Y22" s="427"/>
      <c r="Z22" s="427" t="str">
        <f>IF(AND('Mapa riesgos'!$M$25="Media",'Mapa riesgos'!$Q$25="Moderado"),CONCATENATE("R",'Mapa riesgos'!$A$25),"")</f>
        <v/>
      </c>
      <c r="AA22" s="428"/>
      <c r="AB22" s="444" t="str">
        <f>IF(AND('Mapa riesgos'!$M$13="Media",'Mapa riesgos'!$Q$13="Mayor"),CONCATENATE("R",'Mapa riesgos'!$A$13),"")</f>
        <v/>
      </c>
      <c r="AC22" s="445"/>
      <c r="AD22" s="445" t="str">
        <f>IF(AND('Mapa riesgos'!$M$19="Media",'Mapa riesgos'!$Q$19="Mayor"),CONCATENATE("R",'Mapa riesgos'!$A$19),"")</f>
        <v/>
      </c>
      <c r="AE22" s="445"/>
      <c r="AF22" s="445" t="str">
        <f>IF(AND('Mapa riesgos'!$M$25="Media",'Mapa riesgos'!$Q$25="Mayor"),CONCATENATE("R",'Mapa riesgos'!$A$25),"")</f>
        <v/>
      </c>
      <c r="AG22" s="446"/>
      <c r="AH22" s="435" t="str">
        <f>IF(AND('Mapa riesgos'!$M$13="Media",'Mapa riesgos'!$Q$13="Catastrófico"),CONCATENATE("R",'Mapa riesgos'!$A$13),"")</f>
        <v/>
      </c>
      <c r="AI22" s="436"/>
      <c r="AJ22" s="436" t="str">
        <f>IF(AND('Mapa riesgos'!$M$19="Media",'Mapa riesgos'!$Q$19="Catastrófico"),CONCATENATE("R",'Mapa riesgos'!$A$19),"")</f>
        <v/>
      </c>
      <c r="AK22" s="436"/>
      <c r="AL22" s="436" t="str">
        <f>IF(AND('Mapa riesgos'!$M$25="Media",'Mapa riesgos'!$Q$25="Catastrófico"),CONCATENATE("R",'Mapa riesgos'!$A$25),"")</f>
        <v/>
      </c>
      <c r="AM22" s="437"/>
      <c r="AN22" s="66"/>
      <c r="AO22" s="478" t="s">
        <v>222</v>
      </c>
      <c r="AP22" s="479"/>
      <c r="AQ22" s="479"/>
      <c r="AR22" s="479"/>
      <c r="AS22" s="479"/>
      <c r="AT22" s="480"/>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c r="A23" s="66"/>
      <c r="B23" s="458"/>
      <c r="C23" s="458"/>
      <c r="D23" s="459"/>
      <c r="E23" s="451"/>
      <c r="F23" s="452"/>
      <c r="G23" s="452"/>
      <c r="H23" s="452"/>
      <c r="I23" s="453"/>
      <c r="J23" s="420"/>
      <c r="K23" s="421"/>
      <c r="L23" s="421"/>
      <c r="M23" s="421"/>
      <c r="N23" s="421"/>
      <c r="O23" s="422"/>
      <c r="P23" s="420"/>
      <c r="Q23" s="421"/>
      <c r="R23" s="421"/>
      <c r="S23" s="421"/>
      <c r="T23" s="421"/>
      <c r="U23" s="422"/>
      <c r="V23" s="420"/>
      <c r="W23" s="421"/>
      <c r="X23" s="421"/>
      <c r="Y23" s="421"/>
      <c r="Z23" s="421"/>
      <c r="AA23" s="422"/>
      <c r="AB23" s="438"/>
      <c r="AC23" s="439"/>
      <c r="AD23" s="439"/>
      <c r="AE23" s="439"/>
      <c r="AF23" s="439"/>
      <c r="AG23" s="440"/>
      <c r="AH23" s="429"/>
      <c r="AI23" s="430"/>
      <c r="AJ23" s="430"/>
      <c r="AK23" s="430"/>
      <c r="AL23" s="430"/>
      <c r="AM23" s="431"/>
      <c r="AN23" s="66"/>
      <c r="AO23" s="481"/>
      <c r="AP23" s="482"/>
      <c r="AQ23" s="482"/>
      <c r="AR23" s="482"/>
      <c r="AS23" s="482"/>
      <c r="AT23" s="483"/>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c r="A24" s="66"/>
      <c r="B24" s="458"/>
      <c r="C24" s="458"/>
      <c r="D24" s="459"/>
      <c r="E24" s="451"/>
      <c r="F24" s="452"/>
      <c r="G24" s="452"/>
      <c r="H24" s="452"/>
      <c r="I24" s="453"/>
      <c r="J24" s="420" t="str">
        <f>IF(AND('Mapa riesgos'!$M$31="Media",'Mapa riesgos'!$Q$31="Leve"),CONCATENATE("R",'Mapa riesgos'!$A$31),"")</f>
        <v/>
      </c>
      <c r="K24" s="421"/>
      <c r="L24" s="421" t="str">
        <f>IF(AND('Mapa riesgos'!$M$37="Media",'Mapa riesgos'!$Q$37="Leve"),CONCATENATE("R",'Mapa riesgos'!$A$37),"")</f>
        <v/>
      </c>
      <c r="M24" s="421"/>
      <c r="N24" s="421" t="str">
        <f>IF(AND('Mapa riesgos'!$M$43="Media",'Mapa riesgos'!$Q$43="Leve"),CONCATENATE("R",'Mapa riesgos'!$A$43),"")</f>
        <v/>
      </c>
      <c r="O24" s="422"/>
      <c r="P24" s="420" t="str">
        <f>IF(AND('Mapa riesgos'!$M$31="Media",'Mapa riesgos'!$Q$31="Menor"),CONCATENATE("R",'Mapa riesgos'!$A$31),"")</f>
        <v/>
      </c>
      <c r="Q24" s="421"/>
      <c r="R24" s="421" t="str">
        <f>IF(AND('Mapa riesgos'!$M$37="Media",'Mapa riesgos'!$Q$37="Menor"),CONCATENATE("R",'Mapa riesgos'!$A$37),"")</f>
        <v/>
      </c>
      <c r="S24" s="421"/>
      <c r="T24" s="421" t="str">
        <f>IF(AND('Mapa riesgos'!$M$43="Media",'Mapa riesgos'!$Q$43="Menor"),CONCATENATE("R",'Mapa riesgos'!$A$43),"")</f>
        <v/>
      </c>
      <c r="U24" s="422"/>
      <c r="V24" s="420" t="str">
        <f>IF(AND('Mapa riesgos'!$M$31="Media",'Mapa riesgos'!$Q$31="Moderado"),CONCATENATE("R",'Mapa riesgos'!$A$31),"")</f>
        <v/>
      </c>
      <c r="W24" s="421"/>
      <c r="X24" s="421" t="str">
        <f>IF(AND('Mapa riesgos'!$M$37="Media",'Mapa riesgos'!$Q$37="Moderado"),CONCATENATE("R",'Mapa riesgos'!$A$37),"")</f>
        <v/>
      </c>
      <c r="Y24" s="421"/>
      <c r="Z24" s="421" t="str">
        <f>IF(AND('Mapa riesgos'!$M$43="Media",'Mapa riesgos'!$Q$43="Moderado"),CONCATENATE("R",'Mapa riesgos'!$A$43),"")</f>
        <v/>
      </c>
      <c r="AA24" s="422"/>
      <c r="AB24" s="438" t="str">
        <f>IF(AND('Mapa riesgos'!$M$31="Media",'Mapa riesgos'!$Q$31="Mayor"),CONCATENATE("R",'Mapa riesgos'!$A$31),"")</f>
        <v/>
      </c>
      <c r="AC24" s="439"/>
      <c r="AD24" s="439" t="str">
        <f>IF(AND('Mapa riesgos'!$M$37="Media",'Mapa riesgos'!$Q$37="Mayor"),CONCATENATE("R",'Mapa riesgos'!$A$37),"")</f>
        <v/>
      </c>
      <c r="AE24" s="439"/>
      <c r="AF24" s="439" t="str">
        <f>IF(AND('Mapa riesgos'!$M$43="Media",'Mapa riesgos'!$Q$43="Mayor"),CONCATENATE("R",'Mapa riesgos'!$A$43),"")</f>
        <v/>
      </c>
      <c r="AG24" s="440"/>
      <c r="AH24" s="429" t="str">
        <f>IF(AND('Mapa riesgos'!$M$31="Media",'Mapa riesgos'!$Q$31="Catastrófico"),CONCATENATE("R",'Mapa riesgos'!$A$31),"")</f>
        <v/>
      </c>
      <c r="AI24" s="430"/>
      <c r="AJ24" s="430" t="str">
        <f>IF(AND('Mapa riesgos'!$M$37="Media",'Mapa riesgos'!$Q$37="Catastrófico"),CONCATENATE("R",'Mapa riesgos'!$A$37),"")</f>
        <v/>
      </c>
      <c r="AK24" s="430"/>
      <c r="AL24" s="430" t="str">
        <f>IF(AND('Mapa riesgos'!$M$43="Media",'Mapa riesgos'!$Q$43="Catastrófico"),CONCATENATE("R",'Mapa riesgos'!$A$43),"")</f>
        <v/>
      </c>
      <c r="AM24" s="431"/>
      <c r="AN24" s="66"/>
      <c r="AO24" s="481"/>
      <c r="AP24" s="482"/>
      <c r="AQ24" s="482"/>
      <c r="AR24" s="482"/>
      <c r="AS24" s="482"/>
      <c r="AT24" s="483"/>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c r="A25" s="66"/>
      <c r="B25" s="458"/>
      <c r="C25" s="458"/>
      <c r="D25" s="459"/>
      <c r="E25" s="451"/>
      <c r="F25" s="452"/>
      <c r="G25" s="452"/>
      <c r="H25" s="452"/>
      <c r="I25" s="453"/>
      <c r="J25" s="420"/>
      <c r="K25" s="421"/>
      <c r="L25" s="421"/>
      <c r="M25" s="421"/>
      <c r="N25" s="421"/>
      <c r="O25" s="422"/>
      <c r="P25" s="420"/>
      <c r="Q25" s="421"/>
      <c r="R25" s="421"/>
      <c r="S25" s="421"/>
      <c r="T25" s="421"/>
      <c r="U25" s="422"/>
      <c r="V25" s="420"/>
      <c r="W25" s="421"/>
      <c r="X25" s="421"/>
      <c r="Y25" s="421"/>
      <c r="Z25" s="421"/>
      <c r="AA25" s="422"/>
      <c r="AB25" s="438"/>
      <c r="AC25" s="439"/>
      <c r="AD25" s="439"/>
      <c r="AE25" s="439"/>
      <c r="AF25" s="439"/>
      <c r="AG25" s="440"/>
      <c r="AH25" s="429"/>
      <c r="AI25" s="430"/>
      <c r="AJ25" s="430"/>
      <c r="AK25" s="430"/>
      <c r="AL25" s="430"/>
      <c r="AM25" s="431"/>
      <c r="AN25" s="66"/>
      <c r="AO25" s="481"/>
      <c r="AP25" s="482"/>
      <c r="AQ25" s="482"/>
      <c r="AR25" s="482"/>
      <c r="AS25" s="482"/>
      <c r="AT25" s="483"/>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c r="A26" s="66"/>
      <c r="B26" s="458"/>
      <c r="C26" s="458"/>
      <c r="D26" s="459"/>
      <c r="E26" s="451"/>
      <c r="F26" s="452"/>
      <c r="G26" s="452"/>
      <c r="H26" s="452"/>
      <c r="I26" s="453"/>
      <c r="J26" s="420" t="str">
        <f>IF(AND('Mapa riesgos'!$M$49="Media",'Mapa riesgos'!$Q$49="Leve"),CONCATENATE("R",'Mapa riesgos'!$A$49),"")</f>
        <v/>
      </c>
      <c r="K26" s="421"/>
      <c r="L26" s="421" t="str">
        <f>IF(AND('Mapa riesgos'!$M$55="Media",'Mapa riesgos'!$Q$55="Leve"),CONCATENATE("R",'Mapa riesgos'!$A$55),"")</f>
        <v/>
      </c>
      <c r="M26" s="421"/>
      <c r="N26" s="421" t="str">
        <f>IF(AND('Mapa riesgos'!$M$61="Media",'Mapa riesgos'!$Q$61="Leve"),CONCATENATE("R",'Mapa riesgos'!$A$61),"")</f>
        <v/>
      </c>
      <c r="O26" s="422"/>
      <c r="P26" s="420" t="str">
        <f>IF(AND('Mapa riesgos'!$M$49="Media",'Mapa riesgos'!$Q$49="Menor"),CONCATENATE("R",'Mapa riesgos'!$A$49),"")</f>
        <v/>
      </c>
      <c r="Q26" s="421"/>
      <c r="R26" s="421" t="str">
        <f>IF(AND('Mapa riesgos'!$M$55="Media",'Mapa riesgos'!$Q$55="Menor"),CONCATENATE("R",'Mapa riesgos'!$A$55),"")</f>
        <v/>
      </c>
      <c r="S26" s="421"/>
      <c r="T26" s="421" t="str">
        <f>IF(AND('Mapa riesgos'!$M$61="Media",'Mapa riesgos'!$Q$61="Menor"),CONCATENATE("R",'Mapa riesgos'!$A$61),"")</f>
        <v/>
      </c>
      <c r="U26" s="422"/>
      <c r="V26" s="420" t="str">
        <f>IF(AND('Mapa riesgos'!$M$49="Media",'Mapa riesgos'!$Q$49="Moderado"),CONCATENATE("R",'Mapa riesgos'!$A$49),"")</f>
        <v/>
      </c>
      <c r="W26" s="421"/>
      <c r="X26" s="421" t="str">
        <f>IF(AND('Mapa riesgos'!$M$55="Media",'Mapa riesgos'!$Q$55="Moderado"),CONCATENATE("R",'Mapa riesgos'!$A$55),"")</f>
        <v/>
      </c>
      <c r="Y26" s="421"/>
      <c r="Z26" s="421" t="str">
        <f>IF(AND('Mapa riesgos'!$M$61="Media",'Mapa riesgos'!$Q$61="Moderado"),CONCATENATE("R",'Mapa riesgos'!$A$61),"")</f>
        <v/>
      </c>
      <c r="AA26" s="422"/>
      <c r="AB26" s="438" t="str">
        <f>IF(AND('Mapa riesgos'!$M$49="Media",'Mapa riesgos'!$Q$49="Mayor"),CONCATENATE("R",'Mapa riesgos'!$A$49),"")</f>
        <v/>
      </c>
      <c r="AC26" s="439"/>
      <c r="AD26" s="439" t="str">
        <f>IF(AND('Mapa riesgos'!$M$55="Media",'Mapa riesgos'!$Q$55="Mayor"),CONCATENATE("R",'Mapa riesgos'!$A$55),"")</f>
        <v/>
      </c>
      <c r="AE26" s="439"/>
      <c r="AF26" s="439" t="str">
        <f>IF(AND('Mapa riesgos'!$M$61="Media",'Mapa riesgos'!$Q$61="Mayor"),CONCATENATE("R",'Mapa riesgos'!$A$61),"")</f>
        <v/>
      </c>
      <c r="AG26" s="440"/>
      <c r="AH26" s="429" t="str">
        <f>IF(AND('Mapa riesgos'!$M$49="Media",'Mapa riesgos'!$Q$49="Catastrófico"),CONCATENATE("R",'Mapa riesgos'!$A$49),"")</f>
        <v/>
      </c>
      <c r="AI26" s="430"/>
      <c r="AJ26" s="430" t="str">
        <f>IF(AND('Mapa riesgos'!$M$55="Media",'Mapa riesgos'!$Q$55="Catastrófico"),CONCATENATE("R",'Mapa riesgos'!$A$55),"")</f>
        <v/>
      </c>
      <c r="AK26" s="430"/>
      <c r="AL26" s="430" t="str">
        <f>IF(AND('Mapa riesgos'!$M$61="Media",'Mapa riesgos'!$Q$61="Catastrófico"),CONCATENATE("R",'Mapa riesgos'!$A$61),"")</f>
        <v/>
      </c>
      <c r="AM26" s="431"/>
      <c r="AN26" s="66"/>
      <c r="AO26" s="481"/>
      <c r="AP26" s="482"/>
      <c r="AQ26" s="482"/>
      <c r="AR26" s="482"/>
      <c r="AS26" s="482"/>
      <c r="AT26" s="483"/>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c r="A27" s="66"/>
      <c r="B27" s="458"/>
      <c r="C27" s="458"/>
      <c r="D27" s="459"/>
      <c r="E27" s="451"/>
      <c r="F27" s="452"/>
      <c r="G27" s="452"/>
      <c r="H27" s="452"/>
      <c r="I27" s="453"/>
      <c r="J27" s="420"/>
      <c r="K27" s="421"/>
      <c r="L27" s="421"/>
      <c r="M27" s="421"/>
      <c r="N27" s="421"/>
      <c r="O27" s="422"/>
      <c r="P27" s="420"/>
      <c r="Q27" s="421"/>
      <c r="R27" s="421"/>
      <c r="S27" s="421"/>
      <c r="T27" s="421"/>
      <c r="U27" s="422"/>
      <c r="V27" s="420"/>
      <c r="W27" s="421"/>
      <c r="X27" s="421"/>
      <c r="Y27" s="421"/>
      <c r="Z27" s="421"/>
      <c r="AA27" s="422"/>
      <c r="AB27" s="438"/>
      <c r="AC27" s="439"/>
      <c r="AD27" s="439"/>
      <c r="AE27" s="439"/>
      <c r="AF27" s="439"/>
      <c r="AG27" s="440"/>
      <c r="AH27" s="429"/>
      <c r="AI27" s="430"/>
      <c r="AJ27" s="430"/>
      <c r="AK27" s="430"/>
      <c r="AL27" s="430"/>
      <c r="AM27" s="431"/>
      <c r="AN27" s="66"/>
      <c r="AO27" s="481"/>
      <c r="AP27" s="482"/>
      <c r="AQ27" s="482"/>
      <c r="AR27" s="482"/>
      <c r="AS27" s="482"/>
      <c r="AT27" s="483"/>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c r="A28" s="66"/>
      <c r="B28" s="458"/>
      <c r="C28" s="458"/>
      <c r="D28" s="459"/>
      <c r="E28" s="451"/>
      <c r="F28" s="452"/>
      <c r="G28" s="452"/>
      <c r="H28" s="452"/>
      <c r="I28" s="453"/>
      <c r="J28" s="420" t="str">
        <f>IF(AND('Mapa riesgos'!$M$67="Media",'Mapa riesgos'!$Q$67="Leve"),CONCATENATE("R",'Mapa riesgos'!$A$67),"")</f>
        <v/>
      </c>
      <c r="K28" s="421"/>
      <c r="L28" s="421" t="str">
        <f>IF(AND('Mapa riesgos'!$M$73="Media",'Mapa riesgos'!$Q$73="Leve"),CONCATENATE("R",'Mapa riesgos'!$A$73),"")</f>
        <v/>
      </c>
      <c r="M28" s="421"/>
      <c r="N28" s="421" t="str">
        <f>IF(AND('Mapa riesgos'!$M$79="Media",'Mapa riesgos'!$Q$79="Leve"),CONCATENATE("R",'Mapa riesgos'!$A$79),"")</f>
        <v/>
      </c>
      <c r="O28" s="422"/>
      <c r="P28" s="420" t="str">
        <f>IF(AND('Mapa riesgos'!$M$67="Media",'Mapa riesgos'!$Q$67="Menor"),CONCATENATE("R",'Mapa riesgos'!$A$67),"")</f>
        <v/>
      </c>
      <c r="Q28" s="421"/>
      <c r="R28" s="421" t="str">
        <f>IF(AND('Mapa riesgos'!$M$73="Media",'Mapa riesgos'!$Q$73="Menor"),CONCATENATE("R",'Mapa riesgos'!$A$73),"")</f>
        <v/>
      </c>
      <c r="S28" s="421"/>
      <c r="T28" s="421" t="str">
        <f>IF(AND('Mapa riesgos'!$M$79="Media",'Mapa riesgos'!$Q$79="Menor"),CONCATENATE("R",'Mapa riesgos'!$A$79),"")</f>
        <v/>
      </c>
      <c r="U28" s="422"/>
      <c r="V28" s="420" t="str">
        <f>IF(AND('Mapa riesgos'!$M$67="Media",'Mapa riesgos'!$Q$67="Moderado"),CONCATENATE("R",'Mapa riesgos'!$A$67),"")</f>
        <v/>
      </c>
      <c r="W28" s="421"/>
      <c r="X28" s="421" t="str">
        <f>IF(AND('Mapa riesgos'!$M$73="Media",'Mapa riesgos'!$Q$73="Moderado"),CONCATENATE("R",'Mapa riesgos'!$A$73),"")</f>
        <v/>
      </c>
      <c r="Y28" s="421"/>
      <c r="Z28" s="421" t="str">
        <f>IF(AND('Mapa riesgos'!$M$79="Media",'Mapa riesgos'!$Q$79="Moderado"),CONCATENATE("R",'Mapa riesgos'!$A$79),"")</f>
        <v/>
      </c>
      <c r="AA28" s="422"/>
      <c r="AB28" s="438" t="str">
        <f>IF(AND('Mapa riesgos'!$M$67="Media",'Mapa riesgos'!$Q$67="Mayor"),CONCATENATE("R",'Mapa riesgos'!$A$67),"")</f>
        <v/>
      </c>
      <c r="AC28" s="439"/>
      <c r="AD28" s="439" t="str">
        <f>IF(AND('Mapa riesgos'!$M$73="Media",'Mapa riesgos'!$Q$73="Mayor"),CONCATENATE("R",'Mapa riesgos'!$A$73),"")</f>
        <v/>
      </c>
      <c r="AE28" s="439"/>
      <c r="AF28" s="439" t="str">
        <f>IF(AND('Mapa riesgos'!$M$79="Media",'Mapa riesgos'!$Q$79="Mayor"),CONCATENATE("R",'Mapa riesgos'!$A$79),"")</f>
        <v/>
      </c>
      <c r="AG28" s="440"/>
      <c r="AH28" s="429" t="str">
        <f>IF(AND('Mapa riesgos'!$M$67="Media",'Mapa riesgos'!$Q$67="Catastrófico"),CONCATENATE("R",'Mapa riesgos'!$A$67),"")</f>
        <v/>
      </c>
      <c r="AI28" s="430"/>
      <c r="AJ28" s="430" t="str">
        <f>IF(AND('Mapa riesgos'!$M$73="Media",'Mapa riesgos'!$Q$73="Catastrófico"),CONCATENATE("R",'Mapa riesgos'!$A$73),"")</f>
        <v/>
      </c>
      <c r="AK28" s="430"/>
      <c r="AL28" s="430" t="str">
        <f>IF(AND('Mapa riesgos'!$M$79="Media",'Mapa riesgos'!$Q$79="Catastrófico"),CONCATENATE("R",'Mapa riesgos'!$A$79),"")</f>
        <v/>
      </c>
      <c r="AM28" s="431"/>
      <c r="AN28" s="66"/>
      <c r="AO28" s="481"/>
      <c r="AP28" s="482"/>
      <c r="AQ28" s="482"/>
      <c r="AR28" s="482"/>
      <c r="AS28" s="482"/>
      <c r="AT28" s="483"/>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75" thickBot="1">
      <c r="A29" s="66"/>
      <c r="B29" s="458"/>
      <c r="C29" s="458"/>
      <c r="D29" s="459"/>
      <c r="E29" s="454"/>
      <c r="F29" s="455"/>
      <c r="G29" s="455"/>
      <c r="H29" s="455"/>
      <c r="I29" s="456"/>
      <c r="J29" s="420"/>
      <c r="K29" s="421"/>
      <c r="L29" s="421"/>
      <c r="M29" s="421"/>
      <c r="N29" s="421"/>
      <c r="O29" s="422"/>
      <c r="P29" s="423"/>
      <c r="Q29" s="424"/>
      <c r="R29" s="424"/>
      <c r="S29" s="424"/>
      <c r="T29" s="424"/>
      <c r="U29" s="425"/>
      <c r="V29" s="423"/>
      <c r="W29" s="424"/>
      <c r="X29" s="424"/>
      <c r="Y29" s="424"/>
      <c r="Z29" s="424"/>
      <c r="AA29" s="425"/>
      <c r="AB29" s="441"/>
      <c r="AC29" s="442"/>
      <c r="AD29" s="442"/>
      <c r="AE29" s="442"/>
      <c r="AF29" s="442"/>
      <c r="AG29" s="443"/>
      <c r="AH29" s="432"/>
      <c r="AI29" s="433"/>
      <c r="AJ29" s="433"/>
      <c r="AK29" s="433"/>
      <c r="AL29" s="433"/>
      <c r="AM29" s="434"/>
      <c r="AN29" s="66"/>
      <c r="AO29" s="484"/>
      <c r="AP29" s="485"/>
      <c r="AQ29" s="485"/>
      <c r="AR29" s="485"/>
      <c r="AS29" s="485"/>
      <c r="AT29" s="48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c r="A30" s="66"/>
      <c r="B30" s="458"/>
      <c r="C30" s="458"/>
      <c r="D30" s="459"/>
      <c r="E30" s="448" t="s">
        <v>223</v>
      </c>
      <c r="F30" s="449"/>
      <c r="G30" s="449"/>
      <c r="H30" s="449"/>
      <c r="I30" s="449"/>
      <c r="J30" s="417" t="str">
        <f>IF(AND('Mapa riesgos'!$M$13="Baja",'Mapa riesgos'!$Q$13="Leve"),CONCATENATE("R",'Mapa riesgos'!$A$13),"")</f>
        <v/>
      </c>
      <c r="K30" s="418"/>
      <c r="L30" s="418" t="str">
        <f>IF(AND('Mapa riesgos'!$M$19="Baja",'Mapa riesgos'!$Q$19="Leve"),CONCATENATE("R",'Mapa riesgos'!$A$19),"")</f>
        <v/>
      </c>
      <c r="M30" s="418"/>
      <c r="N30" s="418" t="str">
        <f>IF(AND('Mapa riesgos'!$M$25="Baja",'Mapa riesgos'!$Q$25="Leve"),CONCATENATE("R",'Mapa riesgos'!$A$25),"")</f>
        <v/>
      </c>
      <c r="O30" s="419"/>
      <c r="P30" s="427" t="str">
        <f>IF(AND('Mapa riesgos'!$M$13="Baja",'Mapa riesgos'!$Q$13="Menor"),CONCATENATE("R",'Mapa riesgos'!$A$13),"")</f>
        <v/>
      </c>
      <c r="Q30" s="427"/>
      <c r="R30" s="427" t="str">
        <f>IF(AND('Mapa riesgos'!$M$19="Baja",'Mapa riesgos'!$Q$19="Menor"),CONCATENATE("R",'Mapa riesgos'!$A$19),"")</f>
        <v/>
      </c>
      <c r="S30" s="427"/>
      <c r="T30" s="427" t="str">
        <f>IF(AND('Mapa riesgos'!$M$25="Baja",'Mapa riesgos'!$Q$25="Menor"),CONCATENATE("R",'Mapa riesgos'!$A$25),"")</f>
        <v/>
      </c>
      <c r="U30" s="428"/>
      <c r="V30" s="426" t="str">
        <f>IF(AND('Mapa riesgos'!$M$13="Baja",'Mapa riesgos'!$Q$13="Moderado"),CONCATENATE("R",'Mapa riesgos'!$A$13),"")</f>
        <v/>
      </c>
      <c r="W30" s="427"/>
      <c r="X30" s="427" t="str">
        <f>IF(AND('Mapa riesgos'!$M$19="Baja",'Mapa riesgos'!$Q$19="Moderado"),CONCATENATE("R",'Mapa riesgos'!$A$19),"")</f>
        <v/>
      </c>
      <c r="Y30" s="427"/>
      <c r="Z30" s="427" t="str">
        <f>IF(AND('Mapa riesgos'!$M$25="Baja",'Mapa riesgos'!$Q$25="Moderado"),CONCATENATE("R",'Mapa riesgos'!$A$25),"")</f>
        <v/>
      </c>
      <c r="AA30" s="428"/>
      <c r="AB30" s="444" t="str">
        <f>IF(AND('Mapa riesgos'!$M$13="Baja",'Mapa riesgos'!$Q$13="Mayor"),CONCATENATE("R",'Mapa riesgos'!$A$13),"")</f>
        <v/>
      </c>
      <c r="AC30" s="445"/>
      <c r="AD30" s="445" t="str">
        <f>IF(AND('Mapa riesgos'!$M$19="Baja",'Mapa riesgos'!$Q$19="Mayor"),CONCATENATE("R",'Mapa riesgos'!$A$19),"")</f>
        <v/>
      </c>
      <c r="AE30" s="445"/>
      <c r="AF30" s="445" t="str">
        <f>IF(AND('Mapa riesgos'!$M$25="Baja",'Mapa riesgos'!$Q$25="Mayor"),CONCATENATE("R",'Mapa riesgos'!$A$25),"")</f>
        <v/>
      </c>
      <c r="AG30" s="446"/>
      <c r="AH30" s="435" t="str">
        <f>IF(AND('Mapa riesgos'!$M$13="Baja",'Mapa riesgos'!$Q$13="Catastrófico"),CONCATENATE("R",'Mapa riesgos'!$A$13),"")</f>
        <v/>
      </c>
      <c r="AI30" s="436"/>
      <c r="AJ30" s="436" t="str">
        <f>IF(AND('Mapa riesgos'!$M$19="Baja",'Mapa riesgos'!$Q$19="Catastrófico"),CONCATENATE("R",'Mapa riesgos'!$A$19),"")</f>
        <v/>
      </c>
      <c r="AK30" s="436"/>
      <c r="AL30" s="436" t="str">
        <f>IF(AND('Mapa riesgos'!$M$25="Baja",'Mapa riesgos'!$Q$25="Catastrófico"),CONCATENATE("R",'Mapa riesgos'!$A$25),"")</f>
        <v/>
      </c>
      <c r="AM30" s="437"/>
      <c r="AN30" s="66"/>
      <c r="AO30" s="487" t="s">
        <v>224</v>
      </c>
      <c r="AP30" s="488"/>
      <c r="AQ30" s="488"/>
      <c r="AR30" s="488"/>
      <c r="AS30" s="488"/>
      <c r="AT30" s="489"/>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c r="A31" s="66"/>
      <c r="B31" s="458"/>
      <c r="C31" s="458"/>
      <c r="D31" s="459"/>
      <c r="E31" s="451"/>
      <c r="F31" s="452"/>
      <c r="G31" s="452"/>
      <c r="H31" s="452"/>
      <c r="I31" s="452"/>
      <c r="J31" s="411"/>
      <c r="K31" s="412"/>
      <c r="L31" s="412"/>
      <c r="M31" s="412"/>
      <c r="N31" s="412"/>
      <c r="O31" s="413"/>
      <c r="P31" s="421"/>
      <c r="Q31" s="421"/>
      <c r="R31" s="421"/>
      <c r="S31" s="421"/>
      <c r="T31" s="421"/>
      <c r="U31" s="422"/>
      <c r="V31" s="420"/>
      <c r="W31" s="421"/>
      <c r="X31" s="421"/>
      <c r="Y31" s="421"/>
      <c r="Z31" s="421"/>
      <c r="AA31" s="422"/>
      <c r="AB31" s="438"/>
      <c r="AC31" s="439"/>
      <c r="AD31" s="439"/>
      <c r="AE31" s="439"/>
      <c r="AF31" s="439"/>
      <c r="AG31" s="440"/>
      <c r="AH31" s="429"/>
      <c r="AI31" s="430"/>
      <c r="AJ31" s="430"/>
      <c r="AK31" s="430"/>
      <c r="AL31" s="430"/>
      <c r="AM31" s="431"/>
      <c r="AN31" s="66"/>
      <c r="AO31" s="490"/>
      <c r="AP31" s="491"/>
      <c r="AQ31" s="491"/>
      <c r="AR31" s="491"/>
      <c r="AS31" s="491"/>
      <c r="AT31" s="492"/>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c r="A32" s="66"/>
      <c r="B32" s="458"/>
      <c r="C32" s="458"/>
      <c r="D32" s="459"/>
      <c r="E32" s="451"/>
      <c r="F32" s="452"/>
      <c r="G32" s="452"/>
      <c r="H32" s="452"/>
      <c r="I32" s="452"/>
      <c r="J32" s="411" t="str">
        <f>IF(AND('Mapa riesgos'!$M$31="Baja",'Mapa riesgos'!$Q$31="Leve"),CONCATENATE("R",'Mapa riesgos'!$A$31),"")</f>
        <v/>
      </c>
      <c r="K32" s="412"/>
      <c r="L32" s="412" t="str">
        <f>IF(AND('Mapa riesgos'!$M$37="Baja",'Mapa riesgos'!$Q$37="Leve"),CONCATENATE("R",'Mapa riesgos'!$A$37),"")</f>
        <v/>
      </c>
      <c r="M32" s="412"/>
      <c r="N32" s="412" t="str">
        <f>IF(AND('Mapa riesgos'!$M$43="Baja",'Mapa riesgos'!$Q$43="Leve"),CONCATENATE("R",'Mapa riesgos'!$A$43),"")</f>
        <v/>
      </c>
      <c r="O32" s="413"/>
      <c r="P32" s="421" t="str">
        <f>IF(AND('Mapa riesgos'!$M$31="Baja",'Mapa riesgos'!$Q$31="Menor"),CONCATENATE("R",'Mapa riesgos'!$A$31),"")</f>
        <v/>
      </c>
      <c r="Q32" s="421"/>
      <c r="R32" s="421" t="str">
        <f>IF(AND('Mapa riesgos'!$M$37="Baja",'Mapa riesgos'!$Q$37="Menor"),CONCATENATE("R",'Mapa riesgos'!$A$37),"")</f>
        <v/>
      </c>
      <c r="S32" s="421"/>
      <c r="T32" s="421" t="str">
        <f>IF(AND('Mapa riesgos'!$M$43="Baja",'Mapa riesgos'!$Q$43="Menor"),CONCATENATE("R",'Mapa riesgos'!$A$43),"")</f>
        <v/>
      </c>
      <c r="U32" s="422"/>
      <c r="V32" s="420" t="str">
        <f>IF(AND('Mapa riesgos'!$M$31="Baja",'Mapa riesgos'!$Q$31="Moderado"),CONCATENATE("R",'Mapa riesgos'!$A$31),"")</f>
        <v/>
      </c>
      <c r="W32" s="421"/>
      <c r="X32" s="421" t="str">
        <f>IF(AND('Mapa riesgos'!$M$37="Baja",'Mapa riesgos'!$Q$37="Moderado"),CONCATENATE("R",'Mapa riesgos'!$A$37),"")</f>
        <v/>
      </c>
      <c r="Y32" s="421"/>
      <c r="Z32" s="421" t="str">
        <f>IF(AND('Mapa riesgos'!$M$43="Baja",'Mapa riesgos'!$Q$43="Moderado"),CONCATENATE("R",'Mapa riesgos'!$A$43),"")</f>
        <v/>
      </c>
      <c r="AA32" s="422"/>
      <c r="AB32" s="438" t="str">
        <f>IF(AND('Mapa riesgos'!$M$31="Baja",'Mapa riesgos'!$Q$31="Mayor"),CONCATENATE("R",'Mapa riesgos'!$A$31),"")</f>
        <v/>
      </c>
      <c r="AC32" s="439"/>
      <c r="AD32" s="439" t="str">
        <f>IF(AND('Mapa riesgos'!$M$37="Baja",'Mapa riesgos'!$Q$37="Mayor"),CONCATENATE("R",'Mapa riesgos'!$A$37),"")</f>
        <v/>
      </c>
      <c r="AE32" s="439"/>
      <c r="AF32" s="439" t="str">
        <f>IF(AND('Mapa riesgos'!$M$43="Baja",'Mapa riesgos'!$Q$43="Mayor"),CONCATENATE("R",'Mapa riesgos'!$A$43),"")</f>
        <v/>
      </c>
      <c r="AG32" s="440"/>
      <c r="AH32" s="429" t="str">
        <f>IF(AND('Mapa riesgos'!$M$31="Baja",'Mapa riesgos'!$Q$31="Catastrófico"),CONCATENATE("R",'Mapa riesgos'!$A$31),"")</f>
        <v/>
      </c>
      <c r="AI32" s="430"/>
      <c r="AJ32" s="430" t="str">
        <f>IF(AND('Mapa riesgos'!$M$37="Baja",'Mapa riesgos'!$Q$37="Catastrófico"),CONCATENATE("R",'Mapa riesgos'!$A$37),"")</f>
        <v/>
      </c>
      <c r="AK32" s="430"/>
      <c r="AL32" s="430" t="str">
        <f>IF(AND('Mapa riesgos'!$M$43="Baja",'Mapa riesgos'!$Q$43="Catastrófico"),CONCATENATE("R",'Mapa riesgos'!$A$43),"")</f>
        <v/>
      </c>
      <c r="AM32" s="431"/>
      <c r="AN32" s="66"/>
      <c r="AO32" s="490"/>
      <c r="AP32" s="491"/>
      <c r="AQ32" s="491"/>
      <c r="AR32" s="491"/>
      <c r="AS32" s="491"/>
      <c r="AT32" s="492"/>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c r="A33" s="66"/>
      <c r="B33" s="458"/>
      <c r="C33" s="458"/>
      <c r="D33" s="459"/>
      <c r="E33" s="451"/>
      <c r="F33" s="452"/>
      <c r="G33" s="452"/>
      <c r="H33" s="452"/>
      <c r="I33" s="452"/>
      <c r="J33" s="411"/>
      <c r="K33" s="412"/>
      <c r="L33" s="412"/>
      <c r="M33" s="412"/>
      <c r="N33" s="412"/>
      <c r="O33" s="413"/>
      <c r="P33" s="421"/>
      <c r="Q33" s="421"/>
      <c r="R33" s="421"/>
      <c r="S33" s="421"/>
      <c r="T33" s="421"/>
      <c r="U33" s="422"/>
      <c r="V33" s="420"/>
      <c r="W33" s="421"/>
      <c r="X33" s="421"/>
      <c r="Y33" s="421"/>
      <c r="Z33" s="421"/>
      <c r="AA33" s="422"/>
      <c r="AB33" s="438"/>
      <c r="AC33" s="439"/>
      <c r="AD33" s="439"/>
      <c r="AE33" s="439"/>
      <c r="AF33" s="439"/>
      <c r="AG33" s="440"/>
      <c r="AH33" s="429"/>
      <c r="AI33" s="430"/>
      <c r="AJ33" s="430"/>
      <c r="AK33" s="430"/>
      <c r="AL33" s="430"/>
      <c r="AM33" s="431"/>
      <c r="AN33" s="66"/>
      <c r="AO33" s="490"/>
      <c r="AP33" s="491"/>
      <c r="AQ33" s="491"/>
      <c r="AR33" s="491"/>
      <c r="AS33" s="491"/>
      <c r="AT33" s="492"/>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c r="A34" s="66"/>
      <c r="B34" s="458"/>
      <c r="C34" s="458"/>
      <c r="D34" s="459"/>
      <c r="E34" s="451"/>
      <c r="F34" s="452"/>
      <c r="G34" s="452"/>
      <c r="H34" s="452"/>
      <c r="I34" s="452"/>
      <c r="J34" s="411" t="str">
        <f>IF(AND('Mapa riesgos'!$M$49="Baja",'Mapa riesgos'!$Q$49="Leve"),CONCATENATE("R",'Mapa riesgos'!$A$49),"")</f>
        <v/>
      </c>
      <c r="K34" s="412"/>
      <c r="L34" s="412" t="str">
        <f>IF(AND('Mapa riesgos'!$M$55="Baja",'Mapa riesgos'!$Q$55="Leve"),CONCATENATE("R",'Mapa riesgos'!$A$55),"")</f>
        <v/>
      </c>
      <c r="M34" s="412"/>
      <c r="N34" s="412" t="str">
        <f>IF(AND('Mapa riesgos'!$M$61="Baja",'Mapa riesgos'!$Q$61="Leve"),CONCATENATE("R",'Mapa riesgos'!$A$61),"")</f>
        <v/>
      </c>
      <c r="O34" s="413"/>
      <c r="P34" s="421" t="str">
        <f>IF(AND('Mapa riesgos'!$M$49="Baja",'Mapa riesgos'!$Q$49="Menor"),CONCATENATE("R",'Mapa riesgos'!$A$49),"")</f>
        <v/>
      </c>
      <c r="Q34" s="421"/>
      <c r="R34" s="421" t="str">
        <f>IF(AND('Mapa riesgos'!$M$55="Baja",'Mapa riesgos'!$Q$55="Menor"),CONCATENATE("R",'Mapa riesgos'!$A$55),"")</f>
        <v/>
      </c>
      <c r="S34" s="421"/>
      <c r="T34" s="421" t="str">
        <f>IF(AND('Mapa riesgos'!$M$61="Baja",'Mapa riesgos'!$Q$61="Menor"),CONCATENATE("R",'Mapa riesgos'!$A$61),"")</f>
        <v/>
      </c>
      <c r="U34" s="422"/>
      <c r="V34" s="420" t="str">
        <f>IF(AND('Mapa riesgos'!$M$49="Baja",'Mapa riesgos'!$Q$49="Moderado"),CONCATENATE("R",'Mapa riesgos'!$A$49),"")</f>
        <v/>
      </c>
      <c r="W34" s="421"/>
      <c r="X34" s="421" t="str">
        <f>IF(AND('Mapa riesgos'!$M$55="Baja",'Mapa riesgos'!$Q$55="Moderado"),CONCATENATE("R",'Mapa riesgos'!$A$55),"")</f>
        <v/>
      </c>
      <c r="Y34" s="421"/>
      <c r="Z34" s="421" t="str">
        <f>IF(AND('Mapa riesgos'!$M$61="Baja",'Mapa riesgos'!$Q$61="Moderado"),CONCATENATE("R",'Mapa riesgos'!$A$61),"")</f>
        <v/>
      </c>
      <c r="AA34" s="422"/>
      <c r="AB34" s="438" t="str">
        <f>IF(AND('Mapa riesgos'!$M$49="Baja",'Mapa riesgos'!$Q$49="Mayor"),CONCATENATE("R",'Mapa riesgos'!$A$49),"")</f>
        <v/>
      </c>
      <c r="AC34" s="439"/>
      <c r="AD34" s="439" t="str">
        <f>IF(AND('Mapa riesgos'!$M$55="Baja",'Mapa riesgos'!$Q$55="Mayor"),CONCATENATE("R",'Mapa riesgos'!$A$55),"")</f>
        <v/>
      </c>
      <c r="AE34" s="439"/>
      <c r="AF34" s="439" t="str">
        <f>IF(AND('Mapa riesgos'!$M$61="Baja",'Mapa riesgos'!$Q$61="Mayor"),CONCATENATE("R",'Mapa riesgos'!$A$61),"")</f>
        <v/>
      </c>
      <c r="AG34" s="440"/>
      <c r="AH34" s="429" t="str">
        <f>IF(AND('Mapa riesgos'!$M$49="Baja",'Mapa riesgos'!$Q$49="Catastrófico"),CONCATENATE("R",'Mapa riesgos'!$A$49),"")</f>
        <v/>
      </c>
      <c r="AI34" s="430"/>
      <c r="AJ34" s="430" t="str">
        <f>IF(AND('Mapa riesgos'!$M$55="Baja",'Mapa riesgos'!$Q$55="Catastrófico"),CONCATENATE("R",'Mapa riesgos'!$A$55),"")</f>
        <v/>
      </c>
      <c r="AK34" s="430"/>
      <c r="AL34" s="430" t="str">
        <f>IF(AND('Mapa riesgos'!$M$61="Baja",'Mapa riesgos'!$Q$61="Catastrófico"),CONCATENATE("R",'Mapa riesgos'!$A$61),"")</f>
        <v/>
      </c>
      <c r="AM34" s="431"/>
      <c r="AN34" s="66"/>
      <c r="AO34" s="490"/>
      <c r="AP34" s="491"/>
      <c r="AQ34" s="491"/>
      <c r="AR34" s="491"/>
      <c r="AS34" s="491"/>
      <c r="AT34" s="492"/>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c r="A35" s="66"/>
      <c r="B35" s="458"/>
      <c r="C35" s="458"/>
      <c r="D35" s="459"/>
      <c r="E35" s="451"/>
      <c r="F35" s="452"/>
      <c r="G35" s="452"/>
      <c r="H35" s="452"/>
      <c r="I35" s="452"/>
      <c r="J35" s="411"/>
      <c r="K35" s="412"/>
      <c r="L35" s="412"/>
      <c r="M35" s="412"/>
      <c r="N35" s="412"/>
      <c r="O35" s="413"/>
      <c r="P35" s="421"/>
      <c r="Q35" s="421"/>
      <c r="R35" s="421"/>
      <c r="S35" s="421"/>
      <c r="T35" s="421"/>
      <c r="U35" s="422"/>
      <c r="V35" s="420"/>
      <c r="W35" s="421"/>
      <c r="X35" s="421"/>
      <c r="Y35" s="421"/>
      <c r="Z35" s="421"/>
      <c r="AA35" s="422"/>
      <c r="AB35" s="438"/>
      <c r="AC35" s="439"/>
      <c r="AD35" s="439"/>
      <c r="AE35" s="439"/>
      <c r="AF35" s="439"/>
      <c r="AG35" s="440"/>
      <c r="AH35" s="429"/>
      <c r="AI35" s="430"/>
      <c r="AJ35" s="430"/>
      <c r="AK35" s="430"/>
      <c r="AL35" s="430"/>
      <c r="AM35" s="431"/>
      <c r="AN35" s="66"/>
      <c r="AO35" s="490"/>
      <c r="AP35" s="491"/>
      <c r="AQ35" s="491"/>
      <c r="AR35" s="491"/>
      <c r="AS35" s="491"/>
      <c r="AT35" s="492"/>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c r="A36" s="66"/>
      <c r="B36" s="458"/>
      <c r="C36" s="458"/>
      <c r="D36" s="459"/>
      <c r="E36" s="451"/>
      <c r="F36" s="452"/>
      <c r="G36" s="452"/>
      <c r="H36" s="452"/>
      <c r="I36" s="452"/>
      <c r="J36" s="411" t="str">
        <f>IF(AND('Mapa riesgos'!$M$67="Baja",'Mapa riesgos'!$Q$67="Leve"),CONCATENATE("R",'Mapa riesgos'!$A$67),"")</f>
        <v/>
      </c>
      <c r="K36" s="412"/>
      <c r="L36" s="412" t="str">
        <f>IF(AND('Mapa riesgos'!$M$73="Baja",'Mapa riesgos'!$Q$73="Leve"),CONCATENATE("R",'Mapa riesgos'!$A$73),"")</f>
        <v/>
      </c>
      <c r="M36" s="412"/>
      <c r="N36" s="412" t="str">
        <f>IF(AND('Mapa riesgos'!$M$79="Baja",'Mapa riesgos'!$Q$79="Leve"),CONCATENATE("R",'Mapa riesgos'!$A$79),"")</f>
        <v/>
      </c>
      <c r="O36" s="413"/>
      <c r="P36" s="421" t="str">
        <f>IF(AND('Mapa riesgos'!$M$67="Baja",'Mapa riesgos'!$Q$67="Menor"),CONCATENATE("R",'Mapa riesgos'!$A$67),"")</f>
        <v/>
      </c>
      <c r="Q36" s="421"/>
      <c r="R36" s="421" t="str">
        <f>IF(AND('Mapa riesgos'!$M$73="Baja",'Mapa riesgos'!$Q$73="Menor"),CONCATENATE("R",'Mapa riesgos'!$A$73),"")</f>
        <v/>
      </c>
      <c r="S36" s="421"/>
      <c r="T36" s="421" t="str">
        <f>IF(AND('Mapa riesgos'!$M$79="Baja",'Mapa riesgos'!$Q$79="Menor"),CONCATENATE("R",'Mapa riesgos'!$A$79),"")</f>
        <v/>
      </c>
      <c r="U36" s="422"/>
      <c r="V36" s="420" t="str">
        <f>IF(AND('Mapa riesgos'!$M$67="Baja",'Mapa riesgos'!$Q$67="Moderado"),CONCATENATE("R",'Mapa riesgos'!$A$67),"")</f>
        <v/>
      </c>
      <c r="W36" s="421"/>
      <c r="X36" s="421" t="str">
        <f>IF(AND('Mapa riesgos'!$M$73="Baja",'Mapa riesgos'!$Q$73="Moderado"),CONCATENATE("R",'Mapa riesgos'!$A$73),"")</f>
        <v/>
      </c>
      <c r="Y36" s="421"/>
      <c r="Z36" s="421" t="str">
        <f>IF(AND('Mapa riesgos'!$M$79="Baja",'Mapa riesgos'!$Q$79="Moderado"),CONCATENATE("R",'Mapa riesgos'!$A$79),"")</f>
        <v/>
      </c>
      <c r="AA36" s="422"/>
      <c r="AB36" s="438" t="str">
        <f>IF(AND('Mapa riesgos'!$M$67="Baja",'Mapa riesgos'!$Q$67="Mayor"),CONCATENATE("R",'Mapa riesgos'!$A$67),"")</f>
        <v/>
      </c>
      <c r="AC36" s="439"/>
      <c r="AD36" s="439" t="str">
        <f>IF(AND('Mapa riesgos'!$M$73="Baja",'Mapa riesgos'!$Q$73="Mayor"),CONCATENATE("R",'Mapa riesgos'!$A$73),"")</f>
        <v/>
      </c>
      <c r="AE36" s="439"/>
      <c r="AF36" s="439" t="str">
        <f>IF(AND('Mapa riesgos'!$M$79="Baja",'Mapa riesgos'!$Q$79="Mayor"),CONCATENATE("R",'Mapa riesgos'!$A$79),"")</f>
        <v/>
      </c>
      <c r="AG36" s="440"/>
      <c r="AH36" s="429" t="str">
        <f>IF(AND('Mapa riesgos'!$M$67="Baja",'Mapa riesgos'!$Q$67="Catastrófico"),CONCATENATE("R",'Mapa riesgos'!$A$67),"")</f>
        <v/>
      </c>
      <c r="AI36" s="430"/>
      <c r="AJ36" s="430" t="str">
        <f>IF(AND('Mapa riesgos'!$M$73="Baja",'Mapa riesgos'!$Q$73="Catastrófico"),CONCATENATE("R",'Mapa riesgos'!$A$73),"")</f>
        <v/>
      </c>
      <c r="AK36" s="430"/>
      <c r="AL36" s="430" t="str">
        <f>IF(AND('Mapa riesgos'!$M$79="Baja",'Mapa riesgos'!$Q$79="Catastrófico"),CONCATENATE("R",'Mapa riesgos'!$A$79),"")</f>
        <v/>
      </c>
      <c r="AM36" s="431"/>
      <c r="AN36" s="66"/>
      <c r="AO36" s="490"/>
      <c r="AP36" s="491"/>
      <c r="AQ36" s="491"/>
      <c r="AR36" s="491"/>
      <c r="AS36" s="491"/>
      <c r="AT36" s="492"/>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75" thickBot="1">
      <c r="A37" s="66"/>
      <c r="B37" s="458"/>
      <c r="C37" s="458"/>
      <c r="D37" s="459"/>
      <c r="E37" s="454"/>
      <c r="F37" s="455"/>
      <c r="G37" s="455"/>
      <c r="H37" s="455"/>
      <c r="I37" s="455"/>
      <c r="J37" s="414"/>
      <c r="K37" s="415"/>
      <c r="L37" s="415"/>
      <c r="M37" s="415"/>
      <c r="N37" s="415"/>
      <c r="O37" s="416"/>
      <c r="P37" s="424"/>
      <c r="Q37" s="424"/>
      <c r="R37" s="424"/>
      <c r="S37" s="424"/>
      <c r="T37" s="424"/>
      <c r="U37" s="425"/>
      <c r="V37" s="423"/>
      <c r="W37" s="424"/>
      <c r="X37" s="424"/>
      <c r="Y37" s="424"/>
      <c r="Z37" s="424"/>
      <c r="AA37" s="425"/>
      <c r="AB37" s="441"/>
      <c r="AC37" s="442"/>
      <c r="AD37" s="442"/>
      <c r="AE37" s="442"/>
      <c r="AF37" s="442"/>
      <c r="AG37" s="443"/>
      <c r="AH37" s="432"/>
      <c r="AI37" s="433"/>
      <c r="AJ37" s="433"/>
      <c r="AK37" s="433"/>
      <c r="AL37" s="433"/>
      <c r="AM37" s="434"/>
      <c r="AN37" s="66"/>
      <c r="AO37" s="493"/>
      <c r="AP37" s="494"/>
      <c r="AQ37" s="494"/>
      <c r="AR37" s="494"/>
      <c r="AS37" s="494"/>
      <c r="AT37" s="495"/>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c r="A38" s="66"/>
      <c r="B38" s="458"/>
      <c r="C38" s="458"/>
      <c r="D38" s="459"/>
      <c r="E38" s="448" t="s">
        <v>225</v>
      </c>
      <c r="F38" s="449"/>
      <c r="G38" s="449"/>
      <c r="H38" s="449"/>
      <c r="I38" s="450"/>
      <c r="J38" s="417" t="str">
        <f>IF(AND('Mapa riesgos'!$M$13="Muy Baja",'Mapa riesgos'!$Q$13="Leve"),CONCATENATE("R",'Mapa riesgos'!$A$13),"")</f>
        <v/>
      </c>
      <c r="K38" s="418"/>
      <c r="L38" s="418" t="str">
        <f>IF(AND('Mapa riesgos'!$M$19="Muy Baja",'Mapa riesgos'!$Q$19="Leve"),CONCATENATE("R",'Mapa riesgos'!$A$19),"")</f>
        <v/>
      </c>
      <c r="M38" s="418"/>
      <c r="N38" s="418" t="str">
        <f>IF(AND('Mapa riesgos'!$M$25="Muy Baja",'Mapa riesgos'!$Q$25="Leve"),CONCATENATE("R",'Mapa riesgos'!$A$25),"")</f>
        <v/>
      </c>
      <c r="O38" s="419"/>
      <c r="P38" s="417" t="str">
        <f>IF(AND('Mapa riesgos'!$M$13="Muy Baja",'Mapa riesgos'!$Q$13="Menor"),CONCATENATE("R",'Mapa riesgos'!$A$13),"")</f>
        <v/>
      </c>
      <c r="Q38" s="418"/>
      <c r="R38" s="418" t="str">
        <f>IF(AND('Mapa riesgos'!$M$19="Muy Baja",'Mapa riesgos'!$Q$19="Menor"),CONCATENATE("R",'Mapa riesgos'!$A$19),"")</f>
        <v/>
      </c>
      <c r="S38" s="418"/>
      <c r="T38" s="418" t="str">
        <f>IF(AND('Mapa riesgos'!$M$25="Muy Baja",'Mapa riesgos'!$Q$25="Menor"),CONCATENATE("R",'Mapa riesgos'!$A$25),"")</f>
        <v/>
      </c>
      <c r="U38" s="419"/>
      <c r="V38" s="426" t="str">
        <f>IF(AND('Mapa riesgos'!$M$13="Muy Baja",'Mapa riesgos'!$Q$13="Moderado"),CONCATENATE("R",'Mapa riesgos'!$A$13),"")</f>
        <v/>
      </c>
      <c r="W38" s="427"/>
      <c r="X38" s="427" t="str">
        <f>IF(AND('Mapa riesgos'!$M$19="Muy Baja",'Mapa riesgos'!$Q$19="Moderado"),CONCATENATE("R",'Mapa riesgos'!$A$19),"")</f>
        <v/>
      </c>
      <c r="Y38" s="427"/>
      <c r="Z38" s="427" t="str">
        <f>IF(AND('Mapa riesgos'!$M$25="Muy Baja",'Mapa riesgos'!$Q$25="Moderado"),CONCATENATE("R",'Mapa riesgos'!$A$25),"")</f>
        <v/>
      </c>
      <c r="AA38" s="428"/>
      <c r="AB38" s="444" t="str">
        <f>IF(AND('Mapa riesgos'!$M$13="Muy Baja",'Mapa riesgos'!$Q$13="Mayor"),CONCATENATE("R",'Mapa riesgos'!$A$13),"")</f>
        <v/>
      </c>
      <c r="AC38" s="445"/>
      <c r="AD38" s="445" t="str">
        <f>IF(AND('Mapa riesgos'!$M$19="Muy Baja",'Mapa riesgos'!$Q$19="Mayor"),CONCATENATE("R",'Mapa riesgos'!$A$19),"")</f>
        <v/>
      </c>
      <c r="AE38" s="445"/>
      <c r="AF38" s="445" t="str">
        <f>IF(AND('Mapa riesgos'!$M$25="Muy Baja",'Mapa riesgos'!$Q$25="Mayor"),CONCATENATE("R",'Mapa riesgos'!$A$25),"")</f>
        <v/>
      </c>
      <c r="AG38" s="446"/>
      <c r="AH38" s="435" t="str">
        <f>IF(AND('Mapa riesgos'!$M$13="Muy Baja",'Mapa riesgos'!$Q$13="Catastrófico"),CONCATENATE("R",'Mapa riesgos'!$A$13),"")</f>
        <v/>
      </c>
      <c r="AI38" s="436"/>
      <c r="AJ38" s="436" t="str">
        <f>IF(AND('Mapa riesgos'!$M$19="Muy Baja",'Mapa riesgos'!$Q$19="Catastrófico"),CONCATENATE("R",'Mapa riesgos'!$A$19),"")</f>
        <v/>
      </c>
      <c r="AK38" s="436"/>
      <c r="AL38" s="436" t="str">
        <f>IF(AND('Mapa riesgos'!$M$25="Muy Baja",'Mapa riesgos'!$Q$25="Catastrófico"),CONCATENATE("R",'Mapa riesgos'!$A$25),"")</f>
        <v/>
      </c>
      <c r="AM38" s="437"/>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c r="A39" s="66"/>
      <c r="B39" s="458"/>
      <c r="C39" s="458"/>
      <c r="D39" s="459"/>
      <c r="E39" s="451"/>
      <c r="F39" s="452"/>
      <c r="G39" s="452"/>
      <c r="H39" s="452"/>
      <c r="I39" s="453"/>
      <c r="J39" s="411"/>
      <c r="K39" s="412"/>
      <c r="L39" s="412"/>
      <c r="M39" s="412"/>
      <c r="N39" s="412"/>
      <c r="O39" s="413"/>
      <c r="P39" s="411"/>
      <c r="Q39" s="412"/>
      <c r="R39" s="412"/>
      <c r="S39" s="412"/>
      <c r="T39" s="412"/>
      <c r="U39" s="413"/>
      <c r="V39" s="420"/>
      <c r="W39" s="421"/>
      <c r="X39" s="421"/>
      <c r="Y39" s="421"/>
      <c r="Z39" s="421"/>
      <c r="AA39" s="422"/>
      <c r="AB39" s="438"/>
      <c r="AC39" s="439"/>
      <c r="AD39" s="439"/>
      <c r="AE39" s="439"/>
      <c r="AF39" s="439"/>
      <c r="AG39" s="440"/>
      <c r="AH39" s="429"/>
      <c r="AI39" s="430"/>
      <c r="AJ39" s="430"/>
      <c r="AK39" s="430"/>
      <c r="AL39" s="430"/>
      <c r="AM39" s="431"/>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c r="A40" s="66"/>
      <c r="B40" s="458"/>
      <c r="C40" s="458"/>
      <c r="D40" s="459"/>
      <c r="E40" s="451"/>
      <c r="F40" s="452"/>
      <c r="G40" s="452"/>
      <c r="H40" s="452"/>
      <c r="I40" s="453"/>
      <c r="J40" s="411" t="str">
        <f>IF(AND('Mapa riesgos'!$M$31="Muy Baja",'Mapa riesgos'!$Q$31="Leve"),CONCATENATE("R",'Mapa riesgos'!$A$31),"")</f>
        <v/>
      </c>
      <c r="K40" s="412"/>
      <c r="L40" s="412" t="str">
        <f>IF(AND('Mapa riesgos'!$M$37="Muy Baja",'Mapa riesgos'!$Q$37="Leve"),CONCATENATE("R",'Mapa riesgos'!$A$37),"")</f>
        <v/>
      </c>
      <c r="M40" s="412"/>
      <c r="N40" s="412" t="str">
        <f>IF(AND('Mapa riesgos'!$M$43="Muy Baja",'Mapa riesgos'!$Q$43="Leve"),CONCATENATE("R",'Mapa riesgos'!$A$43),"")</f>
        <v/>
      </c>
      <c r="O40" s="413"/>
      <c r="P40" s="411" t="str">
        <f>IF(AND('Mapa riesgos'!$M$31="Muy Baja",'Mapa riesgos'!$Q$31="Menor"),CONCATENATE("R",'Mapa riesgos'!$A$31),"")</f>
        <v/>
      </c>
      <c r="Q40" s="412"/>
      <c r="R40" s="412" t="str">
        <f>IF(AND('Mapa riesgos'!$M$37="Muy Baja",'Mapa riesgos'!$Q$37="Menor"),CONCATENATE("R",'Mapa riesgos'!$A$37),"")</f>
        <v/>
      </c>
      <c r="S40" s="412"/>
      <c r="T40" s="412" t="str">
        <f>IF(AND('Mapa riesgos'!$M$43="Muy Baja",'Mapa riesgos'!$Q$43="Menor"),CONCATENATE("R",'Mapa riesgos'!$A$43),"")</f>
        <v/>
      </c>
      <c r="U40" s="413"/>
      <c r="V40" s="420" t="str">
        <f>IF(AND('Mapa riesgos'!$M$31="Muy Baja",'Mapa riesgos'!$Q$31="Moderado"),CONCATENATE("R",'Mapa riesgos'!$A$31),"")</f>
        <v/>
      </c>
      <c r="W40" s="421"/>
      <c r="X40" s="421" t="str">
        <f>IF(AND('Mapa riesgos'!$M$37="Muy Baja",'Mapa riesgos'!$Q$37="Moderado"),CONCATENATE("R",'Mapa riesgos'!$A$37),"")</f>
        <v/>
      </c>
      <c r="Y40" s="421"/>
      <c r="Z40" s="421" t="str">
        <f>IF(AND('Mapa riesgos'!$M$43="Muy Baja",'Mapa riesgos'!$Q$43="Moderado"),CONCATENATE("R",'Mapa riesgos'!$A$43),"")</f>
        <v/>
      </c>
      <c r="AA40" s="422"/>
      <c r="AB40" s="438" t="str">
        <f>IF(AND('Mapa riesgos'!$M$31="Muy Baja",'Mapa riesgos'!$Q$31="Mayor"),CONCATENATE("R",'Mapa riesgos'!$A$31),"")</f>
        <v/>
      </c>
      <c r="AC40" s="439"/>
      <c r="AD40" s="439" t="str">
        <f>IF(AND('Mapa riesgos'!$M$37="Muy Baja",'Mapa riesgos'!$Q$37="Mayor"),CONCATENATE("R",'Mapa riesgos'!$A$37),"")</f>
        <v/>
      </c>
      <c r="AE40" s="439"/>
      <c r="AF40" s="439" t="str">
        <f>IF(AND('Mapa riesgos'!$M$43="Muy Baja",'Mapa riesgos'!$Q$43="Mayor"),CONCATENATE("R",'Mapa riesgos'!$A$43),"")</f>
        <v/>
      </c>
      <c r="AG40" s="440"/>
      <c r="AH40" s="429" t="str">
        <f>IF(AND('Mapa riesgos'!$M$31="Muy Baja",'Mapa riesgos'!$Q$31="Catastrófico"),CONCATENATE("R",'Mapa riesgos'!$A$31),"")</f>
        <v/>
      </c>
      <c r="AI40" s="430"/>
      <c r="AJ40" s="430" t="str">
        <f>IF(AND('Mapa riesgos'!$M$37="Muy Baja",'Mapa riesgos'!$Q$37="Catastrófico"),CONCATENATE("R",'Mapa riesgos'!$A$37),"")</f>
        <v/>
      </c>
      <c r="AK40" s="430"/>
      <c r="AL40" s="430" t="str">
        <f>IF(AND('Mapa riesgos'!$M$43="Muy Baja",'Mapa riesgos'!$Q$43="Catastrófico"),CONCATENATE("R",'Mapa riesgos'!$A$43),"")</f>
        <v/>
      </c>
      <c r="AM40" s="431"/>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c r="A41" s="66"/>
      <c r="B41" s="458"/>
      <c r="C41" s="458"/>
      <c r="D41" s="459"/>
      <c r="E41" s="451"/>
      <c r="F41" s="452"/>
      <c r="G41" s="452"/>
      <c r="H41" s="452"/>
      <c r="I41" s="453"/>
      <c r="J41" s="411"/>
      <c r="K41" s="412"/>
      <c r="L41" s="412"/>
      <c r="M41" s="412"/>
      <c r="N41" s="412"/>
      <c r="O41" s="413"/>
      <c r="P41" s="411"/>
      <c r="Q41" s="412"/>
      <c r="R41" s="412"/>
      <c r="S41" s="412"/>
      <c r="T41" s="412"/>
      <c r="U41" s="413"/>
      <c r="V41" s="420"/>
      <c r="W41" s="421"/>
      <c r="X41" s="421"/>
      <c r="Y41" s="421"/>
      <c r="Z41" s="421"/>
      <c r="AA41" s="422"/>
      <c r="AB41" s="438"/>
      <c r="AC41" s="439"/>
      <c r="AD41" s="439"/>
      <c r="AE41" s="439"/>
      <c r="AF41" s="439"/>
      <c r="AG41" s="440"/>
      <c r="AH41" s="429"/>
      <c r="AI41" s="430"/>
      <c r="AJ41" s="430"/>
      <c r="AK41" s="430"/>
      <c r="AL41" s="430"/>
      <c r="AM41" s="431"/>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c r="A42" s="66"/>
      <c r="B42" s="458"/>
      <c r="C42" s="458"/>
      <c r="D42" s="459"/>
      <c r="E42" s="451"/>
      <c r="F42" s="452"/>
      <c r="G42" s="452"/>
      <c r="H42" s="452"/>
      <c r="I42" s="453"/>
      <c r="J42" s="411" t="str">
        <f>IF(AND('Mapa riesgos'!$M$49="Muy Baja",'Mapa riesgos'!$Q$49="Leve"),CONCATENATE("R",'Mapa riesgos'!$A$49),"")</f>
        <v/>
      </c>
      <c r="K42" s="412"/>
      <c r="L42" s="412" t="str">
        <f>IF(AND('Mapa riesgos'!$M$55="Muy Baja",'Mapa riesgos'!$Q$55="Leve"),CONCATENATE("R",'Mapa riesgos'!$A$55),"")</f>
        <v/>
      </c>
      <c r="M42" s="412"/>
      <c r="N42" s="412" t="str">
        <f>IF(AND('Mapa riesgos'!$M$61="Muy Baja",'Mapa riesgos'!$Q$61="Leve"),CONCATENATE("R",'Mapa riesgos'!$A$61),"")</f>
        <v/>
      </c>
      <c r="O42" s="413"/>
      <c r="P42" s="411" t="str">
        <f>IF(AND('Mapa riesgos'!$M$49="Muy Baja",'Mapa riesgos'!$Q$49="Menor"),CONCATENATE("R",'Mapa riesgos'!$A$49),"")</f>
        <v/>
      </c>
      <c r="Q42" s="412"/>
      <c r="R42" s="412" t="str">
        <f>IF(AND('Mapa riesgos'!$M$55="Muy Baja",'Mapa riesgos'!$Q$55="Menor"),CONCATENATE("R",'Mapa riesgos'!$A$55),"")</f>
        <v/>
      </c>
      <c r="S42" s="412"/>
      <c r="T42" s="412" t="str">
        <f>IF(AND('Mapa riesgos'!$M$61="Muy Baja",'Mapa riesgos'!$Q$61="Menor"),CONCATENATE("R",'Mapa riesgos'!$A$61),"")</f>
        <v/>
      </c>
      <c r="U42" s="413"/>
      <c r="V42" s="420" t="str">
        <f>IF(AND('Mapa riesgos'!$M$49="Muy Baja",'Mapa riesgos'!$Q$49="Moderado"),CONCATENATE("R",'Mapa riesgos'!$A$49),"")</f>
        <v/>
      </c>
      <c r="W42" s="421"/>
      <c r="X42" s="421" t="str">
        <f>IF(AND('Mapa riesgos'!$M$55="Muy Baja",'Mapa riesgos'!$Q$55="Moderado"),CONCATENATE("R",'Mapa riesgos'!$A$55),"")</f>
        <v/>
      </c>
      <c r="Y42" s="421"/>
      <c r="Z42" s="421" t="str">
        <f>IF(AND('Mapa riesgos'!$M$61="Muy Baja",'Mapa riesgos'!$Q$61="Moderado"),CONCATENATE("R",'Mapa riesgos'!$A$61),"")</f>
        <v/>
      </c>
      <c r="AA42" s="422"/>
      <c r="AB42" s="438" t="str">
        <f>IF(AND('Mapa riesgos'!$M$49="Muy Baja",'Mapa riesgos'!$Q$49="Mayor"),CONCATENATE("R",'Mapa riesgos'!$A$49),"")</f>
        <v/>
      </c>
      <c r="AC42" s="439"/>
      <c r="AD42" s="439" t="str">
        <f>IF(AND('Mapa riesgos'!$M$55="Muy Baja",'Mapa riesgos'!$Q$55="Mayor"),CONCATENATE("R",'Mapa riesgos'!$A$55),"")</f>
        <v/>
      </c>
      <c r="AE42" s="439"/>
      <c r="AF42" s="439" t="str">
        <f>IF(AND('Mapa riesgos'!$M$61="Muy Baja",'Mapa riesgos'!$Q$61="Mayor"),CONCATENATE("R",'Mapa riesgos'!$A$61),"")</f>
        <v/>
      </c>
      <c r="AG42" s="440"/>
      <c r="AH42" s="429" t="str">
        <f>IF(AND('Mapa riesgos'!$M$49="Muy Baja",'Mapa riesgos'!$Q$49="Catastrófico"),CONCATENATE("R",'Mapa riesgos'!$A$49),"")</f>
        <v/>
      </c>
      <c r="AI42" s="430"/>
      <c r="AJ42" s="430" t="str">
        <f>IF(AND('Mapa riesgos'!$M$55="Muy Baja",'Mapa riesgos'!$Q$55="Catastrófico"),CONCATENATE("R",'Mapa riesgos'!$A$55),"")</f>
        <v/>
      </c>
      <c r="AK42" s="430"/>
      <c r="AL42" s="430" t="str">
        <f>IF(AND('Mapa riesgos'!$M$61="Muy Baja",'Mapa riesgos'!$Q$61="Catastrófico"),CONCATENATE("R",'Mapa riesgos'!$A$61),"")</f>
        <v/>
      </c>
      <c r="AM42" s="431"/>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c r="A43" s="66"/>
      <c r="B43" s="458"/>
      <c r="C43" s="458"/>
      <c r="D43" s="459"/>
      <c r="E43" s="451"/>
      <c r="F43" s="452"/>
      <c r="G43" s="452"/>
      <c r="H43" s="452"/>
      <c r="I43" s="453"/>
      <c r="J43" s="411"/>
      <c r="K43" s="412"/>
      <c r="L43" s="412"/>
      <c r="M43" s="412"/>
      <c r="N43" s="412"/>
      <c r="O43" s="413"/>
      <c r="P43" s="411"/>
      <c r="Q43" s="412"/>
      <c r="R43" s="412"/>
      <c r="S43" s="412"/>
      <c r="T43" s="412"/>
      <c r="U43" s="413"/>
      <c r="V43" s="420"/>
      <c r="W43" s="421"/>
      <c r="X43" s="421"/>
      <c r="Y43" s="421"/>
      <c r="Z43" s="421"/>
      <c r="AA43" s="422"/>
      <c r="AB43" s="438"/>
      <c r="AC43" s="439"/>
      <c r="AD43" s="439"/>
      <c r="AE43" s="439"/>
      <c r="AF43" s="439"/>
      <c r="AG43" s="440"/>
      <c r="AH43" s="429"/>
      <c r="AI43" s="430"/>
      <c r="AJ43" s="430"/>
      <c r="AK43" s="430"/>
      <c r="AL43" s="430"/>
      <c r="AM43" s="431"/>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c r="A44" s="66"/>
      <c r="B44" s="458"/>
      <c r="C44" s="458"/>
      <c r="D44" s="459"/>
      <c r="E44" s="451"/>
      <c r="F44" s="452"/>
      <c r="G44" s="452"/>
      <c r="H44" s="452"/>
      <c r="I44" s="453"/>
      <c r="J44" s="411" t="str">
        <f>IF(AND('Mapa riesgos'!$M$67="Muy Baja",'Mapa riesgos'!$Q$67="Leve"),CONCATENATE("R",'Mapa riesgos'!$A$67),"")</f>
        <v/>
      </c>
      <c r="K44" s="412"/>
      <c r="L44" s="412" t="str">
        <f>IF(AND('Mapa riesgos'!$M$73="Muy Baja",'Mapa riesgos'!$Q$73="Leve"),CONCATENATE("R",'Mapa riesgos'!$A$73),"")</f>
        <v/>
      </c>
      <c r="M44" s="412"/>
      <c r="N44" s="412" t="str">
        <f>IF(AND('Mapa riesgos'!$M$79="Muy Baja",'Mapa riesgos'!$Q$79="Leve"),CONCATENATE("R",'Mapa riesgos'!$A$79),"")</f>
        <v/>
      </c>
      <c r="O44" s="413"/>
      <c r="P44" s="411" t="str">
        <f>IF(AND('Mapa riesgos'!$M$67="Muy Baja",'Mapa riesgos'!$Q$67="Menor"),CONCATENATE("R",'Mapa riesgos'!$A$67),"")</f>
        <v/>
      </c>
      <c r="Q44" s="412"/>
      <c r="R44" s="412" t="str">
        <f>IF(AND('Mapa riesgos'!$M$73="Muy Baja",'Mapa riesgos'!$Q$73="Menor"),CONCATENATE("R",'Mapa riesgos'!$A$73),"")</f>
        <v/>
      </c>
      <c r="S44" s="412"/>
      <c r="T44" s="412" t="str">
        <f>IF(AND('Mapa riesgos'!$M$79="Muy Baja",'Mapa riesgos'!$Q$79="Menor"),CONCATENATE("R",'Mapa riesgos'!$A$79),"")</f>
        <v/>
      </c>
      <c r="U44" s="413"/>
      <c r="V44" s="420" t="str">
        <f>IF(AND('Mapa riesgos'!$M$67="Muy Baja",'Mapa riesgos'!$Q$67="Moderado"),CONCATENATE("R",'Mapa riesgos'!$A$67),"")</f>
        <v/>
      </c>
      <c r="W44" s="421"/>
      <c r="X44" s="421" t="str">
        <f>IF(AND('Mapa riesgos'!$M$73="Muy Baja",'Mapa riesgos'!$Q$73="Moderado"),CONCATENATE("R",'Mapa riesgos'!$A$73),"")</f>
        <v/>
      </c>
      <c r="Y44" s="421"/>
      <c r="Z44" s="421" t="str">
        <f>IF(AND('Mapa riesgos'!$M$79="Muy Baja",'Mapa riesgos'!$Q$79="Moderado"),CONCATENATE("R",'Mapa riesgos'!$A$79),"")</f>
        <v/>
      </c>
      <c r="AA44" s="422"/>
      <c r="AB44" s="438" t="str">
        <f>IF(AND('Mapa riesgos'!$M$67="Muy Baja",'Mapa riesgos'!$Q$67="Mayor"),CONCATENATE("R",'Mapa riesgos'!$A$67),"")</f>
        <v/>
      </c>
      <c r="AC44" s="439"/>
      <c r="AD44" s="439" t="str">
        <f>IF(AND('Mapa riesgos'!$M$73="Muy Baja",'Mapa riesgos'!$Q$73="Mayor"),CONCATENATE("R",'Mapa riesgos'!$A$73),"")</f>
        <v/>
      </c>
      <c r="AE44" s="439"/>
      <c r="AF44" s="439" t="str">
        <f>IF(AND('Mapa riesgos'!$M$79="Muy Baja",'Mapa riesgos'!$Q$79="Mayor"),CONCATENATE("R",'Mapa riesgos'!$A$79),"")</f>
        <v/>
      </c>
      <c r="AG44" s="440"/>
      <c r="AH44" s="429" t="str">
        <f>IF(AND('Mapa riesgos'!$M$67="Muy Baja",'Mapa riesgos'!$Q$67="Catastrófico"),CONCATENATE("R",'Mapa riesgos'!$A$67),"")</f>
        <v/>
      </c>
      <c r="AI44" s="430"/>
      <c r="AJ44" s="430" t="str">
        <f>IF(AND('Mapa riesgos'!$M$73="Muy Baja",'Mapa riesgos'!$Q$73="Catastrófico"),CONCATENATE("R",'Mapa riesgos'!$A$73),"")</f>
        <v/>
      </c>
      <c r="AK44" s="430"/>
      <c r="AL44" s="430" t="str">
        <f>IF(AND('Mapa riesgos'!$M$79="Muy Baja",'Mapa riesgos'!$Q$79="Catastrófico"),CONCATENATE("R",'Mapa riesgos'!$A$79),"")</f>
        <v/>
      </c>
      <c r="AM44" s="431"/>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75" thickBot="1">
      <c r="A45" s="66"/>
      <c r="B45" s="458"/>
      <c r="C45" s="458"/>
      <c r="D45" s="459"/>
      <c r="E45" s="454"/>
      <c r="F45" s="455"/>
      <c r="G45" s="455"/>
      <c r="H45" s="455"/>
      <c r="I45" s="456"/>
      <c r="J45" s="414"/>
      <c r="K45" s="415"/>
      <c r="L45" s="415"/>
      <c r="M45" s="415"/>
      <c r="N45" s="415"/>
      <c r="O45" s="416"/>
      <c r="P45" s="414"/>
      <c r="Q45" s="415"/>
      <c r="R45" s="415"/>
      <c r="S45" s="415"/>
      <c r="T45" s="415"/>
      <c r="U45" s="416"/>
      <c r="V45" s="423"/>
      <c r="W45" s="424"/>
      <c r="X45" s="424"/>
      <c r="Y45" s="424"/>
      <c r="Z45" s="424"/>
      <c r="AA45" s="425"/>
      <c r="AB45" s="441"/>
      <c r="AC45" s="442"/>
      <c r="AD45" s="442"/>
      <c r="AE45" s="442"/>
      <c r="AF45" s="442"/>
      <c r="AG45" s="443"/>
      <c r="AH45" s="432"/>
      <c r="AI45" s="433"/>
      <c r="AJ45" s="433"/>
      <c r="AK45" s="433"/>
      <c r="AL45" s="433"/>
      <c r="AM45" s="434"/>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c r="A46" s="66"/>
      <c r="B46" s="66"/>
      <c r="C46" s="66"/>
      <c r="D46" s="66"/>
      <c r="E46" s="66"/>
      <c r="F46" s="66"/>
      <c r="G46" s="66"/>
      <c r="H46" s="66"/>
      <c r="I46" s="66"/>
      <c r="J46" s="448" t="s">
        <v>226</v>
      </c>
      <c r="K46" s="449"/>
      <c r="L46" s="449"/>
      <c r="M46" s="449"/>
      <c r="N46" s="449"/>
      <c r="O46" s="450"/>
      <c r="P46" s="448" t="s">
        <v>227</v>
      </c>
      <c r="Q46" s="449"/>
      <c r="R46" s="449"/>
      <c r="S46" s="449"/>
      <c r="T46" s="449"/>
      <c r="U46" s="450"/>
      <c r="V46" s="448" t="s">
        <v>228</v>
      </c>
      <c r="W46" s="449"/>
      <c r="X46" s="449"/>
      <c r="Y46" s="449"/>
      <c r="Z46" s="449"/>
      <c r="AA46" s="450"/>
      <c r="AB46" s="448" t="s">
        <v>229</v>
      </c>
      <c r="AC46" s="457"/>
      <c r="AD46" s="449"/>
      <c r="AE46" s="449"/>
      <c r="AF46" s="449"/>
      <c r="AG46" s="450"/>
      <c r="AH46" s="448" t="s">
        <v>230</v>
      </c>
      <c r="AI46" s="449"/>
      <c r="AJ46" s="449"/>
      <c r="AK46" s="449"/>
      <c r="AL46" s="449"/>
      <c r="AM46" s="450"/>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c r="A47" s="66"/>
      <c r="B47" s="66"/>
      <c r="C47" s="66"/>
      <c r="D47" s="66"/>
      <c r="E47" s="66"/>
      <c r="F47" s="66"/>
      <c r="G47" s="66"/>
      <c r="H47" s="66"/>
      <c r="I47" s="66"/>
      <c r="J47" s="451"/>
      <c r="K47" s="452"/>
      <c r="L47" s="452"/>
      <c r="M47" s="452"/>
      <c r="N47" s="452"/>
      <c r="O47" s="453"/>
      <c r="P47" s="451"/>
      <c r="Q47" s="452"/>
      <c r="R47" s="452"/>
      <c r="S47" s="452"/>
      <c r="T47" s="452"/>
      <c r="U47" s="453"/>
      <c r="V47" s="451"/>
      <c r="W47" s="452"/>
      <c r="X47" s="452"/>
      <c r="Y47" s="452"/>
      <c r="Z47" s="452"/>
      <c r="AA47" s="453"/>
      <c r="AB47" s="451"/>
      <c r="AC47" s="452"/>
      <c r="AD47" s="452"/>
      <c r="AE47" s="452"/>
      <c r="AF47" s="452"/>
      <c r="AG47" s="453"/>
      <c r="AH47" s="451"/>
      <c r="AI47" s="452"/>
      <c r="AJ47" s="452"/>
      <c r="AK47" s="452"/>
      <c r="AL47" s="452"/>
      <c r="AM47" s="453"/>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c r="A48" s="66"/>
      <c r="B48" s="66"/>
      <c r="C48" s="66"/>
      <c r="D48" s="66"/>
      <c r="E48" s="66"/>
      <c r="F48" s="66"/>
      <c r="G48" s="66"/>
      <c r="H48" s="66"/>
      <c r="I48" s="66"/>
      <c r="J48" s="451"/>
      <c r="K48" s="452"/>
      <c r="L48" s="452"/>
      <c r="M48" s="452"/>
      <c r="N48" s="452"/>
      <c r="O48" s="453"/>
      <c r="P48" s="451"/>
      <c r="Q48" s="452"/>
      <c r="R48" s="452"/>
      <c r="S48" s="452"/>
      <c r="T48" s="452"/>
      <c r="U48" s="453"/>
      <c r="V48" s="451"/>
      <c r="W48" s="452"/>
      <c r="X48" s="452"/>
      <c r="Y48" s="452"/>
      <c r="Z48" s="452"/>
      <c r="AA48" s="453"/>
      <c r="AB48" s="451"/>
      <c r="AC48" s="452"/>
      <c r="AD48" s="452"/>
      <c r="AE48" s="452"/>
      <c r="AF48" s="452"/>
      <c r="AG48" s="453"/>
      <c r="AH48" s="451"/>
      <c r="AI48" s="452"/>
      <c r="AJ48" s="452"/>
      <c r="AK48" s="452"/>
      <c r="AL48" s="452"/>
      <c r="AM48" s="453"/>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c r="A49" s="66"/>
      <c r="B49" s="66"/>
      <c r="C49" s="66"/>
      <c r="D49" s="66"/>
      <c r="E49" s="66"/>
      <c r="F49" s="66"/>
      <c r="G49" s="66"/>
      <c r="H49" s="66"/>
      <c r="I49" s="66"/>
      <c r="J49" s="451"/>
      <c r="K49" s="452"/>
      <c r="L49" s="452"/>
      <c r="M49" s="452"/>
      <c r="N49" s="452"/>
      <c r="O49" s="453"/>
      <c r="P49" s="451"/>
      <c r="Q49" s="452"/>
      <c r="R49" s="452"/>
      <c r="S49" s="452"/>
      <c r="T49" s="452"/>
      <c r="U49" s="453"/>
      <c r="V49" s="451"/>
      <c r="W49" s="452"/>
      <c r="X49" s="452"/>
      <c r="Y49" s="452"/>
      <c r="Z49" s="452"/>
      <c r="AA49" s="453"/>
      <c r="AB49" s="451"/>
      <c r="AC49" s="452"/>
      <c r="AD49" s="452"/>
      <c r="AE49" s="452"/>
      <c r="AF49" s="452"/>
      <c r="AG49" s="453"/>
      <c r="AH49" s="451"/>
      <c r="AI49" s="452"/>
      <c r="AJ49" s="452"/>
      <c r="AK49" s="452"/>
      <c r="AL49" s="452"/>
      <c r="AM49" s="453"/>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c r="A50" s="66"/>
      <c r="B50" s="66"/>
      <c r="C50" s="66"/>
      <c r="D50" s="66"/>
      <c r="E50" s="66"/>
      <c r="F50" s="66"/>
      <c r="G50" s="66"/>
      <c r="H50" s="66"/>
      <c r="I50" s="66"/>
      <c r="J50" s="451"/>
      <c r="K50" s="452"/>
      <c r="L50" s="452"/>
      <c r="M50" s="452"/>
      <c r="N50" s="452"/>
      <c r="O50" s="453"/>
      <c r="P50" s="451"/>
      <c r="Q50" s="452"/>
      <c r="R50" s="452"/>
      <c r="S50" s="452"/>
      <c r="T50" s="452"/>
      <c r="U50" s="453"/>
      <c r="V50" s="451"/>
      <c r="W50" s="452"/>
      <c r="X50" s="452"/>
      <c r="Y50" s="452"/>
      <c r="Z50" s="452"/>
      <c r="AA50" s="453"/>
      <c r="AB50" s="451"/>
      <c r="AC50" s="452"/>
      <c r="AD50" s="452"/>
      <c r="AE50" s="452"/>
      <c r="AF50" s="452"/>
      <c r="AG50" s="453"/>
      <c r="AH50" s="451"/>
      <c r="AI50" s="452"/>
      <c r="AJ50" s="452"/>
      <c r="AK50" s="452"/>
      <c r="AL50" s="452"/>
      <c r="AM50" s="453"/>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75" thickBot="1">
      <c r="A51" s="66"/>
      <c r="B51" s="66"/>
      <c r="C51" s="66"/>
      <c r="D51" s="66"/>
      <c r="E51" s="66"/>
      <c r="F51" s="66"/>
      <c r="G51" s="66"/>
      <c r="H51" s="66"/>
      <c r="I51" s="66"/>
      <c r="J51" s="454"/>
      <c r="K51" s="455"/>
      <c r="L51" s="455"/>
      <c r="M51" s="455"/>
      <c r="N51" s="455"/>
      <c r="O51" s="456"/>
      <c r="P51" s="454"/>
      <c r="Q51" s="455"/>
      <c r="R51" s="455"/>
      <c r="S51" s="455"/>
      <c r="T51" s="455"/>
      <c r="U51" s="456"/>
      <c r="V51" s="454"/>
      <c r="W51" s="455"/>
      <c r="X51" s="455"/>
      <c r="Y51" s="455"/>
      <c r="Z51" s="455"/>
      <c r="AA51" s="456"/>
      <c r="AB51" s="454"/>
      <c r="AC51" s="455"/>
      <c r="AD51" s="455"/>
      <c r="AE51" s="455"/>
      <c r="AF51" s="455"/>
      <c r="AG51" s="456"/>
      <c r="AH51" s="454"/>
      <c r="AI51" s="455"/>
      <c r="AJ51" s="455"/>
      <c r="AK51" s="455"/>
      <c r="AL51" s="455"/>
      <c r="AM51" s="45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c r="B137" s="66"/>
      <c r="C137" s="66"/>
      <c r="D137" s="66"/>
      <c r="E137" s="66"/>
      <c r="F137" s="66"/>
      <c r="G137" s="66"/>
      <c r="H137" s="66"/>
      <c r="I137" s="66"/>
    </row>
    <row r="138" spans="2:63">
      <c r="B138" s="66"/>
      <c r="C138" s="66"/>
      <c r="D138" s="66"/>
      <c r="E138" s="66"/>
      <c r="F138" s="66"/>
      <c r="G138" s="66"/>
      <c r="H138" s="66"/>
      <c r="I138" s="66"/>
    </row>
    <row r="139" spans="2:63">
      <c r="B139" s="66"/>
      <c r="C139" s="66"/>
      <c r="D139" s="66"/>
      <c r="E139" s="66"/>
      <c r="F139" s="66"/>
      <c r="G139" s="66"/>
      <c r="H139" s="66"/>
      <c r="I139" s="66"/>
    </row>
    <row r="140" spans="2:63">
      <c r="B140" s="66"/>
      <c r="C140" s="66"/>
      <c r="D140" s="66"/>
      <c r="E140" s="66"/>
      <c r="F140" s="66"/>
      <c r="G140" s="66"/>
      <c r="H140" s="66"/>
      <c r="I140" s="66"/>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248"/>
  <sheetViews>
    <sheetView topLeftCell="A6" zoomScale="50" zoomScaleNormal="50" workbookViewId="0">
      <selection activeCell="W45" sqref="W45"/>
    </sheetView>
  </sheetViews>
  <sheetFormatPr defaultColWidth="11.42578125" defaultRowHeight="1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c r="A2" s="66"/>
      <c r="B2" s="525" t="s">
        <v>231</v>
      </c>
      <c r="C2" s="526"/>
      <c r="D2" s="526"/>
      <c r="E2" s="526"/>
      <c r="F2" s="526"/>
      <c r="G2" s="526"/>
      <c r="H2" s="526"/>
      <c r="I2" s="526"/>
      <c r="J2" s="447" t="s">
        <v>15</v>
      </c>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447"/>
      <c r="AK2" s="447"/>
      <c r="AL2" s="447"/>
      <c r="AM2" s="447"/>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c r="A3" s="66"/>
      <c r="B3" s="526"/>
      <c r="C3" s="526"/>
      <c r="D3" s="526"/>
      <c r="E3" s="526"/>
      <c r="F3" s="526"/>
      <c r="G3" s="526"/>
      <c r="H3" s="526"/>
      <c r="I3" s="526"/>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447"/>
      <c r="AK3" s="447"/>
      <c r="AL3" s="447"/>
      <c r="AM3" s="447"/>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c r="A4" s="66"/>
      <c r="B4" s="526"/>
      <c r="C4" s="526"/>
      <c r="D4" s="526"/>
      <c r="E4" s="526"/>
      <c r="F4" s="526"/>
      <c r="G4" s="526"/>
      <c r="H4" s="526"/>
      <c r="I4" s="526"/>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447"/>
      <c r="AM4" s="447"/>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75" thickBot="1">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c r="A6" s="66"/>
      <c r="B6" s="458" t="s">
        <v>216</v>
      </c>
      <c r="C6" s="458"/>
      <c r="D6" s="459"/>
      <c r="E6" s="496" t="s">
        <v>217</v>
      </c>
      <c r="F6" s="497"/>
      <c r="G6" s="497"/>
      <c r="H6" s="497"/>
      <c r="I6" s="498"/>
      <c r="J6" s="29" t="str">
        <f>IF(AND('Mapa riesgos'!$AD$13="Muy Alta",'Mapa riesgos'!$AF$13="Leve"),CONCATENATE("R1C",'Mapa riesgos'!$T$13),"")</f>
        <v/>
      </c>
      <c r="K6" s="30" t="str">
        <f>IF(AND('Mapa riesgos'!$AD$14="Muy Alta",'Mapa riesgos'!$AF$14="Leve"),CONCATENATE("R1C",'Mapa riesgos'!$T$14),"")</f>
        <v/>
      </c>
      <c r="L6" s="30" t="str">
        <f>IF(AND('Mapa riesgos'!$AD$15="Muy Alta",'Mapa riesgos'!$AF$15="Leve"),CONCATENATE("R1C",'Mapa riesgos'!$T$15),"")</f>
        <v/>
      </c>
      <c r="M6" s="30" t="str">
        <f>IF(AND('Mapa riesgos'!$AD$16="Muy Alta",'Mapa riesgos'!$AF$16="Leve"),CONCATENATE("R1C",'Mapa riesgos'!$T$16),"")</f>
        <v/>
      </c>
      <c r="N6" s="30" t="str">
        <f>IF(AND('Mapa riesgos'!$AD$17="Muy Alta",'Mapa riesgos'!$AF$17="Leve"),CONCATENATE("R1C",'Mapa riesgos'!$T$17),"")</f>
        <v/>
      </c>
      <c r="O6" s="31" t="str">
        <f>IF(AND('Mapa riesgos'!$AD$18="Muy Alta",'Mapa riesgos'!$AF$18="Leve"),CONCATENATE("R1C",'Mapa riesgos'!$T$18),"")</f>
        <v/>
      </c>
      <c r="P6" s="29" t="str">
        <f>IF(AND('Mapa riesgos'!$AD$13="Muy Alta",'Mapa riesgos'!$AF$13="Menor"),CONCATENATE("R1C",'Mapa riesgos'!$T$13),"")</f>
        <v/>
      </c>
      <c r="Q6" s="30" t="str">
        <f>IF(AND('Mapa riesgos'!$AD$14="Muy Alta",'Mapa riesgos'!$AF$14="Menor"),CONCATENATE("R1C",'Mapa riesgos'!$T$14),"")</f>
        <v/>
      </c>
      <c r="R6" s="30" t="str">
        <f>IF(AND('Mapa riesgos'!$AD$15="Muy Alta",'Mapa riesgos'!$AF$15="Menor"),CONCATENATE("R1C",'Mapa riesgos'!$T$15),"")</f>
        <v/>
      </c>
      <c r="S6" s="30" t="str">
        <f>IF(AND('Mapa riesgos'!$AD$16="Muy Alta",'Mapa riesgos'!$AF$16="Menor"),CONCATENATE("R1C",'Mapa riesgos'!$T$16),"")</f>
        <v/>
      </c>
      <c r="T6" s="30" t="str">
        <f>IF(AND('Mapa riesgos'!$AD$17="Muy Alta",'Mapa riesgos'!$AF$17="Menor"),CONCATENATE("R1C",'Mapa riesgos'!$T$17),"")</f>
        <v/>
      </c>
      <c r="U6" s="31" t="str">
        <f>IF(AND('Mapa riesgos'!$AD$18="Muy Alta",'Mapa riesgos'!$AF$18="Menor"),CONCATENATE("R1C",'Mapa riesgos'!$T$18),"")</f>
        <v/>
      </c>
      <c r="V6" s="29" t="str">
        <f>IF(AND('Mapa riesgos'!$AD$13="Muy Alta",'Mapa riesgos'!$AF$13="Moderado"),CONCATENATE("R1C",'Mapa riesgos'!$T$13),"")</f>
        <v/>
      </c>
      <c r="W6" s="30" t="str">
        <f>IF(AND('Mapa riesgos'!$AD$14="Muy Alta",'Mapa riesgos'!$AF$14="Moderado"),CONCATENATE("R1C",'Mapa riesgos'!$T$14),"")</f>
        <v/>
      </c>
      <c r="X6" s="30" t="str">
        <f>IF(AND('Mapa riesgos'!$AD$15="Muy Alta",'Mapa riesgos'!$AF$15="Moderado"),CONCATENATE("R1C",'Mapa riesgos'!$T$15),"")</f>
        <v/>
      </c>
      <c r="Y6" s="30" t="str">
        <f>IF(AND('Mapa riesgos'!$AD$16="Muy Alta",'Mapa riesgos'!$AF$16="Moderado"),CONCATENATE("R1C",'Mapa riesgos'!$T$16),"")</f>
        <v/>
      </c>
      <c r="Z6" s="30" t="str">
        <f>IF(AND('Mapa riesgos'!$AD$17="Muy Alta",'Mapa riesgos'!$AF$17="Moderado"),CONCATENATE("R1C",'Mapa riesgos'!$T$17),"")</f>
        <v/>
      </c>
      <c r="AA6" s="31" t="str">
        <f>IF(AND('Mapa riesgos'!$AD$18="Muy Alta",'Mapa riesgos'!$AF$18="Moderado"),CONCATENATE("R1C",'Mapa riesgos'!$T$18),"")</f>
        <v/>
      </c>
      <c r="AB6" s="29" t="str">
        <f>IF(AND('Mapa riesgos'!$AD$13="Muy Alta",'Mapa riesgos'!$AF$13="Mayor"),CONCATENATE("R1C",'Mapa riesgos'!$T$13),"")</f>
        <v/>
      </c>
      <c r="AC6" s="30" t="str">
        <f>IF(AND('Mapa riesgos'!$AD$14="Muy Alta",'Mapa riesgos'!$AF$14="Mayor"),CONCATENATE("R1C",'Mapa riesgos'!$T$14),"")</f>
        <v/>
      </c>
      <c r="AD6" s="30" t="str">
        <f>IF(AND('Mapa riesgos'!$AD$15="Muy Alta",'Mapa riesgos'!$AF$15="Mayor"),CONCATENATE("R1C",'Mapa riesgos'!$T$15),"")</f>
        <v/>
      </c>
      <c r="AE6" s="30" t="str">
        <f>IF(AND('Mapa riesgos'!$AD$16="Muy Alta",'Mapa riesgos'!$AF$16="Mayor"),CONCATENATE("R1C",'Mapa riesgos'!$T$16),"")</f>
        <v/>
      </c>
      <c r="AF6" s="30" t="str">
        <f>IF(AND('Mapa riesgos'!$AD$17="Muy Alta",'Mapa riesgos'!$AF$17="Mayor"),CONCATENATE("R1C",'Mapa riesgos'!$T$17),"")</f>
        <v/>
      </c>
      <c r="AG6" s="31" t="str">
        <f>IF(AND('Mapa riesgos'!$AD$18="Muy Alta",'Mapa riesgos'!$AF$18="Mayor"),CONCATENATE("R1C",'Mapa riesgos'!$T$18),"")</f>
        <v/>
      </c>
      <c r="AH6" s="32" t="str">
        <f>IF(AND('Mapa riesgos'!$AD$13="Muy Alta",'Mapa riesgos'!$AF$13="Catastrófico"),CONCATENATE("R1C",'Mapa riesgos'!$T$13),"")</f>
        <v/>
      </c>
      <c r="AI6" s="33" t="str">
        <f>IF(AND('Mapa riesgos'!$AD$14="Muy Alta",'Mapa riesgos'!$AF$14="Catastrófico"),CONCATENATE("R1C",'Mapa riesgos'!$T$14),"")</f>
        <v/>
      </c>
      <c r="AJ6" s="33" t="str">
        <f>IF(AND('Mapa riesgos'!$AD$15="Muy Alta",'Mapa riesgos'!$AF$15="Catastrófico"),CONCATENATE("R1C",'Mapa riesgos'!$T$15),"")</f>
        <v/>
      </c>
      <c r="AK6" s="33" t="str">
        <f>IF(AND('Mapa riesgos'!$AD$16="Muy Alta",'Mapa riesgos'!$AF$16="Catastrófico"),CONCATENATE("R1C",'Mapa riesgos'!$T$16),"")</f>
        <v/>
      </c>
      <c r="AL6" s="33" t="str">
        <f>IF(AND('Mapa riesgos'!$AD$17="Muy Alta",'Mapa riesgos'!$AF$17="Catastrófico"),CONCATENATE("R1C",'Mapa riesgos'!$T$17),"")</f>
        <v/>
      </c>
      <c r="AM6" s="34" t="str">
        <f>IF(AND('Mapa riesgos'!$AD$18="Muy Alta",'Mapa riesgos'!$AF$18="Catastrófico"),CONCATENATE("R1C",'Mapa riesgos'!$T$18),"")</f>
        <v/>
      </c>
      <c r="AN6" s="66"/>
      <c r="AO6" s="516" t="s">
        <v>218</v>
      </c>
      <c r="AP6" s="517"/>
      <c r="AQ6" s="517"/>
      <c r="AR6" s="517"/>
      <c r="AS6" s="517"/>
      <c r="AT6" s="518"/>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c r="A7" s="66"/>
      <c r="B7" s="458"/>
      <c r="C7" s="458"/>
      <c r="D7" s="459"/>
      <c r="E7" s="499"/>
      <c r="F7" s="500"/>
      <c r="G7" s="500"/>
      <c r="H7" s="500"/>
      <c r="I7" s="501"/>
      <c r="J7" s="35" t="str">
        <f>IF(AND('Mapa riesgos'!$AD$19="Muy Alta",'Mapa riesgos'!$AF$19="Leve"),CONCATENATE("R2C",'Mapa riesgos'!$T$19),"")</f>
        <v/>
      </c>
      <c r="K7" s="36" t="str">
        <f>IF(AND('Mapa riesgos'!$AD$20="Muy Alta",'Mapa riesgos'!$AF$20="Leve"),CONCATENATE("R2C",'Mapa riesgos'!$T$20),"")</f>
        <v/>
      </c>
      <c r="L7" s="36" t="str">
        <f>IF(AND('Mapa riesgos'!$AD$21="Muy Alta",'Mapa riesgos'!$AF$21="Leve"),CONCATENATE("R2C",'Mapa riesgos'!$T$21),"")</f>
        <v/>
      </c>
      <c r="M7" s="36" t="str">
        <f>IF(AND('Mapa riesgos'!$AD$22="Muy Alta",'Mapa riesgos'!$AF$22="Leve"),CONCATENATE("R2C",'Mapa riesgos'!$T$22),"")</f>
        <v/>
      </c>
      <c r="N7" s="36" t="str">
        <f>IF(AND('Mapa riesgos'!$AD$23="Muy Alta",'Mapa riesgos'!$AF$23="Leve"),CONCATENATE("R2C",'Mapa riesgos'!$T$23),"")</f>
        <v/>
      </c>
      <c r="O7" s="37" t="str">
        <f>IF(AND('Mapa riesgos'!$AD$24="Muy Alta",'Mapa riesgos'!$AF$24="Leve"),CONCATENATE("R2C",'Mapa riesgos'!$T$24),"")</f>
        <v/>
      </c>
      <c r="P7" s="35" t="str">
        <f>IF(AND('Mapa riesgos'!$AD$19="Muy Alta",'Mapa riesgos'!$AF$19="Menor"),CONCATENATE("R2C",'Mapa riesgos'!$T$19),"")</f>
        <v/>
      </c>
      <c r="Q7" s="36" t="str">
        <f>IF(AND('Mapa riesgos'!$AD$20="Muy Alta",'Mapa riesgos'!$AF$20="Menor"),CONCATENATE("R2C",'Mapa riesgos'!$T$20),"")</f>
        <v/>
      </c>
      <c r="R7" s="36" t="str">
        <f>IF(AND('Mapa riesgos'!$AD$21="Muy Alta",'Mapa riesgos'!$AF$21="Menor"),CONCATENATE("R2C",'Mapa riesgos'!$T$21),"")</f>
        <v/>
      </c>
      <c r="S7" s="36" t="str">
        <f>IF(AND('Mapa riesgos'!$AD$22="Muy Alta",'Mapa riesgos'!$AF$22="Menor"),CONCATENATE("R2C",'Mapa riesgos'!$T$22),"")</f>
        <v/>
      </c>
      <c r="T7" s="36" t="str">
        <f>IF(AND('Mapa riesgos'!$AD$23="Muy Alta",'Mapa riesgos'!$AF$23="Menor"),CONCATENATE("R2C",'Mapa riesgos'!$T$23),"")</f>
        <v/>
      </c>
      <c r="U7" s="37" t="str">
        <f>IF(AND('Mapa riesgos'!$AD$24="Muy Alta",'Mapa riesgos'!$AF$24="Menor"),CONCATENATE("R2C",'Mapa riesgos'!$T$24),"")</f>
        <v/>
      </c>
      <c r="V7" s="35" t="str">
        <f>IF(AND('Mapa riesgos'!$AD$19="Muy Alta",'Mapa riesgos'!$AF$19="Moderado"),CONCATENATE("R2C",'Mapa riesgos'!$T$19),"")</f>
        <v/>
      </c>
      <c r="W7" s="36" t="str">
        <f>IF(AND('Mapa riesgos'!$AD$20="Muy Alta",'Mapa riesgos'!$AF$20="Moderado"),CONCATENATE("R2C",'Mapa riesgos'!$T$20),"")</f>
        <v/>
      </c>
      <c r="X7" s="36" t="str">
        <f>IF(AND('Mapa riesgos'!$AD$21="Muy Alta",'Mapa riesgos'!$AF$21="Moderado"),CONCATENATE("R2C",'Mapa riesgos'!$T$21),"")</f>
        <v/>
      </c>
      <c r="Y7" s="36" t="str">
        <f>IF(AND('Mapa riesgos'!$AD$22="Muy Alta",'Mapa riesgos'!$AF$22="Moderado"),CONCATENATE("R2C",'Mapa riesgos'!$T$22),"")</f>
        <v/>
      </c>
      <c r="Z7" s="36" t="str">
        <f>IF(AND('Mapa riesgos'!$AD$23="Muy Alta",'Mapa riesgos'!$AF$23="Moderado"),CONCATENATE("R2C",'Mapa riesgos'!$T$23),"")</f>
        <v/>
      </c>
      <c r="AA7" s="37" t="str">
        <f>IF(AND('Mapa riesgos'!$AD$24="Muy Alta",'Mapa riesgos'!$AF$24="Moderado"),CONCATENATE("R2C",'Mapa riesgos'!$T$24),"")</f>
        <v/>
      </c>
      <c r="AB7" s="35" t="str">
        <f>IF(AND('Mapa riesgos'!$AD$19="Muy Alta",'Mapa riesgos'!$AF$19="Mayor"),CONCATENATE("R2C",'Mapa riesgos'!$T$19),"")</f>
        <v/>
      </c>
      <c r="AC7" s="36" t="str">
        <f>IF(AND('Mapa riesgos'!$AD$20="Muy Alta",'Mapa riesgos'!$AF$20="Mayor"),CONCATENATE("R2C",'Mapa riesgos'!$T$20),"")</f>
        <v/>
      </c>
      <c r="AD7" s="36" t="str">
        <f>IF(AND('Mapa riesgos'!$AD$21="Muy Alta",'Mapa riesgos'!$AF$21="Mayor"),CONCATENATE("R2C",'Mapa riesgos'!$T$21),"")</f>
        <v/>
      </c>
      <c r="AE7" s="36" t="str">
        <f>IF(AND('Mapa riesgos'!$AD$22="Muy Alta",'Mapa riesgos'!$AF$22="Mayor"),CONCATENATE("R2C",'Mapa riesgos'!$T$22),"")</f>
        <v/>
      </c>
      <c r="AF7" s="36" t="str">
        <f>IF(AND('Mapa riesgos'!$AD$23="Muy Alta",'Mapa riesgos'!$AF$23="Mayor"),CONCATENATE("R2C",'Mapa riesgos'!$T$23),"")</f>
        <v/>
      </c>
      <c r="AG7" s="37" t="str">
        <f>IF(AND('Mapa riesgos'!$AD$24="Muy Alta",'Mapa riesgos'!$AF$24="Mayor"),CONCATENATE("R2C",'Mapa riesgos'!$T$24),"")</f>
        <v/>
      </c>
      <c r="AH7" s="38" t="str">
        <f>IF(AND('Mapa riesgos'!$AD$19="Muy Alta",'Mapa riesgos'!$AF$19="Catastrófico"),CONCATENATE("R2C",'Mapa riesgos'!$T$19),"")</f>
        <v/>
      </c>
      <c r="AI7" s="39" t="str">
        <f>IF(AND('Mapa riesgos'!$AD$20="Muy Alta",'Mapa riesgos'!$AF$20="Catastrófico"),CONCATENATE("R2C",'Mapa riesgos'!$T$20),"")</f>
        <v/>
      </c>
      <c r="AJ7" s="39" t="str">
        <f>IF(AND('Mapa riesgos'!$AD$21="Muy Alta",'Mapa riesgos'!$AF$21="Catastrófico"),CONCATENATE("R2C",'Mapa riesgos'!$T$21),"")</f>
        <v/>
      </c>
      <c r="AK7" s="39" t="str">
        <f>IF(AND('Mapa riesgos'!$AD$22="Muy Alta",'Mapa riesgos'!$AF$22="Catastrófico"),CONCATENATE("R2C",'Mapa riesgos'!$T$22),"")</f>
        <v/>
      </c>
      <c r="AL7" s="39" t="str">
        <f>IF(AND('Mapa riesgos'!$AD$23="Muy Alta",'Mapa riesgos'!$AF$23="Catastrófico"),CONCATENATE("R2C",'Mapa riesgos'!$T$23),"")</f>
        <v/>
      </c>
      <c r="AM7" s="40" t="str">
        <f>IF(AND('Mapa riesgos'!$AD$24="Muy Alta",'Mapa riesgos'!$AF$24="Catastrófico"),CONCATENATE("R2C",'Mapa riesgos'!$T$24),"")</f>
        <v/>
      </c>
      <c r="AN7" s="66"/>
      <c r="AO7" s="519"/>
      <c r="AP7" s="520"/>
      <c r="AQ7" s="520"/>
      <c r="AR7" s="520"/>
      <c r="AS7" s="520"/>
      <c r="AT7" s="521"/>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c r="A8" s="66"/>
      <c r="B8" s="458"/>
      <c r="C8" s="458"/>
      <c r="D8" s="459"/>
      <c r="E8" s="499"/>
      <c r="F8" s="500"/>
      <c r="G8" s="500"/>
      <c r="H8" s="500"/>
      <c r="I8" s="501"/>
      <c r="J8" s="35" t="str">
        <f>IF(AND('Mapa riesgos'!$AD$25="Muy Alta",'Mapa riesgos'!$AF$25="Leve"),CONCATENATE("R3C",'Mapa riesgos'!$T$25),"")</f>
        <v/>
      </c>
      <c r="K8" s="36" t="str">
        <f>IF(AND('Mapa riesgos'!$AD$26="Muy Alta",'Mapa riesgos'!$AF$26="Leve"),CONCATENATE("R3C",'Mapa riesgos'!$T$26),"")</f>
        <v/>
      </c>
      <c r="L8" s="36" t="str">
        <f>IF(AND('Mapa riesgos'!$AD$27="Muy Alta",'Mapa riesgos'!$AF$27="Leve"),CONCATENATE("R3C",'Mapa riesgos'!$T$27),"")</f>
        <v/>
      </c>
      <c r="M8" s="36" t="str">
        <f>IF(AND('Mapa riesgos'!$AD$28="Muy Alta",'Mapa riesgos'!$AF$28="Leve"),CONCATENATE("R3C",'Mapa riesgos'!$T$28),"")</f>
        <v/>
      </c>
      <c r="N8" s="36" t="str">
        <f>IF(AND('Mapa riesgos'!$AD$29="Muy Alta",'Mapa riesgos'!$AF$29="Leve"),CONCATENATE("R3C",'Mapa riesgos'!$T$29),"")</f>
        <v/>
      </c>
      <c r="O8" s="37" t="str">
        <f>IF(AND('Mapa riesgos'!$AD$30="Muy Alta",'Mapa riesgos'!$AF$30="Leve"),CONCATENATE("R3C",'Mapa riesgos'!$T$30),"")</f>
        <v/>
      </c>
      <c r="P8" s="35" t="str">
        <f>IF(AND('Mapa riesgos'!$AD$25="Muy Alta",'Mapa riesgos'!$AF$25="Menor"),CONCATENATE("R3C",'Mapa riesgos'!$T$25),"")</f>
        <v/>
      </c>
      <c r="Q8" s="36" t="str">
        <f>IF(AND('Mapa riesgos'!$AD$26="Muy Alta",'Mapa riesgos'!$AF$26="Menor"),CONCATENATE("R3C",'Mapa riesgos'!$T$26),"")</f>
        <v/>
      </c>
      <c r="R8" s="36" t="str">
        <f>IF(AND('Mapa riesgos'!$AD$27="Muy Alta",'Mapa riesgos'!$AF$27="Menor"),CONCATENATE("R3C",'Mapa riesgos'!$T$27),"")</f>
        <v/>
      </c>
      <c r="S8" s="36" t="str">
        <f>IF(AND('Mapa riesgos'!$AD$28="Muy Alta",'Mapa riesgos'!$AF$28="Menor"),CONCATENATE("R3C",'Mapa riesgos'!$T$28),"")</f>
        <v/>
      </c>
      <c r="T8" s="36" t="str">
        <f>IF(AND('Mapa riesgos'!$AD$29="Muy Alta",'Mapa riesgos'!$AF$29="Menor"),CONCATENATE("R3C",'Mapa riesgos'!$T$29),"")</f>
        <v/>
      </c>
      <c r="U8" s="37" t="str">
        <f>IF(AND('Mapa riesgos'!$AD$30="Muy Alta",'Mapa riesgos'!$AF$30="Menor"),CONCATENATE("R3C",'Mapa riesgos'!$T$30),"")</f>
        <v/>
      </c>
      <c r="V8" s="35" t="str">
        <f>IF(AND('Mapa riesgos'!$AD$25="Muy Alta",'Mapa riesgos'!$AF$25="Moderado"),CONCATENATE("R3C",'Mapa riesgos'!$T$25),"")</f>
        <v/>
      </c>
      <c r="W8" s="36" t="str">
        <f>IF(AND('Mapa riesgos'!$AD$26="Muy Alta",'Mapa riesgos'!$AF$26="Moderado"),CONCATENATE("R3C",'Mapa riesgos'!$T$26),"")</f>
        <v/>
      </c>
      <c r="X8" s="36" t="str">
        <f>IF(AND('Mapa riesgos'!$AD$27="Muy Alta",'Mapa riesgos'!$AF$27="Moderado"),CONCATENATE("R3C",'Mapa riesgos'!$T$27),"")</f>
        <v/>
      </c>
      <c r="Y8" s="36" t="str">
        <f>IF(AND('Mapa riesgos'!$AD$28="Muy Alta",'Mapa riesgos'!$AF$28="Moderado"),CONCATENATE("R3C",'Mapa riesgos'!$T$28),"")</f>
        <v/>
      </c>
      <c r="Z8" s="36" t="str">
        <f>IF(AND('Mapa riesgos'!$AD$29="Muy Alta",'Mapa riesgos'!$AF$29="Moderado"),CONCATENATE("R3C",'Mapa riesgos'!$T$29),"")</f>
        <v/>
      </c>
      <c r="AA8" s="37" t="str">
        <f>IF(AND('Mapa riesgos'!$AD$30="Muy Alta",'Mapa riesgos'!$AF$30="Moderado"),CONCATENATE("R3C",'Mapa riesgos'!$T$30),"")</f>
        <v/>
      </c>
      <c r="AB8" s="35" t="str">
        <f>IF(AND('Mapa riesgos'!$AD$25="Muy Alta",'Mapa riesgos'!$AF$25="Mayor"),CONCATENATE("R3C",'Mapa riesgos'!$T$25),"")</f>
        <v/>
      </c>
      <c r="AC8" s="36" t="str">
        <f>IF(AND('Mapa riesgos'!$AD$26="Muy Alta",'Mapa riesgos'!$AF$26="Mayor"),CONCATENATE("R3C",'Mapa riesgos'!$T$26),"")</f>
        <v/>
      </c>
      <c r="AD8" s="36" t="str">
        <f>IF(AND('Mapa riesgos'!$AD$27="Muy Alta",'Mapa riesgos'!$AF$27="Mayor"),CONCATENATE("R3C",'Mapa riesgos'!$T$27),"")</f>
        <v/>
      </c>
      <c r="AE8" s="36" t="str">
        <f>IF(AND('Mapa riesgos'!$AD$28="Muy Alta",'Mapa riesgos'!$AF$28="Mayor"),CONCATENATE("R3C",'Mapa riesgos'!$T$28),"")</f>
        <v/>
      </c>
      <c r="AF8" s="36" t="str">
        <f>IF(AND('Mapa riesgos'!$AD$29="Muy Alta",'Mapa riesgos'!$AF$29="Mayor"),CONCATENATE("R3C",'Mapa riesgos'!$T$29),"")</f>
        <v/>
      </c>
      <c r="AG8" s="37" t="str">
        <f>IF(AND('Mapa riesgos'!$AD$30="Muy Alta",'Mapa riesgos'!$AF$30="Mayor"),CONCATENATE("R3C",'Mapa riesgos'!$T$30),"")</f>
        <v/>
      </c>
      <c r="AH8" s="38" t="str">
        <f>IF(AND('Mapa riesgos'!$AD$25="Muy Alta",'Mapa riesgos'!$AF$25="Catastrófico"),CONCATENATE("R3C",'Mapa riesgos'!$T$25),"")</f>
        <v/>
      </c>
      <c r="AI8" s="39" t="str">
        <f>IF(AND('Mapa riesgos'!$AD$26="Muy Alta",'Mapa riesgos'!$AF$26="Catastrófico"),CONCATENATE("R3C",'Mapa riesgos'!$T$26),"")</f>
        <v/>
      </c>
      <c r="AJ8" s="39" t="str">
        <f>IF(AND('Mapa riesgos'!$AD$27="Muy Alta",'Mapa riesgos'!$AF$27="Catastrófico"),CONCATENATE("R3C",'Mapa riesgos'!$T$27),"")</f>
        <v/>
      </c>
      <c r="AK8" s="39" t="str">
        <f>IF(AND('Mapa riesgos'!$AD$28="Muy Alta",'Mapa riesgos'!$AF$28="Catastrófico"),CONCATENATE("R3C",'Mapa riesgos'!$T$28),"")</f>
        <v/>
      </c>
      <c r="AL8" s="39" t="str">
        <f>IF(AND('Mapa riesgos'!$AD$29="Muy Alta",'Mapa riesgos'!$AF$29="Catastrófico"),CONCATENATE("R3C",'Mapa riesgos'!$T$29),"")</f>
        <v/>
      </c>
      <c r="AM8" s="40" t="str">
        <f>IF(AND('Mapa riesgos'!$AD$30="Muy Alta",'Mapa riesgos'!$AF$30="Catastrófico"),CONCATENATE("R3C",'Mapa riesgos'!$T$30),"")</f>
        <v/>
      </c>
      <c r="AN8" s="66"/>
      <c r="AO8" s="519"/>
      <c r="AP8" s="520"/>
      <c r="AQ8" s="520"/>
      <c r="AR8" s="520"/>
      <c r="AS8" s="520"/>
      <c r="AT8" s="521"/>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c r="A9" s="66"/>
      <c r="B9" s="458"/>
      <c r="C9" s="458"/>
      <c r="D9" s="459"/>
      <c r="E9" s="499"/>
      <c r="F9" s="500"/>
      <c r="G9" s="500"/>
      <c r="H9" s="500"/>
      <c r="I9" s="501"/>
      <c r="J9" s="35" t="str">
        <f>IF(AND('Mapa riesgos'!$AD$31="Muy Alta",'Mapa riesgos'!$AF$31="Leve"),CONCATENATE("R4C",'Mapa riesgos'!$T$31),"")</f>
        <v/>
      </c>
      <c r="K9" s="36" t="str">
        <f>IF(AND('Mapa riesgos'!$AD$32="Muy Alta",'Mapa riesgos'!$AF$32="Leve"),CONCATENATE("R4C",'Mapa riesgos'!$T$32),"")</f>
        <v/>
      </c>
      <c r="L9" s="36" t="str">
        <f>IF(AND('Mapa riesgos'!$AD$33="Muy Alta",'Mapa riesgos'!$AF$33="Leve"),CONCATENATE("R4C",'Mapa riesgos'!$T$33),"")</f>
        <v/>
      </c>
      <c r="M9" s="36" t="str">
        <f>IF(AND('Mapa riesgos'!$AD$34="Muy Alta",'Mapa riesgos'!$AF$34="Leve"),CONCATENATE("R4C",'Mapa riesgos'!$T$34),"")</f>
        <v/>
      </c>
      <c r="N9" s="36" t="str">
        <f>IF(AND('Mapa riesgos'!$AD$35="Muy Alta",'Mapa riesgos'!$AF$35="Leve"),CONCATENATE("R4C",'Mapa riesgos'!$T$35),"")</f>
        <v/>
      </c>
      <c r="O9" s="37" t="str">
        <f>IF(AND('Mapa riesgos'!$AD$36="Muy Alta",'Mapa riesgos'!$AF$36="Leve"),CONCATENATE("R4C",'Mapa riesgos'!$T$36),"")</f>
        <v/>
      </c>
      <c r="P9" s="35" t="str">
        <f>IF(AND('Mapa riesgos'!$AD$31="Muy Alta",'Mapa riesgos'!$AF$31="Menor"),CONCATENATE("R4C",'Mapa riesgos'!$T$31),"")</f>
        <v/>
      </c>
      <c r="Q9" s="36" t="str">
        <f>IF(AND('Mapa riesgos'!$AD$32="Muy Alta",'Mapa riesgos'!$AF$32="Menor"),CONCATENATE("R4C",'Mapa riesgos'!$T$32),"")</f>
        <v/>
      </c>
      <c r="R9" s="36" t="str">
        <f>IF(AND('Mapa riesgos'!$AD$33="Muy Alta",'Mapa riesgos'!$AF$33="Menor"),CONCATENATE("R4C",'Mapa riesgos'!$T$33),"")</f>
        <v/>
      </c>
      <c r="S9" s="36" t="str">
        <f>IF(AND('Mapa riesgos'!$AD$34="Muy Alta",'Mapa riesgos'!$AF$34="Menor"),CONCATENATE("R4C",'Mapa riesgos'!$T$34),"")</f>
        <v/>
      </c>
      <c r="T9" s="36" t="str">
        <f>IF(AND('Mapa riesgos'!$AD$35="Muy Alta",'Mapa riesgos'!$AF$35="Menor"),CONCATENATE("R4C",'Mapa riesgos'!$T$35),"")</f>
        <v/>
      </c>
      <c r="U9" s="37" t="str">
        <f>IF(AND('Mapa riesgos'!$AD$36="Muy Alta",'Mapa riesgos'!$AF$36="Menor"),CONCATENATE("R4C",'Mapa riesgos'!$T$36),"")</f>
        <v/>
      </c>
      <c r="V9" s="35" t="str">
        <f>IF(AND('Mapa riesgos'!$AD$31="Muy Alta",'Mapa riesgos'!$AF$31="Moderado"),CONCATENATE("R4C",'Mapa riesgos'!$T$31),"")</f>
        <v/>
      </c>
      <c r="W9" s="36" t="str">
        <f>IF(AND('Mapa riesgos'!$AD$32="Muy Alta",'Mapa riesgos'!$AF$32="Moderado"),CONCATENATE("R4C",'Mapa riesgos'!$T$32),"")</f>
        <v/>
      </c>
      <c r="X9" s="36" t="str">
        <f>IF(AND('Mapa riesgos'!$AD$33="Muy Alta",'Mapa riesgos'!$AF$33="Moderado"),CONCATENATE("R4C",'Mapa riesgos'!$T$33),"")</f>
        <v/>
      </c>
      <c r="Y9" s="36" t="str">
        <f>IF(AND('Mapa riesgos'!$AD$34="Muy Alta",'Mapa riesgos'!$AF$34="Moderado"),CONCATENATE("R4C",'Mapa riesgos'!$T$34),"")</f>
        <v/>
      </c>
      <c r="Z9" s="36" t="str">
        <f>IF(AND('Mapa riesgos'!$AD$35="Muy Alta",'Mapa riesgos'!$AF$35="Moderado"),CONCATENATE("R4C",'Mapa riesgos'!$T$35),"")</f>
        <v/>
      </c>
      <c r="AA9" s="37" t="str">
        <f>IF(AND('Mapa riesgos'!$AD$36="Muy Alta",'Mapa riesgos'!$AF$36="Moderado"),CONCATENATE("R4C",'Mapa riesgos'!$T$36),"")</f>
        <v/>
      </c>
      <c r="AB9" s="35" t="str">
        <f>IF(AND('Mapa riesgos'!$AD$31="Muy Alta",'Mapa riesgos'!$AF$31="Mayor"),CONCATENATE("R4C",'Mapa riesgos'!$T$31),"")</f>
        <v/>
      </c>
      <c r="AC9" s="36" t="str">
        <f>IF(AND('Mapa riesgos'!$AD$32="Muy Alta",'Mapa riesgos'!$AF$32="Mayor"),CONCATENATE("R4C",'Mapa riesgos'!$T$32),"")</f>
        <v/>
      </c>
      <c r="AD9" s="36" t="str">
        <f>IF(AND('Mapa riesgos'!$AD$33="Muy Alta",'Mapa riesgos'!$AF$33="Mayor"),CONCATENATE("R4C",'Mapa riesgos'!$T$33),"")</f>
        <v/>
      </c>
      <c r="AE9" s="36" t="str">
        <f>IF(AND('Mapa riesgos'!$AD$34="Muy Alta",'Mapa riesgos'!$AF$34="Mayor"),CONCATENATE("R4C",'Mapa riesgos'!$T$34),"")</f>
        <v/>
      </c>
      <c r="AF9" s="36" t="str">
        <f>IF(AND('Mapa riesgos'!$AD$35="Muy Alta",'Mapa riesgos'!$AF$35="Mayor"),CONCATENATE("R4C",'Mapa riesgos'!$T$35),"")</f>
        <v/>
      </c>
      <c r="AG9" s="37" t="str">
        <f>IF(AND('Mapa riesgos'!$AD$36="Muy Alta",'Mapa riesgos'!$AF$36="Mayor"),CONCATENATE("R4C",'Mapa riesgos'!$T$36),"")</f>
        <v/>
      </c>
      <c r="AH9" s="38" t="str">
        <f>IF(AND('Mapa riesgos'!$AD$31="Muy Alta",'Mapa riesgos'!$AF$31="Catastrófico"),CONCATENATE("R4C",'Mapa riesgos'!$T$31),"")</f>
        <v/>
      </c>
      <c r="AI9" s="39" t="str">
        <f>IF(AND('Mapa riesgos'!$AD$32="Muy Alta",'Mapa riesgos'!$AF$32="Catastrófico"),CONCATENATE("R4C",'Mapa riesgos'!$T$32),"")</f>
        <v/>
      </c>
      <c r="AJ9" s="39" t="str">
        <f>IF(AND('Mapa riesgos'!$AD$33="Muy Alta",'Mapa riesgos'!$AF$33="Catastrófico"),CONCATENATE("R4C",'Mapa riesgos'!$T$33),"")</f>
        <v/>
      </c>
      <c r="AK9" s="39" t="str">
        <f>IF(AND('Mapa riesgos'!$AD$34="Muy Alta",'Mapa riesgos'!$AF$34="Catastrófico"),CONCATENATE("R4C",'Mapa riesgos'!$T$34),"")</f>
        <v/>
      </c>
      <c r="AL9" s="39" t="str">
        <f>IF(AND('Mapa riesgos'!$AD$35="Muy Alta",'Mapa riesgos'!$AF$35="Catastrófico"),CONCATENATE("R4C",'Mapa riesgos'!$T$35),"")</f>
        <v/>
      </c>
      <c r="AM9" s="40" t="str">
        <f>IF(AND('Mapa riesgos'!$AD$36="Muy Alta",'Mapa riesgos'!$AF$36="Catastrófico"),CONCATENATE("R4C",'Mapa riesgos'!$T$36),"")</f>
        <v/>
      </c>
      <c r="AN9" s="66"/>
      <c r="AO9" s="519"/>
      <c r="AP9" s="520"/>
      <c r="AQ9" s="520"/>
      <c r="AR9" s="520"/>
      <c r="AS9" s="520"/>
      <c r="AT9" s="521"/>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c r="A10" s="66"/>
      <c r="B10" s="458"/>
      <c r="C10" s="458"/>
      <c r="D10" s="459"/>
      <c r="E10" s="499"/>
      <c r="F10" s="500"/>
      <c r="G10" s="500"/>
      <c r="H10" s="500"/>
      <c r="I10" s="501"/>
      <c r="J10" s="35" t="str">
        <f>IF(AND('Mapa riesgos'!$AD$37="Muy Alta",'Mapa riesgos'!$AF$37="Leve"),CONCATENATE("R5C",'Mapa riesgos'!$T$37),"")</f>
        <v/>
      </c>
      <c r="K10" s="36" t="str">
        <f>IF(AND('Mapa riesgos'!$AD$38="Muy Alta",'Mapa riesgos'!$AF$38="Leve"),CONCATENATE("R5C",'Mapa riesgos'!$T$38),"")</f>
        <v/>
      </c>
      <c r="L10" s="36" t="str">
        <f>IF(AND('Mapa riesgos'!$AD$39="Muy Alta",'Mapa riesgos'!$AF$39="Leve"),CONCATENATE("R5C",'Mapa riesgos'!$T$39),"")</f>
        <v/>
      </c>
      <c r="M10" s="36" t="str">
        <f>IF(AND('Mapa riesgos'!$AD$40="Muy Alta",'Mapa riesgos'!$AF$40="Leve"),CONCATENATE("R5C",'Mapa riesgos'!$T$40),"")</f>
        <v/>
      </c>
      <c r="N10" s="36" t="str">
        <f>IF(AND('Mapa riesgos'!$AD$41="Muy Alta",'Mapa riesgos'!$AF$41="Leve"),CONCATENATE("R5C",'Mapa riesgos'!$T$41),"")</f>
        <v/>
      </c>
      <c r="O10" s="37" t="str">
        <f>IF(AND('Mapa riesgos'!$AD$42="Muy Alta",'Mapa riesgos'!$AF$42="Leve"),CONCATENATE("R5C",'Mapa riesgos'!$T$42),"")</f>
        <v/>
      </c>
      <c r="P10" s="35" t="str">
        <f>IF(AND('Mapa riesgos'!$AD$37="Muy Alta",'Mapa riesgos'!$AF$37="Menor"),CONCATENATE("R5C",'Mapa riesgos'!$T$37),"")</f>
        <v/>
      </c>
      <c r="Q10" s="36" t="str">
        <f>IF(AND('Mapa riesgos'!$AD$38="Muy Alta",'Mapa riesgos'!$AF$38="Menor"),CONCATENATE("R5C",'Mapa riesgos'!$T$38),"")</f>
        <v/>
      </c>
      <c r="R10" s="36" t="str">
        <f>IF(AND('Mapa riesgos'!$AD$39="Muy Alta",'Mapa riesgos'!$AF$39="Menor"),CONCATENATE("R5C",'Mapa riesgos'!$T$39),"")</f>
        <v/>
      </c>
      <c r="S10" s="36" t="str">
        <f>IF(AND('Mapa riesgos'!$AD$40="Muy Alta",'Mapa riesgos'!$AF$40="Menor"),CONCATENATE("R5C",'Mapa riesgos'!$T$40),"")</f>
        <v/>
      </c>
      <c r="T10" s="36" t="str">
        <f>IF(AND('Mapa riesgos'!$AD$41="Muy Alta",'Mapa riesgos'!$AF$41="Menor"),CONCATENATE("R5C",'Mapa riesgos'!$T$41),"")</f>
        <v/>
      </c>
      <c r="U10" s="37" t="str">
        <f>IF(AND('Mapa riesgos'!$AD$42="Muy Alta",'Mapa riesgos'!$AF$42="Menor"),CONCATENATE("R5C",'Mapa riesgos'!$T$42),"")</f>
        <v/>
      </c>
      <c r="V10" s="35" t="str">
        <f>IF(AND('Mapa riesgos'!$AD$37="Muy Alta",'Mapa riesgos'!$AF$37="Moderado"),CONCATENATE("R5C",'Mapa riesgos'!$T$37),"")</f>
        <v/>
      </c>
      <c r="W10" s="36" t="str">
        <f>IF(AND('Mapa riesgos'!$AD$38="Muy Alta",'Mapa riesgos'!$AF$38="Moderado"),CONCATENATE("R5C",'Mapa riesgos'!$T$38),"")</f>
        <v/>
      </c>
      <c r="X10" s="36" t="str">
        <f>IF(AND('Mapa riesgos'!$AD$39="Muy Alta",'Mapa riesgos'!$AF$39="Moderado"),CONCATENATE("R5C",'Mapa riesgos'!$T$39),"")</f>
        <v/>
      </c>
      <c r="Y10" s="36" t="str">
        <f>IF(AND('Mapa riesgos'!$AD$40="Muy Alta",'Mapa riesgos'!$AF$40="Moderado"),CONCATENATE("R5C",'Mapa riesgos'!$T$40),"")</f>
        <v/>
      </c>
      <c r="Z10" s="36" t="str">
        <f>IF(AND('Mapa riesgos'!$AD$41="Muy Alta",'Mapa riesgos'!$AF$41="Moderado"),CONCATENATE("R5C",'Mapa riesgos'!$T$41),"")</f>
        <v/>
      </c>
      <c r="AA10" s="37" t="str">
        <f>IF(AND('Mapa riesgos'!$AD$42="Muy Alta",'Mapa riesgos'!$AF$42="Moderado"),CONCATENATE("R5C",'Mapa riesgos'!$T$42),"")</f>
        <v/>
      </c>
      <c r="AB10" s="35" t="str">
        <f>IF(AND('Mapa riesgos'!$AD$37="Muy Alta",'Mapa riesgos'!$AF$37="Mayor"),CONCATENATE("R5C",'Mapa riesgos'!$T$37),"")</f>
        <v/>
      </c>
      <c r="AC10" s="36" t="str">
        <f>IF(AND('Mapa riesgos'!$AD$38="Muy Alta",'Mapa riesgos'!$AF$38="Mayor"),CONCATENATE("R5C",'Mapa riesgos'!$T$38),"")</f>
        <v/>
      </c>
      <c r="AD10" s="36" t="str">
        <f>IF(AND('Mapa riesgos'!$AD$39="Muy Alta",'Mapa riesgos'!$AF$39="Mayor"),CONCATENATE("R5C",'Mapa riesgos'!$T$39),"")</f>
        <v/>
      </c>
      <c r="AE10" s="36" t="str">
        <f>IF(AND('Mapa riesgos'!$AD$40="Muy Alta",'Mapa riesgos'!$AF$40="Mayor"),CONCATENATE("R5C",'Mapa riesgos'!$T$40),"")</f>
        <v/>
      </c>
      <c r="AF10" s="36" t="str">
        <f>IF(AND('Mapa riesgos'!$AD$41="Muy Alta",'Mapa riesgos'!$AF$41="Mayor"),CONCATENATE("R5C",'Mapa riesgos'!$T$41),"")</f>
        <v/>
      </c>
      <c r="AG10" s="37" t="str">
        <f>IF(AND('Mapa riesgos'!$AD$42="Muy Alta",'Mapa riesgos'!$AF$42="Mayor"),CONCATENATE("R5C",'Mapa riesgos'!$T$42),"")</f>
        <v/>
      </c>
      <c r="AH10" s="38" t="str">
        <f>IF(AND('Mapa riesgos'!$AD$37="Muy Alta",'Mapa riesgos'!$AF$37="Catastrófico"),CONCATENATE("R5C",'Mapa riesgos'!$T$37),"")</f>
        <v/>
      </c>
      <c r="AI10" s="39" t="str">
        <f>IF(AND('Mapa riesgos'!$AD$38="Muy Alta",'Mapa riesgos'!$AF$38="Catastrófico"),CONCATENATE("R5C",'Mapa riesgos'!$T$38),"")</f>
        <v/>
      </c>
      <c r="AJ10" s="39" t="str">
        <f>IF(AND('Mapa riesgos'!$AD$39="Muy Alta",'Mapa riesgos'!$AF$39="Catastrófico"),CONCATENATE("R5C",'Mapa riesgos'!$T$39),"")</f>
        <v/>
      </c>
      <c r="AK10" s="39" t="str">
        <f>IF(AND('Mapa riesgos'!$AD$40="Muy Alta",'Mapa riesgos'!$AF$40="Catastrófico"),CONCATENATE("R5C",'Mapa riesgos'!$T$40),"")</f>
        <v/>
      </c>
      <c r="AL10" s="39" t="str">
        <f>IF(AND('Mapa riesgos'!$AD$41="Muy Alta",'Mapa riesgos'!$AF$41="Catastrófico"),CONCATENATE("R5C",'Mapa riesgos'!$T$41),"")</f>
        <v/>
      </c>
      <c r="AM10" s="40" t="str">
        <f>IF(AND('Mapa riesgos'!$AD$42="Muy Alta",'Mapa riesgos'!$AF$42="Catastrófico"),CONCATENATE("R5C",'Mapa riesgos'!$T$42),"")</f>
        <v/>
      </c>
      <c r="AN10" s="66"/>
      <c r="AO10" s="519"/>
      <c r="AP10" s="520"/>
      <c r="AQ10" s="520"/>
      <c r="AR10" s="520"/>
      <c r="AS10" s="520"/>
      <c r="AT10" s="521"/>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c r="A11" s="66"/>
      <c r="B11" s="458"/>
      <c r="C11" s="458"/>
      <c r="D11" s="459"/>
      <c r="E11" s="499"/>
      <c r="F11" s="500"/>
      <c r="G11" s="500"/>
      <c r="H11" s="500"/>
      <c r="I11" s="501"/>
      <c r="J11" s="35" t="str">
        <f>IF(AND('Mapa riesgos'!$AD$43="Muy Alta",'Mapa riesgos'!$AF$43="Leve"),CONCATENATE("R6C",'Mapa riesgos'!$T$43),"")</f>
        <v/>
      </c>
      <c r="K11" s="36" t="str">
        <f>IF(AND('Mapa riesgos'!$AD$44="Muy Alta",'Mapa riesgos'!$AF$44="Leve"),CONCATENATE("R6C",'Mapa riesgos'!$T$44),"")</f>
        <v/>
      </c>
      <c r="L11" s="36" t="str">
        <f>IF(AND('Mapa riesgos'!$AD$45="Muy Alta",'Mapa riesgos'!$AF$45="Leve"),CONCATENATE("R6C",'Mapa riesgos'!$T$45),"")</f>
        <v/>
      </c>
      <c r="M11" s="36" t="str">
        <f>IF(AND('Mapa riesgos'!$AD$46="Muy Alta",'Mapa riesgos'!$AF$46="Leve"),CONCATENATE("R6C",'Mapa riesgos'!$T$46),"")</f>
        <v/>
      </c>
      <c r="N11" s="36" t="str">
        <f>IF(AND('Mapa riesgos'!$AD$47="Muy Alta",'Mapa riesgos'!$AF$47="Leve"),CONCATENATE("R6C",'Mapa riesgos'!$T$47),"")</f>
        <v/>
      </c>
      <c r="O11" s="37" t="str">
        <f>IF(AND('Mapa riesgos'!$AD$48="Muy Alta",'Mapa riesgos'!$AF$48="Leve"),CONCATENATE("R6C",'Mapa riesgos'!$T$48),"")</f>
        <v/>
      </c>
      <c r="P11" s="35" t="str">
        <f>IF(AND('Mapa riesgos'!$AD$43="Muy Alta",'Mapa riesgos'!$AF$43="Menor"),CONCATENATE("R6C",'Mapa riesgos'!$T$43),"")</f>
        <v/>
      </c>
      <c r="Q11" s="36" t="str">
        <f>IF(AND('Mapa riesgos'!$AD$44="Muy Alta",'Mapa riesgos'!$AF$44="Menor"),CONCATENATE("R6C",'Mapa riesgos'!$T$44),"")</f>
        <v/>
      </c>
      <c r="R11" s="36" t="str">
        <f>IF(AND('Mapa riesgos'!$AD$45="Muy Alta",'Mapa riesgos'!$AF$45="Menor"),CONCATENATE("R6C",'Mapa riesgos'!$T$45),"")</f>
        <v/>
      </c>
      <c r="S11" s="36" t="str">
        <f>IF(AND('Mapa riesgos'!$AD$46="Muy Alta",'Mapa riesgos'!$AF$46="Menor"),CONCATENATE("R6C",'Mapa riesgos'!$T$46),"")</f>
        <v/>
      </c>
      <c r="T11" s="36" t="str">
        <f>IF(AND('Mapa riesgos'!$AD$47="Muy Alta",'Mapa riesgos'!$AF$47="Menor"),CONCATENATE("R6C",'Mapa riesgos'!$T$47),"")</f>
        <v/>
      </c>
      <c r="U11" s="37" t="str">
        <f>IF(AND('Mapa riesgos'!$AD$48="Muy Alta",'Mapa riesgos'!$AF$48="Menor"),CONCATENATE("R6C",'Mapa riesgos'!$T$48),"")</f>
        <v/>
      </c>
      <c r="V11" s="35" t="str">
        <f>IF(AND('Mapa riesgos'!$AD$43="Muy Alta",'Mapa riesgos'!$AF$43="Moderado"),CONCATENATE("R6C",'Mapa riesgos'!$T$43),"")</f>
        <v/>
      </c>
      <c r="W11" s="36" t="str">
        <f>IF(AND('Mapa riesgos'!$AD$44="Muy Alta",'Mapa riesgos'!$AF$44="Moderado"),CONCATENATE("R6C",'Mapa riesgos'!$T$44),"")</f>
        <v/>
      </c>
      <c r="X11" s="36" t="str">
        <f>IF(AND('Mapa riesgos'!$AD$45="Muy Alta",'Mapa riesgos'!$AF$45="Moderado"),CONCATENATE("R6C",'Mapa riesgos'!$T$45),"")</f>
        <v/>
      </c>
      <c r="Y11" s="36" t="str">
        <f>IF(AND('Mapa riesgos'!$AD$46="Muy Alta",'Mapa riesgos'!$AF$46="Moderado"),CONCATENATE("R6C",'Mapa riesgos'!$T$46),"")</f>
        <v/>
      </c>
      <c r="Z11" s="36" t="str">
        <f>IF(AND('Mapa riesgos'!$AD$47="Muy Alta",'Mapa riesgos'!$AF$47="Moderado"),CONCATENATE("R6C",'Mapa riesgos'!$T$47),"")</f>
        <v/>
      </c>
      <c r="AA11" s="37" t="str">
        <f>IF(AND('Mapa riesgos'!$AD$48="Muy Alta",'Mapa riesgos'!$AF$48="Moderado"),CONCATENATE("R6C",'Mapa riesgos'!$T$48),"")</f>
        <v/>
      </c>
      <c r="AB11" s="35" t="str">
        <f>IF(AND('Mapa riesgos'!$AD$43="Muy Alta",'Mapa riesgos'!$AF$43="Mayor"),CONCATENATE("R6C",'Mapa riesgos'!$T$43),"")</f>
        <v/>
      </c>
      <c r="AC11" s="36" t="str">
        <f>IF(AND('Mapa riesgos'!$AD$44="Muy Alta",'Mapa riesgos'!$AF$44="Mayor"),CONCATENATE("R6C",'Mapa riesgos'!$T$44),"")</f>
        <v/>
      </c>
      <c r="AD11" s="36" t="str">
        <f>IF(AND('Mapa riesgos'!$AD$45="Muy Alta",'Mapa riesgos'!$AF$45="Mayor"),CONCATENATE("R6C",'Mapa riesgos'!$T$45),"")</f>
        <v/>
      </c>
      <c r="AE11" s="36" t="str">
        <f>IF(AND('Mapa riesgos'!$AD$46="Muy Alta",'Mapa riesgos'!$AF$46="Mayor"),CONCATENATE("R6C",'Mapa riesgos'!$T$46),"")</f>
        <v/>
      </c>
      <c r="AF11" s="36" t="str">
        <f>IF(AND('Mapa riesgos'!$AD$47="Muy Alta",'Mapa riesgos'!$AF$47="Mayor"),CONCATENATE("R6C",'Mapa riesgos'!$T$47),"")</f>
        <v/>
      </c>
      <c r="AG11" s="37" t="str">
        <f>IF(AND('Mapa riesgos'!$AD$48="Muy Alta",'Mapa riesgos'!$AF$48="Mayor"),CONCATENATE("R6C",'Mapa riesgos'!$T$48),"")</f>
        <v/>
      </c>
      <c r="AH11" s="38" t="str">
        <f>IF(AND('Mapa riesgos'!$AD$43="Muy Alta",'Mapa riesgos'!$AF$43="Catastrófico"),CONCATENATE("R6C",'Mapa riesgos'!$T$43),"")</f>
        <v/>
      </c>
      <c r="AI11" s="39" t="str">
        <f>IF(AND('Mapa riesgos'!$AD$44="Muy Alta",'Mapa riesgos'!$AF$44="Catastrófico"),CONCATENATE("R6C",'Mapa riesgos'!$T$44),"")</f>
        <v/>
      </c>
      <c r="AJ11" s="39" t="str">
        <f>IF(AND('Mapa riesgos'!$AD$45="Muy Alta",'Mapa riesgos'!$AF$45="Catastrófico"),CONCATENATE("R6C",'Mapa riesgos'!$T$45),"")</f>
        <v/>
      </c>
      <c r="AK11" s="39" t="str">
        <f>IF(AND('Mapa riesgos'!$AD$46="Muy Alta",'Mapa riesgos'!$AF$46="Catastrófico"),CONCATENATE("R6C",'Mapa riesgos'!$T$46),"")</f>
        <v/>
      </c>
      <c r="AL11" s="39" t="str">
        <f>IF(AND('Mapa riesgos'!$AD$47="Muy Alta",'Mapa riesgos'!$AF$47="Catastrófico"),CONCATENATE("R6C",'Mapa riesgos'!$T$47),"")</f>
        <v/>
      </c>
      <c r="AM11" s="40" t="str">
        <f>IF(AND('Mapa riesgos'!$AD$48="Muy Alta",'Mapa riesgos'!$AF$48="Catastrófico"),CONCATENATE("R6C",'Mapa riesgos'!$T$48),"")</f>
        <v/>
      </c>
      <c r="AN11" s="66"/>
      <c r="AO11" s="519"/>
      <c r="AP11" s="520"/>
      <c r="AQ11" s="520"/>
      <c r="AR11" s="520"/>
      <c r="AS11" s="520"/>
      <c r="AT11" s="521"/>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c r="A12" s="66"/>
      <c r="B12" s="458"/>
      <c r="C12" s="458"/>
      <c r="D12" s="459"/>
      <c r="E12" s="499"/>
      <c r="F12" s="500"/>
      <c r="G12" s="500"/>
      <c r="H12" s="500"/>
      <c r="I12" s="501"/>
      <c r="J12" s="35" t="str">
        <f>IF(AND('Mapa riesgos'!$AD$49="Muy Alta",'Mapa riesgos'!$AF$49="Leve"),CONCATENATE("R7C",'Mapa riesgos'!$T$49),"")</f>
        <v/>
      </c>
      <c r="K12" s="36" t="str">
        <f>IF(AND('Mapa riesgos'!$AD$50="Muy Alta",'Mapa riesgos'!$AF$50="Leve"),CONCATENATE("R7C",'Mapa riesgos'!$T$50),"")</f>
        <v/>
      </c>
      <c r="L12" s="36" t="str">
        <f>IF(AND('Mapa riesgos'!$AD$51="Muy Alta",'Mapa riesgos'!$AF$51="Leve"),CONCATENATE("R7C",'Mapa riesgos'!$T$51),"")</f>
        <v/>
      </c>
      <c r="M12" s="36" t="str">
        <f>IF(AND('Mapa riesgos'!$AD$52="Muy Alta",'Mapa riesgos'!$AF$52="Leve"),CONCATENATE("R7C",'Mapa riesgos'!$T$52),"")</f>
        <v/>
      </c>
      <c r="N12" s="36" t="str">
        <f>IF(AND('Mapa riesgos'!$AD$53="Muy Alta",'Mapa riesgos'!$AF$53="Leve"),CONCATENATE("R7C",'Mapa riesgos'!$T$53),"")</f>
        <v/>
      </c>
      <c r="O12" s="37" t="str">
        <f>IF(AND('Mapa riesgos'!$AD$54="Muy Alta",'Mapa riesgos'!$AF$54="Leve"),CONCATENATE("R7C",'Mapa riesgos'!$T$54),"")</f>
        <v/>
      </c>
      <c r="P12" s="35" t="str">
        <f>IF(AND('Mapa riesgos'!$AD$49="Muy Alta",'Mapa riesgos'!$AF$49="Menor"),CONCATENATE("R7C",'Mapa riesgos'!$T$49),"")</f>
        <v/>
      </c>
      <c r="Q12" s="36" t="str">
        <f>IF(AND('Mapa riesgos'!$AD$50="Muy Alta",'Mapa riesgos'!$AF$50="Menor"),CONCATENATE("R7C",'Mapa riesgos'!$T$50),"")</f>
        <v/>
      </c>
      <c r="R12" s="36" t="str">
        <f>IF(AND('Mapa riesgos'!$AD$51="Muy Alta",'Mapa riesgos'!$AF$51="Menor"),CONCATENATE("R7C",'Mapa riesgos'!$T$51),"")</f>
        <v/>
      </c>
      <c r="S12" s="36" t="str">
        <f>IF(AND('Mapa riesgos'!$AD$52="Muy Alta",'Mapa riesgos'!$AF$52="Menor"),CONCATENATE("R7C",'Mapa riesgos'!$T$52),"")</f>
        <v/>
      </c>
      <c r="T12" s="36" t="str">
        <f>IF(AND('Mapa riesgos'!$AD$53="Muy Alta",'Mapa riesgos'!$AF$53="Menor"),CONCATENATE("R7C",'Mapa riesgos'!$T$53),"")</f>
        <v/>
      </c>
      <c r="U12" s="37" t="str">
        <f>IF(AND('Mapa riesgos'!$AD$54="Muy Alta",'Mapa riesgos'!$AF$54="Menor"),CONCATENATE("R7C",'Mapa riesgos'!$T$54),"")</f>
        <v/>
      </c>
      <c r="V12" s="35" t="str">
        <f>IF(AND('Mapa riesgos'!$AD$49="Muy Alta",'Mapa riesgos'!$AF$49="Moderado"),CONCATENATE("R7C",'Mapa riesgos'!$T$49),"")</f>
        <v/>
      </c>
      <c r="W12" s="36" t="str">
        <f>IF(AND('Mapa riesgos'!$AD$50="Muy Alta",'Mapa riesgos'!$AF$50="Moderado"),CONCATENATE("R7C",'Mapa riesgos'!$T$50),"")</f>
        <v/>
      </c>
      <c r="X12" s="36" t="str">
        <f>IF(AND('Mapa riesgos'!$AD$51="Muy Alta",'Mapa riesgos'!$AF$51="Moderado"),CONCATENATE("R7C",'Mapa riesgos'!$T$51),"")</f>
        <v/>
      </c>
      <c r="Y12" s="36" t="str">
        <f>IF(AND('Mapa riesgos'!$AD$52="Muy Alta",'Mapa riesgos'!$AF$52="Moderado"),CONCATENATE("R7C",'Mapa riesgos'!$T$52),"")</f>
        <v/>
      </c>
      <c r="Z12" s="36" t="str">
        <f>IF(AND('Mapa riesgos'!$AD$53="Muy Alta",'Mapa riesgos'!$AF$53="Moderado"),CONCATENATE("R7C",'Mapa riesgos'!$T$53),"")</f>
        <v/>
      </c>
      <c r="AA12" s="37" t="str">
        <f>IF(AND('Mapa riesgos'!$AD$54="Muy Alta",'Mapa riesgos'!$AF$54="Moderado"),CONCATENATE("R7C",'Mapa riesgos'!$T$54),"")</f>
        <v/>
      </c>
      <c r="AB12" s="35" t="str">
        <f>IF(AND('Mapa riesgos'!$AD$49="Muy Alta",'Mapa riesgos'!$AF$49="Mayor"),CONCATENATE("R7C",'Mapa riesgos'!$T$49),"")</f>
        <v/>
      </c>
      <c r="AC12" s="36" t="str">
        <f>IF(AND('Mapa riesgos'!$AD$50="Muy Alta",'Mapa riesgos'!$AF$50="Mayor"),CONCATENATE("R7C",'Mapa riesgos'!$T$50),"")</f>
        <v/>
      </c>
      <c r="AD12" s="36" t="str">
        <f>IF(AND('Mapa riesgos'!$AD$51="Muy Alta",'Mapa riesgos'!$AF$51="Mayor"),CONCATENATE("R7C",'Mapa riesgos'!$T$51),"")</f>
        <v/>
      </c>
      <c r="AE12" s="36" t="str">
        <f>IF(AND('Mapa riesgos'!$AD$52="Muy Alta",'Mapa riesgos'!$AF$52="Mayor"),CONCATENATE("R7C",'Mapa riesgos'!$T$52),"")</f>
        <v/>
      </c>
      <c r="AF12" s="36" t="str">
        <f>IF(AND('Mapa riesgos'!$AD$53="Muy Alta",'Mapa riesgos'!$AF$53="Mayor"),CONCATENATE("R7C",'Mapa riesgos'!$T$53),"")</f>
        <v/>
      </c>
      <c r="AG12" s="37" t="str">
        <f>IF(AND('Mapa riesgos'!$AD$54="Muy Alta",'Mapa riesgos'!$AF$54="Mayor"),CONCATENATE("R7C",'Mapa riesgos'!$T$54),"")</f>
        <v/>
      </c>
      <c r="AH12" s="38" t="str">
        <f>IF(AND('Mapa riesgos'!$AD$49="Muy Alta",'Mapa riesgos'!$AF$49="Catastrófico"),CONCATENATE("R7C",'Mapa riesgos'!$T$49),"")</f>
        <v/>
      </c>
      <c r="AI12" s="39" t="str">
        <f>IF(AND('Mapa riesgos'!$AD$50="Muy Alta",'Mapa riesgos'!$AF$50="Catastrófico"),CONCATENATE("R7C",'Mapa riesgos'!$T$50),"")</f>
        <v/>
      </c>
      <c r="AJ12" s="39" t="str">
        <f>IF(AND('Mapa riesgos'!$AD$51="Muy Alta",'Mapa riesgos'!$AF$51="Catastrófico"),CONCATENATE("R7C",'Mapa riesgos'!$T$51),"")</f>
        <v/>
      </c>
      <c r="AK12" s="39" t="str">
        <f>IF(AND('Mapa riesgos'!$AD$52="Muy Alta",'Mapa riesgos'!$AF$52="Catastrófico"),CONCATENATE("R7C",'Mapa riesgos'!$T$52),"")</f>
        <v/>
      </c>
      <c r="AL12" s="39" t="str">
        <f>IF(AND('Mapa riesgos'!$AD$53="Muy Alta",'Mapa riesgos'!$AF$53="Catastrófico"),CONCATENATE("R7C",'Mapa riesgos'!$T$53),"")</f>
        <v/>
      </c>
      <c r="AM12" s="40" t="str">
        <f>IF(AND('Mapa riesgos'!$AD$54="Muy Alta",'Mapa riesgos'!$AF$54="Catastrófico"),CONCATENATE("R7C",'Mapa riesgos'!$T$54),"")</f>
        <v/>
      </c>
      <c r="AN12" s="66"/>
      <c r="AO12" s="519"/>
      <c r="AP12" s="520"/>
      <c r="AQ12" s="520"/>
      <c r="AR12" s="520"/>
      <c r="AS12" s="520"/>
      <c r="AT12" s="521"/>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c r="A13" s="66"/>
      <c r="B13" s="458"/>
      <c r="C13" s="458"/>
      <c r="D13" s="459"/>
      <c r="E13" s="499"/>
      <c r="F13" s="500"/>
      <c r="G13" s="500"/>
      <c r="H13" s="500"/>
      <c r="I13" s="501"/>
      <c r="J13" s="35" t="str">
        <f>IF(AND('Mapa riesgos'!$AD$55="Muy Alta",'Mapa riesgos'!$AF$55="Leve"),CONCATENATE("R8C",'Mapa riesgos'!$T$55),"")</f>
        <v/>
      </c>
      <c r="K13" s="36" t="str">
        <f>IF(AND('Mapa riesgos'!$AD$56="Muy Alta",'Mapa riesgos'!$AF$56="Leve"),CONCATENATE("R8C",'Mapa riesgos'!$T$56),"")</f>
        <v/>
      </c>
      <c r="L13" s="36" t="str">
        <f>IF(AND('Mapa riesgos'!$AD$57="Muy Alta",'Mapa riesgos'!$AF$57="Leve"),CONCATENATE("R8C",'Mapa riesgos'!$T$57),"")</f>
        <v/>
      </c>
      <c r="M13" s="36" t="str">
        <f>IF(AND('Mapa riesgos'!$AD$58="Muy Alta",'Mapa riesgos'!$AF$58="Leve"),CONCATENATE("R8C",'Mapa riesgos'!$T$58),"")</f>
        <v/>
      </c>
      <c r="N13" s="36" t="str">
        <f>IF(AND('Mapa riesgos'!$AD$59="Muy Alta",'Mapa riesgos'!$AF$59="Leve"),CONCATENATE("R8C",'Mapa riesgos'!$T$59),"")</f>
        <v/>
      </c>
      <c r="O13" s="37" t="str">
        <f>IF(AND('Mapa riesgos'!$AD$60="Muy Alta",'Mapa riesgos'!$AF$60="Leve"),CONCATENATE("R8C",'Mapa riesgos'!$T$60),"")</f>
        <v/>
      </c>
      <c r="P13" s="35" t="str">
        <f>IF(AND('Mapa riesgos'!$AD$55="Muy Alta",'Mapa riesgos'!$AF$55="Menor"),CONCATENATE("R8C",'Mapa riesgos'!$T$55),"")</f>
        <v/>
      </c>
      <c r="Q13" s="36" t="str">
        <f>IF(AND('Mapa riesgos'!$AD$56="Muy Alta",'Mapa riesgos'!$AF$56="Menor"),CONCATENATE("R8C",'Mapa riesgos'!$T$56),"")</f>
        <v/>
      </c>
      <c r="R13" s="36" t="str">
        <f>IF(AND('Mapa riesgos'!$AD$57="Muy Alta",'Mapa riesgos'!$AF$57="Menor"),CONCATENATE("R8C",'Mapa riesgos'!$T$57),"")</f>
        <v/>
      </c>
      <c r="S13" s="36" t="str">
        <f>IF(AND('Mapa riesgos'!$AD$58="Muy Alta",'Mapa riesgos'!$AF$58="Menor"),CONCATENATE("R8C",'Mapa riesgos'!$T$58),"")</f>
        <v/>
      </c>
      <c r="T13" s="36" t="str">
        <f>IF(AND('Mapa riesgos'!$AD$59="Muy Alta",'Mapa riesgos'!$AF$59="Menor"),CONCATENATE("R8C",'Mapa riesgos'!$T$59),"")</f>
        <v/>
      </c>
      <c r="U13" s="37" t="str">
        <f>IF(AND('Mapa riesgos'!$AD$60="Muy Alta",'Mapa riesgos'!$AF$60="Menor"),CONCATENATE("R8C",'Mapa riesgos'!$T$60),"")</f>
        <v/>
      </c>
      <c r="V13" s="35" t="str">
        <f>IF(AND('Mapa riesgos'!$AD$55="Muy Alta",'Mapa riesgos'!$AF$55="Moderado"),CONCATENATE("R8C",'Mapa riesgos'!$T$55),"")</f>
        <v/>
      </c>
      <c r="W13" s="36" t="str">
        <f>IF(AND('Mapa riesgos'!$AD$56="Muy Alta",'Mapa riesgos'!$AF$56="Moderado"),CONCATENATE("R8C",'Mapa riesgos'!$T$56),"")</f>
        <v/>
      </c>
      <c r="X13" s="36" t="str">
        <f>IF(AND('Mapa riesgos'!$AD$57="Muy Alta",'Mapa riesgos'!$AF$57="Moderado"),CONCATENATE("R8C",'Mapa riesgos'!$T$57),"")</f>
        <v/>
      </c>
      <c r="Y13" s="36" t="str">
        <f>IF(AND('Mapa riesgos'!$AD$58="Muy Alta",'Mapa riesgos'!$AF$58="Moderado"),CONCATENATE("R8C",'Mapa riesgos'!$T$58),"")</f>
        <v/>
      </c>
      <c r="Z13" s="36" t="str">
        <f>IF(AND('Mapa riesgos'!$AD$59="Muy Alta",'Mapa riesgos'!$AF$59="Moderado"),CONCATENATE("R8C",'Mapa riesgos'!$T$59),"")</f>
        <v/>
      </c>
      <c r="AA13" s="37" t="str">
        <f>IF(AND('Mapa riesgos'!$AD$60="Muy Alta",'Mapa riesgos'!$AF$60="Moderado"),CONCATENATE("R8C",'Mapa riesgos'!$T$60),"")</f>
        <v/>
      </c>
      <c r="AB13" s="35" t="str">
        <f>IF(AND('Mapa riesgos'!$AD$55="Muy Alta",'Mapa riesgos'!$AF$55="Mayor"),CONCATENATE("R8C",'Mapa riesgos'!$T$55),"")</f>
        <v/>
      </c>
      <c r="AC13" s="36" t="str">
        <f>IF(AND('Mapa riesgos'!$AD$56="Muy Alta",'Mapa riesgos'!$AF$56="Mayor"),CONCATENATE("R8C",'Mapa riesgos'!$T$56),"")</f>
        <v/>
      </c>
      <c r="AD13" s="36" t="str">
        <f>IF(AND('Mapa riesgos'!$AD$57="Muy Alta",'Mapa riesgos'!$AF$57="Mayor"),CONCATENATE("R8C",'Mapa riesgos'!$T$57),"")</f>
        <v/>
      </c>
      <c r="AE13" s="36" t="str">
        <f>IF(AND('Mapa riesgos'!$AD$58="Muy Alta",'Mapa riesgos'!$AF$58="Mayor"),CONCATENATE("R8C",'Mapa riesgos'!$T$58),"")</f>
        <v/>
      </c>
      <c r="AF13" s="36" t="str">
        <f>IF(AND('Mapa riesgos'!$AD$59="Muy Alta",'Mapa riesgos'!$AF$59="Mayor"),CONCATENATE("R8C",'Mapa riesgos'!$T$59),"")</f>
        <v/>
      </c>
      <c r="AG13" s="37" t="str">
        <f>IF(AND('Mapa riesgos'!$AD$60="Muy Alta",'Mapa riesgos'!$AF$60="Mayor"),CONCATENATE("R8C",'Mapa riesgos'!$T$60),"")</f>
        <v/>
      </c>
      <c r="AH13" s="38" t="str">
        <f>IF(AND('Mapa riesgos'!$AD$55="Muy Alta",'Mapa riesgos'!$AF$55="Catastrófico"),CONCATENATE("R8C",'Mapa riesgos'!$T$55),"")</f>
        <v/>
      </c>
      <c r="AI13" s="39" t="str">
        <f>IF(AND('Mapa riesgos'!$AD$56="Muy Alta",'Mapa riesgos'!$AF$56="Catastrófico"),CONCATENATE("R8C",'Mapa riesgos'!$T$56),"")</f>
        <v/>
      </c>
      <c r="AJ13" s="39" t="str">
        <f>IF(AND('Mapa riesgos'!$AD$57="Muy Alta",'Mapa riesgos'!$AF$57="Catastrófico"),CONCATENATE("R8C",'Mapa riesgos'!$T$57),"")</f>
        <v/>
      </c>
      <c r="AK13" s="39" t="str">
        <f>IF(AND('Mapa riesgos'!$AD$58="Muy Alta",'Mapa riesgos'!$AF$58="Catastrófico"),CONCATENATE("R8C",'Mapa riesgos'!$T$58),"")</f>
        <v/>
      </c>
      <c r="AL13" s="39" t="str">
        <f>IF(AND('Mapa riesgos'!$AD$59="Muy Alta",'Mapa riesgos'!$AF$59="Catastrófico"),CONCATENATE("R8C",'Mapa riesgos'!$T$59),"")</f>
        <v/>
      </c>
      <c r="AM13" s="40" t="str">
        <f>IF(AND('Mapa riesgos'!$AD$60="Muy Alta",'Mapa riesgos'!$AF$60="Catastrófico"),CONCATENATE("R8C",'Mapa riesgos'!$T$60),"")</f>
        <v/>
      </c>
      <c r="AN13" s="66"/>
      <c r="AO13" s="519"/>
      <c r="AP13" s="520"/>
      <c r="AQ13" s="520"/>
      <c r="AR13" s="520"/>
      <c r="AS13" s="520"/>
      <c r="AT13" s="521"/>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c r="A14" s="66"/>
      <c r="B14" s="458"/>
      <c r="C14" s="458"/>
      <c r="D14" s="459"/>
      <c r="E14" s="499"/>
      <c r="F14" s="500"/>
      <c r="G14" s="500"/>
      <c r="H14" s="500"/>
      <c r="I14" s="501"/>
      <c r="J14" s="35" t="str">
        <f>IF(AND('Mapa riesgos'!$AD$61="Muy Alta",'Mapa riesgos'!$AF$61="Leve"),CONCATENATE("R9C",'Mapa riesgos'!$T$61),"")</f>
        <v/>
      </c>
      <c r="K14" s="36" t="str">
        <f>IF(AND('Mapa riesgos'!$AD$62="Muy Alta",'Mapa riesgos'!$AF$62="Leve"),CONCATENATE("R9C",'Mapa riesgos'!$T$62),"")</f>
        <v/>
      </c>
      <c r="L14" s="36" t="str">
        <f>IF(AND('Mapa riesgos'!$AD$63="Muy Alta",'Mapa riesgos'!$AF$63="Leve"),CONCATENATE("R9C",'Mapa riesgos'!$T$63),"")</f>
        <v/>
      </c>
      <c r="M14" s="36" t="str">
        <f>IF(AND('Mapa riesgos'!$AD$64="Muy Alta",'Mapa riesgos'!$AF$64="Leve"),CONCATENATE("R9C",'Mapa riesgos'!$T$64),"")</f>
        <v/>
      </c>
      <c r="N14" s="36" t="str">
        <f>IF(AND('Mapa riesgos'!$AD$65="Muy Alta",'Mapa riesgos'!$AF$65="Leve"),CONCATENATE("R9C",'Mapa riesgos'!$T$65),"")</f>
        <v/>
      </c>
      <c r="O14" s="37" t="str">
        <f>IF(AND('Mapa riesgos'!$AD$66="Muy Alta",'Mapa riesgos'!$AF$66="Leve"),CONCATENATE("R9C",'Mapa riesgos'!$T$66),"")</f>
        <v/>
      </c>
      <c r="P14" s="35" t="str">
        <f>IF(AND('Mapa riesgos'!$AD$61="Muy Alta",'Mapa riesgos'!$AF$61="Menor"),CONCATENATE("R9C",'Mapa riesgos'!$T$61),"")</f>
        <v/>
      </c>
      <c r="Q14" s="36" t="str">
        <f>IF(AND('Mapa riesgos'!$AD$62="Muy Alta",'Mapa riesgos'!$AF$62="Menor"),CONCATENATE("R9C",'Mapa riesgos'!$T$62),"")</f>
        <v/>
      </c>
      <c r="R14" s="36" t="str">
        <f>IF(AND('Mapa riesgos'!$AD$63="Muy Alta",'Mapa riesgos'!$AF$63="Menor"),CONCATENATE("R9C",'Mapa riesgos'!$T$63),"")</f>
        <v/>
      </c>
      <c r="S14" s="36" t="str">
        <f>IF(AND('Mapa riesgos'!$AD$64="Muy Alta",'Mapa riesgos'!$AF$64="Menor"),CONCATENATE("R9C",'Mapa riesgos'!$T$64),"")</f>
        <v/>
      </c>
      <c r="T14" s="36" t="str">
        <f>IF(AND('Mapa riesgos'!$AD$65="Muy Alta",'Mapa riesgos'!$AF$65="Menor"),CONCATENATE("R9C",'Mapa riesgos'!$T$65),"")</f>
        <v/>
      </c>
      <c r="U14" s="37" t="str">
        <f>IF(AND('Mapa riesgos'!$AD$66="Muy Alta",'Mapa riesgos'!$AF$66="Menor"),CONCATENATE("R9C",'Mapa riesgos'!$T$66),"")</f>
        <v/>
      </c>
      <c r="V14" s="35" t="str">
        <f>IF(AND('Mapa riesgos'!$AD$61="Muy Alta",'Mapa riesgos'!$AF$61="Moderado"),CONCATENATE("R9C",'Mapa riesgos'!$T$61),"")</f>
        <v/>
      </c>
      <c r="W14" s="36" t="str">
        <f>IF(AND('Mapa riesgos'!$AD$62="Muy Alta",'Mapa riesgos'!$AF$62="Moderado"),CONCATENATE("R9C",'Mapa riesgos'!$T$62),"")</f>
        <v/>
      </c>
      <c r="X14" s="36" t="str">
        <f>IF(AND('Mapa riesgos'!$AD$63="Muy Alta",'Mapa riesgos'!$AF$63="Moderado"),CONCATENATE("R9C",'Mapa riesgos'!$T$63),"")</f>
        <v/>
      </c>
      <c r="Y14" s="36" t="str">
        <f>IF(AND('Mapa riesgos'!$AD$64="Muy Alta",'Mapa riesgos'!$AF$64="Moderado"),CONCATENATE("R9C",'Mapa riesgos'!$T$64),"")</f>
        <v/>
      </c>
      <c r="Z14" s="36" t="str">
        <f>IF(AND('Mapa riesgos'!$AD$65="Muy Alta",'Mapa riesgos'!$AF$65="Moderado"),CONCATENATE("R9C",'Mapa riesgos'!$T$65),"")</f>
        <v/>
      </c>
      <c r="AA14" s="37" t="str">
        <f>IF(AND('Mapa riesgos'!$AD$66="Muy Alta",'Mapa riesgos'!$AF$66="Moderado"),CONCATENATE("R9C",'Mapa riesgos'!$T$66),"")</f>
        <v/>
      </c>
      <c r="AB14" s="35" t="str">
        <f>IF(AND('Mapa riesgos'!$AD$61="Muy Alta",'Mapa riesgos'!$AF$61="Mayor"),CONCATENATE("R9C",'Mapa riesgos'!$T$61),"")</f>
        <v/>
      </c>
      <c r="AC14" s="36" t="str">
        <f>IF(AND('Mapa riesgos'!$AD$62="Muy Alta",'Mapa riesgos'!$AF$62="Mayor"),CONCATENATE("R9C",'Mapa riesgos'!$T$62),"")</f>
        <v/>
      </c>
      <c r="AD14" s="36" t="str">
        <f>IF(AND('Mapa riesgos'!$AD$63="Muy Alta",'Mapa riesgos'!$AF$63="Mayor"),CONCATENATE("R9C",'Mapa riesgos'!$T$63),"")</f>
        <v/>
      </c>
      <c r="AE14" s="36" t="str">
        <f>IF(AND('Mapa riesgos'!$AD$64="Muy Alta",'Mapa riesgos'!$AF$64="Mayor"),CONCATENATE("R9C",'Mapa riesgos'!$T$64),"")</f>
        <v/>
      </c>
      <c r="AF14" s="36" t="str">
        <f>IF(AND('Mapa riesgos'!$AD$65="Muy Alta",'Mapa riesgos'!$AF$65="Mayor"),CONCATENATE("R9C",'Mapa riesgos'!$T$65),"")</f>
        <v/>
      </c>
      <c r="AG14" s="37" t="str">
        <f>IF(AND('Mapa riesgos'!$AD$66="Muy Alta",'Mapa riesgos'!$AF$66="Mayor"),CONCATENATE("R9C",'Mapa riesgos'!$T$66),"")</f>
        <v/>
      </c>
      <c r="AH14" s="38" t="str">
        <f>IF(AND('Mapa riesgos'!$AD$61="Muy Alta",'Mapa riesgos'!$AF$61="Catastrófico"),CONCATENATE("R9C",'Mapa riesgos'!$T$61),"")</f>
        <v/>
      </c>
      <c r="AI14" s="39" t="str">
        <f>IF(AND('Mapa riesgos'!$AD$62="Muy Alta",'Mapa riesgos'!$AF$62="Catastrófico"),CONCATENATE("R9C",'Mapa riesgos'!$T$62),"")</f>
        <v/>
      </c>
      <c r="AJ14" s="39" t="str">
        <f>IF(AND('Mapa riesgos'!$AD$63="Muy Alta",'Mapa riesgos'!$AF$63="Catastrófico"),CONCATENATE("R9C",'Mapa riesgos'!$T$63),"")</f>
        <v/>
      </c>
      <c r="AK14" s="39" t="str">
        <f>IF(AND('Mapa riesgos'!$AD$64="Muy Alta",'Mapa riesgos'!$AF$64="Catastrófico"),CONCATENATE("R9C",'Mapa riesgos'!$T$64),"")</f>
        <v/>
      </c>
      <c r="AL14" s="39" t="str">
        <f>IF(AND('Mapa riesgos'!$AD$65="Muy Alta",'Mapa riesgos'!$AF$65="Catastrófico"),CONCATENATE("R9C",'Mapa riesgos'!$T$65),"")</f>
        <v/>
      </c>
      <c r="AM14" s="40" t="str">
        <f>IF(AND('Mapa riesgos'!$AD$66="Muy Alta",'Mapa riesgos'!$AF$66="Catastrófico"),CONCATENATE("R9C",'Mapa riesgos'!$T$66),"")</f>
        <v/>
      </c>
      <c r="AN14" s="66"/>
      <c r="AO14" s="519"/>
      <c r="AP14" s="520"/>
      <c r="AQ14" s="520"/>
      <c r="AR14" s="520"/>
      <c r="AS14" s="520"/>
      <c r="AT14" s="521"/>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c r="A15" s="66"/>
      <c r="B15" s="458"/>
      <c r="C15" s="458"/>
      <c r="D15" s="459"/>
      <c r="E15" s="502"/>
      <c r="F15" s="503"/>
      <c r="G15" s="503"/>
      <c r="H15" s="503"/>
      <c r="I15" s="504"/>
      <c r="J15" s="41" t="str">
        <f>IF(AND('Mapa riesgos'!$AD$67="Muy Alta",'Mapa riesgos'!$AF$67="Leve"),CONCATENATE("R10C",'Mapa riesgos'!$T$67),"")</f>
        <v/>
      </c>
      <c r="K15" s="42" t="str">
        <f>IF(AND('Mapa riesgos'!$AD$68="Muy Alta",'Mapa riesgos'!$AF$68="Leve"),CONCATENATE("R10C",'Mapa riesgos'!$T$68),"")</f>
        <v/>
      </c>
      <c r="L15" s="42" t="str">
        <f>IF(AND('Mapa riesgos'!$AD$69="Muy Alta",'Mapa riesgos'!$AF$69="Leve"),CONCATENATE("R10C",'Mapa riesgos'!$T$69),"")</f>
        <v/>
      </c>
      <c r="M15" s="42" t="str">
        <f>IF(AND('Mapa riesgos'!$AD$70="Muy Alta",'Mapa riesgos'!$AF$70="Leve"),CONCATENATE("R10C",'Mapa riesgos'!$T$70),"")</f>
        <v/>
      </c>
      <c r="N15" s="42" t="str">
        <f>IF(AND('Mapa riesgos'!$AD$71="Muy Alta",'Mapa riesgos'!$AF$71="Leve"),CONCATENATE("R10C",'Mapa riesgos'!$T$71),"")</f>
        <v/>
      </c>
      <c r="O15" s="43" t="str">
        <f>IF(AND('Mapa riesgos'!$AD$72="Muy Alta",'Mapa riesgos'!$AF$72="Leve"),CONCATENATE("R10C",'Mapa riesgos'!$T$72),"")</f>
        <v/>
      </c>
      <c r="P15" s="35" t="str">
        <f>IF(AND('Mapa riesgos'!$AD$67="Muy Alta",'Mapa riesgos'!$AF$67="Menor"),CONCATENATE("R10C",'Mapa riesgos'!$T$67),"")</f>
        <v/>
      </c>
      <c r="Q15" s="36" t="str">
        <f>IF(AND('Mapa riesgos'!$AD$68="Muy Alta",'Mapa riesgos'!$AF$68="Menor"),CONCATENATE("R10C",'Mapa riesgos'!$T$68),"")</f>
        <v/>
      </c>
      <c r="R15" s="36" t="str">
        <f>IF(AND('Mapa riesgos'!$AD$69="Muy Alta",'Mapa riesgos'!$AF$69="Menor"),CONCATENATE("R10C",'Mapa riesgos'!$T$69),"")</f>
        <v/>
      </c>
      <c r="S15" s="36" t="str">
        <f>IF(AND('Mapa riesgos'!$AD$70="Muy Alta",'Mapa riesgos'!$AF$70="Menor"),CONCATENATE("R10C",'Mapa riesgos'!$T$70),"")</f>
        <v/>
      </c>
      <c r="T15" s="36" t="str">
        <f>IF(AND('Mapa riesgos'!$AD$71="Muy Alta",'Mapa riesgos'!$AF$71="Menor"),CONCATENATE("R10C",'Mapa riesgos'!$T$71),"")</f>
        <v/>
      </c>
      <c r="U15" s="37" t="str">
        <f>IF(AND('Mapa riesgos'!$AD$72="Muy Alta",'Mapa riesgos'!$AF$72="Menor"),CONCATENATE("R10C",'Mapa riesgos'!$T$72),"")</f>
        <v/>
      </c>
      <c r="V15" s="41" t="str">
        <f>IF(AND('Mapa riesgos'!$AD$67="Muy Alta",'Mapa riesgos'!$AF$67="Moderado"),CONCATENATE("R10C",'Mapa riesgos'!$T$67),"")</f>
        <v/>
      </c>
      <c r="W15" s="42" t="str">
        <f>IF(AND('Mapa riesgos'!$AD$68="Muy Alta",'Mapa riesgos'!$AF$68="Moderado"),CONCATENATE("R10C",'Mapa riesgos'!$T$68),"")</f>
        <v/>
      </c>
      <c r="X15" s="42" t="str">
        <f>IF(AND('Mapa riesgos'!$AD$69="Muy Alta",'Mapa riesgos'!$AF$69="Moderado"),CONCATENATE("R10C",'Mapa riesgos'!$T$69),"")</f>
        <v/>
      </c>
      <c r="Y15" s="42" t="str">
        <f>IF(AND('Mapa riesgos'!$AD$70="Muy Alta",'Mapa riesgos'!$AF$70="Moderado"),CONCATENATE("R10C",'Mapa riesgos'!$T$70),"")</f>
        <v/>
      </c>
      <c r="Z15" s="42" t="str">
        <f>IF(AND('Mapa riesgos'!$AD$71="Muy Alta",'Mapa riesgos'!$AF$71="Moderado"),CONCATENATE("R10C",'Mapa riesgos'!$T$71),"")</f>
        <v/>
      </c>
      <c r="AA15" s="43" t="str">
        <f>IF(AND('Mapa riesgos'!$AD$72="Muy Alta",'Mapa riesgos'!$AF$72="Moderado"),CONCATENATE("R10C",'Mapa riesgos'!$T$72),"")</f>
        <v/>
      </c>
      <c r="AB15" s="35" t="str">
        <f>IF(AND('Mapa riesgos'!$AD$67="Muy Alta",'Mapa riesgos'!$AF$67="Mayor"),CONCATENATE("R10C",'Mapa riesgos'!$T$67),"")</f>
        <v/>
      </c>
      <c r="AC15" s="36" t="str">
        <f>IF(AND('Mapa riesgos'!$AD$68="Muy Alta",'Mapa riesgos'!$AF$68="Mayor"),CONCATENATE("R10C",'Mapa riesgos'!$T$68),"")</f>
        <v/>
      </c>
      <c r="AD15" s="36" t="str">
        <f>IF(AND('Mapa riesgos'!$AD$69="Muy Alta",'Mapa riesgos'!$AF$69="Mayor"),CONCATENATE("R10C",'Mapa riesgos'!$T$69),"")</f>
        <v/>
      </c>
      <c r="AE15" s="36" t="str">
        <f>IF(AND('Mapa riesgos'!$AD$70="Muy Alta",'Mapa riesgos'!$AF$70="Mayor"),CONCATENATE("R10C",'Mapa riesgos'!$T$70),"")</f>
        <v/>
      </c>
      <c r="AF15" s="36" t="str">
        <f>IF(AND('Mapa riesgos'!$AD$71="Muy Alta",'Mapa riesgos'!$AF$71="Mayor"),CONCATENATE("R10C",'Mapa riesgos'!$T$71),"")</f>
        <v/>
      </c>
      <c r="AG15" s="37" t="str">
        <f>IF(AND('Mapa riesgos'!$AD$72="Muy Alta",'Mapa riesgos'!$AF$72="Mayor"),CONCATENATE("R10C",'Mapa riesgos'!$T$72),"")</f>
        <v/>
      </c>
      <c r="AH15" s="44" t="str">
        <f>IF(AND('Mapa riesgos'!$AD$67="Muy Alta",'Mapa riesgos'!$AF$67="Catastrófico"),CONCATENATE("R10C",'Mapa riesgos'!$T$67),"")</f>
        <v/>
      </c>
      <c r="AI15" s="45" t="str">
        <f>IF(AND('Mapa riesgos'!$AD$68="Muy Alta",'Mapa riesgos'!$AF$68="Catastrófico"),CONCATENATE("R10C",'Mapa riesgos'!$T$68),"")</f>
        <v/>
      </c>
      <c r="AJ15" s="45" t="str">
        <f>IF(AND('Mapa riesgos'!$AD$69="Muy Alta",'Mapa riesgos'!$AF$69="Catastrófico"),CONCATENATE("R10C",'Mapa riesgos'!$T$69),"")</f>
        <v/>
      </c>
      <c r="AK15" s="45" t="str">
        <f>IF(AND('Mapa riesgos'!$AD$70="Muy Alta",'Mapa riesgos'!$AF$70="Catastrófico"),CONCATENATE("R10C",'Mapa riesgos'!$T$70),"")</f>
        <v/>
      </c>
      <c r="AL15" s="45" t="str">
        <f>IF(AND('Mapa riesgos'!$AD$71="Muy Alta",'Mapa riesgos'!$AF$71="Catastrófico"),CONCATENATE("R10C",'Mapa riesgos'!$T$71),"")</f>
        <v/>
      </c>
      <c r="AM15" s="46" t="str">
        <f>IF(AND('Mapa riesgos'!$AD$72="Muy Alta",'Mapa riesgos'!$AF$72="Catastrófico"),CONCATENATE("R10C",'Mapa riesgos'!$T$72),"")</f>
        <v/>
      </c>
      <c r="AN15" s="66"/>
      <c r="AO15" s="522"/>
      <c r="AP15" s="523"/>
      <c r="AQ15" s="523"/>
      <c r="AR15" s="523"/>
      <c r="AS15" s="523"/>
      <c r="AT15" s="524"/>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c r="A16" s="66"/>
      <c r="B16" s="458"/>
      <c r="C16" s="458"/>
      <c r="D16" s="459"/>
      <c r="E16" s="496" t="s">
        <v>219</v>
      </c>
      <c r="F16" s="497"/>
      <c r="G16" s="497"/>
      <c r="H16" s="497"/>
      <c r="I16" s="497"/>
      <c r="J16" s="47" t="str">
        <f>IF(AND('Mapa riesgos'!$AD$13="Alta",'Mapa riesgos'!$AF$13="Leve"),CONCATENATE("R1C",'Mapa riesgos'!$T$13),"")</f>
        <v/>
      </c>
      <c r="K16" s="48" t="str">
        <f>IF(AND('Mapa riesgos'!$AD$14="Alta",'Mapa riesgos'!$AF$14="Leve"),CONCATENATE("R1C",'Mapa riesgos'!$T$14),"")</f>
        <v/>
      </c>
      <c r="L16" s="48" t="str">
        <f>IF(AND('Mapa riesgos'!$AD$15="Alta",'Mapa riesgos'!$AF$15="Leve"),CONCATENATE("R1C",'Mapa riesgos'!$T$15),"")</f>
        <v/>
      </c>
      <c r="M16" s="48" t="str">
        <f>IF(AND('Mapa riesgos'!$AD$16="Alta",'Mapa riesgos'!$AF$16="Leve"),CONCATENATE("R1C",'Mapa riesgos'!$T$16),"")</f>
        <v/>
      </c>
      <c r="N16" s="48" t="str">
        <f>IF(AND('Mapa riesgos'!$AD$17="Alta",'Mapa riesgos'!$AF$17="Leve"),CONCATENATE("R1C",'Mapa riesgos'!$T$17),"")</f>
        <v/>
      </c>
      <c r="O16" s="49" t="str">
        <f>IF(AND('Mapa riesgos'!$AD$18="Alta",'Mapa riesgos'!$AF$18="Leve"),CONCATENATE("R1C",'Mapa riesgos'!$T$18),"")</f>
        <v/>
      </c>
      <c r="P16" s="47" t="str">
        <f>IF(AND('Mapa riesgos'!$AD$13="Alta",'Mapa riesgos'!$AF$13="Menor"),CONCATENATE("R1C",'Mapa riesgos'!$T$13),"")</f>
        <v/>
      </c>
      <c r="Q16" s="48" t="str">
        <f>IF(AND('Mapa riesgos'!$AD$14="Alta",'Mapa riesgos'!$AF$14="Menor"),CONCATENATE("R1C",'Mapa riesgos'!$T$14),"")</f>
        <v/>
      </c>
      <c r="R16" s="48" t="str">
        <f>IF(AND('Mapa riesgos'!$AD$15="Alta",'Mapa riesgos'!$AF$15="Menor"),CONCATENATE("R1C",'Mapa riesgos'!$T$15),"")</f>
        <v/>
      </c>
      <c r="S16" s="48" t="str">
        <f>IF(AND('Mapa riesgos'!$AD$16="Alta",'Mapa riesgos'!$AF$16="Menor"),CONCATENATE("R1C",'Mapa riesgos'!$T$16),"")</f>
        <v/>
      </c>
      <c r="T16" s="48" t="str">
        <f>IF(AND('Mapa riesgos'!$AD$17="Alta",'Mapa riesgos'!$AF$17="Menor"),CONCATENATE("R1C",'Mapa riesgos'!$T$17),"")</f>
        <v/>
      </c>
      <c r="U16" s="49" t="str">
        <f>IF(AND('Mapa riesgos'!$AD$18="Alta",'Mapa riesgos'!$AF$18="Menor"),CONCATENATE("R1C",'Mapa riesgos'!$T$18),"")</f>
        <v/>
      </c>
      <c r="V16" s="29" t="str">
        <f>IF(AND('Mapa riesgos'!$AD$13="Alta",'Mapa riesgos'!$AF$13="Moderado"),CONCATENATE("R1C",'Mapa riesgos'!$T$13),"")</f>
        <v/>
      </c>
      <c r="W16" s="30" t="str">
        <f>IF(AND('Mapa riesgos'!$AD$14="Alta",'Mapa riesgos'!$AF$14="Moderado"),CONCATENATE("R1C",'Mapa riesgos'!$T$14),"")</f>
        <v/>
      </c>
      <c r="X16" s="30" t="str">
        <f>IF(AND('Mapa riesgos'!$AD$15="Alta",'Mapa riesgos'!$AF$15="Moderado"),CONCATENATE("R1C",'Mapa riesgos'!$T$15),"")</f>
        <v/>
      </c>
      <c r="Y16" s="30" t="str">
        <f>IF(AND('Mapa riesgos'!$AD$16="Alta",'Mapa riesgos'!$AF$16="Moderado"),CONCATENATE("R1C",'Mapa riesgos'!$T$16),"")</f>
        <v/>
      </c>
      <c r="Z16" s="30" t="str">
        <f>IF(AND('Mapa riesgos'!$AD$17="Alta",'Mapa riesgos'!$AF$17="Moderado"),CONCATENATE("R1C",'Mapa riesgos'!$T$17),"")</f>
        <v/>
      </c>
      <c r="AA16" s="31" t="str">
        <f>IF(AND('Mapa riesgos'!$AD$18="Alta",'Mapa riesgos'!$AF$18="Moderado"),CONCATENATE("R1C",'Mapa riesgos'!$T$18),"")</f>
        <v/>
      </c>
      <c r="AB16" s="29" t="str">
        <f>IF(AND('Mapa riesgos'!$AD$13="Alta",'Mapa riesgos'!$AF$13="Mayor"),CONCATENATE("R1C",'Mapa riesgos'!$T$13),"")</f>
        <v/>
      </c>
      <c r="AC16" s="30" t="str">
        <f>IF(AND('Mapa riesgos'!$AD$14="Alta",'Mapa riesgos'!$AF$14="Mayor"),CONCATENATE("R1C",'Mapa riesgos'!$T$14),"")</f>
        <v/>
      </c>
      <c r="AD16" s="30" t="str">
        <f>IF(AND('Mapa riesgos'!$AD$15="Alta",'Mapa riesgos'!$AF$15="Mayor"),CONCATENATE("R1C",'Mapa riesgos'!$T$15),"")</f>
        <v/>
      </c>
      <c r="AE16" s="30" t="str">
        <f>IF(AND('Mapa riesgos'!$AD$16="Alta",'Mapa riesgos'!$AF$16="Mayor"),CONCATENATE("R1C",'Mapa riesgos'!$T$16),"")</f>
        <v/>
      </c>
      <c r="AF16" s="30" t="str">
        <f>IF(AND('Mapa riesgos'!$AD$17="Alta",'Mapa riesgos'!$AF$17="Mayor"),CONCATENATE("R1C",'Mapa riesgos'!$T$17),"")</f>
        <v/>
      </c>
      <c r="AG16" s="31" t="str">
        <f>IF(AND('Mapa riesgos'!$AD$18="Alta",'Mapa riesgos'!$AF$18="Mayor"),CONCATENATE("R1C",'Mapa riesgos'!$T$18),"")</f>
        <v/>
      </c>
      <c r="AH16" s="32" t="str">
        <f>IF(AND('Mapa riesgos'!$AD$13="Alta",'Mapa riesgos'!$AF$13="Catastrófico"),CONCATENATE("R1C",'Mapa riesgos'!$T$13),"")</f>
        <v/>
      </c>
      <c r="AI16" s="33" t="str">
        <f>IF(AND('Mapa riesgos'!$AD$14="Alta",'Mapa riesgos'!$AF$14="Catastrófico"),CONCATENATE("R1C",'Mapa riesgos'!$T$14),"")</f>
        <v/>
      </c>
      <c r="AJ16" s="33" t="str">
        <f>IF(AND('Mapa riesgos'!$AD$15="Alta",'Mapa riesgos'!$AF$15="Catastrófico"),CONCATENATE("R1C",'Mapa riesgos'!$T$15),"")</f>
        <v/>
      </c>
      <c r="AK16" s="33" t="str">
        <f>IF(AND('Mapa riesgos'!$AD$16="Alta",'Mapa riesgos'!$AF$16="Catastrófico"),CONCATENATE("R1C",'Mapa riesgos'!$T$16),"")</f>
        <v/>
      </c>
      <c r="AL16" s="33" t="str">
        <f>IF(AND('Mapa riesgos'!$AD$17="Alta",'Mapa riesgos'!$AF$17="Catastrófico"),CONCATENATE("R1C",'Mapa riesgos'!$T$17),"")</f>
        <v/>
      </c>
      <c r="AM16" s="34" t="str">
        <f>IF(AND('Mapa riesgos'!$AD$18="Alta",'Mapa riesgos'!$AF$18="Catastrófico"),CONCATENATE("R1C",'Mapa riesgos'!$T$18),"")</f>
        <v/>
      </c>
      <c r="AN16" s="66"/>
      <c r="AO16" s="506" t="s">
        <v>220</v>
      </c>
      <c r="AP16" s="507"/>
      <c r="AQ16" s="507"/>
      <c r="AR16" s="507"/>
      <c r="AS16" s="507"/>
      <c r="AT16" s="508"/>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c r="A17" s="66"/>
      <c r="B17" s="458"/>
      <c r="C17" s="458"/>
      <c r="D17" s="459"/>
      <c r="E17" s="515"/>
      <c r="F17" s="500"/>
      <c r="G17" s="500"/>
      <c r="H17" s="500"/>
      <c r="I17" s="500"/>
      <c r="J17" s="50" t="str">
        <f>IF(AND('Mapa riesgos'!$AD$19="Alta",'Mapa riesgos'!$AF$19="Leve"),CONCATENATE("R2C",'Mapa riesgos'!$T$19),"")</f>
        <v/>
      </c>
      <c r="K17" s="51" t="str">
        <f>IF(AND('Mapa riesgos'!$AD$20="Alta",'Mapa riesgos'!$AF$20="Leve"),CONCATENATE("R2C",'Mapa riesgos'!$T$20),"")</f>
        <v/>
      </c>
      <c r="L17" s="51" t="str">
        <f>IF(AND('Mapa riesgos'!$AD$21="Alta",'Mapa riesgos'!$AF$21="Leve"),CONCATENATE("R2C",'Mapa riesgos'!$T$21),"")</f>
        <v/>
      </c>
      <c r="M17" s="51" t="str">
        <f>IF(AND('Mapa riesgos'!$AD$22="Alta",'Mapa riesgos'!$AF$22="Leve"),CONCATENATE("R2C",'Mapa riesgos'!$T$22),"")</f>
        <v/>
      </c>
      <c r="N17" s="51" t="str">
        <f>IF(AND('Mapa riesgos'!$AD$23="Alta",'Mapa riesgos'!$AF$23="Leve"),CONCATENATE("R2C",'Mapa riesgos'!$T$23),"")</f>
        <v/>
      </c>
      <c r="O17" s="52" t="str">
        <f>IF(AND('Mapa riesgos'!$AD$24="Alta",'Mapa riesgos'!$AF$24="Leve"),CONCATENATE("R2C",'Mapa riesgos'!$T$24),"")</f>
        <v/>
      </c>
      <c r="P17" s="50" t="str">
        <f>IF(AND('Mapa riesgos'!$AD$19="Alta",'Mapa riesgos'!$AF$19="Menor"),CONCATENATE("R2C",'Mapa riesgos'!$T$19),"")</f>
        <v/>
      </c>
      <c r="Q17" s="51" t="str">
        <f>IF(AND('Mapa riesgos'!$AD$20="Alta",'Mapa riesgos'!$AF$20="Menor"),CONCATENATE("R2C",'Mapa riesgos'!$T$20),"")</f>
        <v/>
      </c>
      <c r="R17" s="51" t="str">
        <f>IF(AND('Mapa riesgos'!$AD$21="Alta",'Mapa riesgos'!$AF$21="Menor"),CONCATENATE("R2C",'Mapa riesgos'!$T$21),"")</f>
        <v/>
      </c>
      <c r="S17" s="51" t="str">
        <f>IF(AND('Mapa riesgos'!$AD$22="Alta",'Mapa riesgos'!$AF$22="Menor"),CONCATENATE("R2C",'Mapa riesgos'!$T$22),"")</f>
        <v/>
      </c>
      <c r="T17" s="51" t="str">
        <f>IF(AND('Mapa riesgos'!$AD$23="Alta",'Mapa riesgos'!$AF$23="Menor"),CONCATENATE("R2C",'Mapa riesgos'!$T$23),"")</f>
        <v/>
      </c>
      <c r="U17" s="52" t="str">
        <f>IF(AND('Mapa riesgos'!$AD$24="Alta",'Mapa riesgos'!$AF$24="Menor"),CONCATENATE("R2C",'Mapa riesgos'!$T$24),"")</f>
        <v/>
      </c>
      <c r="V17" s="35" t="str">
        <f>IF(AND('Mapa riesgos'!$AD$19="Alta",'Mapa riesgos'!$AF$19="Moderado"),CONCATENATE("R2C",'Mapa riesgos'!$T$19),"")</f>
        <v/>
      </c>
      <c r="W17" s="36" t="str">
        <f>IF(AND('Mapa riesgos'!$AD$20="Alta",'Mapa riesgos'!$AF$20="Moderado"),CONCATENATE("R2C",'Mapa riesgos'!$T$20),"")</f>
        <v/>
      </c>
      <c r="X17" s="36" t="str">
        <f>IF(AND('Mapa riesgos'!$AD$21="Alta",'Mapa riesgos'!$AF$21="Moderado"),CONCATENATE("R2C",'Mapa riesgos'!$T$21),"")</f>
        <v/>
      </c>
      <c r="Y17" s="36" t="str">
        <f>IF(AND('Mapa riesgos'!$AD$22="Alta",'Mapa riesgos'!$AF$22="Moderado"),CONCATENATE("R2C",'Mapa riesgos'!$T$22),"")</f>
        <v/>
      </c>
      <c r="Z17" s="36" t="str">
        <f>IF(AND('Mapa riesgos'!$AD$23="Alta",'Mapa riesgos'!$AF$23="Moderado"),CONCATENATE("R2C",'Mapa riesgos'!$T$23),"")</f>
        <v/>
      </c>
      <c r="AA17" s="37" t="str">
        <f>IF(AND('Mapa riesgos'!$AD$24="Alta",'Mapa riesgos'!$AF$24="Moderado"),CONCATENATE("R2C",'Mapa riesgos'!$T$24),"")</f>
        <v/>
      </c>
      <c r="AB17" s="35" t="str">
        <f>IF(AND('Mapa riesgos'!$AD$19="Alta",'Mapa riesgos'!$AF$19="Mayor"),CONCATENATE("R2C",'Mapa riesgos'!$T$19),"")</f>
        <v/>
      </c>
      <c r="AC17" s="36" t="str">
        <f>IF(AND('Mapa riesgos'!$AD$20="Alta",'Mapa riesgos'!$AF$20="Mayor"),CONCATENATE("R2C",'Mapa riesgos'!$T$20),"")</f>
        <v/>
      </c>
      <c r="AD17" s="36" t="str">
        <f>IF(AND('Mapa riesgos'!$AD$21="Alta",'Mapa riesgos'!$AF$21="Mayor"),CONCATENATE("R2C",'Mapa riesgos'!$T$21),"")</f>
        <v/>
      </c>
      <c r="AE17" s="36" t="str">
        <f>IF(AND('Mapa riesgos'!$AD$22="Alta",'Mapa riesgos'!$AF$22="Mayor"),CONCATENATE("R2C",'Mapa riesgos'!$T$22),"")</f>
        <v/>
      </c>
      <c r="AF17" s="36" t="str">
        <f>IF(AND('Mapa riesgos'!$AD$23="Alta",'Mapa riesgos'!$AF$23="Mayor"),CONCATENATE("R2C",'Mapa riesgos'!$T$23),"")</f>
        <v/>
      </c>
      <c r="AG17" s="37" t="str">
        <f>IF(AND('Mapa riesgos'!$AD$24="Alta",'Mapa riesgos'!$AF$24="Mayor"),CONCATENATE("R2C",'Mapa riesgos'!$T$24),"")</f>
        <v/>
      </c>
      <c r="AH17" s="38" t="str">
        <f>IF(AND('Mapa riesgos'!$AD$19="Alta",'Mapa riesgos'!$AF$19="Catastrófico"),CONCATENATE("R2C",'Mapa riesgos'!$T$19),"")</f>
        <v/>
      </c>
      <c r="AI17" s="39" t="str">
        <f>IF(AND('Mapa riesgos'!$AD$20="Alta",'Mapa riesgos'!$AF$20="Catastrófico"),CONCATENATE("R2C",'Mapa riesgos'!$T$20),"")</f>
        <v/>
      </c>
      <c r="AJ17" s="39" t="str">
        <f>IF(AND('Mapa riesgos'!$AD$21="Alta",'Mapa riesgos'!$AF$21="Catastrófico"),CONCATENATE("R2C",'Mapa riesgos'!$T$21),"")</f>
        <v/>
      </c>
      <c r="AK17" s="39" t="str">
        <f>IF(AND('Mapa riesgos'!$AD$22="Alta",'Mapa riesgos'!$AF$22="Catastrófico"),CONCATENATE("R2C",'Mapa riesgos'!$T$22),"")</f>
        <v/>
      </c>
      <c r="AL17" s="39" t="str">
        <f>IF(AND('Mapa riesgos'!$AD$23="Alta",'Mapa riesgos'!$AF$23="Catastrófico"),CONCATENATE("R2C",'Mapa riesgos'!$T$23),"")</f>
        <v/>
      </c>
      <c r="AM17" s="40" t="str">
        <f>IF(AND('Mapa riesgos'!$AD$24="Alta",'Mapa riesgos'!$AF$24="Catastrófico"),CONCATENATE("R2C",'Mapa riesgos'!$T$24),"")</f>
        <v/>
      </c>
      <c r="AN17" s="66"/>
      <c r="AO17" s="509"/>
      <c r="AP17" s="510"/>
      <c r="AQ17" s="510"/>
      <c r="AR17" s="510"/>
      <c r="AS17" s="510"/>
      <c r="AT17" s="511"/>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c r="A18" s="66"/>
      <c r="B18" s="458"/>
      <c r="C18" s="458"/>
      <c r="D18" s="459"/>
      <c r="E18" s="499"/>
      <c r="F18" s="500"/>
      <c r="G18" s="500"/>
      <c r="H18" s="500"/>
      <c r="I18" s="500"/>
      <c r="J18" s="50" t="str">
        <f>IF(AND('Mapa riesgos'!$AD$25="Alta",'Mapa riesgos'!$AF$25="Leve"),CONCATENATE("R3C",'Mapa riesgos'!$T$25),"")</f>
        <v/>
      </c>
      <c r="K18" s="51" t="str">
        <f>IF(AND('Mapa riesgos'!$AD$26="Alta",'Mapa riesgos'!$AF$26="Leve"),CONCATENATE("R3C",'Mapa riesgos'!$T$26),"")</f>
        <v/>
      </c>
      <c r="L18" s="51" t="str">
        <f>IF(AND('Mapa riesgos'!$AD$27="Alta",'Mapa riesgos'!$AF$27="Leve"),CONCATENATE("R3C",'Mapa riesgos'!$T$27),"")</f>
        <v/>
      </c>
      <c r="M18" s="51" t="str">
        <f>IF(AND('Mapa riesgos'!$AD$28="Alta",'Mapa riesgos'!$AF$28="Leve"),CONCATENATE("R3C",'Mapa riesgos'!$T$28),"")</f>
        <v/>
      </c>
      <c r="N18" s="51" t="str">
        <f>IF(AND('Mapa riesgos'!$AD$29="Alta",'Mapa riesgos'!$AF$29="Leve"),CONCATENATE("R3C",'Mapa riesgos'!$T$29),"")</f>
        <v/>
      </c>
      <c r="O18" s="52" t="str">
        <f>IF(AND('Mapa riesgos'!$AD$30="Alta",'Mapa riesgos'!$AF$30="Leve"),CONCATENATE("R3C",'Mapa riesgos'!$T$30),"")</f>
        <v/>
      </c>
      <c r="P18" s="50" t="str">
        <f>IF(AND('Mapa riesgos'!$AD$25="Alta",'Mapa riesgos'!$AF$25="Menor"),CONCATENATE("R3C",'Mapa riesgos'!$T$25),"")</f>
        <v/>
      </c>
      <c r="Q18" s="51" t="str">
        <f>IF(AND('Mapa riesgos'!$AD$26="Alta",'Mapa riesgos'!$AF$26="Menor"),CONCATENATE("R3C",'Mapa riesgos'!$T$26),"")</f>
        <v/>
      </c>
      <c r="R18" s="51" t="str">
        <f>IF(AND('Mapa riesgos'!$AD$27="Alta",'Mapa riesgos'!$AF$27="Menor"),CONCATENATE("R3C",'Mapa riesgos'!$T$27),"")</f>
        <v/>
      </c>
      <c r="S18" s="51" t="str">
        <f>IF(AND('Mapa riesgos'!$AD$28="Alta",'Mapa riesgos'!$AF$28="Menor"),CONCATENATE("R3C",'Mapa riesgos'!$T$28),"")</f>
        <v/>
      </c>
      <c r="T18" s="51" t="str">
        <f>IF(AND('Mapa riesgos'!$AD$29="Alta",'Mapa riesgos'!$AF$29="Menor"),CONCATENATE("R3C",'Mapa riesgos'!$T$29),"")</f>
        <v/>
      </c>
      <c r="U18" s="52" t="str">
        <f>IF(AND('Mapa riesgos'!$AD$30="Alta",'Mapa riesgos'!$AF$30="Menor"),CONCATENATE("R3C",'Mapa riesgos'!$T$30),"")</f>
        <v/>
      </c>
      <c r="V18" s="35" t="str">
        <f>IF(AND('Mapa riesgos'!$AD$25="Alta",'Mapa riesgos'!$AF$25="Moderado"),CONCATENATE("R3C",'Mapa riesgos'!$T$25),"")</f>
        <v/>
      </c>
      <c r="W18" s="36" t="str">
        <f>IF(AND('Mapa riesgos'!$AD$26="Alta",'Mapa riesgos'!$AF$26="Moderado"),CONCATENATE("R3C",'Mapa riesgos'!$T$26),"")</f>
        <v/>
      </c>
      <c r="X18" s="36" t="str">
        <f>IF(AND('Mapa riesgos'!$AD$27="Alta",'Mapa riesgos'!$AF$27="Moderado"),CONCATENATE("R3C",'Mapa riesgos'!$T$27),"")</f>
        <v/>
      </c>
      <c r="Y18" s="36" t="str">
        <f>IF(AND('Mapa riesgos'!$AD$28="Alta",'Mapa riesgos'!$AF$28="Moderado"),CONCATENATE("R3C",'Mapa riesgos'!$T$28),"")</f>
        <v/>
      </c>
      <c r="Z18" s="36" t="str">
        <f>IF(AND('Mapa riesgos'!$AD$29="Alta",'Mapa riesgos'!$AF$29="Moderado"),CONCATENATE("R3C",'Mapa riesgos'!$T$29),"")</f>
        <v/>
      </c>
      <c r="AA18" s="37" t="str">
        <f>IF(AND('Mapa riesgos'!$AD$30="Alta",'Mapa riesgos'!$AF$30="Moderado"),CONCATENATE("R3C",'Mapa riesgos'!$T$30),"")</f>
        <v/>
      </c>
      <c r="AB18" s="35" t="str">
        <f>IF(AND('Mapa riesgos'!$AD$25="Alta",'Mapa riesgos'!$AF$25="Mayor"),CONCATENATE("R3C",'Mapa riesgos'!$T$25),"")</f>
        <v/>
      </c>
      <c r="AC18" s="36" t="str">
        <f>IF(AND('Mapa riesgos'!$AD$26="Alta",'Mapa riesgos'!$AF$26="Mayor"),CONCATENATE("R3C",'Mapa riesgos'!$T$26),"")</f>
        <v/>
      </c>
      <c r="AD18" s="36" t="str">
        <f>IF(AND('Mapa riesgos'!$AD$27="Alta",'Mapa riesgos'!$AF$27="Mayor"),CONCATENATE("R3C",'Mapa riesgos'!$T$27),"")</f>
        <v/>
      </c>
      <c r="AE18" s="36" t="str">
        <f>IF(AND('Mapa riesgos'!$AD$28="Alta",'Mapa riesgos'!$AF$28="Mayor"),CONCATENATE("R3C",'Mapa riesgos'!$T$28),"")</f>
        <v/>
      </c>
      <c r="AF18" s="36" t="str">
        <f>IF(AND('Mapa riesgos'!$AD$29="Alta",'Mapa riesgos'!$AF$29="Mayor"),CONCATENATE("R3C",'Mapa riesgos'!$T$29),"")</f>
        <v/>
      </c>
      <c r="AG18" s="37" t="str">
        <f>IF(AND('Mapa riesgos'!$AD$30="Alta",'Mapa riesgos'!$AF$30="Mayor"),CONCATENATE("R3C",'Mapa riesgos'!$T$30),"")</f>
        <v/>
      </c>
      <c r="AH18" s="38" t="str">
        <f>IF(AND('Mapa riesgos'!$AD$25="Alta",'Mapa riesgos'!$AF$25="Catastrófico"),CONCATENATE("R3C",'Mapa riesgos'!$T$25),"")</f>
        <v/>
      </c>
      <c r="AI18" s="39" t="str">
        <f>IF(AND('Mapa riesgos'!$AD$26="Alta",'Mapa riesgos'!$AF$26="Catastrófico"),CONCATENATE("R3C",'Mapa riesgos'!$T$26),"")</f>
        <v/>
      </c>
      <c r="AJ18" s="39" t="str">
        <f>IF(AND('Mapa riesgos'!$AD$27="Alta",'Mapa riesgos'!$AF$27="Catastrófico"),CONCATENATE("R3C",'Mapa riesgos'!$T$27),"")</f>
        <v/>
      </c>
      <c r="AK18" s="39" t="str">
        <f>IF(AND('Mapa riesgos'!$AD$28="Alta",'Mapa riesgos'!$AF$28="Catastrófico"),CONCATENATE("R3C",'Mapa riesgos'!$T$28),"")</f>
        <v/>
      </c>
      <c r="AL18" s="39" t="str">
        <f>IF(AND('Mapa riesgos'!$AD$29="Alta",'Mapa riesgos'!$AF$29="Catastrófico"),CONCATENATE("R3C",'Mapa riesgos'!$T$29),"")</f>
        <v/>
      </c>
      <c r="AM18" s="40" t="str">
        <f>IF(AND('Mapa riesgos'!$AD$30="Alta",'Mapa riesgos'!$AF$30="Catastrófico"),CONCATENATE("R3C",'Mapa riesgos'!$T$30),"")</f>
        <v/>
      </c>
      <c r="AN18" s="66"/>
      <c r="AO18" s="509"/>
      <c r="AP18" s="510"/>
      <c r="AQ18" s="510"/>
      <c r="AR18" s="510"/>
      <c r="AS18" s="510"/>
      <c r="AT18" s="511"/>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c r="A19" s="66"/>
      <c r="B19" s="458"/>
      <c r="C19" s="458"/>
      <c r="D19" s="459"/>
      <c r="E19" s="499"/>
      <c r="F19" s="500"/>
      <c r="G19" s="500"/>
      <c r="H19" s="500"/>
      <c r="I19" s="500"/>
      <c r="J19" s="50" t="str">
        <f>IF(AND('Mapa riesgos'!$AD$31="Alta",'Mapa riesgos'!$AF$31="Leve"),CONCATENATE("R4C",'Mapa riesgos'!$T$31),"")</f>
        <v/>
      </c>
      <c r="K19" s="51" t="str">
        <f>IF(AND('Mapa riesgos'!$AD$32="Alta",'Mapa riesgos'!$AF$32="Leve"),CONCATENATE("R4C",'Mapa riesgos'!$T$32),"")</f>
        <v/>
      </c>
      <c r="L19" s="51" t="str">
        <f>IF(AND('Mapa riesgos'!$AD$33="Alta",'Mapa riesgos'!$AF$33="Leve"),CONCATENATE("R4C",'Mapa riesgos'!$T$33),"")</f>
        <v/>
      </c>
      <c r="M19" s="51" t="str">
        <f>IF(AND('Mapa riesgos'!$AD$34="Alta",'Mapa riesgos'!$AF$34="Leve"),CONCATENATE("R4C",'Mapa riesgos'!$T$34),"")</f>
        <v/>
      </c>
      <c r="N19" s="51" t="str">
        <f>IF(AND('Mapa riesgos'!$AD$35="Alta",'Mapa riesgos'!$AF$35="Leve"),CONCATENATE("R4C",'Mapa riesgos'!$T$35),"")</f>
        <v/>
      </c>
      <c r="O19" s="52" t="str">
        <f>IF(AND('Mapa riesgos'!$AD$36="Alta",'Mapa riesgos'!$AF$36="Leve"),CONCATENATE("R4C",'Mapa riesgos'!$T$36),"")</f>
        <v/>
      </c>
      <c r="P19" s="50" t="str">
        <f>IF(AND('Mapa riesgos'!$AD$31="Alta",'Mapa riesgos'!$AF$31="Menor"),CONCATENATE("R4C",'Mapa riesgos'!$T$31),"")</f>
        <v/>
      </c>
      <c r="Q19" s="51" t="str">
        <f>IF(AND('Mapa riesgos'!$AD$32="Alta",'Mapa riesgos'!$AF$32="Menor"),CONCATENATE("R4C",'Mapa riesgos'!$T$32),"")</f>
        <v/>
      </c>
      <c r="R19" s="51" t="str">
        <f>IF(AND('Mapa riesgos'!$AD$33="Alta",'Mapa riesgos'!$AF$33="Menor"),CONCATENATE("R4C",'Mapa riesgos'!$T$33),"")</f>
        <v/>
      </c>
      <c r="S19" s="51" t="str">
        <f>IF(AND('Mapa riesgos'!$AD$34="Alta",'Mapa riesgos'!$AF$34="Menor"),CONCATENATE("R4C",'Mapa riesgos'!$T$34),"")</f>
        <v/>
      </c>
      <c r="T19" s="51" t="str">
        <f>IF(AND('Mapa riesgos'!$AD$35="Alta",'Mapa riesgos'!$AF$35="Menor"),CONCATENATE("R4C",'Mapa riesgos'!$T$35),"")</f>
        <v/>
      </c>
      <c r="U19" s="52" t="str">
        <f>IF(AND('Mapa riesgos'!$AD$36="Alta",'Mapa riesgos'!$AF$36="Menor"),CONCATENATE("R4C",'Mapa riesgos'!$T$36),"")</f>
        <v/>
      </c>
      <c r="V19" s="35" t="str">
        <f>IF(AND('Mapa riesgos'!$AD$31="Alta",'Mapa riesgos'!$AF$31="Moderado"),CONCATENATE("R4C",'Mapa riesgos'!$T$31),"")</f>
        <v/>
      </c>
      <c r="W19" s="36" t="str">
        <f>IF(AND('Mapa riesgos'!$AD$32="Alta",'Mapa riesgos'!$AF$32="Moderado"),CONCATENATE("R4C",'Mapa riesgos'!$T$32),"")</f>
        <v/>
      </c>
      <c r="X19" s="36" t="str">
        <f>IF(AND('Mapa riesgos'!$AD$33="Alta",'Mapa riesgos'!$AF$33="Moderado"),CONCATENATE("R4C",'Mapa riesgos'!$T$33),"")</f>
        <v/>
      </c>
      <c r="Y19" s="36" t="str">
        <f>IF(AND('Mapa riesgos'!$AD$34="Alta",'Mapa riesgos'!$AF$34="Moderado"),CONCATENATE("R4C",'Mapa riesgos'!$T$34),"")</f>
        <v/>
      </c>
      <c r="Z19" s="36" t="str">
        <f>IF(AND('Mapa riesgos'!$AD$35="Alta",'Mapa riesgos'!$AF$35="Moderado"),CONCATENATE("R4C",'Mapa riesgos'!$T$35),"")</f>
        <v/>
      </c>
      <c r="AA19" s="37" t="str">
        <f>IF(AND('Mapa riesgos'!$AD$36="Alta",'Mapa riesgos'!$AF$36="Moderado"),CONCATENATE("R4C",'Mapa riesgos'!$T$36),"")</f>
        <v/>
      </c>
      <c r="AB19" s="35" t="str">
        <f>IF(AND('Mapa riesgos'!$AD$31="Alta",'Mapa riesgos'!$AF$31="Mayor"),CONCATENATE("R4C",'Mapa riesgos'!$T$31),"")</f>
        <v/>
      </c>
      <c r="AC19" s="36" t="str">
        <f>IF(AND('Mapa riesgos'!$AD$32="Alta",'Mapa riesgos'!$AF$32="Mayor"),CONCATENATE("R4C",'Mapa riesgos'!$T$32),"")</f>
        <v/>
      </c>
      <c r="AD19" s="36" t="str">
        <f>IF(AND('Mapa riesgos'!$AD$33="Alta",'Mapa riesgos'!$AF$33="Mayor"),CONCATENATE("R4C",'Mapa riesgos'!$T$33),"")</f>
        <v/>
      </c>
      <c r="AE19" s="36" t="str">
        <f>IF(AND('Mapa riesgos'!$AD$34="Alta",'Mapa riesgos'!$AF$34="Mayor"),CONCATENATE("R4C",'Mapa riesgos'!$T$34),"")</f>
        <v/>
      </c>
      <c r="AF19" s="36" t="str">
        <f>IF(AND('Mapa riesgos'!$AD$35="Alta",'Mapa riesgos'!$AF$35="Mayor"),CONCATENATE("R4C",'Mapa riesgos'!$T$35),"")</f>
        <v/>
      </c>
      <c r="AG19" s="37" t="str">
        <f>IF(AND('Mapa riesgos'!$AD$36="Alta",'Mapa riesgos'!$AF$36="Mayor"),CONCATENATE("R4C",'Mapa riesgos'!$T$36),"")</f>
        <v/>
      </c>
      <c r="AH19" s="38" t="str">
        <f>IF(AND('Mapa riesgos'!$AD$31="Alta",'Mapa riesgos'!$AF$31="Catastrófico"),CONCATENATE("R4C",'Mapa riesgos'!$T$31),"")</f>
        <v/>
      </c>
      <c r="AI19" s="39" t="str">
        <f>IF(AND('Mapa riesgos'!$AD$32="Alta",'Mapa riesgos'!$AF$32="Catastrófico"),CONCATENATE("R4C",'Mapa riesgos'!$T$32),"")</f>
        <v/>
      </c>
      <c r="AJ19" s="39" t="str">
        <f>IF(AND('Mapa riesgos'!$AD$33="Alta",'Mapa riesgos'!$AF$33="Catastrófico"),CONCATENATE("R4C",'Mapa riesgos'!$T$33),"")</f>
        <v/>
      </c>
      <c r="AK19" s="39" t="str">
        <f>IF(AND('Mapa riesgos'!$AD$34="Alta",'Mapa riesgos'!$AF$34="Catastrófico"),CONCATENATE("R4C",'Mapa riesgos'!$T$34),"")</f>
        <v/>
      </c>
      <c r="AL19" s="39" t="str">
        <f>IF(AND('Mapa riesgos'!$AD$35="Alta",'Mapa riesgos'!$AF$35="Catastrófico"),CONCATENATE("R4C",'Mapa riesgos'!$T$35),"")</f>
        <v/>
      </c>
      <c r="AM19" s="40" t="str">
        <f>IF(AND('Mapa riesgos'!$AD$36="Alta",'Mapa riesgos'!$AF$36="Catastrófico"),CONCATENATE("R4C",'Mapa riesgos'!$T$36),"")</f>
        <v/>
      </c>
      <c r="AN19" s="66"/>
      <c r="AO19" s="509"/>
      <c r="AP19" s="510"/>
      <c r="AQ19" s="510"/>
      <c r="AR19" s="510"/>
      <c r="AS19" s="510"/>
      <c r="AT19" s="511"/>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c r="A20" s="66"/>
      <c r="B20" s="458"/>
      <c r="C20" s="458"/>
      <c r="D20" s="459"/>
      <c r="E20" s="499"/>
      <c r="F20" s="500"/>
      <c r="G20" s="500"/>
      <c r="H20" s="500"/>
      <c r="I20" s="500"/>
      <c r="J20" s="50" t="str">
        <f>IF(AND('Mapa riesgos'!$AD$37="Alta",'Mapa riesgos'!$AF$37="Leve"),CONCATENATE("R5C",'Mapa riesgos'!$T$37),"")</f>
        <v/>
      </c>
      <c r="K20" s="51" t="str">
        <f>IF(AND('Mapa riesgos'!$AD$38="Alta",'Mapa riesgos'!$AF$38="Leve"),CONCATENATE("R5C",'Mapa riesgos'!$T$38),"")</f>
        <v/>
      </c>
      <c r="L20" s="51" t="str">
        <f>IF(AND('Mapa riesgos'!$AD$39="Alta",'Mapa riesgos'!$AF$39="Leve"),CONCATENATE("R5C",'Mapa riesgos'!$T$39),"")</f>
        <v/>
      </c>
      <c r="M20" s="51" t="str">
        <f>IF(AND('Mapa riesgos'!$AD$40="Alta",'Mapa riesgos'!$AF$40="Leve"),CONCATENATE("R5C",'Mapa riesgos'!$T$40),"")</f>
        <v/>
      </c>
      <c r="N20" s="51" t="str">
        <f>IF(AND('Mapa riesgos'!$AD$41="Alta",'Mapa riesgos'!$AF$41="Leve"),CONCATENATE("R5C",'Mapa riesgos'!$T$41),"")</f>
        <v/>
      </c>
      <c r="O20" s="52" t="str">
        <f>IF(AND('Mapa riesgos'!$AD$42="Alta",'Mapa riesgos'!$AF$42="Leve"),CONCATENATE("R5C",'Mapa riesgos'!$T$42),"")</f>
        <v/>
      </c>
      <c r="P20" s="50" t="str">
        <f>IF(AND('Mapa riesgos'!$AD$37="Alta",'Mapa riesgos'!$AF$37="Menor"),CONCATENATE("R5C",'Mapa riesgos'!$T$37),"")</f>
        <v/>
      </c>
      <c r="Q20" s="51" t="str">
        <f>IF(AND('Mapa riesgos'!$AD$38="Alta",'Mapa riesgos'!$AF$38="Menor"),CONCATENATE("R5C",'Mapa riesgos'!$T$38),"")</f>
        <v/>
      </c>
      <c r="R20" s="51" t="str">
        <f>IF(AND('Mapa riesgos'!$AD$39="Alta",'Mapa riesgos'!$AF$39="Menor"),CONCATENATE("R5C",'Mapa riesgos'!$T$39),"")</f>
        <v/>
      </c>
      <c r="S20" s="51" t="str">
        <f>IF(AND('Mapa riesgos'!$AD$40="Alta",'Mapa riesgos'!$AF$40="Menor"),CONCATENATE("R5C",'Mapa riesgos'!$T$40),"")</f>
        <v/>
      </c>
      <c r="T20" s="51" t="str">
        <f>IF(AND('Mapa riesgos'!$AD$41="Alta",'Mapa riesgos'!$AF$41="Menor"),CONCATENATE("R5C",'Mapa riesgos'!$T$41),"")</f>
        <v/>
      </c>
      <c r="U20" s="52" t="str">
        <f>IF(AND('Mapa riesgos'!$AD$42="Alta",'Mapa riesgos'!$AF$42="Menor"),CONCATENATE("R5C",'Mapa riesgos'!$T$42),"")</f>
        <v/>
      </c>
      <c r="V20" s="35" t="str">
        <f>IF(AND('Mapa riesgos'!$AD$37="Alta",'Mapa riesgos'!$AF$37="Moderado"),CONCATENATE("R5C",'Mapa riesgos'!$T$37),"")</f>
        <v/>
      </c>
      <c r="W20" s="36" t="str">
        <f>IF(AND('Mapa riesgos'!$AD$38="Alta",'Mapa riesgos'!$AF$38="Moderado"),CONCATENATE("R5C",'Mapa riesgos'!$T$38),"")</f>
        <v/>
      </c>
      <c r="X20" s="36" t="str">
        <f>IF(AND('Mapa riesgos'!$AD$39="Alta",'Mapa riesgos'!$AF$39="Moderado"),CONCATENATE("R5C",'Mapa riesgos'!$T$39),"")</f>
        <v/>
      </c>
      <c r="Y20" s="36" t="str">
        <f>IF(AND('Mapa riesgos'!$AD$40="Alta",'Mapa riesgos'!$AF$40="Moderado"),CONCATENATE("R5C",'Mapa riesgos'!$T$40),"")</f>
        <v/>
      </c>
      <c r="Z20" s="36" t="str">
        <f>IF(AND('Mapa riesgos'!$AD$41="Alta",'Mapa riesgos'!$AF$41="Moderado"),CONCATENATE("R5C",'Mapa riesgos'!$T$41),"")</f>
        <v/>
      </c>
      <c r="AA20" s="37" t="str">
        <f>IF(AND('Mapa riesgos'!$AD$42="Alta",'Mapa riesgos'!$AF$42="Moderado"),CONCATENATE("R5C",'Mapa riesgos'!$T$42),"")</f>
        <v/>
      </c>
      <c r="AB20" s="35" t="str">
        <f>IF(AND('Mapa riesgos'!$AD$37="Alta",'Mapa riesgos'!$AF$37="Mayor"),CONCATENATE("R5C",'Mapa riesgos'!$T$37),"")</f>
        <v/>
      </c>
      <c r="AC20" s="36" t="str">
        <f>IF(AND('Mapa riesgos'!$AD$38="Alta",'Mapa riesgos'!$AF$38="Mayor"),CONCATENATE("R5C",'Mapa riesgos'!$T$38),"")</f>
        <v/>
      </c>
      <c r="AD20" s="36" t="str">
        <f>IF(AND('Mapa riesgos'!$AD$39="Alta",'Mapa riesgos'!$AF$39="Mayor"),CONCATENATE("R5C",'Mapa riesgos'!$T$39),"")</f>
        <v/>
      </c>
      <c r="AE20" s="36" t="str">
        <f>IF(AND('Mapa riesgos'!$AD$40="Alta",'Mapa riesgos'!$AF$40="Mayor"),CONCATENATE("R5C",'Mapa riesgos'!$T$40),"")</f>
        <v/>
      </c>
      <c r="AF20" s="36" t="str">
        <f>IF(AND('Mapa riesgos'!$AD$41="Alta",'Mapa riesgos'!$AF$41="Mayor"),CONCATENATE("R5C",'Mapa riesgos'!$T$41),"")</f>
        <v/>
      </c>
      <c r="AG20" s="37" t="str">
        <f>IF(AND('Mapa riesgos'!$AD$42="Alta",'Mapa riesgos'!$AF$42="Mayor"),CONCATENATE("R5C",'Mapa riesgos'!$T$42),"")</f>
        <v/>
      </c>
      <c r="AH20" s="38" t="str">
        <f>IF(AND('Mapa riesgos'!$AD$37="Alta",'Mapa riesgos'!$AF$37="Catastrófico"),CONCATENATE("R5C",'Mapa riesgos'!$T$37),"")</f>
        <v/>
      </c>
      <c r="AI20" s="39" t="str">
        <f>IF(AND('Mapa riesgos'!$AD$38="Alta",'Mapa riesgos'!$AF$38="Catastrófico"),CONCATENATE("R5C",'Mapa riesgos'!$T$38),"")</f>
        <v/>
      </c>
      <c r="AJ20" s="39" t="str">
        <f>IF(AND('Mapa riesgos'!$AD$39="Alta",'Mapa riesgos'!$AF$39="Catastrófico"),CONCATENATE("R5C",'Mapa riesgos'!$T$39),"")</f>
        <v/>
      </c>
      <c r="AK20" s="39" t="str">
        <f>IF(AND('Mapa riesgos'!$AD$40="Alta",'Mapa riesgos'!$AF$40="Catastrófico"),CONCATENATE("R5C",'Mapa riesgos'!$T$40),"")</f>
        <v/>
      </c>
      <c r="AL20" s="39" t="str">
        <f>IF(AND('Mapa riesgos'!$AD$41="Alta",'Mapa riesgos'!$AF$41="Catastrófico"),CONCATENATE("R5C",'Mapa riesgos'!$T$41),"")</f>
        <v/>
      </c>
      <c r="AM20" s="40" t="str">
        <f>IF(AND('Mapa riesgos'!$AD$42="Alta",'Mapa riesgos'!$AF$42="Catastrófico"),CONCATENATE("R5C",'Mapa riesgos'!$T$42),"")</f>
        <v/>
      </c>
      <c r="AN20" s="66"/>
      <c r="AO20" s="509"/>
      <c r="AP20" s="510"/>
      <c r="AQ20" s="510"/>
      <c r="AR20" s="510"/>
      <c r="AS20" s="510"/>
      <c r="AT20" s="511"/>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c r="A21" s="66"/>
      <c r="B21" s="458"/>
      <c r="C21" s="458"/>
      <c r="D21" s="459"/>
      <c r="E21" s="499"/>
      <c r="F21" s="500"/>
      <c r="G21" s="500"/>
      <c r="H21" s="500"/>
      <c r="I21" s="500"/>
      <c r="J21" s="50" t="str">
        <f>IF(AND('Mapa riesgos'!$AD$43="Alta",'Mapa riesgos'!$AF$43="Leve"),CONCATENATE("R6C",'Mapa riesgos'!$T$43),"")</f>
        <v/>
      </c>
      <c r="K21" s="51" t="str">
        <f>IF(AND('Mapa riesgos'!$AD$44="Alta",'Mapa riesgos'!$AF$44="Leve"),CONCATENATE("R6C",'Mapa riesgos'!$T$44),"")</f>
        <v/>
      </c>
      <c r="L21" s="51" t="str">
        <f>IF(AND('Mapa riesgos'!$AD$45="Alta",'Mapa riesgos'!$AF$45="Leve"),CONCATENATE("R6C",'Mapa riesgos'!$T$45),"")</f>
        <v/>
      </c>
      <c r="M21" s="51" t="str">
        <f>IF(AND('Mapa riesgos'!$AD$46="Alta",'Mapa riesgos'!$AF$46="Leve"),CONCATENATE("R6C",'Mapa riesgos'!$T$46),"")</f>
        <v/>
      </c>
      <c r="N21" s="51" t="str">
        <f>IF(AND('Mapa riesgos'!$AD$47="Alta",'Mapa riesgos'!$AF$47="Leve"),CONCATENATE("R6C",'Mapa riesgos'!$T$47),"")</f>
        <v/>
      </c>
      <c r="O21" s="52" t="str">
        <f>IF(AND('Mapa riesgos'!$AD$48="Alta",'Mapa riesgos'!$AF$48="Leve"),CONCATENATE("R6C",'Mapa riesgos'!$T$48),"")</f>
        <v/>
      </c>
      <c r="P21" s="50" t="str">
        <f>IF(AND('Mapa riesgos'!$AD$43="Alta",'Mapa riesgos'!$AF$43="Menor"),CONCATENATE("R6C",'Mapa riesgos'!$T$43),"")</f>
        <v/>
      </c>
      <c r="Q21" s="51" t="str">
        <f>IF(AND('Mapa riesgos'!$AD$44="Alta",'Mapa riesgos'!$AF$44="Menor"),CONCATENATE("R6C",'Mapa riesgos'!$T$44),"")</f>
        <v/>
      </c>
      <c r="R21" s="51" t="str">
        <f>IF(AND('Mapa riesgos'!$AD$45="Alta",'Mapa riesgos'!$AF$45="Menor"),CONCATENATE("R6C",'Mapa riesgos'!$T$45),"")</f>
        <v/>
      </c>
      <c r="S21" s="51" t="str">
        <f>IF(AND('Mapa riesgos'!$AD$46="Alta",'Mapa riesgos'!$AF$46="Menor"),CONCATENATE("R6C",'Mapa riesgos'!$T$46),"")</f>
        <v/>
      </c>
      <c r="T21" s="51" t="str">
        <f>IF(AND('Mapa riesgos'!$AD$47="Alta",'Mapa riesgos'!$AF$47="Menor"),CONCATENATE("R6C",'Mapa riesgos'!$T$47),"")</f>
        <v/>
      </c>
      <c r="U21" s="52" t="str">
        <f>IF(AND('Mapa riesgos'!$AD$48="Alta",'Mapa riesgos'!$AF$48="Menor"),CONCATENATE("R6C",'Mapa riesgos'!$T$48),"")</f>
        <v/>
      </c>
      <c r="V21" s="35" t="str">
        <f>IF(AND('Mapa riesgos'!$AD$43="Alta",'Mapa riesgos'!$AF$43="Moderado"),CONCATENATE("R6C",'Mapa riesgos'!$T$43),"")</f>
        <v/>
      </c>
      <c r="W21" s="36" t="str">
        <f>IF(AND('Mapa riesgos'!$AD$44="Alta",'Mapa riesgos'!$AF$44="Moderado"),CONCATENATE("R6C",'Mapa riesgos'!$T$44),"")</f>
        <v/>
      </c>
      <c r="X21" s="36" t="str">
        <f>IF(AND('Mapa riesgos'!$AD$45="Alta",'Mapa riesgos'!$AF$45="Moderado"),CONCATENATE("R6C",'Mapa riesgos'!$T$45),"")</f>
        <v/>
      </c>
      <c r="Y21" s="36" t="str">
        <f>IF(AND('Mapa riesgos'!$AD$46="Alta",'Mapa riesgos'!$AF$46="Moderado"),CONCATENATE("R6C",'Mapa riesgos'!$T$46),"")</f>
        <v/>
      </c>
      <c r="Z21" s="36" t="str">
        <f>IF(AND('Mapa riesgos'!$AD$47="Alta",'Mapa riesgos'!$AF$47="Moderado"),CONCATENATE("R6C",'Mapa riesgos'!$T$47),"")</f>
        <v/>
      </c>
      <c r="AA21" s="37" t="str">
        <f>IF(AND('Mapa riesgos'!$AD$48="Alta",'Mapa riesgos'!$AF$48="Moderado"),CONCATENATE("R6C",'Mapa riesgos'!$T$48),"")</f>
        <v/>
      </c>
      <c r="AB21" s="35" t="str">
        <f>IF(AND('Mapa riesgos'!$AD$43="Alta",'Mapa riesgos'!$AF$43="Mayor"),CONCATENATE("R6C",'Mapa riesgos'!$T$43),"")</f>
        <v/>
      </c>
      <c r="AC21" s="36" t="str">
        <f>IF(AND('Mapa riesgos'!$AD$44="Alta",'Mapa riesgos'!$AF$44="Mayor"),CONCATENATE("R6C",'Mapa riesgos'!$T$44),"")</f>
        <v/>
      </c>
      <c r="AD21" s="36" t="str">
        <f>IF(AND('Mapa riesgos'!$AD$45="Alta",'Mapa riesgos'!$AF$45="Mayor"),CONCATENATE("R6C",'Mapa riesgos'!$T$45),"")</f>
        <v/>
      </c>
      <c r="AE21" s="36" t="str">
        <f>IF(AND('Mapa riesgos'!$AD$46="Alta",'Mapa riesgos'!$AF$46="Mayor"),CONCATENATE("R6C",'Mapa riesgos'!$T$46),"")</f>
        <v/>
      </c>
      <c r="AF21" s="36" t="str">
        <f>IF(AND('Mapa riesgos'!$AD$47="Alta",'Mapa riesgos'!$AF$47="Mayor"),CONCATENATE("R6C",'Mapa riesgos'!$T$47),"")</f>
        <v/>
      </c>
      <c r="AG21" s="37" t="str">
        <f>IF(AND('Mapa riesgos'!$AD$48="Alta",'Mapa riesgos'!$AF$48="Mayor"),CONCATENATE("R6C",'Mapa riesgos'!$T$48),"")</f>
        <v/>
      </c>
      <c r="AH21" s="38" t="str">
        <f>IF(AND('Mapa riesgos'!$AD$43="Alta",'Mapa riesgos'!$AF$43="Catastrófico"),CONCATENATE("R6C",'Mapa riesgos'!$T$43),"")</f>
        <v/>
      </c>
      <c r="AI21" s="39" t="str">
        <f>IF(AND('Mapa riesgos'!$AD$44="Alta",'Mapa riesgos'!$AF$44="Catastrófico"),CONCATENATE("R6C",'Mapa riesgos'!$T$44),"")</f>
        <v/>
      </c>
      <c r="AJ21" s="39" t="str">
        <f>IF(AND('Mapa riesgos'!$AD$45="Alta",'Mapa riesgos'!$AF$45="Catastrófico"),CONCATENATE("R6C",'Mapa riesgos'!$T$45),"")</f>
        <v/>
      </c>
      <c r="AK21" s="39" t="str">
        <f>IF(AND('Mapa riesgos'!$AD$46="Alta",'Mapa riesgos'!$AF$46="Catastrófico"),CONCATENATE("R6C",'Mapa riesgos'!$T$46),"")</f>
        <v/>
      </c>
      <c r="AL21" s="39" t="str">
        <f>IF(AND('Mapa riesgos'!$AD$47="Alta",'Mapa riesgos'!$AF$47="Catastrófico"),CONCATENATE("R6C",'Mapa riesgos'!$T$47),"")</f>
        <v/>
      </c>
      <c r="AM21" s="40" t="str">
        <f>IF(AND('Mapa riesgos'!$AD$48="Alta",'Mapa riesgos'!$AF$48="Catastrófico"),CONCATENATE("R6C",'Mapa riesgos'!$T$48),"")</f>
        <v/>
      </c>
      <c r="AN21" s="66"/>
      <c r="AO21" s="509"/>
      <c r="AP21" s="510"/>
      <c r="AQ21" s="510"/>
      <c r="AR21" s="510"/>
      <c r="AS21" s="510"/>
      <c r="AT21" s="511"/>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c r="A22" s="66"/>
      <c r="B22" s="458"/>
      <c r="C22" s="458"/>
      <c r="D22" s="459"/>
      <c r="E22" s="499"/>
      <c r="F22" s="500"/>
      <c r="G22" s="500"/>
      <c r="H22" s="500"/>
      <c r="I22" s="500"/>
      <c r="J22" s="50" t="str">
        <f>IF(AND('Mapa riesgos'!$AD$49="Alta",'Mapa riesgos'!$AF$49="Leve"),CONCATENATE("R7C",'Mapa riesgos'!$T$49),"")</f>
        <v/>
      </c>
      <c r="K22" s="51" t="str">
        <f>IF(AND('Mapa riesgos'!$AD$50="Alta",'Mapa riesgos'!$AF$50="Leve"),CONCATENATE("R7C",'Mapa riesgos'!$T$50),"")</f>
        <v/>
      </c>
      <c r="L22" s="51" t="str">
        <f>IF(AND('Mapa riesgos'!$AD$51="Alta",'Mapa riesgos'!$AF$51="Leve"),CONCATENATE("R7C",'Mapa riesgos'!$T$51),"")</f>
        <v/>
      </c>
      <c r="M22" s="51" t="str">
        <f>IF(AND('Mapa riesgos'!$AD$52="Alta",'Mapa riesgos'!$AF$52="Leve"),CONCATENATE("R7C",'Mapa riesgos'!$T$52),"")</f>
        <v/>
      </c>
      <c r="N22" s="51" t="str">
        <f>IF(AND('Mapa riesgos'!$AD$53="Alta",'Mapa riesgos'!$AF$53="Leve"),CONCATENATE("R7C",'Mapa riesgos'!$T$53),"")</f>
        <v/>
      </c>
      <c r="O22" s="52" t="str">
        <f>IF(AND('Mapa riesgos'!$AD$54="Alta",'Mapa riesgos'!$AF$54="Leve"),CONCATENATE("R7C",'Mapa riesgos'!$T$54),"")</f>
        <v/>
      </c>
      <c r="P22" s="50" t="str">
        <f>IF(AND('Mapa riesgos'!$AD$49="Alta",'Mapa riesgos'!$AF$49="Menor"),CONCATENATE("R7C",'Mapa riesgos'!$T$49),"")</f>
        <v/>
      </c>
      <c r="Q22" s="51" t="str">
        <f>IF(AND('Mapa riesgos'!$AD$50="Alta",'Mapa riesgos'!$AF$50="Menor"),CONCATENATE("R7C",'Mapa riesgos'!$T$50),"")</f>
        <v/>
      </c>
      <c r="R22" s="51" t="str">
        <f>IF(AND('Mapa riesgos'!$AD$51="Alta",'Mapa riesgos'!$AF$51="Menor"),CONCATENATE("R7C",'Mapa riesgos'!$T$51),"")</f>
        <v/>
      </c>
      <c r="S22" s="51" t="str">
        <f>IF(AND('Mapa riesgos'!$AD$52="Alta",'Mapa riesgos'!$AF$52="Menor"),CONCATENATE("R7C",'Mapa riesgos'!$T$52),"")</f>
        <v/>
      </c>
      <c r="T22" s="51" t="str">
        <f>IF(AND('Mapa riesgos'!$AD$53="Alta",'Mapa riesgos'!$AF$53="Menor"),CONCATENATE("R7C",'Mapa riesgos'!$T$53),"")</f>
        <v/>
      </c>
      <c r="U22" s="52" t="str">
        <f>IF(AND('Mapa riesgos'!$AD$54="Alta",'Mapa riesgos'!$AF$54="Menor"),CONCATENATE("R7C",'Mapa riesgos'!$T$54),"")</f>
        <v/>
      </c>
      <c r="V22" s="35" t="str">
        <f>IF(AND('Mapa riesgos'!$AD$49="Alta",'Mapa riesgos'!$AF$49="Moderado"),CONCATENATE("R7C",'Mapa riesgos'!$T$49),"")</f>
        <v/>
      </c>
      <c r="W22" s="36" t="str">
        <f>IF(AND('Mapa riesgos'!$AD$50="Alta",'Mapa riesgos'!$AF$50="Moderado"),CONCATENATE("R7C",'Mapa riesgos'!$T$50),"")</f>
        <v/>
      </c>
      <c r="X22" s="36" t="str">
        <f>IF(AND('Mapa riesgos'!$AD$51="Alta",'Mapa riesgos'!$AF$51="Moderado"),CONCATENATE("R7C",'Mapa riesgos'!$T$51),"")</f>
        <v/>
      </c>
      <c r="Y22" s="36" t="str">
        <f>IF(AND('Mapa riesgos'!$AD$52="Alta",'Mapa riesgos'!$AF$52="Moderado"),CONCATENATE("R7C",'Mapa riesgos'!$T$52),"")</f>
        <v/>
      </c>
      <c r="Z22" s="36" t="str">
        <f>IF(AND('Mapa riesgos'!$AD$53="Alta",'Mapa riesgos'!$AF$53="Moderado"),CONCATENATE("R7C",'Mapa riesgos'!$T$53),"")</f>
        <v/>
      </c>
      <c r="AA22" s="37" t="str">
        <f>IF(AND('Mapa riesgos'!$AD$54="Alta",'Mapa riesgos'!$AF$54="Moderado"),CONCATENATE("R7C",'Mapa riesgos'!$T$54),"")</f>
        <v/>
      </c>
      <c r="AB22" s="35" t="str">
        <f>IF(AND('Mapa riesgos'!$AD$49="Alta",'Mapa riesgos'!$AF$49="Mayor"),CONCATENATE("R7C",'Mapa riesgos'!$T$49),"")</f>
        <v/>
      </c>
      <c r="AC22" s="36" t="str">
        <f>IF(AND('Mapa riesgos'!$AD$50="Alta",'Mapa riesgos'!$AF$50="Mayor"),CONCATENATE("R7C",'Mapa riesgos'!$T$50),"")</f>
        <v/>
      </c>
      <c r="AD22" s="36" t="str">
        <f>IF(AND('Mapa riesgos'!$AD$51="Alta",'Mapa riesgos'!$AF$51="Mayor"),CONCATENATE("R7C",'Mapa riesgos'!$T$51),"")</f>
        <v/>
      </c>
      <c r="AE22" s="36" t="str">
        <f>IF(AND('Mapa riesgos'!$AD$52="Alta",'Mapa riesgos'!$AF$52="Mayor"),CONCATENATE("R7C",'Mapa riesgos'!$T$52),"")</f>
        <v/>
      </c>
      <c r="AF22" s="36" t="str">
        <f>IF(AND('Mapa riesgos'!$AD$53="Alta",'Mapa riesgos'!$AF$53="Mayor"),CONCATENATE("R7C",'Mapa riesgos'!$T$53),"")</f>
        <v/>
      </c>
      <c r="AG22" s="37" t="str">
        <f>IF(AND('Mapa riesgos'!$AD$54="Alta",'Mapa riesgos'!$AF$54="Mayor"),CONCATENATE("R7C",'Mapa riesgos'!$T$54),"")</f>
        <v/>
      </c>
      <c r="AH22" s="38" t="str">
        <f>IF(AND('Mapa riesgos'!$AD$49="Alta",'Mapa riesgos'!$AF$49="Catastrófico"),CONCATENATE("R7C",'Mapa riesgos'!$T$49),"")</f>
        <v/>
      </c>
      <c r="AI22" s="39" t="str">
        <f>IF(AND('Mapa riesgos'!$AD$50="Alta",'Mapa riesgos'!$AF$50="Catastrófico"),CONCATENATE("R7C",'Mapa riesgos'!$T$50),"")</f>
        <v/>
      </c>
      <c r="AJ22" s="39" t="str">
        <f>IF(AND('Mapa riesgos'!$AD$51="Alta",'Mapa riesgos'!$AF$51="Catastrófico"),CONCATENATE("R7C",'Mapa riesgos'!$T$51),"")</f>
        <v/>
      </c>
      <c r="AK22" s="39" t="str">
        <f>IF(AND('Mapa riesgos'!$AD$52="Alta",'Mapa riesgos'!$AF$52="Catastrófico"),CONCATENATE("R7C",'Mapa riesgos'!$T$52),"")</f>
        <v/>
      </c>
      <c r="AL22" s="39" t="str">
        <f>IF(AND('Mapa riesgos'!$AD$53="Alta",'Mapa riesgos'!$AF$53="Catastrófico"),CONCATENATE("R7C",'Mapa riesgos'!$T$53),"")</f>
        <v/>
      </c>
      <c r="AM22" s="40" t="str">
        <f>IF(AND('Mapa riesgos'!$AD$54="Alta",'Mapa riesgos'!$AF$54="Catastrófico"),CONCATENATE("R7C",'Mapa riesgos'!$T$54),"")</f>
        <v/>
      </c>
      <c r="AN22" s="66"/>
      <c r="AO22" s="509"/>
      <c r="AP22" s="510"/>
      <c r="AQ22" s="510"/>
      <c r="AR22" s="510"/>
      <c r="AS22" s="510"/>
      <c r="AT22" s="511"/>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c r="A23" s="66"/>
      <c r="B23" s="458"/>
      <c r="C23" s="458"/>
      <c r="D23" s="459"/>
      <c r="E23" s="499"/>
      <c r="F23" s="500"/>
      <c r="G23" s="500"/>
      <c r="H23" s="500"/>
      <c r="I23" s="500"/>
      <c r="J23" s="50" t="str">
        <f>IF(AND('Mapa riesgos'!$AD$55="Alta",'Mapa riesgos'!$AF$55="Leve"),CONCATENATE("R8C",'Mapa riesgos'!$T$55),"")</f>
        <v/>
      </c>
      <c r="K23" s="51" t="str">
        <f>IF(AND('Mapa riesgos'!$AD$56="Alta",'Mapa riesgos'!$AF$56="Leve"),CONCATENATE("R8C",'Mapa riesgos'!$T$56),"")</f>
        <v/>
      </c>
      <c r="L23" s="51" t="str">
        <f>IF(AND('Mapa riesgos'!$AD$57="Alta",'Mapa riesgos'!$AF$57="Leve"),CONCATENATE("R8C",'Mapa riesgos'!$T$57),"")</f>
        <v/>
      </c>
      <c r="M23" s="51" t="str">
        <f>IF(AND('Mapa riesgos'!$AD$58="Alta",'Mapa riesgos'!$AF$58="Leve"),CONCATENATE("R8C",'Mapa riesgos'!$T$58),"")</f>
        <v/>
      </c>
      <c r="N23" s="51" t="str">
        <f>IF(AND('Mapa riesgos'!$AD$59="Alta",'Mapa riesgos'!$AF$59="Leve"),CONCATENATE("R8C",'Mapa riesgos'!$T$59),"")</f>
        <v/>
      </c>
      <c r="O23" s="52" t="str">
        <f>IF(AND('Mapa riesgos'!$AD$60="Alta",'Mapa riesgos'!$AF$60="Leve"),CONCATENATE("R8C",'Mapa riesgos'!$T$60),"")</f>
        <v/>
      </c>
      <c r="P23" s="50" t="str">
        <f>IF(AND('Mapa riesgos'!$AD$55="Alta",'Mapa riesgos'!$AF$55="Menor"),CONCATENATE("R8C",'Mapa riesgos'!$T$55),"")</f>
        <v/>
      </c>
      <c r="Q23" s="51" t="str">
        <f>IF(AND('Mapa riesgos'!$AD$56="Alta",'Mapa riesgos'!$AF$56="Menor"),CONCATENATE("R8C",'Mapa riesgos'!$T$56),"")</f>
        <v/>
      </c>
      <c r="R23" s="51" t="str">
        <f>IF(AND('Mapa riesgos'!$AD$57="Alta",'Mapa riesgos'!$AF$57="Menor"),CONCATENATE("R8C",'Mapa riesgos'!$T$57),"")</f>
        <v/>
      </c>
      <c r="S23" s="51" t="str">
        <f>IF(AND('Mapa riesgos'!$AD$58="Alta",'Mapa riesgos'!$AF$58="Menor"),CONCATENATE("R8C",'Mapa riesgos'!$T$58),"")</f>
        <v/>
      </c>
      <c r="T23" s="51" t="str">
        <f>IF(AND('Mapa riesgos'!$AD$59="Alta",'Mapa riesgos'!$AF$59="Menor"),CONCATENATE("R8C",'Mapa riesgos'!$T$59),"")</f>
        <v/>
      </c>
      <c r="U23" s="52" t="str">
        <f>IF(AND('Mapa riesgos'!$AD$60="Alta",'Mapa riesgos'!$AF$60="Menor"),CONCATENATE("R8C",'Mapa riesgos'!$T$60),"")</f>
        <v/>
      </c>
      <c r="V23" s="35" t="str">
        <f>IF(AND('Mapa riesgos'!$AD$55="Alta",'Mapa riesgos'!$AF$55="Moderado"),CONCATENATE("R8C",'Mapa riesgos'!$T$55),"")</f>
        <v/>
      </c>
      <c r="W23" s="36" t="str">
        <f>IF(AND('Mapa riesgos'!$AD$56="Alta",'Mapa riesgos'!$AF$56="Moderado"),CONCATENATE("R8C",'Mapa riesgos'!$T$56),"")</f>
        <v/>
      </c>
      <c r="X23" s="36" t="str">
        <f>IF(AND('Mapa riesgos'!$AD$57="Alta",'Mapa riesgos'!$AF$57="Moderado"),CONCATENATE("R8C",'Mapa riesgos'!$T$57),"")</f>
        <v/>
      </c>
      <c r="Y23" s="36" t="str">
        <f>IF(AND('Mapa riesgos'!$AD$58="Alta",'Mapa riesgos'!$AF$58="Moderado"),CONCATENATE("R8C",'Mapa riesgos'!$T$58),"")</f>
        <v/>
      </c>
      <c r="Z23" s="36" t="str">
        <f>IF(AND('Mapa riesgos'!$AD$59="Alta",'Mapa riesgos'!$AF$59="Moderado"),CONCATENATE("R8C",'Mapa riesgos'!$T$59),"")</f>
        <v/>
      </c>
      <c r="AA23" s="37" t="str">
        <f>IF(AND('Mapa riesgos'!$AD$60="Alta",'Mapa riesgos'!$AF$60="Moderado"),CONCATENATE("R8C",'Mapa riesgos'!$T$60),"")</f>
        <v/>
      </c>
      <c r="AB23" s="35" t="str">
        <f>IF(AND('Mapa riesgos'!$AD$55="Alta",'Mapa riesgos'!$AF$55="Mayor"),CONCATENATE("R8C",'Mapa riesgos'!$T$55),"")</f>
        <v/>
      </c>
      <c r="AC23" s="36" t="str">
        <f>IF(AND('Mapa riesgos'!$AD$56="Alta",'Mapa riesgos'!$AF$56="Mayor"),CONCATENATE("R8C",'Mapa riesgos'!$T$56),"")</f>
        <v/>
      </c>
      <c r="AD23" s="36" t="str">
        <f>IF(AND('Mapa riesgos'!$AD$57="Alta",'Mapa riesgos'!$AF$57="Mayor"),CONCATENATE("R8C",'Mapa riesgos'!$T$57),"")</f>
        <v/>
      </c>
      <c r="AE23" s="36" t="str">
        <f>IF(AND('Mapa riesgos'!$AD$58="Alta",'Mapa riesgos'!$AF$58="Mayor"),CONCATENATE("R8C",'Mapa riesgos'!$T$58),"")</f>
        <v/>
      </c>
      <c r="AF23" s="36" t="str">
        <f>IF(AND('Mapa riesgos'!$AD$59="Alta",'Mapa riesgos'!$AF$59="Mayor"),CONCATENATE("R8C",'Mapa riesgos'!$T$59),"")</f>
        <v/>
      </c>
      <c r="AG23" s="37" t="str">
        <f>IF(AND('Mapa riesgos'!$AD$60="Alta",'Mapa riesgos'!$AF$60="Mayor"),CONCATENATE("R8C",'Mapa riesgos'!$T$60),"")</f>
        <v/>
      </c>
      <c r="AH23" s="38" t="str">
        <f>IF(AND('Mapa riesgos'!$AD$55="Alta",'Mapa riesgos'!$AF$55="Catastrófico"),CONCATENATE("R8C",'Mapa riesgos'!$T$55),"")</f>
        <v/>
      </c>
      <c r="AI23" s="39" t="str">
        <f>IF(AND('Mapa riesgos'!$AD$56="Alta",'Mapa riesgos'!$AF$56="Catastrófico"),CONCATENATE("R8C",'Mapa riesgos'!$T$56),"")</f>
        <v/>
      </c>
      <c r="AJ23" s="39" t="str">
        <f>IF(AND('Mapa riesgos'!$AD$57="Alta",'Mapa riesgos'!$AF$57="Catastrófico"),CONCATENATE("R8C",'Mapa riesgos'!$T$57),"")</f>
        <v/>
      </c>
      <c r="AK23" s="39" t="str">
        <f>IF(AND('Mapa riesgos'!$AD$58="Alta",'Mapa riesgos'!$AF$58="Catastrófico"),CONCATENATE("R8C",'Mapa riesgos'!$T$58),"")</f>
        <v/>
      </c>
      <c r="AL23" s="39" t="str">
        <f>IF(AND('Mapa riesgos'!$AD$59="Alta",'Mapa riesgos'!$AF$59="Catastrófico"),CONCATENATE("R8C",'Mapa riesgos'!$T$59),"")</f>
        <v/>
      </c>
      <c r="AM23" s="40" t="str">
        <f>IF(AND('Mapa riesgos'!$AD$60="Alta",'Mapa riesgos'!$AF$60="Catastrófico"),CONCATENATE("R8C",'Mapa riesgos'!$T$60),"")</f>
        <v/>
      </c>
      <c r="AN23" s="66"/>
      <c r="AO23" s="509"/>
      <c r="AP23" s="510"/>
      <c r="AQ23" s="510"/>
      <c r="AR23" s="510"/>
      <c r="AS23" s="510"/>
      <c r="AT23" s="511"/>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c r="A24" s="66"/>
      <c r="B24" s="458"/>
      <c r="C24" s="458"/>
      <c r="D24" s="459"/>
      <c r="E24" s="499"/>
      <c r="F24" s="500"/>
      <c r="G24" s="500"/>
      <c r="H24" s="500"/>
      <c r="I24" s="500"/>
      <c r="J24" s="50" t="str">
        <f>IF(AND('Mapa riesgos'!$AD$61="Alta",'Mapa riesgos'!$AF$61="Leve"),CONCATENATE("R9C",'Mapa riesgos'!$T$61),"")</f>
        <v/>
      </c>
      <c r="K24" s="51" t="str">
        <f>IF(AND('Mapa riesgos'!$AD$62="Alta",'Mapa riesgos'!$AF$62="Leve"),CONCATENATE("R9C",'Mapa riesgos'!$T$62),"")</f>
        <v/>
      </c>
      <c r="L24" s="51" t="str">
        <f>IF(AND('Mapa riesgos'!$AD$63="Alta",'Mapa riesgos'!$AF$63="Leve"),CONCATENATE("R9C",'Mapa riesgos'!$T$63),"")</f>
        <v/>
      </c>
      <c r="M24" s="51" t="str">
        <f>IF(AND('Mapa riesgos'!$AD$64="Alta",'Mapa riesgos'!$AF$64="Leve"),CONCATENATE("R9C",'Mapa riesgos'!$T$64),"")</f>
        <v/>
      </c>
      <c r="N24" s="51" t="str">
        <f>IF(AND('Mapa riesgos'!$AD$65="Alta",'Mapa riesgos'!$AF$65="Leve"),CONCATENATE("R9C",'Mapa riesgos'!$T$65),"")</f>
        <v/>
      </c>
      <c r="O24" s="52" t="str">
        <f>IF(AND('Mapa riesgos'!$AD$66="Alta",'Mapa riesgos'!$AF$66="Leve"),CONCATENATE("R9C",'Mapa riesgos'!$T$66),"")</f>
        <v/>
      </c>
      <c r="P24" s="50" t="str">
        <f>IF(AND('Mapa riesgos'!$AD$61="Alta",'Mapa riesgos'!$AF$61="Menor"),CONCATENATE("R9C",'Mapa riesgos'!$T$61),"")</f>
        <v/>
      </c>
      <c r="Q24" s="51" t="str">
        <f>IF(AND('Mapa riesgos'!$AD$62="Alta",'Mapa riesgos'!$AF$62="Menor"),CONCATENATE("R9C",'Mapa riesgos'!$T$62),"")</f>
        <v/>
      </c>
      <c r="R24" s="51" t="str">
        <f>IF(AND('Mapa riesgos'!$AD$63="Alta",'Mapa riesgos'!$AF$63="Menor"),CONCATENATE("R9C",'Mapa riesgos'!$T$63),"")</f>
        <v/>
      </c>
      <c r="S24" s="51" t="str">
        <f>IF(AND('Mapa riesgos'!$AD$64="Alta",'Mapa riesgos'!$AF$64="Menor"),CONCATENATE("R9C",'Mapa riesgos'!$T$64),"")</f>
        <v/>
      </c>
      <c r="T24" s="51" t="str">
        <f>IF(AND('Mapa riesgos'!$AD$65="Alta",'Mapa riesgos'!$AF$65="Menor"),CONCATENATE("R9C",'Mapa riesgos'!$T$65),"")</f>
        <v/>
      </c>
      <c r="U24" s="52" t="str">
        <f>IF(AND('Mapa riesgos'!$AD$66="Alta",'Mapa riesgos'!$AF$66="Menor"),CONCATENATE("R9C",'Mapa riesgos'!$T$66),"")</f>
        <v/>
      </c>
      <c r="V24" s="35" t="str">
        <f>IF(AND('Mapa riesgos'!$AD$61="Alta",'Mapa riesgos'!$AF$61="Moderado"),CONCATENATE("R9C",'Mapa riesgos'!$T$61),"")</f>
        <v/>
      </c>
      <c r="W24" s="36" t="str">
        <f>IF(AND('Mapa riesgos'!$AD$62="Alta",'Mapa riesgos'!$AF$62="Moderado"),CONCATENATE("R9C",'Mapa riesgos'!$T$62),"")</f>
        <v/>
      </c>
      <c r="X24" s="36" t="str">
        <f>IF(AND('Mapa riesgos'!$AD$63="Alta",'Mapa riesgos'!$AF$63="Moderado"),CONCATENATE("R9C",'Mapa riesgos'!$T$63),"")</f>
        <v/>
      </c>
      <c r="Y24" s="36" t="str">
        <f>IF(AND('Mapa riesgos'!$AD$64="Alta",'Mapa riesgos'!$AF$64="Moderado"),CONCATENATE("R9C",'Mapa riesgos'!$T$64),"")</f>
        <v/>
      </c>
      <c r="Z24" s="36" t="str">
        <f>IF(AND('Mapa riesgos'!$AD$65="Alta",'Mapa riesgos'!$AF$65="Moderado"),CONCATENATE("R9C",'Mapa riesgos'!$T$65),"")</f>
        <v/>
      </c>
      <c r="AA24" s="37" t="str">
        <f>IF(AND('Mapa riesgos'!$AD$66="Alta",'Mapa riesgos'!$AF$66="Moderado"),CONCATENATE("R9C",'Mapa riesgos'!$T$66),"")</f>
        <v/>
      </c>
      <c r="AB24" s="35" t="str">
        <f>IF(AND('Mapa riesgos'!$AD$61="Alta",'Mapa riesgos'!$AF$61="Mayor"),CONCATENATE("R9C",'Mapa riesgos'!$T$61),"")</f>
        <v/>
      </c>
      <c r="AC24" s="36" t="str">
        <f>IF(AND('Mapa riesgos'!$AD$62="Alta",'Mapa riesgos'!$AF$62="Mayor"),CONCATENATE("R9C",'Mapa riesgos'!$T$62),"")</f>
        <v/>
      </c>
      <c r="AD24" s="36" t="str">
        <f>IF(AND('Mapa riesgos'!$AD$63="Alta",'Mapa riesgos'!$AF$63="Mayor"),CONCATENATE("R9C",'Mapa riesgos'!$T$63),"")</f>
        <v/>
      </c>
      <c r="AE24" s="36" t="str">
        <f>IF(AND('Mapa riesgos'!$AD$64="Alta",'Mapa riesgos'!$AF$64="Mayor"),CONCATENATE("R9C",'Mapa riesgos'!$T$64),"")</f>
        <v/>
      </c>
      <c r="AF24" s="36" t="str">
        <f>IF(AND('Mapa riesgos'!$AD$65="Alta",'Mapa riesgos'!$AF$65="Mayor"),CONCATENATE("R9C",'Mapa riesgos'!$T$65),"")</f>
        <v/>
      </c>
      <c r="AG24" s="37" t="str">
        <f>IF(AND('Mapa riesgos'!$AD$66="Alta",'Mapa riesgos'!$AF$66="Mayor"),CONCATENATE("R9C",'Mapa riesgos'!$T$66),"")</f>
        <v/>
      </c>
      <c r="AH24" s="38" t="str">
        <f>IF(AND('Mapa riesgos'!$AD$61="Alta",'Mapa riesgos'!$AF$61="Catastrófico"),CONCATENATE("R9C",'Mapa riesgos'!$T$61),"")</f>
        <v/>
      </c>
      <c r="AI24" s="39" t="str">
        <f>IF(AND('Mapa riesgos'!$AD$62="Alta",'Mapa riesgos'!$AF$62="Catastrófico"),CONCATENATE("R9C",'Mapa riesgos'!$T$62),"")</f>
        <v/>
      </c>
      <c r="AJ24" s="39" t="str">
        <f>IF(AND('Mapa riesgos'!$AD$63="Alta",'Mapa riesgos'!$AF$63="Catastrófico"),CONCATENATE("R9C",'Mapa riesgos'!$T$63),"")</f>
        <v/>
      </c>
      <c r="AK24" s="39" t="str">
        <f>IF(AND('Mapa riesgos'!$AD$64="Alta",'Mapa riesgos'!$AF$64="Catastrófico"),CONCATENATE("R9C",'Mapa riesgos'!$T$64),"")</f>
        <v/>
      </c>
      <c r="AL24" s="39" t="str">
        <f>IF(AND('Mapa riesgos'!$AD$65="Alta",'Mapa riesgos'!$AF$65="Catastrófico"),CONCATENATE("R9C",'Mapa riesgos'!$T$65),"")</f>
        <v/>
      </c>
      <c r="AM24" s="40" t="str">
        <f>IF(AND('Mapa riesgos'!$AD$66="Alta",'Mapa riesgos'!$AF$66="Catastrófico"),CONCATENATE("R9C",'Mapa riesgos'!$T$66),"")</f>
        <v/>
      </c>
      <c r="AN24" s="66"/>
      <c r="AO24" s="509"/>
      <c r="AP24" s="510"/>
      <c r="AQ24" s="510"/>
      <c r="AR24" s="510"/>
      <c r="AS24" s="510"/>
      <c r="AT24" s="511"/>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c r="A25" s="66"/>
      <c r="B25" s="458"/>
      <c r="C25" s="458"/>
      <c r="D25" s="459"/>
      <c r="E25" s="502"/>
      <c r="F25" s="503"/>
      <c r="G25" s="503"/>
      <c r="H25" s="503"/>
      <c r="I25" s="503"/>
      <c r="J25" s="53" t="str">
        <f>IF(AND('Mapa riesgos'!$AD$67="Alta",'Mapa riesgos'!$AF$67="Leve"),CONCATENATE("R10C",'Mapa riesgos'!$T$67),"")</f>
        <v/>
      </c>
      <c r="K25" s="54" t="str">
        <f>IF(AND('Mapa riesgos'!$AD$68="Alta",'Mapa riesgos'!$AF$68="Leve"),CONCATENATE("R10C",'Mapa riesgos'!$T$68),"")</f>
        <v/>
      </c>
      <c r="L25" s="54" t="str">
        <f>IF(AND('Mapa riesgos'!$AD$69="Alta",'Mapa riesgos'!$AF$69="Leve"),CONCATENATE("R10C",'Mapa riesgos'!$T$69),"")</f>
        <v/>
      </c>
      <c r="M25" s="54" t="str">
        <f>IF(AND('Mapa riesgos'!$AD$70="Alta",'Mapa riesgos'!$AF$70="Leve"),CONCATENATE("R10C",'Mapa riesgos'!$T$70),"")</f>
        <v/>
      </c>
      <c r="N25" s="54" t="str">
        <f>IF(AND('Mapa riesgos'!$AD$71="Alta",'Mapa riesgos'!$AF$71="Leve"),CONCATENATE("R10C",'Mapa riesgos'!$T$71),"")</f>
        <v/>
      </c>
      <c r="O25" s="55" t="str">
        <f>IF(AND('Mapa riesgos'!$AD$72="Alta",'Mapa riesgos'!$AF$72="Leve"),CONCATENATE("R10C",'Mapa riesgos'!$T$72),"")</f>
        <v/>
      </c>
      <c r="P25" s="53" t="str">
        <f>IF(AND('Mapa riesgos'!$AD$67="Alta",'Mapa riesgos'!$AF$67="Menor"),CONCATENATE("R10C",'Mapa riesgos'!$T$67),"")</f>
        <v/>
      </c>
      <c r="Q25" s="54" t="str">
        <f>IF(AND('Mapa riesgos'!$AD$68="Alta",'Mapa riesgos'!$AF$68="Menor"),CONCATENATE("R10C",'Mapa riesgos'!$T$68),"")</f>
        <v/>
      </c>
      <c r="R25" s="54" t="str">
        <f>IF(AND('Mapa riesgos'!$AD$69="Alta",'Mapa riesgos'!$AF$69="Menor"),CONCATENATE("R10C",'Mapa riesgos'!$T$69),"")</f>
        <v/>
      </c>
      <c r="S25" s="54" t="str">
        <f>IF(AND('Mapa riesgos'!$AD$70="Alta",'Mapa riesgos'!$AF$70="Menor"),CONCATENATE("R10C",'Mapa riesgos'!$T$70),"")</f>
        <v/>
      </c>
      <c r="T25" s="54" t="str">
        <f>IF(AND('Mapa riesgos'!$AD$71="Alta",'Mapa riesgos'!$AF$71="Menor"),CONCATENATE("R10C",'Mapa riesgos'!$T$71),"")</f>
        <v/>
      </c>
      <c r="U25" s="55" t="str">
        <f>IF(AND('Mapa riesgos'!$AD$72="Alta",'Mapa riesgos'!$AF$72="Menor"),CONCATENATE("R10C",'Mapa riesgos'!$T$72),"")</f>
        <v/>
      </c>
      <c r="V25" s="41" t="str">
        <f>IF(AND('Mapa riesgos'!$AD$67="Alta",'Mapa riesgos'!$AF$67="Moderado"),CONCATENATE("R10C",'Mapa riesgos'!$T$67),"")</f>
        <v/>
      </c>
      <c r="W25" s="42" t="str">
        <f>IF(AND('Mapa riesgos'!$AD$68="Alta",'Mapa riesgos'!$AF$68="Moderado"),CONCATENATE("R10C",'Mapa riesgos'!$T$68),"")</f>
        <v/>
      </c>
      <c r="X25" s="42" t="str">
        <f>IF(AND('Mapa riesgos'!$AD$69="Alta",'Mapa riesgos'!$AF$69="Moderado"),CONCATENATE("R10C",'Mapa riesgos'!$T$69),"")</f>
        <v/>
      </c>
      <c r="Y25" s="42" t="str">
        <f>IF(AND('Mapa riesgos'!$AD$70="Alta",'Mapa riesgos'!$AF$70="Moderado"),CONCATENATE("R10C",'Mapa riesgos'!$T$70),"")</f>
        <v/>
      </c>
      <c r="Z25" s="42" t="str">
        <f>IF(AND('Mapa riesgos'!$AD$71="Alta",'Mapa riesgos'!$AF$71="Moderado"),CONCATENATE("R10C",'Mapa riesgos'!$T$71),"")</f>
        <v/>
      </c>
      <c r="AA25" s="43" t="str">
        <f>IF(AND('Mapa riesgos'!$AD$72="Alta",'Mapa riesgos'!$AF$72="Moderado"),CONCATENATE("R10C",'Mapa riesgos'!$T$72),"")</f>
        <v/>
      </c>
      <c r="AB25" s="41" t="str">
        <f>IF(AND('Mapa riesgos'!$AD$67="Alta",'Mapa riesgos'!$AF$67="Mayor"),CONCATENATE("R10C",'Mapa riesgos'!$T$67),"")</f>
        <v/>
      </c>
      <c r="AC25" s="42" t="str">
        <f>IF(AND('Mapa riesgos'!$AD$68="Alta",'Mapa riesgos'!$AF$68="Mayor"),CONCATENATE("R10C",'Mapa riesgos'!$T$68),"")</f>
        <v/>
      </c>
      <c r="AD25" s="42" t="str">
        <f>IF(AND('Mapa riesgos'!$AD$69="Alta",'Mapa riesgos'!$AF$69="Mayor"),CONCATENATE("R10C",'Mapa riesgos'!$T$69),"")</f>
        <v/>
      </c>
      <c r="AE25" s="42" t="str">
        <f>IF(AND('Mapa riesgos'!$AD$70="Alta",'Mapa riesgos'!$AF$70="Mayor"),CONCATENATE("R10C",'Mapa riesgos'!$T$70),"")</f>
        <v/>
      </c>
      <c r="AF25" s="42" t="str">
        <f>IF(AND('Mapa riesgos'!$AD$71="Alta",'Mapa riesgos'!$AF$71="Mayor"),CONCATENATE("R10C",'Mapa riesgos'!$T$71),"")</f>
        <v/>
      </c>
      <c r="AG25" s="43" t="str">
        <f>IF(AND('Mapa riesgos'!$AD$72="Alta",'Mapa riesgos'!$AF$72="Mayor"),CONCATENATE("R10C",'Mapa riesgos'!$T$72),"")</f>
        <v/>
      </c>
      <c r="AH25" s="44" t="str">
        <f>IF(AND('Mapa riesgos'!$AD$67="Alta",'Mapa riesgos'!$AF$67="Catastrófico"),CONCATENATE("R10C",'Mapa riesgos'!$T$67),"")</f>
        <v/>
      </c>
      <c r="AI25" s="45" t="str">
        <f>IF(AND('Mapa riesgos'!$AD$68="Alta",'Mapa riesgos'!$AF$68="Catastrófico"),CONCATENATE("R10C",'Mapa riesgos'!$T$68),"")</f>
        <v/>
      </c>
      <c r="AJ25" s="45" t="str">
        <f>IF(AND('Mapa riesgos'!$AD$69="Alta",'Mapa riesgos'!$AF$69="Catastrófico"),CONCATENATE("R10C",'Mapa riesgos'!$T$69),"")</f>
        <v/>
      </c>
      <c r="AK25" s="45" t="str">
        <f>IF(AND('Mapa riesgos'!$AD$70="Alta",'Mapa riesgos'!$AF$70="Catastrófico"),CONCATENATE("R10C",'Mapa riesgos'!$T$70),"")</f>
        <v/>
      </c>
      <c r="AL25" s="45" t="str">
        <f>IF(AND('Mapa riesgos'!$AD$71="Alta",'Mapa riesgos'!$AF$71="Catastrófico"),CONCATENATE("R10C",'Mapa riesgos'!$T$71),"")</f>
        <v/>
      </c>
      <c r="AM25" s="46" t="str">
        <f>IF(AND('Mapa riesgos'!$AD$72="Alta",'Mapa riesgos'!$AF$72="Catastrófico"),CONCATENATE("R10C",'Mapa riesgos'!$T$72),"")</f>
        <v/>
      </c>
      <c r="AN25" s="66"/>
      <c r="AO25" s="512"/>
      <c r="AP25" s="513"/>
      <c r="AQ25" s="513"/>
      <c r="AR25" s="513"/>
      <c r="AS25" s="513"/>
      <c r="AT25" s="514"/>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c r="A26" s="66"/>
      <c r="B26" s="458"/>
      <c r="C26" s="458"/>
      <c r="D26" s="459"/>
      <c r="E26" s="496" t="s">
        <v>221</v>
      </c>
      <c r="F26" s="497"/>
      <c r="G26" s="497"/>
      <c r="H26" s="497"/>
      <c r="I26" s="498"/>
      <c r="J26" s="47" t="str">
        <f>IF(AND('Mapa riesgos'!$AD$13="Media",'Mapa riesgos'!$AF$13="Leve"),CONCATENATE("R1C",'Mapa riesgos'!$T$13),"")</f>
        <v/>
      </c>
      <c r="K26" s="48" t="str">
        <f>IF(AND('Mapa riesgos'!$AD$14="Media",'Mapa riesgos'!$AF$14="Leve"),CONCATENATE("R1C",'Mapa riesgos'!$T$14),"")</f>
        <v/>
      </c>
      <c r="L26" s="48" t="str">
        <f>IF(AND('Mapa riesgos'!$AD$15="Media",'Mapa riesgos'!$AF$15="Leve"),CONCATENATE("R1C",'Mapa riesgos'!$T$15),"")</f>
        <v/>
      </c>
      <c r="M26" s="48" t="str">
        <f>IF(AND('Mapa riesgos'!$AD$16="Media",'Mapa riesgos'!$AF$16="Leve"),CONCATENATE("R1C",'Mapa riesgos'!$T$16),"")</f>
        <v/>
      </c>
      <c r="N26" s="48" t="str">
        <f>IF(AND('Mapa riesgos'!$AD$17="Media",'Mapa riesgos'!$AF$17="Leve"),CONCATENATE("R1C",'Mapa riesgos'!$T$17),"")</f>
        <v/>
      </c>
      <c r="O26" s="49" t="str">
        <f>IF(AND('Mapa riesgos'!$AD$18="Media",'Mapa riesgos'!$AF$18="Leve"),CONCATENATE("R1C",'Mapa riesgos'!$T$18),"")</f>
        <v/>
      </c>
      <c r="P26" s="47" t="str">
        <f>IF(AND('Mapa riesgos'!$AD$13="Media",'Mapa riesgos'!$AF$13="Menor"),CONCATENATE("R1C",'Mapa riesgos'!$T$13),"")</f>
        <v/>
      </c>
      <c r="Q26" s="48" t="str">
        <f>IF(AND('Mapa riesgos'!$AD$14="Media",'Mapa riesgos'!$AF$14="Menor"),CONCATENATE("R1C",'Mapa riesgos'!$T$14),"")</f>
        <v/>
      </c>
      <c r="R26" s="48" t="str">
        <f>IF(AND('Mapa riesgos'!$AD$15="Media",'Mapa riesgos'!$AF$15="Menor"),CONCATENATE("R1C",'Mapa riesgos'!$T$15),"")</f>
        <v/>
      </c>
      <c r="S26" s="48" t="str">
        <f>IF(AND('Mapa riesgos'!$AD$16="Media",'Mapa riesgos'!$AF$16="Menor"),CONCATENATE("R1C",'Mapa riesgos'!$T$16),"")</f>
        <v/>
      </c>
      <c r="T26" s="48" t="str">
        <f>IF(AND('Mapa riesgos'!$AD$17="Media",'Mapa riesgos'!$AF$17="Menor"),CONCATENATE("R1C",'Mapa riesgos'!$T$17),"")</f>
        <v/>
      </c>
      <c r="U26" s="49" t="str">
        <f>IF(AND('Mapa riesgos'!$AD$18="Media",'Mapa riesgos'!$AF$18="Menor"),CONCATENATE("R1C",'Mapa riesgos'!$T$18),"")</f>
        <v/>
      </c>
      <c r="V26" s="47" t="str">
        <f>IF(AND('Mapa riesgos'!$AD$13="Media",'Mapa riesgos'!$AF$13="Moderado"),CONCATENATE("R1C",'Mapa riesgos'!$T$13),"")</f>
        <v>R1C1</v>
      </c>
      <c r="W26" s="48" t="str">
        <f>IF(AND('Mapa riesgos'!$AD$14="Media",'Mapa riesgos'!$AF$14="Moderado"),CONCATENATE("R1C",'Mapa riesgos'!$T$14),"")</f>
        <v/>
      </c>
      <c r="X26" s="48" t="str">
        <f>IF(AND('Mapa riesgos'!$AD$15="Media",'Mapa riesgos'!$AF$15="Moderado"),CONCATENATE("R1C",'Mapa riesgos'!$T$15),"")</f>
        <v/>
      </c>
      <c r="Y26" s="48" t="str">
        <f>IF(AND('Mapa riesgos'!$AD$16="Media",'Mapa riesgos'!$AF$16="Moderado"),CONCATENATE("R1C",'Mapa riesgos'!$T$16),"")</f>
        <v/>
      </c>
      <c r="Z26" s="48" t="str">
        <f>IF(AND('Mapa riesgos'!$AD$17="Media",'Mapa riesgos'!$AF$17="Moderado"),CONCATENATE("R1C",'Mapa riesgos'!$T$17),"")</f>
        <v/>
      </c>
      <c r="AA26" s="49" t="str">
        <f>IF(AND('Mapa riesgos'!$AD$18="Media",'Mapa riesgos'!$AF$18="Moderado"),CONCATENATE("R1C",'Mapa riesgos'!$T$18),"")</f>
        <v/>
      </c>
      <c r="AB26" s="29" t="str">
        <f>IF(AND('Mapa riesgos'!$AD$13="Media",'Mapa riesgos'!$AF$13="Mayor"),CONCATENATE("R1C",'Mapa riesgos'!$T$13),"")</f>
        <v/>
      </c>
      <c r="AC26" s="30" t="str">
        <f>IF(AND('Mapa riesgos'!$AD$14="Media",'Mapa riesgos'!$AF$14="Mayor"),CONCATENATE("R1C",'Mapa riesgos'!$T$14),"")</f>
        <v/>
      </c>
      <c r="AD26" s="30" t="str">
        <f>IF(AND('Mapa riesgos'!$AD$15="Media",'Mapa riesgos'!$AF$15="Mayor"),CONCATENATE("R1C",'Mapa riesgos'!$T$15),"")</f>
        <v/>
      </c>
      <c r="AE26" s="30" t="str">
        <f>IF(AND('Mapa riesgos'!$AD$16="Media",'Mapa riesgos'!$AF$16="Mayor"),CONCATENATE("R1C",'Mapa riesgos'!$T$16),"")</f>
        <v/>
      </c>
      <c r="AF26" s="30" t="str">
        <f>IF(AND('Mapa riesgos'!$AD$17="Media",'Mapa riesgos'!$AF$17="Mayor"),CONCATENATE("R1C",'Mapa riesgos'!$T$17),"")</f>
        <v/>
      </c>
      <c r="AG26" s="31" t="str">
        <f>IF(AND('Mapa riesgos'!$AD$18="Media",'Mapa riesgos'!$AF$18="Mayor"),CONCATENATE("R1C",'Mapa riesgos'!$T$18),"")</f>
        <v/>
      </c>
      <c r="AH26" s="32" t="str">
        <f>IF(AND('Mapa riesgos'!$AD$13="Media",'Mapa riesgos'!$AF$13="Catastrófico"),CONCATENATE("R1C",'Mapa riesgos'!$T$13),"")</f>
        <v/>
      </c>
      <c r="AI26" s="33" t="str">
        <f>IF(AND('Mapa riesgos'!$AD$14="Media",'Mapa riesgos'!$AF$14="Catastrófico"),CONCATENATE("R1C",'Mapa riesgos'!$T$14),"")</f>
        <v/>
      </c>
      <c r="AJ26" s="33" t="str">
        <f>IF(AND('Mapa riesgos'!$AD$15="Media",'Mapa riesgos'!$AF$15="Catastrófico"),CONCATENATE("R1C",'Mapa riesgos'!$T$15),"")</f>
        <v/>
      </c>
      <c r="AK26" s="33" t="str">
        <f>IF(AND('Mapa riesgos'!$AD$16="Media",'Mapa riesgos'!$AF$16="Catastrófico"),CONCATENATE("R1C",'Mapa riesgos'!$T$16),"")</f>
        <v/>
      </c>
      <c r="AL26" s="33" t="str">
        <f>IF(AND('Mapa riesgos'!$AD$17="Media",'Mapa riesgos'!$AF$17="Catastrófico"),CONCATENATE("R1C",'Mapa riesgos'!$T$17),"")</f>
        <v/>
      </c>
      <c r="AM26" s="34" t="str">
        <f>IF(AND('Mapa riesgos'!$AD$18="Media",'Mapa riesgos'!$AF$18="Catastrófico"),CONCATENATE("R1C",'Mapa riesgos'!$T$18),"")</f>
        <v/>
      </c>
      <c r="AN26" s="66"/>
      <c r="AO26" s="536" t="s">
        <v>222</v>
      </c>
      <c r="AP26" s="537"/>
      <c r="AQ26" s="537"/>
      <c r="AR26" s="537"/>
      <c r="AS26" s="537"/>
      <c r="AT26" s="538"/>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c r="A27" s="66"/>
      <c r="B27" s="458"/>
      <c r="C27" s="458"/>
      <c r="D27" s="459"/>
      <c r="E27" s="515"/>
      <c r="F27" s="500"/>
      <c r="G27" s="500"/>
      <c r="H27" s="500"/>
      <c r="I27" s="501"/>
      <c r="J27" s="50" t="str">
        <f>IF(AND('Mapa riesgos'!$AD$19="Media",'Mapa riesgos'!$AF$19="Leve"),CONCATENATE("R2C",'Mapa riesgos'!$T$19),"")</f>
        <v/>
      </c>
      <c r="K27" s="51" t="str">
        <f>IF(AND('Mapa riesgos'!$AD$20="Media",'Mapa riesgos'!$AF$20="Leve"),CONCATENATE("R2C",'Mapa riesgos'!$T$20),"")</f>
        <v/>
      </c>
      <c r="L27" s="51" t="str">
        <f>IF(AND('Mapa riesgos'!$AD$21="Media",'Mapa riesgos'!$AF$21="Leve"),CONCATENATE("R2C",'Mapa riesgos'!$T$21),"")</f>
        <v/>
      </c>
      <c r="M27" s="51" t="str">
        <f>IF(AND('Mapa riesgos'!$AD$22="Media",'Mapa riesgos'!$AF$22="Leve"),CONCATENATE("R2C",'Mapa riesgos'!$T$22),"")</f>
        <v/>
      </c>
      <c r="N27" s="51" t="str">
        <f>IF(AND('Mapa riesgos'!$AD$23="Media",'Mapa riesgos'!$AF$23="Leve"),CONCATENATE("R2C",'Mapa riesgos'!$T$23),"")</f>
        <v/>
      </c>
      <c r="O27" s="52" t="str">
        <f>IF(AND('Mapa riesgos'!$AD$24="Media",'Mapa riesgos'!$AF$24="Leve"),CONCATENATE("R2C",'Mapa riesgos'!$T$24),"")</f>
        <v/>
      </c>
      <c r="P27" s="50" t="str">
        <f>IF(AND('Mapa riesgos'!$AD$19="Media",'Mapa riesgos'!$AF$19="Menor"),CONCATENATE("R2C",'Mapa riesgos'!$T$19),"")</f>
        <v/>
      </c>
      <c r="Q27" s="51" t="str">
        <f>IF(AND('Mapa riesgos'!$AD$20="Media",'Mapa riesgos'!$AF$20="Menor"),CONCATENATE("R2C",'Mapa riesgos'!$T$20),"")</f>
        <v/>
      </c>
      <c r="R27" s="51" t="str">
        <f>IF(AND('Mapa riesgos'!$AD$21="Media",'Mapa riesgos'!$AF$21="Menor"),CONCATENATE("R2C",'Mapa riesgos'!$T$21),"")</f>
        <v/>
      </c>
      <c r="S27" s="51" t="str">
        <f>IF(AND('Mapa riesgos'!$AD$22="Media",'Mapa riesgos'!$AF$22="Menor"),CONCATENATE("R2C",'Mapa riesgos'!$T$22),"")</f>
        <v/>
      </c>
      <c r="T27" s="51" t="str">
        <f>IF(AND('Mapa riesgos'!$AD$23="Media",'Mapa riesgos'!$AF$23="Menor"),CONCATENATE("R2C",'Mapa riesgos'!$T$23),"")</f>
        <v/>
      </c>
      <c r="U27" s="52" t="str">
        <f>IF(AND('Mapa riesgos'!$AD$24="Media",'Mapa riesgos'!$AF$24="Menor"),CONCATENATE("R2C",'Mapa riesgos'!$T$24),"")</f>
        <v/>
      </c>
      <c r="V27" s="50" t="str">
        <f>IF(AND('Mapa riesgos'!$AD$19="Media",'Mapa riesgos'!$AF$19="Moderado"),CONCATENATE("R2C",'Mapa riesgos'!$T$19),"")</f>
        <v>R2C1</v>
      </c>
      <c r="W27" s="51" t="str">
        <f>IF(AND('Mapa riesgos'!$AD$20="Media",'Mapa riesgos'!$AF$20="Moderado"),CONCATENATE("R2C",'Mapa riesgos'!$T$20),"")</f>
        <v/>
      </c>
      <c r="X27" s="51" t="str">
        <f>IF(AND('Mapa riesgos'!$AD$21="Media",'Mapa riesgos'!$AF$21="Moderado"),CONCATENATE("R2C",'Mapa riesgos'!$T$21),"")</f>
        <v/>
      </c>
      <c r="Y27" s="51" t="str">
        <f>IF(AND('Mapa riesgos'!$AD$22="Media",'Mapa riesgos'!$AF$22="Moderado"),CONCATENATE("R2C",'Mapa riesgos'!$T$22),"")</f>
        <v/>
      </c>
      <c r="Z27" s="51" t="str">
        <f>IF(AND('Mapa riesgos'!$AD$23="Media",'Mapa riesgos'!$AF$23="Moderado"),CONCATENATE("R2C",'Mapa riesgos'!$T$23),"")</f>
        <v/>
      </c>
      <c r="AA27" s="52" t="str">
        <f>IF(AND('Mapa riesgos'!$AD$24="Media",'Mapa riesgos'!$AF$24="Moderado"),CONCATENATE("R2C",'Mapa riesgos'!$T$24),"")</f>
        <v/>
      </c>
      <c r="AB27" s="35" t="str">
        <f>IF(AND('Mapa riesgos'!$AD$19="Media",'Mapa riesgos'!$AF$19="Mayor"),CONCATENATE("R2C",'Mapa riesgos'!$T$19),"")</f>
        <v/>
      </c>
      <c r="AC27" s="36" t="str">
        <f>IF(AND('Mapa riesgos'!$AD$20="Media",'Mapa riesgos'!$AF$20="Mayor"),CONCATENATE("R2C",'Mapa riesgos'!$T$20),"")</f>
        <v/>
      </c>
      <c r="AD27" s="36" t="str">
        <f>IF(AND('Mapa riesgos'!$AD$21="Media",'Mapa riesgos'!$AF$21="Mayor"),CONCATENATE("R2C",'Mapa riesgos'!$T$21),"")</f>
        <v/>
      </c>
      <c r="AE27" s="36" t="str">
        <f>IF(AND('Mapa riesgos'!$AD$22="Media",'Mapa riesgos'!$AF$22="Mayor"),CONCATENATE("R2C",'Mapa riesgos'!$T$22),"")</f>
        <v/>
      </c>
      <c r="AF27" s="36" t="str">
        <f>IF(AND('Mapa riesgos'!$AD$23="Media",'Mapa riesgos'!$AF$23="Mayor"),CONCATENATE("R2C",'Mapa riesgos'!$T$23),"")</f>
        <v/>
      </c>
      <c r="AG27" s="37" t="str">
        <f>IF(AND('Mapa riesgos'!$AD$24="Media",'Mapa riesgos'!$AF$24="Mayor"),CONCATENATE("R2C",'Mapa riesgos'!$T$24),"")</f>
        <v/>
      </c>
      <c r="AH27" s="38" t="str">
        <f>IF(AND('Mapa riesgos'!$AD$19="Media",'Mapa riesgos'!$AF$19="Catastrófico"),CONCATENATE("R2C",'Mapa riesgos'!$T$19),"")</f>
        <v/>
      </c>
      <c r="AI27" s="39" t="str">
        <f>IF(AND('Mapa riesgos'!$AD$20="Media",'Mapa riesgos'!$AF$20="Catastrófico"),CONCATENATE("R2C",'Mapa riesgos'!$T$20),"")</f>
        <v/>
      </c>
      <c r="AJ27" s="39" t="str">
        <f>IF(AND('Mapa riesgos'!$AD$21="Media",'Mapa riesgos'!$AF$21="Catastrófico"),CONCATENATE("R2C",'Mapa riesgos'!$T$21),"")</f>
        <v/>
      </c>
      <c r="AK27" s="39" t="str">
        <f>IF(AND('Mapa riesgos'!$AD$22="Media",'Mapa riesgos'!$AF$22="Catastrófico"),CONCATENATE("R2C",'Mapa riesgos'!$T$22),"")</f>
        <v/>
      </c>
      <c r="AL27" s="39" t="str">
        <f>IF(AND('Mapa riesgos'!$AD$23="Media",'Mapa riesgos'!$AF$23="Catastrófico"),CONCATENATE("R2C",'Mapa riesgos'!$T$23),"")</f>
        <v/>
      </c>
      <c r="AM27" s="40" t="str">
        <f>IF(AND('Mapa riesgos'!$AD$24="Media",'Mapa riesgos'!$AF$24="Catastrófico"),CONCATENATE("R2C",'Mapa riesgos'!$T$24),"")</f>
        <v/>
      </c>
      <c r="AN27" s="66"/>
      <c r="AO27" s="539"/>
      <c r="AP27" s="540"/>
      <c r="AQ27" s="540"/>
      <c r="AR27" s="540"/>
      <c r="AS27" s="540"/>
      <c r="AT27" s="541"/>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c r="A28" s="66"/>
      <c r="B28" s="458"/>
      <c r="C28" s="458"/>
      <c r="D28" s="459"/>
      <c r="E28" s="499"/>
      <c r="F28" s="500"/>
      <c r="G28" s="500"/>
      <c r="H28" s="500"/>
      <c r="I28" s="501"/>
      <c r="J28" s="50" t="str">
        <f>IF(AND('Mapa riesgos'!$AD$25="Media",'Mapa riesgos'!$AF$25="Leve"),CONCATENATE("R3C",'Mapa riesgos'!$T$25),"")</f>
        <v/>
      </c>
      <c r="K28" s="51" t="str">
        <f>IF(AND('Mapa riesgos'!$AD$26="Media",'Mapa riesgos'!$AF$26="Leve"),CONCATENATE("R3C",'Mapa riesgos'!$T$26),"")</f>
        <v/>
      </c>
      <c r="L28" s="51" t="str">
        <f>IF(AND('Mapa riesgos'!$AD$27="Media",'Mapa riesgos'!$AF$27="Leve"),CONCATENATE("R3C",'Mapa riesgos'!$T$27),"")</f>
        <v/>
      </c>
      <c r="M28" s="51" t="str">
        <f>IF(AND('Mapa riesgos'!$AD$28="Media",'Mapa riesgos'!$AF$28="Leve"),CONCATENATE("R3C",'Mapa riesgos'!$T$28),"")</f>
        <v/>
      </c>
      <c r="N28" s="51" t="str">
        <f>IF(AND('Mapa riesgos'!$AD$29="Media",'Mapa riesgos'!$AF$29="Leve"),CONCATENATE("R3C",'Mapa riesgos'!$T$29),"")</f>
        <v/>
      </c>
      <c r="O28" s="52" t="str">
        <f>IF(AND('Mapa riesgos'!$AD$30="Media",'Mapa riesgos'!$AF$30="Leve"),CONCATENATE("R3C",'Mapa riesgos'!$T$30),"")</f>
        <v/>
      </c>
      <c r="P28" s="50" t="str">
        <f>IF(AND('Mapa riesgos'!$AD$25="Media",'Mapa riesgos'!$AF$25="Menor"),CONCATENATE("R3C",'Mapa riesgos'!$T$25),"")</f>
        <v/>
      </c>
      <c r="Q28" s="51" t="str">
        <f>IF(AND('Mapa riesgos'!$AD$26="Media",'Mapa riesgos'!$AF$26="Menor"),CONCATENATE("R3C",'Mapa riesgos'!$T$26),"")</f>
        <v/>
      </c>
      <c r="R28" s="51" t="str">
        <f>IF(AND('Mapa riesgos'!$AD$27="Media",'Mapa riesgos'!$AF$27="Menor"),CONCATENATE("R3C",'Mapa riesgos'!$T$27),"")</f>
        <v/>
      </c>
      <c r="S28" s="51" t="str">
        <f>IF(AND('Mapa riesgos'!$AD$28="Media",'Mapa riesgos'!$AF$28="Menor"),CONCATENATE("R3C",'Mapa riesgos'!$T$28),"")</f>
        <v/>
      </c>
      <c r="T28" s="51" t="str">
        <f>IF(AND('Mapa riesgos'!$AD$29="Media",'Mapa riesgos'!$AF$29="Menor"),CONCATENATE("R3C",'Mapa riesgos'!$T$29),"")</f>
        <v/>
      </c>
      <c r="U28" s="52" t="str">
        <f>IF(AND('Mapa riesgos'!$AD$30="Media",'Mapa riesgos'!$AF$30="Menor"),CONCATENATE("R3C",'Mapa riesgos'!$T$30),"")</f>
        <v/>
      </c>
      <c r="V28" s="50" t="str">
        <f>IF(AND('Mapa riesgos'!$AD$25="Media",'Mapa riesgos'!$AF$25="Moderado"),CONCATENATE("R3C",'Mapa riesgos'!$T$25),"")</f>
        <v/>
      </c>
      <c r="W28" s="51" t="str">
        <f>IF(AND('Mapa riesgos'!$AD$26="Media",'Mapa riesgos'!$AF$26="Moderado"),CONCATENATE("R3C",'Mapa riesgos'!$T$26),"")</f>
        <v/>
      </c>
      <c r="X28" s="51" t="str">
        <f>IF(AND('Mapa riesgos'!$AD$27="Media",'Mapa riesgos'!$AF$27="Moderado"),CONCATENATE("R3C",'Mapa riesgos'!$T$27),"")</f>
        <v/>
      </c>
      <c r="Y28" s="51" t="str">
        <f>IF(AND('Mapa riesgos'!$AD$28="Media",'Mapa riesgos'!$AF$28="Moderado"),CONCATENATE("R3C",'Mapa riesgos'!$T$28),"")</f>
        <v/>
      </c>
      <c r="Z28" s="51" t="str">
        <f>IF(AND('Mapa riesgos'!$AD$29="Media",'Mapa riesgos'!$AF$29="Moderado"),CONCATENATE("R3C",'Mapa riesgos'!$T$29),"")</f>
        <v/>
      </c>
      <c r="AA28" s="52" t="str">
        <f>IF(AND('Mapa riesgos'!$AD$30="Media",'Mapa riesgos'!$AF$30="Moderado"),CONCATENATE("R3C",'Mapa riesgos'!$T$30),"")</f>
        <v/>
      </c>
      <c r="AB28" s="35" t="str">
        <f>IF(AND('Mapa riesgos'!$AD$25="Media",'Mapa riesgos'!$AF$25="Mayor"),CONCATENATE("R3C",'Mapa riesgos'!$T$25),"")</f>
        <v/>
      </c>
      <c r="AC28" s="36" t="str">
        <f>IF(AND('Mapa riesgos'!$AD$26="Media",'Mapa riesgos'!$AF$26="Mayor"),CONCATENATE("R3C",'Mapa riesgos'!$T$26),"")</f>
        <v/>
      </c>
      <c r="AD28" s="36" t="str">
        <f>IF(AND('Mapa riesgos'!$AD$27="Media",'Mapa riesgos'!$AF$27="Mayor"),CONCATENATE("R3C",'Mapa riesgos'!$T$27),"")</f>
        <v/>
      </c>
      <c r="AE28" s="36" t="str">
        <f>IF(AND('Mapa riesgos'!$AD$28="Media",'Mapa riesgos'!$AF$28="Mayor"),CONCATENATE("R3C",'Mapa riesgos'!$T$28),"")</f>
        <v/>
      </c>
      <c r="AF28" s="36" t="str">
        <f>IF(AND('Mapa riesgos'!$AD$29="Media",'Mapa riesgos'!$AF$29="Mayor"),CONCATENATE("R3C",'Mapa riesgos'!$T$29),"")</f>
        <v/>
      </c>
      <c r="AG28" s="37" t="str">
        <f>IF(AND('Mapa riesgos'!$AD$30="Media",'Mapa riesgos'!$AF$30="Mayor"),CONCATENATE("R3C",'Mapa riesgos'!$T$30),"")</f>
        <v/>
      </c>
      <c r="AH28" s="38" t="str">
        <f>IF(AND('Mapa riesgos'!$AD$25="Media",'Mapa riesgos'!$AF$25="Catastrófico"),CONCATENATE("R3C",'Mapa riesgos'!$T$25),"")</f>
        <v/>
      </c>
      <c r="AI28" s="39" t="str">
        <f>IF(AND('Mapa riesgos'!$AD$26="Media",'Mapa riesgos'!$AF$26="Catastrófico"),CONCATENATE("R3C",'Mapa riesgos'!$T$26),"")</f>
        <v/>
      </c>
      <c r="AJ28" s="39" t="str">
        <f>IF(AND('Mapa riesgos'!$AD$27="Media",'Mapa riesgos'!$AF$27="Catastrófico"),CONCATENATE("R3C",'Mapa riesgos'!$T$27),"")</f>
        <v/>
      </c>
      <c r="AK28" s="39" t="str">
        <f>IF(AND('Mapa riesgos'!$AD$28="Media",'Mapa riesgos'!$AF$28="Catastrófico"),CONCATENATE("R3C",'Mapa riesgos'!$T$28),"")</f>
        <v/>
      </c>
      <c r="AL28" s="39" t="str">
        <f>IF(AND('Mapa riesgos'!$AD$29="Media",'Mapa riesgos'!$AF$29="Catastrófico"),CONCATENATE("R3C",'Mapa riesgos'!$T$29),"")</f>
        <v/>
      </c>
      <c r="AM28" s="40" t="str">
        <f>IF(AND('Mapa riesgos'!$AD$30="Media",'Mapa riesgos'!$AF$30="Catastrófico"),CONCATENATE("R3C",'Mapa riesgos'!$T$30),"")</f>
        <v/>
      </c>
      <c r="AN28" s="66"/>
      <c r="AO28" s="539"/>
      <c r="AP28" s="540"/>
      <c r="AQ28" s="540"/>
      <c r="AR28" s="540"/>
      <c r="AS28" s="540"/>
      <c r="AT28" s="541"/>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c r="A29" s="66"/>
      <c r="B29" s="458"/>
      <c r="C29" s="458"/>
      <c r="D29" s="459"/>
      <c r="E29" s="499"/>
      <c r="F29" s="500"/>
      <c r="G29" s="500"/>
      <c r="H29" s="500"/>
      <c r="I29" s="501"/>
      <c r="J29" s="50" t="str">
        <f>IF(AND('Mapa riesgos'!$AD$31="Media",'Mapa riesgos'!$AF$31="Leve"),CONCATENATE("R4C",'Mapa riesgos'!$T$31),"")</f>
        <v/>
      </c>
      <c r="K29" s="51" t="str">
        <f>IF(AND('Mapa riesgos'!$AD$32="Media",'Mapa riesgos'!$AF$32="Leve"),CONCATENATE("R4C",'Mapa riesgos'!$T$32),"")</f>
        <v/>
      </c>
      <c r="L29" s="51" t="str">
        <f>IF(AND('Mapa riesgos'!$AD$33="Media",'Mapa riesgos'!$AF$33="Leve"),CONCATENATE("R4C",'Mapa riesgos'!$T$33),"")</f>
        <v/>
      </c>
      <c r="M29" s="51" t="str">
        <f>IF(AND('Mapa riesgos'!$AD$34="Media",'Mapa riesgos'!$AF$34="Leve"),CONCATENATE("R4C",'Mapa riesgos'!$T$34),"")</f>
        <v/>
      </c>
      <c r="N29" s="51" t="str">
        <f>IF(AND('Mapa riesgos'!$AD$35="Media",'Mapa riesgos'!$AF$35="Leve"),CONCATENATE("R4C",'Mapa riesgos'!$T$35),"")</f>
        <v/>
      </c>
      <c r="O29" s="52" t="str">
        <f>IF(AND('Mapa riesgos'!$AD$36="Media",'Mapa riesgos'!$AF$36="Leve"),CONCATENATE("R4C",'Mapa riesgos'!$T$36),"")</f>
        <v/>
      </c>
      <c r="P29" s="50" t="str">
        <f>IF(AND('Mapa riesgos'!$AD$31="Media",'Mapa riesgos'!$AF$31="Menor"),CONCATENATE("R4C",'Mapa riesgos'!$T$31),"")</f>
        <v/>
      </c>
      <c r="Q29" s="51" t="str">
        <f>IF(AND('Mapa riesgos'!$AD$32="Media",'Mapa riesgos'!$AF$32="Menor"),CONCATENATE("R4C",'Mapa riesgos'!$T$32),"")</f>
        <v/>
      </c>
      <c r="R29" s="51" t="str">
        <f>IF(AND('Mapa riesgos'!$AD$33="Media",'Mapa riesgos'!$AF$33="Menor"),CONCATENATE("R4C",'Mapa riesgos'!$T$33),"")</f>
        <v/>
      </c>
      <c r="S29" s="51" t="str">
        <f>IF(AND('Mapa riesgos'!$AD$34="Media",'Mapa riesgos'!$AF$34="Menor"),CONCATENATE("R4C",'Mapa riesgos'!$T$34),"")</f>
        <v/>
      </c>
      <c r="T29" s="51" t="str">
        <f>IF(AND('Mapa riesgos'!$AD$35="Media",'Mapa riesgos'!$AF$35="Menor"),CONCATENATE("R4C",'Mapa riesgos'!$T$35),"")</f>
        <v/>
      </c>
      <c r="U29" s="52" t="str">
        <f>IF(AND('Mapa riesgos'!$AD$36="Media",'Mapa riesgos'!$AF$36="Menor"),CONCATENATE("R4C",'Mapa riesgos'!$T$36),"")</f>
        <v/>
      </c>
      <c r="V29" s="50" t="str">
        <f>IF(AND('Mapa riesgos'!$AD$31="Media",'Mapa riesgos'!$AF$31="Moderado"),CONCATENATE("R4C",'Mapa riesgos'!$T$31),"")</f>
        <v/>
      </c>
      <c r="W29" s="51" t="str">
        <f>IF(AND('Mapa riesgos'!$AD$32="Media",'Mapa riesgos'!$AF$32="Moderado"),CONCATENATE("R4C",'Mapa riesgos'!$T$32),"")</f>
        <v/>
      </c>
      <c r="X29" s="51" t="str">
        <f>IF(AND('Mapa riesgos'!$AD$33="Media",'Mapa riesgos'!$AF$33="Moderado"),CONCATENATE("R4C",'Mapa riesgos'!$T$33),"")</f>
        <v/>
      </c>
      <c r="Y29" s="51" t="str">
        <f>IF(AND('Mapa riesgos'!$AD$34="Media",'Mapa riesgos'!$AF$34="Moderado"),CONCATENATE("R4C",'Mapa riesgos'!$T$34),"")</f>
        <v/>
      </c>
      <c r="Z29" s="51" t="str">
        <f>IF(AND('Mapa riesgos'!$AD$35="Media",'Mapa riesgos'!$AF$35="Moderado"),CONCATENATE("R4C",'Mapa riesgos'!$T$35),"")</f>
        <v/>
      </c>
      <c r="AA29" s="52" t="str">
        <f>IF(AND('Mapa riesgos'!$AD$36="Media",'Mapa riesgos'!$AF$36="Moderado"),CONCATENATE("R4C",'Mapa riesgos'!$T$36),"")</f>
        <v/>
      </c>
      <c r="AB29" s="35" t="str">
        <f>IF(AND('Mapa riesgos'!$AD$31="Media",'Mapa riesgos'!$AF$31="Mayor"),CONCATENATE("R4C",'Mapa riesgos'!$T$31),"")</f>
        <v/>
      </c>
      <c r="AC29" s="36" t="str">
        <f>IF(AND('Mapa riesgos'!$AD$32="Media",'Mapa riesgos'!$AF$32="Mayor"),CONCATENATE("R4C",'Mapa riesgos'!$T$32),"")</f>
        <v/>
      </c>
      <c r="AD29" s="36" t="str">
        <f>IF(AND('Mapa riesgos'!$AD$33="Media",'Mapa riesgos'!$AF$33="Mayor"),CONCATENATE("R4C",'Mapa riesgos'!$T$33),"")</f>
        <v/>
      </c>
      <c r="AE29" s="36" t="str">
        <f>IF(AND('Mapa riesgos'!$AD$34="Media",'Mapa riesgos'!$AF$34="Mayor"),CONCATENATE("R4C",'Mapa riesgos'!$T$34),"")</f>
        <v/>
      </c>
      <c r="AF29" s="36" t="str">
        <f>IF(AND('Mapa riesgos'!$AD$35="Media",'Mapa riesgos'!$AF$35="Mayor"),CONCATENATE("R4C",'Mapa riesgos'!$T$35),"")</f>
        <v/>
      </c>
      <c r="AG29" s="37" t="str">
        <f>IF(AND('Mapa riesgos'!$AD$36="Media",'Mapa riesgos'!$AF$36="Mayor"),CONCATENATE("R4C",'Mapa riesgos'!$T$36),"")</f>
        <v/>
      </c>
      <c r="AH29" s="38" t="str">
        <f>IF(AND('Mapa riesgos'!$AD$31="Media",'Mapa riesgos'!$AF$31="Catastrófico"),CONCATENATE("R4C",'Mapa riesgos'!$T$31),"")</f>
        <v/>
      </c>
      <c r="AI29" s="39" t="str">
        <f>IF(AND('Mapa riesgos'!$AD$32="Media",'Mapa riesgos'!$AF$32="Catastrófico"),CONCATENATE("R4C",'Mapa riesgos'!$T$32),"")</f>
        <v/>
      </c>
      <c r="AJ29" s="39" t="str">
        <f>IF(AND('Mapa riesgos'!$AD$33="Media",'Mapa riesgos'!$AF$33="Catastrófico"),CONCATENATE("R4C",'Mapa riesgos'!$T$33),"")</f>
        <v/>
      </c>
      <c r="AK29" s="39" t="str">
        <f>IF(AND('Mapa riesgos'!$AD$34="Media",'Mapa riesgos'!$AF$34="Catastrófico"),CONCATENATE("R4C",'Mapa riesgos'!$T$34),"")</f>
        <v/>
      </c>
      <c r="AL29" s="39" t="str">
        <f>IF(AND('Mapa riesgos'!$AD$35="Media",'Mapa riesgos'!$AF$35="Catastrófico"),CONCATENATE("R4C",'Mapa riesgos'!$T$35),"")</f>
        <v/>
      </c>
      <c r="AM29" s="40" t="str">
        <f>IF(AND('Mapa riesgos'!$AD$36="Media",'Mapa riesgos'!$AF$36="Catastrófico"),CONCATENATE("R4C",'Mapa riesgos'!$T$36),"")</f>
        <v/>
      </c>
      <c r="AN29" s="66"/>
      <c r="AO29" s="539"/>
      <c r="AP29" s="540"/>
      <c r="AQ29" s="540"/>
      <c r="AR29" s="540"/>
      <c r="AS29" s="540"/>
      <c r="AT29" s="541"/>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c r="A30" s="66"/>
      <c r="B30" s="458"/>
      <c r="C30" s="458"/>
      <c r="D30" s="459"/>
      <c r="E30" s="499"/>
      <c r="F30" s="500"/>
      <c r="G30" s="500"/>
      <c r="H30" s="500"/>
      <c r="I30" s="501"/>
      <c r="J30" s="50" t="str">
        <f>IF(AND('Mapa riesgos'!$AD$37="Media",'Mapa riesgos'!$AF$37="Leve"),CONCATENATE("R5C",'Mapa riesgos'!$T$37),"")</f>
        <v/>
      </c>
      <c r="K30" s="51" t="str">
        <f>IF(AND('Mapa riesgos'!$AD$38="Media",'Mapa riesgos'!$AF$38="Leve"),CONCATENATE("R5C",'Mapa riesgos'!$T$38),"")</f>
        <v/>
      </c>
      <c r="L30" s="51" t="str">
        <f>IF(AND('Mapa riesgos'!$AD$39="Media",'Mapa riesgos'!$AF$39="Leve"),CONCATENATE("R5C",'Mapa riesgos'!$T$39),"")</f>
        <v/>
      </c>
      <c r="M30" s="51" t="str">
        <f>IF(AND('Mapa riesgos'!$AD$40="Media",'Mapa riesgos'!$AF$40="Leve"),CONCATENATE("R5C",'Mapa riesgos'!$T$40),"")</f>
        <v/>
      </c>
      <c r="N30" s="51" t="str">
        <f>IF(AND('Mapa riesgos'!$AD$41="Media",'Mapa riesgos'!$AF$41="Leve"),CONCATENATE("R5C",'Mapa riesgos'!$T$41),"")</f>
        <v/>
      </c>
      <c r="O30" s="52" t="str">
        <f>IF(AND('Mapa riesgos'!$AD$42="Media",'Mapa riesgos'!$AF$42="Leve"),CONCATENATE("R5C",'Mapa riesgos'!$T$42),"")</f>
        <v/>
      </c>
      <c r="P30" s="50" t="str">
        <f>IF(AND('Mapa riesgos'!$AD$37="Media",'Mapa riesgos'!$AF$37="Menor"),CONCATENATE("R5C",'Mapa riesgos'!$T$37),"")</f>
        <v/>
      </c>
      <c r="Q30" s="51" t="str">
        <f>IF(AND('Mapa riesgos'!$AD$38="Media",'Mapa riesgos'!$AF$38="Menor"),CONCATENATE("R5C",'Mapa riesgos'!$T$38),"")</f>
        <v/>
      </c>
      <c r="R30" s="51" t="str">
        <f>IF(AND('Mapa riesgos'!$AD$39="Media",'Mapa riesgos'!$AF$39="Menor"),CONCATENATE("R5C",'Mapa riesgos'!$T$39),"")</f>
        <v/>
      </c>
      <c r="S30" s="51" t="str">
        <f>IF(AND('Mapa riesgos'!$AD$40="Media",'Mapa riesgos'!$AF$40="Menor"),CONCATENATE("R5C",'Mapa riesgos'!$T$40),"")</f>
        <v/>
      </c>
      <c r="T30" s="51" t="str">
        <f>IF(AND('Mapa riesgos'!$AD$41="Media",'Mapa riesgos'!$AF$41="Menor"),CONCATENATE("R5C",'Mapa riesgos'!$T$41),"")</f>
        <v/>
      </c>
      <c r="U30" s="52" t="str">
        <f>IF(AND('Mapa riesgos'!$AD$42="Media",'Mapa riesgos'!$AF$42="Menor"),CONCATENATE("R5C",'Mapa riesgos'!$T$42),"")</f>
        <v/>
      </c>
      <c r="V30" s="50" t="str">
        <f>IF(AND('Mapa riesgos'!$AD$37="Media",'Mapa riesgos'!$AF$37="Moderado"),CONCATENATE("R5C",'Mapa riesgos'!$T$37),"")</f>
        <v/>
      </c>
      <c r="W30" s="51" t="str">
        <f>IF(AND('Mapa riesgos'!$AD$38="Media",'Mapa riesgos'!$AF$38="Moderado"),CONCATENATE("R5C",'Mapa riesgos'!$T$38),"")</f>
        <v/>
      </c>
      <c r="X30" s="51" t="str">
        <f>IF(AND('Mapa riesgos'!$AD$39="Media",'Mapa riesgos'!$AF$39="Moderado"),CONCATENATE("R5C",'Mapa riesgos'!$T$39),"")</f>
        <v/>
      </c>
      <c r="Y30" s="51" t="str">
        <f>IF(AND('Mapa riesgos'!$AD$40="Media",'Mapa riesgos'!$AF$40="Moderado"),CONCATENATE("R5C",'Mapa riesgos'!$T$40),"")</f>
        <v/>
      </c>
      <c r="Z30" s="51" t="str">
        <f>IF(AND('Mapa riesgos'!$AD$41="Media",'Mapa riesgos'!$AF$41="Moderado"),CONCATENATE("R5C",'Mapa riesgos'!$T$41),"")</f>
        <v/>
      </c>
      <c r="AA30" s="52" t="str">
        <f>IF(AND('Mapa riesgos'!$AD$42="Media",'Mapa riesgos'!$AF$42="Moderado"),CONCATENATE("R5C",'Mapa riesgos'!$T$42),"")</f>
        <v/>
      </c>
      <c r="AB30" s="35" t="str">
        <f>IF(AND('Mapa riesgos'!$AD$37="Media",'Mapa riesgos'!$AF$37="Mayor"),CONCATENATE("R5C",'Mapa riesgos'!$T$37),"")</f>
        <v/>
      </c>
      <c r="AC30" s="36" t="str">
        <f>IF(AND('Mapa riesgos'!$AD$38="Media",'Mapa riesgos'!$AF$38="Mayor"),CONCATENATE("R5C",'Mapa riesgos'!$T$38),"")</f>
        <v/>
      </c>
      <c r="AD30" s="36" t="str">
        <f>IF(AND('Mapa riesgos'!$AD$39="Media",'Mapa riesgos'!$AF$39="Mayor"),CONCATENATE("R5C",'Mapa riesgos'!$T$39),"")</f>
        <v/>
      </c>
      <c r="AE30" s="36" t="str">
        <f>IF(AND('Mapa riesgos'!$AD$40="Media",'Mapa riesgos'!$AF$40="Mayor"),CONCATENATE("R5C",'Mapa riesgos'!$T$40),"")</f>
        <v/>
      </c>
      <c r="AF30" s="36" t="str">
        <f>IF(AND('Mapa riesgos'!$AD$41="Media",'Mapa riesgos'!$AF$41="Mayor"),CONCATENATE("R5C",'Mapa riesgos'!$T$41),"")</f>
        <v/>
      </c>
      <c r="AG30" s="37" t="str">
        <f>IF(AND('Mapa riesgos'!$AD$42="Media",'Mapa riesgos'!$AF$42="Mayor"),CONCATENATE("R5C",'Mapa riesgos'!$T$42),"")</f>
        <v/>
      </c>
      <c r="AH30" s="38" t="str">
        <f>IF(AND('Mapa riesgos'!$AD$37="Media",'Mapa riesgos'!$AF$37="Catastrófico"),CONCATENATE("R5C",'Mapa riesgos'!$T$37),"")</f>
        <v/>
      </c>
      <c r="AI30" s="39" t="str">
        <f>IF(AND('Mapa riesgos'!$AD$38="Media",'Mapa riesgos'!$AF$38="Catastrófico"),CONCATENATE("R5C",'Mapa riesgos'!$T$38),"")</f>
        <v/>
      </c>
      <c r="AJ30" s="39" t="str">
        <f>IF(AND('Mapa riesgos'!$AD$39="Media",'Mapa riesgos'!$AF$39="Catastrófico"),CONCATENATE("R5C",'Mapa riesgos'!$T$39),"")</f>
        <v/>
      </c>
      <c r="AK30" s="39" t="str">
        <f>IF(AND('Mapa riesgos'!$AD$40="Media",'Mapa riesgos'!$AF$40="Catastrófico"),CONCATENATE("R5C",'Mapa riesgos'!$T$40),"")</f>
        <v/>
      </c>
      <c r="AL30" s="39" t="str">
        <f>IF(AND('Mapa riesgos'!$AD$41="Media",'Mapa riesgos'!$AF$41="Catastrófico"),CONCATENATE("R5C",'Mapa riesgos'!$T$41),"")</f>
        <v/>
      </c>
      <c r="AM30" s="40" t="str">
        <f>IF(AND('Mapa riesgos'!$AD$42="Media",'Mapa riesgos'!$AF$42="Catastrófico"),CONCATENATE("R5C",'Mapa riesgos'!$T$42),"")</f>
        <v/>
      </c>
      <c r="AN30" s="66"/>
      <c r="AO30" s="539"/>
      <c r="AP30" s="540"/>
      <c r="AQ30" s="540"/>
      <c r="AR30" s="540"/>
      <c r="AS30" s="540"/>
      <c r="AT30" s="541"/>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c r="A31" s="66"/>
      <c r="B31" s="458"/>
      <c r="C31" s="458"/>
      <c r="D31" s="459"/>
      <c r="E31" s="499"/>
      <c r="F31" s="500"/>
      <c r="G31" s="500"/>
      <c r="H31" s="500"/>
      <c r="I31" s="501"/>
      <c r="J31" s="50" t="str">
        <f>IF(AND('Mapa riesgos'!$AD$43="Media",'Mapa riesgos'!$AF$43="Leve"),CONCATENATE("R6C",'Mapa riesgos'!$T$43),"")</f>
        <v/>
      </c>
      <c r="K31" s="51" t="str">
        <f>IF(AND('Mapa riesgos'!$AD$44="Media",'Mapa riesgos'!$AF$44="Leve"),CONCATENATE("R6C",'Mapa riesgos'!$T$44),"")</f>
        <v/>
      </c>
      <c r="L31" s="51" t="str">
        <f>IF(AND('Mapa riesgos'!$AD$45="Media",'Mapa riesgos'!$AF$45="Leve"),CONCATENATE("R6C",'Mapa riesgos'!$T$45),"")</f>
        <v/>
      </c>
      <c r="M31" s="51" t="str">
        <f>IF(AND('Mapa riesgos'!$AD$46="Media",'Mapa riesgos'!$AF$46="Leve"),CONCATENATE("R6C",'Mapa riesgos'!$T$46),"")</f>
        <v/>
      </c>
      <c r="N31" s="51" t="str">
        <f>IF(AND('Mapa riesgos'!$AD$47="Media",'Mapa riesgos'!$AF$47="Leve"),CONCATENATE("R6C",'Mapa riesgos'!$T$47),"")</f>
        <v/>
      </c>
      <c r="O31" s="52" t="str">
        <f>IF(AND('Mapa riesgos'!$AD$48="Media",'Mapa riesgos'!$AF$48="Leve"),CONCATENATE("R6C",'Mapa riesgos'!$T$48),"")</f>
        <v/>
      </c>
      <c r="P31" s="50" t="str">
        <f>IF(AND('Mapa riesgos'!$AD$43="Media",'Mapa riesgos'!$AF$43="Menor"),CONCATENATE("R6C",'Mapa riesgos'!$T$43),"")</f>
        <v/>
      </c>
      <c r="Q31" s="51" t="str">
        <f>IF(AND('Mapa riesgos'!$AD$44="Media",'Mapa riesgos'!$AF$44="Menor"),CONCATENATE("R6C",'Mapa riesgos'!$T$44),"")</f>
        <v/>
      </c>
      <c r="R31" s="51" t="str">
        <f>IF(AND('Mapa riesgos'!$AD$45="Media",'Mapa riesgos'!$AF$45="Menor"),CONCATENATE("R6C",'Mapa riesgos'!$T$45),"")</f>
        <v/>
      </c>
      <c r="S31" s="51" t="str">
        <f>IF(AND('Mapa riesgos'!$AD$46="Media",'Mapa riesgos'!$AF$46="Menor"),CONCATENATE("R6C",'Mapa riesgos'!$T$46),"")</f>
        <v/>
      </c>
      <c r="T31" s="51" t="str">
        <f>IF(AND('Mapa riesgos'!$AD$47="Media",'Mapa riesgos'!$AF$47="Menor"),CONCATENATE("R6C",'Mapa riesgos'!$T$47),"")</f>
        <v/>
      </c>
      <c r="U31" s="52" t="str">
        <f>IF(AND('Mapa riesgos'!$AD$48="Media",'Mapa riesgos'!$AF$48="Menor"),CONCATENATE("R6C",'Mapa riesgos'!$T$48),"")</f>
        <v/>
      </c>
      <c r="V31" s="50" t="str">
        <f>IF(AND('Mapa riesgos'!$AD$43="Media",'Mapa riesgos'!$AF$43="Moderado"),CONCATENATE("R6C",'Mapa riesgos'!$T$43),"")</f>
        <v/>
      </c>
      <c r="W31" s="51" t="str">
        <f>IF(AND('Mapa riesgos'!$AD$44="Media",'Mapa riesgos'!$AF$44="Moderado"),CONCATENATE("R6C",'Mapa riesgos'!$T$44),"")</f>
        <v/>
      </c>
      <c r="X31" s="51" t="str">
        <f>IF(AND('Mapa riesgos'!$AD$45="Media",'Mapa riesgos'!$AF$45="Moderado"),CONCATENATE("R6C",'Mapa riesgos'!$T$45),"")</f>
        <v/>
      </c>
      <c r="Y31" s="51" t="str">
        <f>IF(AND('Mapa riesgos'!$AD$46="Media",'Mapa riesgos'!$AF$46="Moderado"),CONCATENATE("R6C",'Mapa riesgos'!$T$46),"")</f>
        <v/>
      </c>
      <c r="Z31" s="51" t="str">
        <f>IF(AND('Mapa riesgos'!$AD$47="Media",'Mapa riesgos'!$AF$47="Moderado"),CONCATENATE("R6C",'Mapa riesgos'!$T$47),"")</f>
        <v/>
      </c>
      <c r="AA31" s="52" t="str">
        <f>IF(AND('Mapa riesgos'!$AD$48="Media",'Mapa riesgos'!$AF$48="Moderado"),CONCATENATE("R6C",'Mapa riesgos'!$T$48),"")</f>
        <v/>
      </c>
      <c r="AB31" s="35" t="str">
        <f>IF(AND('Mapa riesgos'!$AD$43="Media",'Mapa riesgos'!$AF$43="Mayor"),CONCATENATE("R6C",'Mapa riesgos'!$T$43),"")</f>
        <v/>
      </c>
      <c r="AC31" s="36" t="str">
        <f>IF(AND('Mapa riesgos'!$AD$44="Media",'Mapa riesgos'!$AF$44="Mayor"),CONCATENATE("R6C",'Mapa riesgos'!$T$44),"")</f>
        <v/>
      </c>
      <c r="AD31" s="36" t="str">
        <f>IF(AND('Mapa riesgos'!$AD$45="Media",'Mapa riesgos'!$AF$45="Mayor"),CONCATENATE("R6C",'Mapa riesgos'!$T$45),"")</f>
        <v/>
      </c>
      <c r="AE31" s="36" t="str">
        <f>IF(AND('Mapa riesgos'!$AD$46="Media",'Mapa riesgos'!$AF$46="Mayor"),CONCATENATE("R6C",'Mapa riesgos'!$T$46),"")</f>
        <v/>
      </c>
      <c r="AF31" s="36" t="str">
        <f>IF(AND('Mapa riesgos'!$AD$47="Media",'Mapa riesgos'!$AF$47="Mayor"),CONCATENATE("R6C",'Mapa riesgos'!$T$47),"")</f>
        <v/>
      </c>
      <c r="AG31" s="37" t="str">
        <f>IF(AND('Mapa riesgos'!$AD$48="Media",'Mapa riesgos'!$AF$48="Mayor"),CONCATENATE("R6C",'Mapa riesgos'!$T$48),"")</f>
        <v/>
      </c>
      <c r="AH31" s="38" t="str">
        <f>IF(AND('Mapa riesgos'!$AD$43="Media",'Mapa riesgos'!$AF$43="Catastrófico"),CONCATENATE("R6C",'Mapa riesgos'!$T$43),"")</f>
        <v/>
      </c>
      <c r="AI31" s="39" t="str">
        <f>IF(AND('Mapa riesgos'!$AD$44="Media",'Mapa riesgos'!$AF$44="Catastrófico"),CONCATENATE("R6C",'Mapa riesgos'!$T$44),"")</f>
        <v/>
      </c>
      <c r="AJ31" s="39" t="str">
        <f>IF(AND('Mapa riesgos'!$AD$45="Media",'Mapa riesgos'!$AF$45="Catastrófico"),CONCATENATE("R6C",'Mapa riesgos'!$T$45),"")</f>
        <v/>
      </c>
      <c r="AK31" s="39" t="str">
        <f>IF(AND('Mapa riesgos'!$AD$46="Media",'Mapa riesgos'!$AF$46="Catastrófico"),CONCATENATE("R6C",'Mapa riesgos'!$T$46),"")</f>
        <v/>
      </c>
      <c r="AL31" s="39" t="str">
        <f>IF(AND('Mapa riesgos'!$AD$47="Media",'Mapa riesgos'!$AF$47="Catastrófico"),CONCATENATE("R6C",'Mapa riesgos'!$T$47),"")</f>
        <v/>
      </c>
      <c r="AM31" s="40" t="str">
        <f>IF(AND('Mapa riesgos'!$AD$48="Media",'Mapa riesgos'!$AF$48="Catastrófico"),CONCATENATE("R6C",'Mapa riesgos'!$T$48),"")</f>
        <v/>
      </c>
      <c r="AN31" s="66"/>
      <c r="AO31" s="539"/>
      <c r="AP31" s="540"/>
      <c r="AQ31" s="540"/>
      <c r="AR31" s="540"/>
      <c r="AS31" s="540"/>
      <c r="AT31" s="541"/>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c r="A32" s="66"/>
      <c r="B32" s="458"/>
      <c r="C32" s="458"/>
      <c r="D32" s="459"/>
      <c r="E32" s="499"/>
      <c r="F32" s="500"/>
      <c r="G32" s="500"/>
      <c r="H32" s="500"/>
      <c r="I32" s="501"/>
      <c r="J32" s="50" t="str">
        <f>IF(AND('Mapa riesgos'!$AD$49="Media",'Mapa riesgos'!$AF$49="Leve"),CONCATENATE("R7C",'Mapa riesgos'!$T$49),"")</f>
        <v/>
      </c>
      <c r="K32" s="51" t="str">
        <f>IF(AND('Mapa riesgos'!$AD$50="Media",'Mapa riesgos'!$AF$50="Leve"),CONCATENATE("R7C",'Mapa riesgos'!$T$50),"")</f>
        <v/>
      </c>
      <c r="L32" s="51" t="str">
        <f>IF(AND('Mapa riesgos'!$AD$51="Media",'Mapa riesgos'!$AF$51="Leve"),CONCATENATE("R7C",'Mapa riesgos'!$T$51),"")</f>
        <v/>
      </c>
      <c r="M32" s="51" t="str">
        <f>IF(AND('Mapa riesgos'!$AD$52="Media",'Mapa riesgos'!$AF$52="Leve"),CONCATENATE("R7C",'Mapa riesgos'!$T$52),"")</f>
        <v/>
      </c>
      <c r="N32" s="51" t="str">
        <f>IF(AND('Mapa riesgos'!$AD$53="Media",'Mapa riesgos'!$AF$53="Leve"),CONCATENATE("R7C",'Mapa riesgos'!$T$53),"")</f>
        <v/>
      </c>
      <c r="O32" s="52" t="str">
        <f>IF(AND('Mapa riesgos'!$AD$54="Media",'Mapa riesgos'!$AF$54="Leve"),CONCATENATE("R7C",'Mapa riesgos'!$T$54),"")</f>
        <v/>
      </c>
      <c r="P32" s="50" t="str">
        <f>IF(AND('Mapa riesgos'!$AD$49="Media",'Mapa riesgos'!$AF$49="Menor"),CONCATENATE("R7C",'Mapa riesgos'!$T$49),"")</f>
        <v/>
      </c>
      <c r="Q32" s="51" t="str">
        <f>IF(AND('Mapa riesgos'!$AD$50="Media",'Mapa riesgos'!$AF$50="Menor"),CONCATENATE("R7C",'Mapa riesgos'!$T$50),"")</f>
        <v/>
      </c>
      <c r="R32" s="51" t="str">
        <f>IF(AND('Mapa riesgos'!$AD$51="Media",'Mapa riesgos'!$AF$51="Menor"),CONCATENATE("R7C",'Mapa riesgos'!$T$51),"")</f>
        <v/>
      </c>
      <c r="S32" s="51" t="str">
        <f>IF(AND('Mapa riesgos'!$AD$52="Media",'Mapa riesgos'!$AF$52="Menor"),CONCATENATE("R7C",'Mapa riesgos'!$T$52),"")</f>
        <v/>
      </c>
      <c r="T32" s="51" t="str">
        <f>IF(AND('Mapa riesgos'!$AD$53="Media",'Mapa riesgos'!$AF$53="Menor"),CONCATENATE("R7C",'Mapa riesgos'!$T$53),"")</f>
        <v/>
      </c>
      <c r="U32" s="52" t="str">
        <f>IF(AND('Mapa riesgos'!$AD$54="Media",'Mapa riesgos'!$AF$54="Menor"),CONCATENATE("R7C",'Mapa riesgos'!$T$54),"")</f>
        <v/>
      </c>
      <c r="V32" s="50" t="str">
        <f>IF(AND('Mapa riesgos'!$AD$49="Media",'Mapa riesgos'!$AF$49="Moderado"),CONCATENATE("R7C",'Mapa riesgos'!$T$49),"")</f>
        <v/>
      </c>
      <c r="W32" s="51" t="str">
        <f>IF(AND('Mapa riesgos'!$AD$50="Media",'Mapa riesgos'!$AF$50="Moderado"),CONCATENATE("R7C",'Mapa riesgos'!$T$50),"")</f>
        <v/>
      </c>
      <c r="X32" s="51" t="str">
        <f>IF(AND('Mapa riesgos'!$AD$51="Media",'Mapa riesgos'!$AF$51="Moderado"),CONCATENATE("R7C",'Mapa riesgos'!$T$51),"")</f>
        <v/>
      </c>
      <c r="Y32" s="51" t="str">
        <f>IF(AND('Mapa riesgos'!$AD$52="Media",'Mapa riesgos'!$AF$52="Moderado"),CONCATENATE("R7C",'Mapa riesgos'!$T$52),"")</f>
        <v/>
      </c>
      <c r="Z32" s="51" t="str">
        <f>IF(AND('Mapa riesgos'!$AD$53="Media",'Mapa riesgos'!$AF$53="Moderado"),CONCATENATE("R7C",'Mapa riesgos'!$T$53),"")</f>
        <v/>
      </c>
      <c r="AA32" s="52" t="str">
        <f>IF(AND('Mapa riesgos'!$AD$54="Media",'Mapa riesgos'!$AF$54="Moderado"),CONCATENATE("R7C",'Mapa riesgos'!$T$54),"")</f>
        <v/>
      </c>
      <c r="AB32" s="35" t="str">
        <f>IF(AND('Mapa riesgos'!$AD$49="Media",'Mapa riesgos'!$AF$49="Mayor"),CONCATENATE("R7C",'Mapa riesgos'!$T$49),"")</f>
        <v/>
      </c>
      <c r="AC32" s="36" t="str">
        <f>IF(AND('Mapa riesgos'!$AD$50="Media",'Mapa riesgos'!$AF$50="Mayor"),CONCATENATE("R7C",'Mapa riesgos'!$T$50),"")</f>
        <v/>
      </c>
      <c r="AD32" s="36" t="str">
        <f>IF(AND('Mapa riesgos'!$AD$51="Media",'Mapa riesgos'!$AF$51="Mayor"),CONCATENATE("R7C",'Mapa riesgos'!$T$51),"")</f>
        <v/>
      </c>
      <c r="AE32" s="36" t="str">
        <f>IF(AND('Mapa riesgos'!$AD$52="Media",'Mapa riesgos'!$AF$52="Mayor"),CONCATENATE("R7C",'Mapa riesgos'!$T$52),"")</f>
        <v/>
      </c>
      <c r="AF32" s="36" t="str">
        <f>IF(AND('Mapa riesgos'!$AD$53="Media",'Mapa riesgos'!$AF$53="Mayor"),CONCATENATE("R7C",'Mapa riesgos'!$T$53),"")</f>
        <v/>
      </c>
      <c r="AG32" s="37" t="str">
        <f>IF(AND('Mapa riesgos'!$AD$54="Media",'Mapa riesgos'!$AF$54="Mayor"),CONCATENATE("R7C",'Mapa riesgos'!$T$54),"")</f>
        <v/>
      </c>
      <c r="AH32" s="38" t="str">
        <f>IF(AND('Mapa riesgos'!$AD$49="Media",'Mapa riesgos'!$AF$49="Catastrófico"),CONCATENATE("R7C",'Mapa riesgos'!$T$49),"")</f>
        <v/>
      </c>
      <c r="AI32" s="39" t="str">
        <f>IF(AND('Mapa riesgos'!$AD$50="Media",'Mapa riesgos'!$AF$50="Catastrófico"),CONCATENATE("R7C",'Mapa riesgos'!$T$50),"")</f>
        <v/>
      </c>
      <c r="AJ32" s="39" t="str">
        <f>IF(AND('Mapa riesgos'!$AD$51="Media",'Mapa riesgos'!$AF$51="Catastrófico"),CONCATENATE("R7C",'Mapa riesgos'!$T$51),"")</f>
        <v/>
      </c>
      <c r="AK32" s="39" t="str">
        <f>IF(AND('Mapa riesgos'!$AD$52="Media",'Mapa riesgos'!$AF$52="Catastrófico"),CONCATENATE("R7C",'Mapa riesgos'!$T$52),"")</f>
        <v/>
      </c>
      <c r="AL32" s="39" t="str">
        <f>IF(AND('Mapa riesgos'!$AD$53="Media",'Mapa riesgos'!$AF$53="Catastrófico"),CONCATENATE("R7C",'Mapa riesgos'!$T$53),"")</f>
        <v/>
      </c>
      <c r="AM32" s="40" t="str">
        <f>IF(AND('Mapa riesgos'!$AD$54="Media",'Mapa riesgos'!$AF$54="Catastrófico"),CONCATENATE("R7C",'Mapa riesgos'!$T$54),"")</f>
        <v/>
      </c>
      <c r="AN32" s="66"/>
      <c r="AO32" s="539"/>
      <c r="AP32" s="540"/>
      <c r="AQ32" s="540"/>
      <c r="AR32" s="540"/>
      <c r="AS32" s="540"/>
      <c r="AT32" s="541"/>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c r="A33" s="66"/>
      <c r="B33" s="458"/>
      <c r="C33" s="458"/>
      <c r="D33" s="459"/>
      <c r="E33" s="499"/>
      <c r="F33" s="500"/>
      <c r="G33" s="500"/>
      <c r="H33" s="500"/>
      <c r="I33" s="501"/>
      <c r="J33" s="50" t="str">
        <f>IF(AND('Mapa riesgos'!$AD$55="Media",'Mapa riesgos'!$AF$55="Leve"),CONCATENATE("R8C",'Mapa riesgos'!$T$55),"")</f>
        <v/>
      </c>
      <c r="K33" s="51" t="str">
        <f>IF(AND('Mapa riesgos'!$AD$56="Media",'Mapa riesgos'!$AF$56="Leve"),CONCATENATE("R8C",'Mapa riesgos'!$T$56),"")</f>
        <v/>
      </c>
      <c r="L33" s="51" t="str">
        <f>IF(AND('Mapa riesgos'!$AD$57="Media",'Mapa riesgos'!$AF$57="Leve"),CONCATENATE("R8C",'Mapa riesgos'!$T$57),"")</f>
        <v/>
      </c>
      <c r="M33" s="51" t="str">
        <f>IF(AND('Mapa riesgos'!$AD$58="Media",'Mapa riesgos'!$AF$58="Leve"),CONCATENATE("R8C",'Mapa riesgos'!$T$58),"")</f>
        <v/>
      </c>
      <c r="N33" s="51" t="str">
        <f>IF(AND('Mapa riesgos'!$AD$59="Media",'Mapa riesgos'!$AF$59="Leve"),CONCATENATE("R8C",'Mapa riesgos'!$T$59),"")</f>
        <v/>
      </c>
      <c r="O33" s="52" t="str">
        <f>IF(AND('Mapa riesgos'!$AD$60="Media",'Mapa riesgos'!$AF$60="Leve"),CONCATENATE("R8C",'Mapa riesgos'!$T$60),"")</f>
        <v/>
      </c>
      <c r="P33" s="50" t="str">
        <f>IF(AND('Mapa riesgos'!$AD$55="Media",'Mapa riesgos'!$AF$55="Menor"),CONCATENATE("R8C",'Mapa riesgos'!$T$55),"")</f>
        <v/>
      </c>
      <c r="Q33" s="51" t="str">
        <f>IF(AND('Mapa riesgos'!$AD$56="Media",'Mapa riesgos'!$AF$56="Menor"),CONCATENATE("R8C",'Mapa riesgos'!$T$56),"")</f>
        <v/>
      </c>
      <c r="R33" s="51" t="str">
        <f>IF(AND('Mapa riesgos'!$AD$57="Media",'Mapa riesgos'!$AF$57="Menor"),CONCATENATE("R8C",'Mapa riesgos'!$T$57),"")</f>
        <v/>
      </c>
      <c r="S33" s="51" t="str">
        <f>IF(AND('Mapa riesgos'!$AD$58="Media",'Mapa riesgos'!$AF$58="Menor"),CONCATENATE("R8C",'Mapa riesgos'!$T$58),"")</f>
        <v/>
      </c>
      <c r="T33" s="51" t="str">
        <f>IF(AND('Mapa riesgos'!$AD$59="Media",'Mapa riesgos'!$AF$59="Menor"),CONCATENATE("R8C",'Mapa riesgos'!$T$59),"")</f>
        <v/>
      </c>
      <c r="U33" s="52" t="str">
        <f>IF(AND('Mapa riesgos'!$AD$60="Media",'Mapa riesgos'!$AF$60="Menor"),CONCATENATE("R8C",'Mapa riesgos'!$T$60),"")</f>
        <v/>
      </c>
      <c r="V33" s="50" t="str">
        <f>IF(AND('Mapa riesgos'!$AD$55="Media",'Mapa riesgos'!$AF$55="Moderado"),CONCATENATE("R8C",'Mapa riesgos'!$T$55),"")</f>
        <v/>
      </c>
      <c r="W33" s="51" t="str">
        <f>IF(AND('Mapa riesgos'!$AD$56="Media",'Mapa riesgos'!$AF$56="Moderado"),CONCATENATE("R8C",'Mapa riesgos'!$T$56),"")</f>
        <v/>
      </c>
      <c r="X33" s="51" t="str">
        <f>IF(AND('Mapa riesgos'!$AD$57="Media",'Mapa riesgos'!$AF$57="Moderado"),CONCATENATE("R8C",'Mapa riesgos'!$T$57),"")</f>
        <v/>
      </c>
      <c r="Y33" s="51" t="str">
        <f>IF(AND('Mapa riesgos'!$AD$58="Media",'Mapa riesgos'!$AF$58="Moderado"),CONCATENATE("R8C",'Mapa riesgos'!$T$58),"")</f>
        <v/>
      </c>
      <c r="Z33" s="51" t="str">
        <f>IF(AND('Mapa riesgos'!$AD$59="Media",'Mapa riesgos'!$AF$59="Moderado"),CONCATENATE("R8C",'Mapa riesgos'!$T$59),"")</f>
        <v/>
      </c>
      <c r="AA33" s="52" t="str">
        <f>IF(AND('Mapa riesgos'!$AD$60="Media",'Mapa riesgos'!$AF$60="Moderado"),CONCATENATE("R8C",'Mapa riesgos'!$T$60),"")</f>
        <v/>
      </c>
      <c r="AB33" s="35" t="str">
        <f>IF(AND('Mapa riesgos'!$AD$55="Media",'Mapa riesgos'!$AF$55="Mayor"),CONCATENATE("R8C",'Mapa riesgos'!$T$55),"")</f>
        <v/>
      </c>
      <c r="AC33" s="36" t="str">
        <f>IF(AND('Mapa riesgos'!$AD$56="Media",'Mapa riesgos'!$AF$56="Mayor"),CONCATENATE("R8C",'Mapa riesgos'!$T$56),"")</f>
        <v/>
      </c>
      <c r="AD33" s="36" t="str">
        <f>IF(AND('Mapa riesgos'!$AD$57="Media",'Mapa riesgos'!$AF$57="Mayor"),CONCATENATE("R8C",'Mapa riesgos'!$T$57),"")</f>
        <v/>
      </c>
      <c r="AE33" s="36" t="str">
        <f>IF(AND('Mapa riesgos'!$AD$58="Media",'Mapa riesgos'!$AF$58="Mayor"),CONCATENATE("R8C",'Mapa riesgos'!$T$58),"")</f>
        <v/>
      </c>
      <c r="AF33" s="36" t="str">
        <f>IF(AND('Mapa riesgos'!$AD$59="Media",'Mapa riesgos'!$AF$59="Mayor"),CONCATENATE("R8C",'Mapa riesgos'!$T$59),"")</f>
        <v/>
      </c>
      <c r="AG33" s="37" t="str">
        <f>IF(AND('Mapa riesgos'!$AD$60="Media",'Mapa riesgos'!$AF$60="Mayor"),CONCATENATE("R8C",'Mapa riesgos'!$T$60),"")</f>
        <v/>
      </c>
      <c r="AH33" s="38" t="str">
        <f>IF(AND('Mapa riesgos'!$AD$55="Media",'Mapa riesgos'!$AF$55="Catastrófico"),CONCATENATE("R8C",'Mapa riesgos'!$T$55),"")</f>
        <v/>
      </c>
      <c r="AI33" s="39" t="str">
        <f>IF(AND('Mapa riesgos'!$AD$56="Media",'Mapa riesgos'!$AF$56="Catastrófico"),CONCATENATE("R8C",'Mapa riesgos'!$T$56),"")</f>
        <v/>
      </c>
      <c r="AJ33" s="39" t="str">
        <f>IF(AND('Mapa riesgos'!$AD$57="Media",'Mapa riesgos'!$AF$57="Catastrófico"),CONCATENATE("R8C",'Mapa riesgos'!$T$57),"")</f>
        <v/>
      </c>
      <c r="AK33" s="39" t="str">
        <f>IF(AND('Mapa riesgos'!$AD$58="Media",'Mapa riesgos'!$AF$58="Catastrófico"),CONCATENATE("R8C",'Mapa riesgos'!$T$58),"")</f>
        <v/>
      </c>
      <c r="AL33" s="39" t="str">
        <f>IF(AND('Mapa riesgos'!$AD$59="Media",'Mapa riesgos'!$AF$59="Catastrófico"),CONCATENATE("R8C",'Mapa riesgos'!$T$59),"")</f>
        <v/>
      </c>
      <c r="AM33" s="40" t="str">
        <f>IF(AND('Mapa riesgos'!$AD$60="Media",'Mapa riesgos'!$AF$60="Catastrófico"),CONCATENATE("R8C",'Mapa riesgos'!$T$60),"")</f>
        <v/>
      </c>
      <c r="AN33" s="66"/>
      <c r="AO33" s="539"/>
      <c r="AP33" s="540"/>
      <c r="AQ33" s="540"/>
      <c r="AR33" s="540"/>
      <c r="AS33" s="540"/>
      <c r="AT33" s="541"/>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c r="A34" s="66"/>
      <c r="B34" s="458"/>
      <c r="C34" s="458"/>
      <c r="D34" s="459"/>
      <c r="E34" s="499"/>
      <c r="F34" s="500"/>
      <c r="G34" s="500"/>
      <c r="H34" s="500"/>
      <c r="I34" s="501"/>
      <c r="J34" s="50" t="str">
        <f>IF(AND('Mapa riesgos'!$AD$61="Media",'Mapa riesgos'!$AF$61="Leve"),CONCATENATE("R9C",'Mapa riesgos'!$T$61),"")</f>
        <v/>
      </c>
      <c r="K34" s="51" t="str">
        <f>IF(AND('Mapa riesgos'!$AD$62="Media",'Mapa riesgos'!$AF$62="Leve"),CONCATENATE("R9C",'Mapa riesgos'!$T$62),"")</f>
        <v/>
      </c>
      <c r="L34" s="51" t="str">
        <f>IF(AND('Mapa riesgos'!$AD$63="Media",'Mapa riesgos'!$AF$63="Leve"),CONCATENATE("R9C",'Mapa riesgos'!$T$63),"")</f>
        <v/>
      </c>
      <c r="M34" s="51" t="str">
        <f>IF(AND('Mapa riesgos'!$AD$64="Media",'Mapa riesgos'!$AF$64="Leve"),CONCATENATE("R9C",'Mapa riesgos'!$T$64),"")</f>
        <v/>
      </c>
      <c r="N34" s="51" t="str">
        <f>IF(AND('Mapa riesgos'!$AD$65="Media",'Mapa riesgos'!$AF$65="Leve"),CONCATENATE("R9C",'Mapa riesgos'!$T$65),"")</f>
        <v/>
      </c>
      <c r="O34" s="52" t="str">
        <f>IF(AND('Mapa riesgos'!$AD$66="Media",'Mapa riesgos'!$AF$66="Leve"),CONCATENATE("R9C",'Mapa riesgos'!$T$66),"")</f>
        <v/>
      </c>
      <c r="P34" s="50" t="str">
        <f>IF(AND('Mapa riesgos'!$AD$61="Media",'Mapa riesgos'!$AF$61="Menor"),CONCATENATE("R9C",'Mapa riesgos'!$T$61),"")</f>
        <v/>
      </c>
      <c r="Q34" s="51" t="str">
        <f>IF(AND('Mapa riesgos'!$AD$62="Media",'Mapa riesgos'!$AF$62="Menor"),CONCATENATE("R9C",'Mapa riesgos'!$T$62),"")</f>
        <v/>
      </c>
      <c r="R34" s="51" t="str">
        <f>IF(AND('Mapa riesgos'!$AD$63="Media",'Mapa riesgos'!$AF$63="Menor"),CONCATENATE("R9C",'Mapa riesgos'!$T$63),"")</f>
        <v/>
      </c>
      <c r="S34" s="51" t="str">
        <f>IF(AND('Mapa riesgos'!$AD$64="Media",'Mapa riesgos'!$AF$64="Menor"),CONCATENATE("R9C",'Mapa riesgos'!$T$64),"")</f>
        <v/>
      </c>
      <c r="T34" s="51" t="str">
        <f>IF(AND('Mapa riesgos'!$AD$65="Media",'Mapa riesgos'!$AF$65="Menor"),CONCATENATE("R9C",'Mapa riesgos'!$T$65),"")</f>
        <v/>
      </c>
      <c r="U34" s="52" t="str">
        <f>IF(AND('Mapa riesgos'!$AD$66="Media",'Mapa riesgos'!$AF$66="Menor"),CONCATENATE("R9C",'Mapa riesgos'!$T$66),"")</f>
        <v/>
      </c>
      <c r="V34" s="50" t="str">
        <f>IF(AND('Mapa riesgos'!$AD$61="Media",'Mapa riesgos'!$AF$61="Moderado"),CONCATENATE("R9C",'Mapa riesgos'!$T$61),"")</f>
        <v/>
      </c>
      <c r="W34" s="51" t="str">
        <f>IF(AND('Mapa riesgos'!$AD$62="Media",'Mapa riesgos'!$AF$62="Moderado"),CONCATENATE("R9C",'Mapa riesgos'!$T$62),"")</f>
        <v/>
      </c>
      <c r="X34" s="51" t="str">
        <f>IF(AND('Mapa riesgos'!$AD$63="Media",'Mapa riesgos'!$AF$63="Moderado"),CONCATENATE("R9C",'Mapa riesgos'!$T$63),"")</f>
        <v/>
      </c>
      <c r="Y34" s="51" t="str">
        <f>IF(AND('Mapa riesgos'!$AD$64="Media",'Mapa riesgos'!$AF$64="Moderado"),CONCATENATE("R9C",'Mapa riesgos'!$T$64),"")</f>
        <v/>
      </c>
      <c r="Z34" s="51" t="str">
        <f>IF(AND('Mapa riesgos'!$AD$65="Media",'Mapa riesgos'!$AF$65="Moderado"),CONCATENATE("R9C",'Mapa riesgos'!$T$65),"")</f>
        <v/>
      </c>
      <c r="AA34" s="52" t="str">
        <f>IF(AND('Mapa riesgos'!$AD$66="Media",'Mapa riesgos'!$AF$66="Moderado"),CONCATENATE("R9C",'Mapa riesgos'!$T$66),"")</f>
        <v/>
      </c>
      <c r="AB34" s="35" t="str">
        <f>IF(AND('Mapa riesgos'!$AD$61="Media",'Mapa riesgos'!$AF$61="Mayor"),CONCATENATE("R9C",'Mapa riesgos'!$T$61),"")</f>
        <v/>
      </c>
      <c r="AC34" s="36" t="str">
        <f>IF(AND('Mapa riesgos'!$AD$62="Media",'Mapa riesgos'!$AF$62="Mayor"),CONCATENATE("R9C",'Mapa riesgos'!$T$62),"")</f>
        <v/>
      </c>
      <c r="AD34" s="36" t="str">
        <f>IF(AND('Mapa riesgos'!$AD$63="Media",'Mapa riesgos'!$AF$63="Mayor"),CONCATENATE("R9C",'Mapa riesgos'!$T$63),"")</f>
        <v/>
      </c>
      <c r="AE34" s="36" t="str">
        <f>IF(AND('Mapa riesgos'!$AD$64="Media",'Mapa riesgos'!$AF$64="Mayor"),CONCATENATE("R9C",'Mapa riesgos'!$T$64),"")</f>
        <v/>
      </c>
      <c r="AF34" s="36" t="str">
        <f>IF(AND('Mapa riesgos'!$AD$65="Media",'Mapa riesgos'!$AF$65="Mayor"),CONCATENATE("R9C",'Mapa riesgos'!$T$65),"")</f>
        <v/>
      </c>
      <c r="AG34" s="37" t="str">
        <f>IF(AND('Mapa riesgos'!$AD$66="Media",'Mapa riesgos'!$AF$66="Mayor"),CONCATENATE("R9C",'Mapa riesgos'!$T$66),"")</f>
        <v/>
      </c>
      <c r="AH34" s="38" t="str">
        <f>IF(AND('Mapa riesgos'!$AD$61="Media",'Mapa riesgos'!$AF$61="Catastrófico"),CONCATENATE("R9C",'Mapa riesgos'!$T$61),"")</f>
        <v/>
      </c>
      <c r="AI34" s="39" t="str">
        <f>IF(AND('Mapa riesgos'!$AD$62="Media",'Mapa riesgos'!$AF$62="Catastrófico"),CONCATENATE("R9C",'Mapa riesgos'!$T$62),"")</f>
        <v/>
      </c>
      <c r="AJ34" s="39" t="str">
        <f>IF(AND('Mapa riesgos'!$AD$63="Media",'Mapa riesgos'!$AF$63="Catastrófico"),CONCATENATE("R9C",'Mapa riesgos'!$T$63),"")</f>
        <v/>
      </c>
      <c r="AK34" s="39" t="str">
        <f>IF(AND('Mapa riesgos'!$AD$64="Media",'Mapa riesgos'!$AF$64="Catastrófico"),CONCATENATE("R9C",'Mapa riesgos'!$T$64),"")</f>
        <v/>
      </c>
      <c r="AL34" s="39" t="str">
        <f>IF(AND('Mapa riesgos'!$AD$65="Media",'Mapa riesgos'!$AF$65="Catastrófico"),CONCATENATE("R9C",'Mapa riesgos'!$T$65),"")</f>
        <v/>
      </c>
      <c r="AM34" s="40" t="str">
        <f>IF(AND('Mapa riesgos'!$AD$66="Media",'Mapa riesgos'!$AF$66="Catastrófico"),CONCATENATE("R9C",'Mapa riesgos'!$T$66),"")</f>
        <v/>
      </c>
      <c r="AN34" s="66"/>
      <c r="AO34" s="539"/>
      <c r="AP34" s="540"/>
      <c r="AQ34" s="540"/>
      <c r="AR34" s="540"/>
      <c r="AS34" s="540"/>
      <c r="AT34" s="541"/>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c r="A35" s="66"/>
      <c r="B35" s="458"/>
      <c r="C35" s="458"/>
      <c r="D35" s="459"/>
      <c r="E35" s="502"/>
      <c r="F35" s="503"/>
      <c r="G35" s="503"/>
      <c r="H35" s="503"/>
      <c r="I35" s="504"/>
      <c r="J35" s="50" t="str">
        <f>IF(AND('Mapa riesgos'!$AD$67="Media",'Mapa riesgos'!$AF$67="Leve"),CONCATENATE("R10C",'Mapa riesgos'!$T$67),"")</f>
        <v/>
      </c>
      <c r="K35" s="51" t="str">
        <f>IF(AND('Mapa riesgos'!$AD$68="Media",'Mapa riesgos'!$AF$68="Leve"),CONCATENATE("R10C",'Mapa riesgos'!$T$68),"")</f>
        <v/>
      </c>
      <c r="L35" s="51" t="str">
        <f>IF(AND('Mapa riesgos'!$AD$69="Media",'Mapa riesgos'!$AF$69="Leve"),CONCATENATE("R10C",'Mapa riesgos'!$T$69),"")</f>
        <v/>
      </c>
      <c r="M35" s="51" t="str">
        <f>IF(AND('Mapa riesgos'!$AD$70="Media",'Mapa riesgos'!$AF$70="Leve"),CONCATENATE("R10C",'Mapa riesgos'!$T$70),"")</f>
        <v/>
      </c>
      <c r="N35" s="51" t="str">
        <f>IF(AND('Mapa riesgos'!$AD$71="Media",'Mapa riesgos'!$AF$71="Leve"),CONCATENATE("R10C",'Mapa riesgos'!$T$71),"")</f>
        <v/>
      </c>
      <c r="O35" s="52" t="str">
        <f>IF(AND('Mapa riesgos'!$AD$72="Media",'Mapa riesgos'!$AF$72="Leve"),CONCATENATE("R10C",'Mapa riesgos'!$T$72),"")</f>
        <v/>
      </c>
      <c r="P35" s="50" t="str">
        <f>IF(AND('Mapa riesgos'!$AD$67="Media",'Mapa riesgos'!$AF$67="Menor"),CONCATENATE("R10C",'Mapa riesgos'!$T$67),"")</f>
        <v/>
      </c>
      <c r="Q35" s="51" t="str">
        <f>IF(AND('Mapa riesgos'!$AD$68="Media",'Mapa riesgos'!$AF$68="Menor"),CONCATENATE("R10C",'Mapa riesgos'!$T$68),"")</f>
        <v/>
      </c>
      <c r="R35" s="51" t="str">
        <f>IF(AND('Mapa riesgos'!$AD$69="Media",'Mapa riesgos'!$AF$69="Menor"),CONCATENATE("R10C",'Mapa riesgos'!$T$69),"")</f>
        <v/>
      </c>
      <c r="S35" s="51" t="str">
        <f>IF(AND('Mapa riesgos'!$AD$70="Media",'Mapa riesgos'!$AF$70="Menor"),CONCATENATE("R10C",'Mapa riesgos'!$T$70),"")</f>
        <v/>
      </c>
      <c r="T35" s="51" t="str">
        <f>IF(AND('Mapa riesgos'!$AD$71="Media",'Mapa riesgos'!$AF$71="Menor"),CONCATENATE("R10C",'Mapa riesgos'!$T$71),"")</f>
        <v/>
      </c>
      <c r="U35" s="52" t="str">
        <f>IF(AND('Mapa riesgos'!$AD$72="Media",'Mapa riesgos'!$AF$72="Menor"),CONCATENATE("R10C",'Mapa riesgos'!$T$72),"")</f>
        <v/>
      </c>
      <c r="V35" s="50" t="str">
        <f>IF(AND('Mapa riesgos'!$AD$67="Media",'Mapa riesgos'!$AF$67="Moderado"),CONCATENATE("R10C",'Mapa riesgos'!$T$67),"")</f>
        <v/>
      </c>
      <c r="W35" s="51" t="str">
        <f>IF(AND('Mapa riesgos'!$AD$68="Media",'Mapa riesgos'!$AF$68="Moderado"),CONCATENATE("R10C",'Mapa riesgos'!$T$68),"")</f>
        <v/>
      </c>
      <c r="X35" s="51" t="str">
        <f>IF(AND('Mapa riesgos'!$AD$69="Media",'Mapa riesgos'!$AF$69="Moderado"),CONCATENATE("R10C",'Mapa riesgos'!$T$69),"")</f>
        <v/>
      </c>
      <c r="Y35" s="51" t="str">
        <f>IF(AND('Mapa riesgos'!$AD$70="Media",'Mapa riesgos'!$AF$70="Moderado"),CONCATENATE("R10C",'Mapa riesgos'!$T$70),"")</f>
        <v/>
      </c>
      <c r="Z35" s="51" t="str">
        <f>IF(AND('Mapa riesgos'!$AD$71="Media",'Mapa riesgos'!$AF$71="Moderado"),CONCATENATE("R10C",'Mapa riesgos'!$T$71),"")</f>
        <v/>
      </c>
      <c r="AA35" s="52" t="str">
        <f>IF(AND('Mapa riesgos'!$AD$72="Media",'Mapa riesgos'!$AF$72="Moderado"),CONCATENATE("R10C",'Mapa riesgos'!$T$72),"")</f>
        <v/>
      </c>
      <c r="AB35" s="41" t="str">
        <f>IF(AND('Mapa riesgos'!$AD$67="Media",'Mapa riesgos'!$AF$67="Mayor"),CONCATENATE("R10C",'Mapa riesgos'!$T$67),"")</f>
        <v/>
      </c>
      <c r="AC35" s="42" t="str">
        <f>IF(AND('Mapa riesgos'!$AD$68="Media",'Mapa riesgos'!$AF$68="Mayor"),CONCATENATE("R10C",'Mapa riesgos'!$T$68),"")</f>
        <v/>
      </c>
      <c r="AD35" s="42" t="str">
        <f>IF(AND('Mapa riesgos'!$AD$69="Media",'Mapa riesgos'!$AF$69="Mayor"),CONCATENATE("R10C",'Mapa riesgos'!$T$69),"")</f>
        <v/>
      </c>
      <c r="AE35" s="42" t="str">
        <f>IF(AND('Mapa riesgos'!$AD$70="Media",'Mapa riesgos'!$AF$70="Mayor"),CONCATENATE("R10C",'Mapa riesgos'!$T$70),"")</f>
        <v/>
      </c>
      <c r="AF35" s="42" t="str">
        <f>IF(AND('Mapa riesgos'!$AD$71="Media",'Mapa riesgos'!$AF$71="Mayor"),CONCATENATE("R10C",'Mapa riesgos'!$T$71),"")</f>
        <v/>
      </c>
      <c r="AG35" s="43" t="str">
        <f>IF(AND('Mapa riesgos'!$AD$72="Media",'Mapa riesgos'!$AF$72="Mayor"),CONCATENATE("R10C",'Mapa riesgos'!$T$72),"")</f>
        <v/>
      </c>
      <c r="AH35" s="44" t="str">
        <f>IF(AND('Mapa riesgos'!$AD$67="Media",'Mapa riesgos'!$AF$67="Catastrófico"),CONCATENATE("R10C",'Mapa riesgos'!$T$67),"")</f>
        <v/>
      </c>
      <c r="AI35" s="45" t="str">
        <f>IF(AND('Mapa riesgos'!$AD$68="Media",'Mapa riesgos'!$AF$68="Catastrófico"),CONCATENATE("R10C",'Mapa riesgos'!$T$68),"")</f>
        <v/>
      </c>
      <c r="AJ35" s="45" t="str">
        <f>IF(AND('Mapa riesgos'!$AD$69="Media",'Mapa riesgos'!$AF$69="Catastrófico"),CONCATENATE("R10C",'Mapa riesgos'!$T$69),"")</f>
        <v/>
      </c>
      <c r="AK35" s="45" t="str">
        <f>IF(AND('Mapa riesgos'!$AD$70="Media",'Mapa riesgos'!$AF$70="Catastrófico"),CONCATENATE("R10C",'Mapa riesgos'!$T$70),"")</f>
        <v/>
      </c>
      <c r="AL35" s="45" t="str">
        <f>IF(AND('Mapa riesgos'!$AD$71="Media",'Mapa riesgos'!$AF$71="Catastrófico"),CONCATENATE("R10C",'Mapa riesgos'!$T$71),"")</f>
        <v/>
      </c>
      <c r="AM35" s="46" t="str">
        <f>IF(AND('Mapa riesgos'!$AD$72="Media",'Mapa riesgos'!$AF$72="Catastrófico"),CONCATENATE("R10C",'Mapa riesgos'!$T$72),"")</f>
        <v/>
      </c>
      <c r="AN35" s="66"/>
      <c r="AO35" s="542"/>
      <c r="AP35" s="543"/>
      <c r="AQ35" s="543"/>
      <c r="AR35" s="543"/>
      <c r="AS35" s="543"/>
      <c r="AT35" s="544"/>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c r="A36" s="66"/>
      <c r="B36" s="458"/>
      <c r="C36" s="458"/>
      <c r="D36" s="459"/>
      <c r="E36" s="496" t="s">
        <v>223</v>
      </c>
      <c r="F36" s="497"/>
      <c r="G36" s="497"/>
      <c r="H36" s="497"/>
      <c r="I36" s="497"/>
      <c r="J36" s="56" t="str">
        <f>IF(AND('Mapa riesgos'!$AD$13="Baja",'Mapa riesgos'!$AF$13="Leve"),CONCATENATE("R1C",'Mapa riesgos'!$T$13),"")</f>
        <v/>
      </c>
      <c r="K36" s="57" t="str">
        <f>IF(AND('Mapa riesgos'!$AD$14="Baja",'Mapa riesgos'!$AF$14="Leve"),CONCATENATE("R1C",'Mapa riesgos'!$T$14),"")</f>
        <v/>
      </c>
      <c r="L36" s="57" t="str">
        <f>IF(AND('Mapa riesgos'!$AD$15="Baja",'Mapa riesgos'!$AF$15="Leve"),CONCATENATE("R1C",'Mapa riesgos'!$T$15),"")</f>
        <v/>
      </c>
      <c r="M36" s="57" t="str">
        <f>IF(AND('Mapa riesgos'!$AD$16="Baja",'Mapa riesgos'!$AF$16="Leve"),CONCATENATE("R1C",'Mapa riesgos'!$T$16),"")</f>
        <v/>
      </c>
      <c r="N36" s="57" t="str">
        <f>IF(AND('Mapa riesgos'!$AD$17="Baja",'Mapa riesgos'!$AF$17="Leve"),CONCATENATE("R1C",'Mapa riesgos'!$T$17),"")</f>
        <v/>
      </c>
      <c r="O36" s="58" t="str">
        <f>IF(AND('Mapa riesgos'!$AD$18="Baja",'Mapa riesgos'!$AF$18="Leve"),CONCATENATE("R1C",'Mapa riesgos'!$T$18),"")</f>
        <v/>
      </c>
      <c r="P36" s="47" t="str">
        <f>IF(AND('Mapa riesgos'!$AD$13="Baja",'Mapa riesgos'!$AF$13="Menor"),CONCATENATE("R1C",'Mapa riesgos'!$T$13),"")</f>
        <v/>
      </c>
      <c r="Q36" s="48" t="str">
        <f>IF(AND('Mapa riesgos'!$AD$14="Baja",'Mapa riesgos'!$AF$14="Menor"),CONCATENATE("R1C",'Mapa riesgos'!$T$14),"")</f>
        <v/>
      </c>
      <c r="R36" s="48" t="str">
        <f>IF(AND('Mapa riesgos'!$AD$15="Baja",'Mapa riesgos'!$AF$15="Menor"),CONCATENATE("R1C",'Mapa riesgos'!$T$15),"")</f>
        <v/>
      </c>
      <c r="S36" s="48" t="str">
        <f>IF(AND('Mapa riesgos'!$AD$16="Baja",'Mapa riesgos'!$AF$16="Menor"),CONCATENATE("R1C",'Mapa riesgos'!$T$16),"")</f>
        <v/>
      </c>
      <c r="T36" s="48" t="str">
        <f>IF(AND('Mapa riesgos'!$AD$17="Baja",'Mapa riesgos'!$AF$17="Menor"),CONCATENATE("R1C",'Mapa riesgos'!$T$17),"")</f>
        <v/>
      </c>
      <c r="U36" s="49" t="str">
        <f>IF(AND('Mapa riesgos'!$AD$18="Baja",'Mapa riesgos'!$AF$18="Menor"),CONCATENATE("R1C",'Mapa riesgos'!$T$18),"")</f>
        <v/>
      </c>
      <c r="V36" s="47" t="str">
        <f>IF(AND('Mapa riesgos'!$AD$13="Baja",'Mapa riesgos'!$AF$13="Moderado"),CONCATENATE("R1C",'Mapa riesgos'!$T$13),"")</f>
        <v/>
      </c>
      <c r="W36" s="48" t="str">
        <f>IF(AND('Mapa riesgos'!$AD$14="Baja",'Mapa riesgos'!$AF$14="Moderado"),CONCATENATE("R1C",'Mapa riesgos'!$T$14),"")</f>
        <v>R1C2</v>
      </c>
      <c r="X36" s="48" t="str">
        <f>IF(AND('Mapa riesgos'!$AD$15="Baja",'Mapa riesgos'!$AF$15="Moderado"),CONCATENATE("R1C",'Mapa riesgos'!$T$15),"")</f>
        <v>R1C3</v>
      </c>
      <c r="Y36" s="48" t="str">
        <f>IF(AND('Mapa riesgos'!$AD$16="Baja",'Mapa riesgos'!$AF$16="Moderado"),CONCATENATE("R1C",'Mapa riesgos'!$T$16),"")</f>
        <v/>
      </c>
      <c r="Z36" s="48" t="str">
        <f>IF(AND('Mapa riesgos'!$AD$17="Baja",'Mapa riesgos'!$AF$17="Moderado"),CONCATENATE("R1C",'Mapa riesgos'!$T$17),"")</f>
        <v/>
      </c>
      <c r="AA36" s="49" t="str">
        <f>IF(AND('Mapa riesgos'!$AD$18="Baja",'Mapa riesgos'!$AF$18="Moderado"),CONCATENATE("R1C",'Mapa riesgos'!$T$18),"")</f>
        <v/>
      </c>
      <c r="AB36" s="29" t="str">
        <f>IF(AND('Mapa riesgos'!$AD$13="Baja",'Mapa riesgos'!$AF$13="Mayor"),CONCATENATE("R1C",'Mapa riesgos'!$T$13),"")</f>
        <v/>
      </c>
      <c r="AC36" s="30" t="str">
        <f>IF(AND('Mapa riesgos'!$AD$14="Baja",'Mapa riesgos'!$AF$14="Mayor"),CONCATENATE("R1C",'Mapa riesgos'!$T$14),"")</f>
        <v/>
      </c>
      <c r="AD36" s="30" t="str">
        <f>IF(AND('Mapa riesgos'!$AD$15="Baja",'Mapa riesgos'!$AF$15="Mayor"),CONCATENATE("R1C",'Mapa riesgos'!$T$15),"")</f>
        <v/>
      </c>
      <c r="AE36" s="30" t="str">
        <f>IF(AND('Mapa riesgos'!$AD$16="Baja",'Mapa riesgos'!$AF$16="Mayor"),CONCATENATE("R1C",'Mapa riesgos'!$T$16),"")</f>
        <v/>
      </c>
      <c r="AF36" s="30" t="str">
        <f>IF(AND('Mapa riesgos'!$AD$17="Baja",'Mapa riesgos'!$AF$17="Mayor"),CONCATENATE("R1C",'Mapa riesgos'!$T$17),"")</f>
        <v/>
      </c>
      <c r="AG36" s="31" t="str">
        <f>IF(AND('Mapa riesgos'!$AD$18="Baja",'Mapa riesgos'!$AF$18="Mayor"),CONCATENATE("R1C",'Mapa riesgos'!$T$18),"")</f>
        <v/>
      </c>
      <c r="AH36" s="32" t="str">
        <f>IF(AND('Mapa riesgos'!$AD$13="Baja",'Mapa riesgos'!$AF$13="Catastrófico"),CONCATENATE("R1C",'Mapa riesgos'!$T$13),"")</f>
        <v/>
      </c>
      <c r="AI36" s="33" t="str">
        <f>IF(AND('Mapa riesgos'!$AD$14="Baja",'Mapa riesgos'!$AF$14="Catastrófico"),CONCATENATE("R1C",'Mapa riesgos'!$T$14),"")</f>
        <v/>
      </c>
      <c r="AJ36" s="33" t="str">
        <f>IF(AND('Mapa riesgos'!$AD$15="Baja",'Mapa riesgos'!$AF$15="Catastrófico"),CONCATENATE("R1C",'Mapa riesgos'!$T$15),"")</f>
        <v/>
      </c>
      <c r="AK36" s="33" t="str">
        <f>IF(AND('Mapa riesgos'!$AD$16="Baja",'Mapa riesgos'!$AF$16="Catastrófico"),CONCATENATE("R1C",'Mapa riesgos'!$T$16),"")</f>
        <v/>
      </c>
      <c r="AL36" s="33" t="str">
        <f>IF(AND('Mapa riesgos'!$AD$17="Baja",'Mapa riesgos'!$AF$17="Catastrófico"),CONCATENATE("R1C",'Mapa riesgos'!$T$17),"")</f>
        <v/>
      </c>
      <c r="AM36" s="34" t="str">
        <f>IF(AND('Mapa riesgos'!$AD$18="Baja",'Mapa riesgos'!$AF$18="Catastrófico"),CONCATENATE("R1C",'Mapa riesgos'!$T$18),"")</f>
        <v/>
      </c>
      <c r="AN36" s="66"/>
      <c r="AO36" s="527" t="s">
        <v>224</v>
      </c>
      <c r="AP36" s="528"/>
      <c r="AQ36" s="528"/>
      <c r="AR36" s="528"/>
      <c r="AS36" s="528"/>
      <c r="AT36" s="529"/>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c r="A37" s="66"/>
      <c r="B37" s="458"/>
      <c r="C37" s="458"/>
      <c r="D37" s="459"/>
      <c r="E37" s="515"/>
      <c r="F37" s="500"/>
      <c r="G37" s="500"/>
      <c r="H37" s="500"/>
      <c r="I37" s="500"/>
      <c r="J37" s="59" t="str">
        <f>IF(AND('Mapa riesgos'!$AD$19="Baja",'Mapa riesgos'!$AF$19="Leve"),CONCATENATE("R2C",'Mapa riesgos'!$T$19),"")</f>
        <v/>
      </c>
      <c r="K37" s="60" t="str">
        <f>IF(AND('Mapa riesgos'!$AD$20="Baja",'Mapa riesgos'!$AF$20="Leve"),CONCATENATE("R2C",'Mapa riesgos'!$T$20),"")</f>
        <v/>
      </c>
      <c r="L37" s="60" t="str">
        <f>IF(AND('Mapa riesgos'!$AD$21="Baja",'Mapa riesgos'!$AF$21="Leve"),CONCATENATE("R2C",'Mapa riesgos'!$T$21),"")</f>
        <v/>
      </c>
      <c r="M37" s="60" t="str">
        <f>IF(AND('Mapa riesgos'!$AD$22="Baja",'Mapa riesgos'!$AF$22="Leve"),CONCATENATE("R2C",'Mapa riesgos'!$T$22),"")</f>
        <v/>
      </c>
      <c r="N37" s="60" t="str">
        <f>IF(AND('Mapa riesgos'!$AD$23="Baja",'Mapa riesgos'!$AF$23="Leve"),CONCATENATE("R2C",'Mapa riesgos'!$T$23),"")</f>
        <v/>
      </c>
      <c r="O37" s="61" t="str">
        <f>IF(AND('Mapa riesgos'!$AD$24="Baja",'Mapa riesgos'!$AF$24="Leve"),CONCATENATE("R2C",'Mapa riesgos'!$T$24),"")</f>
        <v/>
      </c>
      <c r="P37" s="50" t="str">
        <f>IF(AND('Mapa riesgos'!$AD$19="Baja",'Mapa riesgos'!$AF$19="Menor"),CONCATENATE("R2C",'Mapa riesgos'!$T$19),"")</f>
        <v/>
      </c>
      <c r="Q37" s="51" t="str">
        <f>IF(AND('Mapa riesgos'!$AD$20="Baja",'Mapa riesgos'!$AF$20="Menor"),CONCATENATE("R2C",'Mapa riesgos'!$T$20),"")</f>
        <v/>
      </c>
      <c r="R37" s="51" t="str">
        <f>IF(AND('Mapa riesgos'!$AD$21="Baja",'Mapa riesgos'!$AF$21="Menor"),CONCATENATE("R2C",'Mapa riesgos'!$T$21),"")</f>
        <v/>
      </c>
      <c r="S37" s="51" t="str">
        <f>IF(AND('Mapa riesgos'!$AD$22="Baja",'Mapa riesgos'!$AF$22="Menor"),CONCATENATE("R2C",'Mapa riesgos'!$T$22),"")</f>
        <v/>
      </c>
      <c r="T37" s="51" t="str">
        <f>IF(AND('Mapa riesgos'!$AD$23="Baja",'Mapa riesgos'!$AF$23="Menor"),CONCATENATE("R2C",'Mapa riesgos'!$T$23),"")</f>
        <v/>
      </c>
      <c r="U37" s="52" t="str">
        <f>IF(AND('Mapa riesgos'!$AD$24="Baja",'Mapa riesgos'!$AF$24="Menor"),CONCATENATE("R2C",'Mapa riesgos'!$T$24),"")</f>
        <v/>
      </c>
      <c r="V37" s="50" t="str">
        <f>IF(AND('Mapa riesgos'!$AD$19="Baja",'Mapa riesgos'!$AF$19="Moderado"),CONCATENATE("R2C",'Mapa riesgos'!$T$19),"")</f>
        <v/>
      </c>
      <c r="W37" s="51" t="str">
        <f>IF(AND('Mapa riesgos'!$AD$20="Baja",'Mapa riesgos'!$AF$20="Moderado"),CONCATENATE("R2C",'Mapa riesgos'!$T$20),"")</f>
        <v>R2C2</v>
      </c>
      <c r="X37" s="51" t="str">
        <f>IF(AND('Mapa riesgos'!$AD$21="Baja",'Mapa riesgos'!$AF$21="Moderado"),CONCATENATE("R2C",'Mapa riesgos'!$T$21),"")</f>
        <v/>
      </c>
      <c r="Y37" s="51" t="str">
        <f>IF(AND('Mapa riesgos'!$AD$22="Baja",'Mapa riesgos'!$AF$22="Moderado"),CONCATENATE("R2C",'Mapa riesgos'!$T$22),"")</f>
        <v/>
      </c>
      <c r="Z37" s="51" t="str">
        <f>IF(AND('Mapa riesgos'!$AD$23="Baja",'Mapa riesgos'!$AF$23="Moderado"),CONCATENATE("R2C",'Mapa riesgos'!$T$23),"")</f>
        <v/>
      </c>
      <c r="AA37" s="52" t="str">
        <f>IF(AND('Mapa riesgos'!$AD$24="Baja",'Mapa riesgos'!$AF$24="Moderado"),CONCATENATE("R2C",'Mapa riesgos'!$T$24),"")</f>
        <v/>
      </c>
      <c r="AB37" s="35" t="str">
        <f>IF(AND('Mapa riesgos'!$AD$19="Baja",'Mapa riesgos'!$AF$19="Mayor"),CONCATENATE("R2C",'Mapa riesgos'!$T$19),"")</f>
        <v/>
      </c>
      <c r="AC37" s="36" t="str">
        <f>IF(AND('Mapa riesgos'!$AD$20="Baja",'Mapa riesgos'!$AF$20="Mayor"),CONCATENATE("R2C",'Mapa riesgos'!$T$20),"")</f>
        <v/>
      </c>
      <c r="AD37" s="36" t="str">
        <f>IF(AND('Mapa riesgos'!$AD$21="Baja",'Mapa riesgos'!$AF$21="Mayor"),CONCATENATE("R2C",'Mapa riesgos'!$T$21),"")</f>
        <v/>
      </c>
      <c r="AE37" s="36" t="str">
        <f>IF(AND('Mapa riesgos'!$AD$22="Baja",'Mapa riesgos'!$AF$22="Mayor"),CONCATENATE("R2C",'Mapa riesgos'!$T$22),"")</f>
        <v/>
      </c>
      <c r="AF37" s="36" t="str">
        <f>IF(AND('Mapa riesgos'!$AD$23="Baja",'Mapa riesgos'!$AF$23="Mayor"),CONCATENATE("R2C",'Mapa riesgos'!$T$23),"")</f>
        <v/>
      </c>
      <c r="AG37" s="37" t="str">
        <f>IF(AND('Mapa riesgos'!$AD$24="Baja",'Mapa riesgos'!$AF$24="Mayor"),CONCATENATE("R2C",'Mapa riesgos'!$T$24),"")</f>
        <v/>
      </c>
      <c r="AH37" s="38" t="str">
        <f>IF(AND('Mapa riesgos'!$AD$19="Baja",'Mapa riesgos'!$AF$19="Catastrófico"),CONCATENATE("R2C",'Mapa riesgos'!$T$19),"")</f>
        <v/>
      </c>
      <c r="AI37" s="39" t="str">
        <f>IF(AND('Mapa riesgos'!$AD$20="Baja",'Mapa riesgos'!$AF$20="Catastrófico"),CONCATENATE("R2C",'Mapa riesgos'!$T$20),"")</f>
        <v/>
      </c>
      <c r="AJ37" s="39" t="str">
        <f>IF(AND('Mapa riesgos'!$AD$21="Baja",'Mapa riesgos'!$AF$21="Catastrófico"),CONCATENATE("R2C",'Mapa riesgos'!$T$21),"")</f>
        <v/>
      </c>
      <c r="AK37" s="39" t="str">
        <f>IF(AND('Mapa riesgos'!$AD$22="Baja",'Mapa riesgos'!$AF$22="Catastrófico"),CONCATENATE("R2C",'Mapa riesgos'!$T$22),"")</f>
        <v/>
      </c>
      <c r="AL37" s="39" t="str">
        <f>IF(AND('Mapa riesgos'!$AD$23="Baja",'Mapa riesgos'!$AF$23="Catastrófico"),CONCATENATE("R2C",'Mapa riesgos'!$T$23),"")</f>
        <v/>
      </c>
      <c r="AM37" s="40" t="str">
        <f>IF(AND('Mapa riesgos'!$AD$24="Baja",'Mapa riesgos'!$AF$24="Catastrófico"),CONCATENATE("R2C",'Mapa riesgos'!$T$24),"")</f>
        <v/>
      </c>
      <c r="AN37" s="66"/>
      <c r="AO37" s="530"/>
      <c r="AP37" s="531"/>
      <c r="AQ37" s="531"/>
      <c r="AR37" s="531"/>
      <c r="AS37" s="531"/>
      <c r="AT37" s="532"/>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c r="A38" s="66"/>
      <c r="B38" s="458"/>
      <c r="C38" s="458"/>
      <c r="D38" s="459"/>
      <c r="E38" s="499"/>
      <c r="F38" s="500"/>
      <c r="G38" s="500"/>
      <c r="H38" s="500"/>
      <c r="I38" s="500"/>
      <c r="J38" s="59" t="str">
        <f>IF(AND('Mapa riesgos'!$AD$25="Baja",'Mapa riesgos'!$AF$25="Leve"),CONCATENATE("R3C",'Mapa riesgos'!$T$25),"")</f>
        <v/>
      </c>
      <c r="K38" s="60" t="str">
        <f>IF(AND('Mapa riesgos'!$AD$26="Baja",'Mapa riesgos'!$AF$26="Leve"),CONCATENATE("R3C",'Mapa riesgos'!$T$26),"")</f>
        <v/>
      </c>
      <c r="L38" s="60" t="str">
        <f>IF(AND('Mapa riesgos'!$AD$27="Baja",'Mapa riesgos'!$AF$27="Leve"),CONCATENATE("R3C",'Mapa riesgos'!$T$27),"")</f>
        <v/>
      </c>
      <c r="M38" s="60" t="str">
        <f>IF(AND('Mapa riesgos'!$AD$28="Baja",'Mapa riesgos'!$AF$28="Leve"),CONCATENATE("R3C",'Mapa riesgos'!$T$28),"")</f>
        <v/>
      </c>
      <c r="N38" s="60" t="str">
        <f>IF(AND('Mapa riesgos'!$AD$29="Baja",'Mapa riesgos'!$AF$29="Leve"),CONCATENATE("R3C",'Mapa riesgos'!$T$29),"")</f>
        <v/>
      </c>
      <c r="O38" s="61" t="str">
        <f>IF(AND('Mapa riesgos'!$AD$30="Baja",'Mapa riesgos'!$AF$30="Leve"),CONCATENATE("R3C",'Mapa riesgos'!$T$30),"")</f>
        <v/>
      </c>
      <c r="P38" s="50" t="str">
        <f>IF(AND('Mapa riesgos'!$AD$25="Baja",'Mapa riesgos'!$AF$25="Menor"),CONCATENATE("R3C",'Mapa riesgos'!$T$25),"")</f>
        <v/>
      </c>
      <c r="Q38" s="51" t="str">
        <f>IF(AND('Mapa riesgos'!$AD$26="Baja",'Mapa riesgos'!$AF$26="Menor"),CONCATENATE("R3C",'Mapa riesgos'!$T$26),"")</f>
        <v/>
      </c>
      <c r="R38" s="51" t="str">
        <f>IF(AND('Mapa riesgos'!$AD$27="Baja",'Mapa riesgos'!$AF$27="Menor"),CONCATENATE("R3C",'Mapa riesgos'!$T$27),"")</f>
        <v/>
      </c>
      <c r="S38" s="51" t="str">
        <f>IF(AND('Mapa riesgos'!$AD$28="Baja",'Mapa riesgos'!$AF$28="Menor"),CONCATENATE("R3C",'Mapa riesgos'!$T$28),"")</f>
        <v/>
      </c>
      <c r="T38" s="51" t="str">
        <f>IF(AND('Mapa riesgos'!$AD$29="Baja",'Mapa riesgos'!$AF$29="Menor"),CONCATENATE("R3C",'Mapa riesgos'!$T$29),"")</f>
        <v/>
      </c>
      <c r="U38" s="52" t="str">
        <f>IF(AND('Mapa riesgos'!$AD$30="Baja",'Mapa riesgos'!$AF$30="Menor"),CONCATENATE("R3C",'Mapa riesgos'!$T$30),"")</f>
        <v/>
      </c>
      <c r="V38" s="50" t="str">
        <f>IF(AND('Mapa riesgos'!$AD$25="Baja",'Mapa riesgos'!$AF$25="Moderado"),CONCATENATE("R3C",'Mapa riesgos'!$T$25),"")</f>
        <v/>
      </c>
      <c r="W38" s="51" t="str">
        <f>IF(AND('Mapa riesgos'!$AD$26="Baja",'Mapa riesgos'!$AF$26="Moderado"),CONCATENATE("R3C",'Mapa riesgos'!$T$26),"")</f>
        <v/>
      </c>
      <c r="X38" s="51" t="str">
        <f>IF(AND('Mapa riesgos'!$AD$27="Baja",'Mapa riesgos'!$AF$27="Moderado"),CONCATENATE("R3C",'Mapa riesgos'!$T$27),"")</f>
        <v/>
      </c>
      <c r="Y38" s="51" t="str">
        <f>IF(AND('Mapa riesgos'!$AD$28="Baja",'Mapa riesgos'!$AF$28="Moderado"),CONCATENATE("R3C",'Mapa riesgos'!$T$28),"")</f>
        <v/>
      </c>
      <c r="Z38" s="51" t="str">
        <f>IF(AND('Mapa riesgos'!$AD$29="Baja",'Mapa riesgos'!$AF$29="Moderado"),CONCATENATE("R3C",'Mapa riesgos'!$T$29),"")</f>
        <v/>
      </c>
      <c r="AA38" s="52" t="str">
        <f>IF(AND('Mapa riesgos'!$AD$30="Baja",'Mapa riesgos'!$AF$30="Moderado"),CONCATENATE("R3C",'Mapa riesgos'!$T$30),"")</f>
        <v/>
      </c>
      <c r="AB38" s="35" t="str">
        <f>IF(AND('Mapa riesgos'!$AD$25="Baja",'Mapa riesgos'!$AF$25="Mayor"),CONCATENATE("R3C",'Mapa riesgos'!$T$25),"")</f>
        <v/>
      </c>
      <c r="AC38" s="36" t="str">
        <f>IF(AND('Mapa riesgos'!$AD$26="Baja",'Mapa riesgos'!$AF$26="Mayor"),CONCATENATE("R3C",'Mapa riesgos'!$T$26),"")</f>
        <v/>
      </c>
      <c r="AD38" s="36" t="str">
        <f>IF(AND('Mapa riesgos'!$AD$27="Baja",'Mapa riesgos'!$AF$27="Mayor"),CONCATENATE("R3C",'Mapa riesgos'!$T$27),"")</f>
        <v/>
      </c>
      <c r="AE38" s="36" t="str">
        <f>IF(AND('Mapa riesgos'!$AD$28="Baja",'Mapa riesgos'!$AF$28="Mayor"),CONCATENATE("R3C",'Mapa riesgos'!$T$28),"")</f>
        <v/>
      </c>
      <c r="AF38" s="36" t="str">
        <f>IF(AND('Mapa riesgos'!$AD$29="Baja",'Mapa riesgos'!$AF$29="Mayor"),CONCATENATE("R3C",'Mapa riesgos'!$T$29),"")</f>
        <v/>
      </c>
      <c r="AG38" s="37" t="str">
        <f>IF(AND('Mapa riesgos'!$AD$30="Baja",'Mapa riesgos'!$AF$30="Mayor"),CONCATENATE("R3C",'Mapa riesgos'!$T$30),"")</f>
        <v/>
      </c>
      <c r="AH38" s="38" t="str">
        <f>IF(AND('Mapa riesgos'!$AD$25="Baja",'Mapa riesgos'!$AF$25="Catastrófico"),CONCATENATE("R3C",'Mapa riesgos'!$T$25),"")</f>
        <v/>
      </c>
      <c r="AI38" s="39" t="str">
        <f>IF(AND('Mapa riesgos'!$AD$26="Baja",'Mapa riesgos'!$AF$26="Catastrófico"),CONCATENATE("R3C",'Mapa riesgos'!$T$26),"")</f>
        <v/>
      </c>
      <c r="AJ38" s="39" t="str">
        <f>IF(AND('Mapa riesgos'!$AD$27="Baja",'Mapa riesgos'!$AF$27="Catastrófico"),CONCATENATE("R3C",'Mapa riesgos'!$T$27),"")</f>
        <v/>
      </c>
      <c r="AK38" s="39" t="str">
        <f>IF(AND('Mapa riesgos'!$AD$28="Baja",'Mapa riesgos'!$AF$28="Catastrófico"),CONCATENATE("R3C",'Mapa riesgos'!$T$28),"")</f>
        <v/>
      </c>
      <c r="AL38" s="39" t="str">
        <f>IF(AND('Mapa riesgos'!$AD$29="Baja",'Mapa riesgos'!$AF$29="Catastrófico"),CONCATENATE("R3C",'Mapa riesgos'!$T$29),"")</f>
        <v/>
      </c>
      <c r="AM38" s="40" t="str">
        <f>IF(AND('Mapa riesgos'!$AD$30="Baja",'Mapa riesgos'!$AF$30="Catastrófico"),CONCATENATE("R3C",'Mapa riesgos'!$T$30),"")</f>
        <v/>
      </c>
      <c r="AN38" s="66"/>
      <c r="AO38" s="530"/>
      <c r="AP38" s="531"/>
      <c r="AQ38" s="531"/>
      <c r="AR38" s="531"/>
      <c r="AS38" s="531"/>
      <c r="AT38" s="532"/>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c r="A39" s="66"/>
      <c r="B39" s="458"/>
      <c r="C39" s="458"/>
      <c r="D39" s="459"/>
      <c r="E39" s="499"/>
      <c r="F39" s="500"/>
      <c r="G39" s="500"/>
      <c r="H39" s="500"/>
      <c r="I39" s="500"/>
      <c r="J39" s="59" t="str">
        <f>IF(AND('Mapa riesgos'!$AD$31="Baja",'Mapa riesgos'!$AF$31="Leve"),CONCATENATE("R4C",'Mapa riesgos'!$T$31),"")</f>
        <v/>
      </c>
      <c r="K39" s="60" t="str">
        <f>IF(AND('Mapa riesgos'!$AD$32="Baja",'Mapa riesgos'!$AF$32="Leve"),CONCATENATE("R4C",'Mapa riesgos'!$T$32),"")</f>
        <v/>
      </c>
      <c r="L39" s="60" t="str">
        <f>IF(AND('Mapa riesgos'!$AD$33="Baja",'Mapa riesgos'!$AF$33="Leve"),CONCATENATE("R4C",'Mapa riesgos'!$T$33),"")</f>
        <v/>
      </c>
      <c r="M39" s="60" t="str">
        <f>IF(AND('Mapa riesgos'!$AD$34="Baja",'Mapa riesgos'!$AF$34="Leve"),CONCATENATE("R4C",'Mapa riesgos'!$T$34),"")</f>
        <v/>
      </c>
      <c r="N39" s="60" t="str">
        <f>IF(AND('Mapa riesgos'!$AD$35="Baja",'Mapa riesgos'!$AF$35="Leve"),CONCATENATE("R4C",'Mapa riesgos'!$T$35),"")</f>
        <v/>
      </c>
      <c r="O39" s="61" t="str">
        <f>IF(AND('Mapa riesgos'!$AD$36="Baja",'Mapa riesgos'!$AF$36="Leve"),CONCATENATE("R4C",'Mapa riesgos'!$T$36),"")</f>
        <v/>
      </c>
      <c r="P39" s="50" t="str">
        <f>IF(AND('Mapa riesgos'!$AD$31="Baja",'Mapa riesgos'!$AF$31="Menor"),CONCATENATE("R4C",'Mapa riesgos'!$T$31),"")</f>
        <v/>
      </c>
      <c r="Q39" s="51" t="str">
        <f>IF(AND('Mapa riesgos'!$AD$32="Baja",'Mapa riesgos'!$AF$32="Menor"),CONCATENATE("R4C",'Mapa riesgos'!$T$32),"")</f>
        <v/>
      </c>
      <c r="R39" s="51" t="str">
        <f>IF(AND('Mapa riesgos'!$AD$33="Baja",'Mapa riesgos'!$AF$33="Menor"),CONCATENATE("R4C",'Mapa riesgos'!$T$33),"")</f>
        <v/>
      </c>
      <c r="S39" s="51" t="str">
        <f>IF(AND('Mapa riesgos'!$AD$34="Baja",'Mapa riesgos'!$AF$34="Menor"),CONCATENATE("R4C",'Mapa riesgos'!$T$34),"")</f>
        <v/>
      </c>
      <c r="T39" s="51" t="str">
        <f>IF(AND('Mapa riesgos'!$AD$35="Baja",'Mapa riesgos'!$AF$35="Menor"),CONCATENATE("R4C",'Mapa riesgos'!$T$35),"")</f>
        <v/>
      </c>
      <c r="U39" s="52" t="str">
        <f>IF(AND('Mapa riesgos'!$AD$36="Baja",'Mapa riesgos'!$AF$36="Menor"),CONCATENATE("R4C",'Mapa riesgos'!$T$36),"")</f>
        <v/>
      </c>
      <c r="V39" s="50" t="str">
        <f>IF(AND('Mapa riesgos'!$AD$31="Baja",'Mapa riesgos'!$AF$31="Moderado"),CONCATENATE("R4C",'Mapa riesgos'!$T$31),"")</f>
        <v/>
      </c>
      <c r="W39" s="51" t="str">
        <f>IF(AND('Mapa riesgos'!$AD$32="Baja",'Mapa riesgos'!$AF$32="Moderado"),CONCATENATE("R4C",'Mapa riesgos'!$T$32),"")</f>
        <v/>
      </c>
      <c r="X39" s="51" t="str">
        <f>IF(AND('Mapa riesgos'!$AD$33="Baja",'Mapa riesgos'!$AF$33="Moderado"),CONCATENATE("R4C",'Mapa riesgos'!$T$33),"")</f>
        <v/>
      </c>
      <c r="Y39" s="51" t="str">
        <f>IF(AND('Mapa riesgos'!$AD$34="Baja",'Mapa riesgos'!$AF$34="Moderado"),CONCATENATE("R4C",'Mapa riesgos'!$T$34),"")</f>
        <v/>
      </c>
      <c r="Z39" s="51" t="str">
        <f>IF(AND('Mapa riesgos'!$AD$35="Baja",'Mapa riesgos'!$AF$35="Moderado"),CONCATENATE("R4C",'Mapa riesgos'!$T$35),"")</f>
        <v/>
      </c>
      <c r="AA39" s="52" t="str">
        <f>IF(AND('Mapa riesgos'!$AD$36="Baja",'Mapa riesgos'!$AF$36="Moderado"),CONCATENATE("R4C",'Mapa riesgos'!$T$36),"")</f>
        <v/>
      </c>
      <c r="AB39" s="35" t="str">
        <f>IF(AND('Mapa riesgos'!$AD$31="Baja",'Mapa riesgos'!$AF$31="Mayor"),CONCATENATE("R4C",'Mapa riesgos'!$T$31),"")</f>
        <v/>
      </c>
      <c r="AC39" s="36" t="str">
        <f>IF(AND('Mapa riesgos'!$AD$32="Baja",'Mapa riesgos'!$AF$32="Mayor"),CONCATENATE("R4C",'Mapa riesgos'!$T$32),"")</f>
        <v/>
      </c>
      <c r="AD39" s="36" t="str">
        <f>IF(AND('Mapa riesgos'!$AD$33="Baja",'Mapa riesgos'!$AF$33="Mayor"),CONCATENATE("R4C",'Mapa riesgos'!$T$33),"")</f>
        <v/>
      </c>
      <c r="AE39" s="36" t="str">
        <f>IF(AND('Mapa riesgos'!$AD$34="Baja",'Mapa riesgos'!$AF$34="Mayor"),CONCATENATE("R4C",'Mapa riesgos'!$T$34),"")</f>
        <v/>
      </c>
      <c r="AF39" s="36" t="str">
        <f>IF(AND('Mapa riesgos'!$AD$35="Baja",'Mapa riesgos'!$AF$35="Mayor"),CONCATENATE("R4C",'Mapa riesgos'!$T$35),"")</f>
        <v/>
      </c>
      <c r="AG39" s="37" t="str">
        <f>IF(AND('Mapa riesgos'!$AD$36="Baja",'Mapa riesgos'!$AF$36="Mayor"),CONCATENATE("R4C",'Mapa riesgos'!$T$36),"")</f>
        <v/>
      </c>
      <c r="AH39" s="38" t="str">
        <f>IF(AND('Mapa riesgos'!$AD$31="Baja",'Mapa riesgos'!$AF$31="Catastrófico"),CONCATENATE("R4C",'Mapa riesgos'!$T$31),"")</f>
        <v/>
      </c>
      <c r="AI39" s="39" t="str">
        <f>IF(AND('Mapa riesgos'!$AD$32="Baja",'Mapa riesgos'!$AF$32="Catastrófico"),CONCATENATE("R4C",'Mapa riesgos'!$T$32),"")</f>
        <v/>
      </c>
      <c r="AJ39" s="39" t="str">
        <f>IF(AND('Mapa riesgos'!$AD$33="Baja",'Mapa riesgos'!$AF$33="Catastrófico"),CONCATENATE("R4C",'Mapa riesgos'!$T$33),"")</f>
        <v/>
      </c>
      <c r="AK39" s="39" t="str">
        <f>IF(AND('Mapa riesgos'!$AD$34="Baja",'Mapa riesgos'!$AF$34="Catastrófico"),CONCATENATE("R4C",'Mapa riesgos'!$T$34),"")</f>
        <v/>
      </c>
      <c r="AL39" s="39" t="str">
        <f>IF(AND('Mapa riesgos'!$AD$35="Baja",'Mapa riesgos'!$AF$35="Catastrófico"),CONCATENATE("R4C",'Mapa riesgos'!$T$35),"")</f>
        <v/>
      </c>
      <c r="AM39" s="40" t="str">
        <f>IF(AND('Mapa riesgos'!$AD$36="Baja",'Mapa riesgos'!$AF$36="Catastrófico"),CONCATENATE("R4C",'Mapa riesgos'!$T$36),"")</f>
        <v/>
      </c>
      <c r="AN39" s="66"/>
      <c r="AO39" s="530"/>
      <c r="AP39" s="531"/>
      <c r="AQ39" s="531"/>
      <c r="AR39" s="531"/>
      <c r="AS39" s="531"/>
      <c r="AT39" s="532"/>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c r="A40" s="66"/>
      <c r="B40" s="458"/>
      <c r="C40" s="458"/>
      <c r="D40" s="459"/>
      <c r="E40" s="499"/>
      <c r="F40" s="500"/>
      <c r="G40" s="500"/>
      <c r="H40" s="500"/>
      <c r="I40" s="500"/>
      <c r="J40" s="59" t="str">
        <f>IF(AND('Mapa riesgos'!$AD$37="Baja",'Mapa riesgos'!$AF$37="Leve"),CONCATENATE("R5C",'Mapa riesgos'!$T$37),"")</f>
        <v/>
      </c>
      <c r="K40" s="60" t="str">
        <f>IF(AND('Mapa riesgos'!$AD$38="Baja",'Mapa riesgos'!$AF$38="Leve"),CONCATENATE("R5C",'Mapa riesgos'!$T$38),"")</f>
        <v/>
      </c>
      <c r="L40" s="60" t="str">
        <f>IF(AND('Mapa riesgos'!$AD$39="Baja",'Mapa riesgos'!$AF$39="Leve"),CONCATENATE("R5C",'Mapa riesgos'!$T$39),"")</f>
        <v/>
      </c>
      <c r="M40" s="60" t="str">
        <f>IF(AND('Mapa riesgos'!$AD$40="Baja",'Mapa riesgos'!$AF$40="Leve"),CONCATENATE("R5C",'Mapa riesgos'!$T$40),"")</f>
        <v/>
      </c>
      <c r="N40" s="60" t="str">
        <f>IF(AND('Mapa riesgos'!$AD$41="Baja",'Mapa riesgos'!$AF$41="Leve"),CONCATENATE("R5C",'Mapa riesgos'!$T$41),"")</f>
        <v/>
      </c>
      <c r="O40" s="61" t="str">
        <f>IF(AND('Mapa riesgos'!$AD$42="Baja",'Mapa riesgos'!$AF$42="Leve"),CONCATENATE("R5C",'Mapa riesgos'!$T$42),"")</f>
        <v/>
      </c>
      <c r="P40" s="50" t="str">
        <f>IF(AND('Mapa riesgos'!$AD$37="Baja",'Mapa riesgos'!$AF$37="Menor"),CONCATENATE("R5C",'Mapa riesgos'!$T$37),"")</f>
        <v/>
      </c>
      <c r="Q40" s="51" t="str">
        <f>IF(AND('Mapa riesgos'!$AD$38="Baja",'Mapa riesgos'!$AF$38="Menor"),CONCATENATE("R5C",'Mapa riesgos'!$T$38),"")</f>
        <v/>
      </c>
      <c r="R40" s="51" t="str">
        <f>IF(AND('Mapa riesgos'!$AD$39="Baja",'Mapa riesgos'!$AF$39="Menor"),CONCATENATE("R5C",'Mapa riesgos'!$T$39),"")</f>
        <v/>
      </c>
      <c r="S40" s="51" t="str">
        <f>IF(AND('Mapa riesgos'!$AD$40="Baja",'Mapa riesgos'!$AF$40="Menor"),CONCATENATE("R5C",'Mapa riesgos'!$T$40),"")</f>
        <v/>
      </c>
      <c r="T40" s="51" t="str">
        <f>IF(AND('Mapa riesgos'!$AD$41="Baja",'Mapa riesgos'!$AF$41="Menor"),CONCATENATE("R5C",'Mapa riesgos'!$T$41),"")</f>
        <v/>
      </c>
      <c r="U40" s="52" t="str">
        <f>IF(AND('Mapa riesgos'!$AD$42="Baja",'Mapa riesgos'!$AF$42="Menor"),CONCATENATE("R5C",'Mapa riesgos'!$T$42),"")</f>
        <v/>
      </c>
      <c r="V40" s="50" t="str">
        <f>IF(AND('Mapa riesgos'!$AD$37="Baja",'Mapa riesgos'!$AF$37="Moderado"),CONCATENATE("R5C",'Mapa riesgos'!$T$37),"")</f>
        <v/>
      </c>
      <c r="W40" s="51" t="str">
        <f>IF(AND('Mapa riesgos'!$AD$38="Baja",'Mapa riesgos'!$AF$38="Moderado"),CONCATENATE("R5C",'Mapa riesgos'!$T$38),"")</f>
        <v/>
      </c>
      <c r="X40" s="51" t="str">
        <f>IF(AND('Mapa riesgos'!$AD$39="Baja",'Mapa riesgos'!$AF$39="Moderado"),CONCATENATE("R5C",'Mapa riesgos'!$T$39),"")</f>
        <v/>
      </c>
      <c r="Y40" s="51" t="str">
        <f>IF(AND('Mapa riesgos'!$AD$40="Baja",'Mapa riesgos'!$AF$40="Moderado"),CONCATENATE("R5C",'Mapa riesgos'!$T$40),"")</f>
        <v/>
      </c>
      <c r="Z40" s="51" t="str">
        <f>IF(AND('Mapa riesgos'!$AD$41="Baja",'Mapa riesgos'!$AF$41="Moderado"),CONCATENATE("R5C",'Mapa riesgos'!$T$41),"")</f>
        <v/>
      </c>
      <c r="AA40" s="52" t="str">
        <f>IF(AND('Mapa riesgos'!$AD$42="Baja",'Mapa riesgos'!$AF$42="Moderado"),CONCATENATE("R5C",'Mapa riesgos'!$T$42),"")</f>
        <v/>
      </c>
      <c r="AB40" s="35" t="str">
        <f>IF(AND('Mapa riesgos'!$AD$37="Baja",'Mapa riesgos'!$AF$37="Mayor"),CONCATENATE("R5C",'Mapa riesgos'!$T$37),"")</f>
        <v/>
      </c>
      <c r="AC40" s="36" t="str">
        <f>IF(AND('Mapa riesgos'!$AD$38="Baja",'Mapa riesgos'!$AF$38="Mayor"),CONCATENATE("R5C",'Mapa riesgos'!$T$38),"")</f>
        <v/>
      </c>
      <c r="AD40" s="36" t="str">
        <f>IF(AND('Mapa riesgos'!$AD$39="Baja",'Mapa riesgos'!$AF$39="Mayor"),CONCATENATE("R5C",'Mapa riesgos'!$T$39),"")</f>
        <v/>
      </c>
      <c r="AE40" s="36" t="str">
        <f>IF(AND('Mapa riesgos'!$AD$40="Baja",'Mapa riesgos'!$AF$40="Mayor"),CONCATENATE("R5C",'Mapa riesgos'!$T$40),"")</f>
        <v/>
      </c>
      <c r="AF40" s="36" t="str">
        <f>IF(AND('Mapa riesgos'!$AD$41="Baja",'Mapa riesgos'!$AF$41="Mayor"),CONCATENATE("R5C",'Mapa riesgos'!$T$41),"")</f>
        <v/>
      </c>
      <c r="AG40" s="37" t="str">
        <f>IF(AND('Mapa riesgos'!$AD$42="Baja",'Mapa riesgos'!$AF$42="Mayor"),CONCATENATE("R5C",'Mapa riesgos'!$T$42),"")</f>
        <v/>
      </c>
      <c r="AH40" s="38" t="str">
        <f>IF(AND('Mapa riesgos'!$AD$37="Baja",'Mapa riesgos'!$AF$37="Catastrófico"),CONCATENATE("R5C",'Mapa riesgos'!$T$37),"")</f>
        <v/>
      </c>
      <c r="AI40" s="39" t="str">
        <f>IF(AND('Mapa riesgos'!$AD$38="Baja",'Mapa riesgos'!$AF$38="Catastrófico"),CONCATENATE("R5C",'Mapa riesgos'!$T$38),"")</f>
        <v/>
      </c>
      <c r="AJ40" s="39" t="str">
        <f>IF(AND('Mapa riesgos'!$AD$39="Baja",'Mapa riesgos'!$AF$39="Catastrófico"),CONCATENATE("R5C",'Mapa riesgos'!$T$39),"")</f>
        <v/>
      </c>
      <c r="AK40" s="39" t="str">
        <f>IF(AND('Mapa riesgos'!$AD$40="Baja",'Mapa riesgos'!$AF$40="Catastrófico"),CONCATENATE("R5C",'Mapa riesgos'!$T$40),"")</f>
        <v/>
      </c>
      <c r="AL40" s="39" t="str">
        <f>IF(AND('Mapa riesgos'!$AD$41="Baja",'Mapa riesgos'!$AF$41="Catastrófico"),CONCATENATE("R5C",'Mapa riesgos'!$T$41),"")</f>
        <v/>
      </c>
      <c r="AM40" s="40" t="str">
        <f>IF(AND('Mapa riesgos'!$AD$42="Baja",'Mapa riesgos'!$AF$42="Catastrófico"),CONCATENATE("R5C",'Mapa riesgos'!$T$42),"")</f>
        <v/>
      </c>
      <c r="AN40" s="66"/>
      <c r="AO40" s="530"/>
      <c r="AP40" s="531"/>
      <c r="AQ40" s="531"/>
      <c r="AR40" s="531"/>
      <c r="AS40" s="531"/>
      <c r="AT40" s="532"/>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c r="A41" s="66"/>
      <c r="B41" s="458"/>
      <c r="C41" s="458"/>
      <c r="D41" s="459"/>
      <c r="E41" s="499"/>
      <c r="F41" s="500"/>
      <c r="G41" s="500"/>
      <c r="H41" s="500"/>
      <c r="I41" s="500"/>
      <c r="J41" s="59" t="str">
        <f>IF(AND('Mapa riesgos'!$AD$43="Baja",'Mapa riesgos'!$AF$43="Leve"),CONCATENATE("R6C",'Mapa riesgos'!$T$43),"")</f>
        <v/>
      </c>
      <c r="K41" s="60" t="str">
        <f>IF(AND('Mapa riesgos'!$AD$44="Baja",'Mapa riesgos'!$AF$44="Leve"),CONCATENATE("R6C",'Mapa riesgos'!$T$44),"")</f>
        <v/>
      </c>
      <c r="L41" s="60" t="str">
        <f>IF(AND('Mapa riesgos'!$AD$45="Baja",'Mapa riesgos'!$AF$45="Leve"),CONCATENATE("R6C",'Mapa riesgos'!$T$45),"")</f>
        <v/>
      </c>
      <c r="M41" s="60" t="str">
        <f>IF(AND('Mapa riesgos'!$AD$46="Baja",'Mapa riesgos'!$AF$46="Leve"),CONCATENATE("R6C",'Mapa riesgos'!$T$46),"")</f>
        <v/>
      </c>
      <c r="N41" s="60" t="str">
        <f>IF(AND('Mapa riesgos'!$AD$47="Baja",'Mapa riesgos'!$AF$47="Leve"),CONCATENATE("R6C",'Mapa riesgos'!$T$47),"")</f>
        <v/>
      </c>
      <c r="O41" s="61" t="str">
        <f>IF(AND('Mapa riesgos'!$AD$48="Baja",'Mapa riesgos'!$AF$48="Leve"),CONCATENATE("R6C",'Mapa riesgos'!$T$48),"")</f>
        <v/>
      </c>
      <c r="P41" s="50" t="str">
        <f>IF(AND('Mapa riesgos'!$AD$43="Baja",'Mapa riesgos'!$AF$43="Menor"),CONCATENATE("R6C",'Mapa riesgos'!$T$43),"")</f>
        <v/>
      </c>
      <c r="Q41" s="51" t="str">
        <f>IF(AND('Mapa riesgos'!$AD$44="Baja",'Mapa riesgos'!$AF$44="Menor"),CONCATENATE("R6C",'Mapa riesgos'!$T$44),"")</f>
        <v/>
      </c>
      <c r="R41" s="51" t="str">
        <f>IF(AND('Mapa riesgos'!$AD$45="Baja",'Mapa riesgos'!$AF$45="Menor"),CONCATENATE("R6C",'Mapa riesgos'!$T$45),"")</f>
        <v/>
      </c>
      <c r="S41" s="51" t="str">
        <f>IF(AND('Mapa riesgos'!$AD$46="Baja",'Mapa riesgos'!$AF$46="Menor"),CONCATENATE("R6C",'Mapa riesgos'!$T$46),"")</f>
        <v/>
      </c>
      <c r="T41" s="51" t="str">
        <f>IF(AND('Mapa riesgos'!$AD$47="Baja",'Mapa riesgos'!$AF$47="Menor"),CONCATENATE("R6C",'Mapa riesgos'!$T$47),"")</f>
        <v/>
      </c>
      <c r="U41" s="52" t="str">
        <f>IF(AND('Mapa riesgos'!$AD$48="Baja",'Mapa riesgos'!$AF$48="Menor"),CONCATENATE("R6C",'Mapa riesgos'!$T$48),"")</f>
        <v/>
      </c>
      <c r="V41" s="50" t="str">
        <f>IF(AND('Mapa riesgos'!$AD$43="Baja",'Mapa riesgos'!$AF$43="Moderado"),CONCATENATE("R6C",'Mapa riesgos'!$T$43),"")</f>
        <v/>
      </c>
      <c r="W41" s="51" t="str">
        <f>IF(AND('Mapa riesgos'!$AD$44="Baja",'Mapa riesgos'!$AF$44="Moderado"),CONCATENATE("R6C",'Mapa riesgos'!$T$44),"")</f>
        <v/>
      </c>
      <c r="X41" s="51" t="str">
        <f>IF(AND('Mapa riesgos'!$AD$45="Baja",'Mapa riesgos'!$AF$45="Moderado"),CONCATENATE("R6C",'Mapa riesgos'!$T$45),"")</f>
        <v/>
      </c>
      <c r="Y41" s="51" t="str">
        <f>IF(AND('Mapa riesgos'!$AD$46="Baja",'Mapa riesgos'!$AF$46="Moderado"),CONCATENATE("R6C",'Mapa riesgos'!$T$46),"")</f>
        <v/>
      </c>
      <c r="Z41" s="51" t="str">
        <f>IF(AND('Mapa riesgos'!$AD$47="Baja",'Mapa riesgos'!$AF$47="Moderado"),CONCATENATE("R6C",'Mapa riesgos'!$T$47),"")</f>
        <v/>
      </c>
      <c r="AA41" s="52" t="str">
        <f>IF(AND('Mapa riesgos'!$AD$48="Baja",'Mapa riesgos'!$AF$48="Moderado"),CONCATENATE("R6C",'Mapa riesgos'!$T$48),"")</f>
        <v/>
      </c>
      <c r="AB41" s="35" t="str">
        <f>IF(AND('Mapa riesgos'!$AD$43="Baja",'Mapa riesgos'!$AF$43="Mayor"),CONCATENATE("R6C",'Mapa riesgos'!$T$43),"")</f>
        <v/>
      </c>
      <c r="AC41" s="36" t="str">
        <f>IF(AND('Mapa riesgos'!$AD$44="Baja",'Mapa riesgos'!$AF$44="Mayor"),CONCATENATE("R6C",'Mapa riesgos'!$T$44),"")</f>
        <v/>
      </c>
      <c r="AD41" s="36" t="str">
        <f>IF(AND('Mapa riesgos'!$AD$45="Baja",'Mapa riesgos'!$AF$45="Mayor"),CONCATENATE("R6C",'Mapa riesgos'!$T$45),"")</f>
        <v/>
      </c>
      <c r="AE41" s="36" t="str">
        <f>IF(AND('Mapa riesgos'!$AD$46="Baja",'Mapa riesgos'!$AF$46="Mayor"),CONCATENATE("R6C",'Mapa riesgos'!$T$46),"")</f>
        <v/>
      </c>
      <c r="AF41" s="36" t="str">
        <f>IF(AND('Mapa riesgos'!$AD$47="Baja",'Mapa riesgos'!$AF$47="Mayor"),CONCATENATE("R6C",'Mapa riesgos'!$T$47),"")</f>
        <v/>
      </c>
      <c r="AG41" s="37" t="str">
        <f>IF(AND('Mapa riesgos'!$AD$48="Baja",'Mapa riesgos'!$AF$48="Mayor"),CONCATENATE("R6C",'Mapa riesgos'!$T$48),"")</f>
        <v/>
      </c>
      <c r="AH41" s="38" t="str">
        <f>IF(AND('Mapa riesgos'!$AD$43="Baja",'Mapa riesgos'!$AF$43="Catastrófico"),CONCATENATE("R6C",'Mapa riesgos'!$T$43),"")</f>
        <v/>
      </c>
      <c r="AI41" s="39" t="str">
        <f>IF(AND('Mapa riesgos'!$AD$44="Baja",'Mapa riesgos'!$AF$44="Catastrófico"),CONCATENATE("R6C",'Mapa riesgos'!$T$44),"")</f>
        <v/>
      </c>
      <c r="AJ41" s="39" t="str">
        <f>IF(AND('Mapa riesgos'!$AD$45="Baja",'Mapa riesgos'!$AF$45="Catastrófico"),CONCATENATE("R6C",'Mapa riesgos'!$T$45),"")</f>
        <v/>
      </c>
      <c r="AK41" s="39" t="str">
        <f>IF(AND('Mapa riesgos'!$AD$46="Baja",'Mapa riesgos'!$AF$46="Catastrófico"),CONCATENATE("R6C",'Mapa riesgos'!$T$46),"")</f>
        <v/>
      </c>
      <c r="AL41" s="39" t="str">
        <f>IF(AND('Mapa riesgos'!$AD$47="Baja",'Mapa riesgos'!$AF$47="Catastrófico"),CONCATENATE("R6C",'Mapa riesgos'!$T$47),"")</f>
        <v/>
      </c>
      <c r="AM41" s="40" t="str">
        <f>IF(AND('Mapa riesgos'!$AD$48="Baja",'Mapa riesgos'!$AF$48="Catastrófico"),CONCATENATE("R6C",'Mapa riesgos'!$T$48),"")</f>
        <v/>
      </c>
      <c r="AN41" s="66"/>
      <c r="AO41" s="530"/>
      <c r="AP41" s="531"/>
      <c r="AQ41" s="531"/>
      <c r="AR41" s="531"/>
      <c r="AS41" s="531"/>
      <c r="AT41" s="532"/>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c r="A42" s="66"/>
      <c r="B42" s="458"/>
      <c r="C42" s="458"/>
      <c r="D42" s="459"/>
      <c r="E42" s="499"/>
      <c r="F42" s="500"/>
      <c r="G42" s="500"/>
      <c r="H42" s="500"/>
      <c r="I42" s="500"/>
      <c r="J42" s="59" t="str">
        <f>IF(AND('Mapa riesgos'!$AD$49="Baja",'Mapa riesgos'!$AF$49="Leve"),CONCATENATE("R7C",'Mapa riesgos'!$T$49),"")</f>
        <v/>
      </c>
      <c r="K42" s="60" t="str">
        <f>IF(AND('Mapa riesgos'!$AD$50="Baja",'Mapa riesgos'!$AF$50="Leve"),CONCATENATE("R7C",'Mapa riesgos'!$T$50),"")</f>
        <v/>
      </c>
      <c r="L42" s="60" t="str">
        <f>IF(AND('Mapa riesgos'!$AD$51="Baja",'Mapa riesgos'!$AF$51="Leve"),CONCATENATE("R7C",'Mapa riesgos'!$T$51),"")</f>
        <v/>
      </c>
      <c r="M42" s="60" t="str">
        <f>IF(AND('Mapa riesgos'!$AD$52="Baja",'Mapa riesgos'!$AF$52="Leve"),CONCATENATE("R7C",'Mapa riesgos'!$T$52),"")</f>
        <v/>
      </c>
      <c r="N42" s="60" t="str">
        <f>IF(AND('Mapa riesgos'!$AD$53="Baja",'Mapa riesgos'!$AF$53="Leve"),CONCATENATE("R7C",'Mapa riesgos'!$T$53),"")</f>
        <v/>
      </c>
      <c r="O42" s="61" t="str">
        <f>IF(AND('Mapa riesgos'!$AD$54="Baja",'Mapa riesgos'!$AF$54="Leve"),CONCATENATE("R7C",'Mapa riesgos'!$T$54),"")</f>
        <v/>
      </c>
      <c r="P42" s="50" t="str">
        <f>IF(AND('Mapa riesgos'!$AD$49="Baja",'Mapa riesgos'!$AF$49="Menor"),CONCATENATE("R7C",'Mapa riesgos'!$T$49),"")</f>
        <v/>
      </c>
      <c r="Q42" s="51" t="str">
        <f>IF(AND('Mapa riesgos'!$AD$50="Baja",'Mapa riesgos'!$AF$50="Menor"),CONCATENATE("R7C",'Mapa riesgos'!$T$50),"")</f>
        <v/>
      </c>
      <c r="R42" s="51" t="str">
        <f>IF(AND('Mapa riesgos'!$AD$51="Baja",'Mapa riesgos'!$AF$51="Menor"),CONCATENATE("R7C",'Mapa riesgos'!$T$51),"")</f>
        <v/>
      </c>
      <c r="S42" s="51" t="str">
        <f>IF(AND('Mapa riesgos'!$AD$52="Baja",'Mapa riesgos'!$AF$52="Menor"),CONCATENATE("R7C",'Mapa riesgos'!$T$52),"")</f>
        <v/>
      </c>
      <c r="T42" s="51" t="str">
        <f>IF(AND('Mapa riesgos'!$AD$53="Baja",'Mapa riesgos'!$AF$53="Menor"),CONCATENATE("R7C",'Mapa riesgos'!$T$53),"")</f>
        <v/>
      </c>
      <c r="U42" s="52" t="str">
        <f>IF(AND('Mapa riesgos'!$AD$54="Baja",'Mapa riesgos'!$AF$54="Menor"),CONCATENATE("R7C",'Mapa riesgos'!$T$54),"")</f>
        <v/>
      </c>
      <c r="V42" s="50" t="str">
        <f>IF(AND('Mapa riesgos'!$AD$49="Baja",'Mapa riesgos'!$AF$49="Moderado"),CONCATENATE("R7C",'Mapa riesgos'!$T$49),"")</f>
        <v/>
      </c>
      <c r="W42" s="51" t="str">
        <f>IF(AND('Mapa riesgos'!$AD$50="Baja",'Mapa riesgos'!$AF$50="Moderado"),CONCATENATE("R7C",'Mapa riesgos'!$T$50),"")</f>
        <v/>
      </c>
      <c r="X42" s="51" t="str">
        <f>IF(AND('Mapa riesgos'!$AD$51="Baja",'Mapa riesgos'!$AF$51="Moderado"),CONCATENATE("R7C",'Mapa riesgos'!$T$51),"")</f>
        <v/>
      </c>
      <c r="Y42" s="51" t="str">
        <f>IF(AND('Mapa riesgos'!$AD$52="Baja",'Mapa riesgos'!$AF$52="Moderado"),CONCATENATE("R7C",'Mapa riesgos'!$T$52),"")</f>
        <v/>
      </c>
      <c r="Z42" s="51" t="str">
        <f>IF(AND('Mapa riesgos'!$AD$53="Baja",'Mapa riesgos'!$AF$53="Moderado"),CONCATENATE("R7C",'Mapa riesgos'!$T$53),"")</f>
        <v/>
      </c>
      <c r="AA42" s="52" t="str">
        <f>IF(AND('Mapa riesgos'!$AD$54="Baja",'Mapa riesgos'!$AF$54="Moderado"),CONCATENATE("R7C",'Mapa riesgos'!$T$54),"")</f>
        <v/>
      </c>
      <c r="AB42" s="35" t="str">
        <f>IF(AND('Mapa riesgos'!$AD$49="Baja",'Mapa riesgos'!$AF$49="Mayor"),CONCATENATE("R7C",'Mapa riesgos'!$T$49),"")</f>
        <v/>
      </c>
      <c r="AC42" s="36" t="str">
        <f>IF(AND('Mapa riesgos'!$AD$50="Baja",'Mapa riesgos'!$AF$50="Mayor"),CONCATENATE("R7C",'Mapa riesgos'!$T$50),"")</f>
        <v/>
      </c>
      <c r="AD42" s="36" t="str">
        <f>IF(AND('Mapa riesgos'!$AD$51="Baja",'Mapa riesgos'!$AF$51="Mayor"),CONCATENATE("R7C",'Mapa riesgos'!$T$51),"")</f>
        <v/>
      </c>
      <c r="AE42" s="36" t="str">
        <f>IF(AND('Mapa riesgos'!$AD$52="Baja",'Mapa riesgos'!$AF$52="Mayor"),CONCATENATE("R7C",'Mapa riesgos'!$T$52),"")</f>
        <v/>
      </c>
      <c r="AF42" s="36" t="str">
        <f>IF(AND('Mapa riesgos'!$AD$53="Baja",'Mapa riesgos'!$AF$53="Mayor"),CONCATENATE("R7C",'Mapa riesgos'!$T$53),"")</f>
        <v/>
      </c>
      <c r="AG42" s="37" t="str">
        <f>IF(AND('Mapa riesgos'!$AD$54="Baja",'Mapa riesgos'!$AF$54="Mayor"),CONCATENATE("R7C",'Mapa riesgos'!$T$54),"")</f>
        <v/>
      </c>
      <c r="AH42" s="38" t="str">
        <f>IF(AND('Mapa riesgos'!$AD$49="Baja",'Mapa riesgos'!$AF$49="Catastrófico"),CONCATENATE("R7C",'Mapa riesgos'!$T$49),"")</f>
        <v/>
      </c>
      <c r="AI42" s="39" t="str">
        <f>IF(AND('Mapa riesgos'!$AD$50="Baja",'Mapa riesgos'!$AF$50="Catastrófico"),CONCATENATE("R7C",'Mapa riesgos'!$T$50),"")</f>
        <v/>
      </c>
      <c r="AJ42" s="39" t="str">
        <f>IF(AND('Mapa riesgos'!$AD$51="Baja",'Mapa riesgos'!$AF$51="Catastrófico"),CONCATENATE("R7C",'Mapa riesgos'!$T$51),"")</f>
        <v/>
      </c>
      <c r="AK42" s="39" t="str">
        <f>IF(AND('Mapa riesgos'!$AD$52="Baja",'Mapa riesgos'!$AF$52="Catastrófico"),CONCATENATE("R7C",'Mapa riesgos'!$T$52),"")</f>
        <v/>
      </c>
      <c r="AL42" s="39" t="str">
        <f>IF(AND('Mapa riesgos'!$AD$53="Baja",'Mapa riesgos'!$AF$53="Catastrófico"),CONCATENATE("R7C",'Mapa riesgos'!$T$53),"")</f>
        <v/>
      </c>
      <c r="AM42" s="40" t="str">
        <f>IF(AND('Mapa riesgos'!$AD$54="Baja",'Mapa riesgos'!$AF$54="Catastrófico"),CONCATENATE("R7C",'Mapa riesgos'!$T$54),"")</f>
        <v/>
      </c>
      <c r="AN42" s="66"/>
      <c r="AO42" s="530"/>
      <c r="AP42" s="531"/>
      <c r="AQ42" s="531"/>
      <c r="AR42" s="531"/>
      <c r="AS42" s="531"/>
      <c r="AT42" s="532"/>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c r="A43" s="66"/>
      <c r="B43" s="458"/>
      <c r="C43" s="458"/>
      <c r="D43" s="459"/>
      <c r="E43" s="499"/>
      <c r="F43" s="500"/>
      <c r="G43" s="500"/>
      <c r="H43" s="500"/>
      <c r="I43" s="500"/>
      <c r="J43" s="59" t="str">
        <f>IF(AND('Mapa riesgos'!$AD$55="Baja",'Mapa riesgos'!$AF$55="Leve"),CONCATENATE("R8C",'Mapa riesgos'!$T$55),"")</f>
        <v/>
      </c>
      <c r="K43" s="60" t="str">
        <f>IF(AND('Mapa riesgos'!$AD$56="Baja",'Mapa riesgos'!$AF$56="Leve"),CONCATENATE("R8C",'Mapa riesgos'!$T$56),"")</f>
        <v/>
      </c>
      <c r="L43" s="60" t="str">
        <f>IF(AND('Mapa riesgos'!$AD$57="Baja",'Mapa riesgos'!$AF$57="Leve"),CONCATENATE("R8C",'Mapa riesgos'!$T$57),"")</f>
        <v/>
      </c>
      <c r="M43" s="60" t="str">
        <f>IF(AND('Mapa riesgos'!$AD$58="Baja",'Mapa riesgos'!$AF$58="Leve"),CONCATENATE("R8C",'Mapa riesgos'!$T$58),"")</f>
        <v/>
      </c>
      <c r="N43" s="60" t="str">
        <f>IF(AND('Mapa riesgos'!$AD$59="Baja",'Mapa riesgos'!$AF$59="Leve"),CONCATENATE("R8C",'Mapa riesgos'!$T$59),"")</f>
        <v/>
      </c>
      <c r="O43" s="61" t="str">
        <f>IF(AND('Mapa riesgos'!$AD$60="Baja",'Mapa riesgos'!$AF$60="Leve"),CONCATENATE("R8C",'Mapa riesgos'!$T$60),"")</f>
        <v/>
      </c>
      <c r="P43" s="50" t="str">
        <f>IF(AND('Mapa riesgos'!$AD$55="Baja",'Mapa riesgos'!$AF$55="Menor"),CONCATENATE("R8C",'Mapa riesgos'!$T$55),"")</f>
        <v/>
      </c>
      <c r="Q43" s="51" t="str">
        <f>IF(AND('Mapa riesgos'!$AD$56="Baja",'Mapa riesgos'!$AF$56="Menor"),CONCATENATE("R8C",'Mapa riesgos'!$T$56),"")</f>
        <v/>
      </c>
      <c r="R43" s="51" t="str">
        <f>IF(AND('Mapa riesgos'!$AD$57="Baja",'Mapa riesgos'!$AF$57="Menor"),CONCATENATE("R8C",'Mapa riesgos'!$T$57),"")</f>
        <v/>
      </c>
      <c r="S43" s="51" t="str">
        <f>IF(AND('Mapa riesgos'!$AD$58="Baja",'Mapa riesgos'!$AF$58="Menor"),CONCATENATE("R8C",'Mapa riesgos'!$T$58),"")</f>
        <v/>
      </c>
      <c r="T43" s="51" t="str">
        <f>IF(AND('Mapa riesgos'!$AD$59="Baja",'Mapa riesgos'!$AF$59="Menor"),CONCATENATE("R8C",'Mapa riesgos'!$T$59),"")</f>
        <v/>
      </c>
      <c r="U43" s="52" t="str">
        <f>IF(AND('Mapa riesgos'!$AD$60="Baja",'Mapa riesgos'!$AF$60="Menor"),CONCATENATE("R8C",'Mapa riesgos'!$T$60),"")</f>
        <v/>
      </c>
      <c r="V43" s="50" t="str">
        <f>IF(AND('Mapa riesgos'!$AD$55="Baja",'Mapa riesgos'!$AF$55="Moderado"),CONCATENATE("R8C",'Mapa riesgos'!$T$55),"")</f>
        <v/>
      </c>
      <c r="W43" s="51" t="str">
        <f>IF(AND('Mapa riesgos'!$AD$56="Baja",'Mapa riesgos'!$AF$56="Moderado"),CONCATENATE("R8C",'Mapa riesgos'!$T$56),"")</f>
        <v/>
      </c>
      <c r="X43" s="51" t="str">
        <f>IF(AND('Mapa riesgos'!$AD$57="Baja",'Mapa riesgos'!$AF$57="Moderado"),CONCATENATE("R8C",'Mapa riesgos'!$T$57),"")</f>
        <v/>
      </c>
      <c r="Y43" s="51" t="str">
        <f>IF(AND('Mapa riesgos'!$AD$58="Baja",'Mapa riesgos'!$AF$58="Moderado"),CONCATENATE("R8C",'Mapa riesgos'!$T$58),"")</f>
        <v/>
      </c>
      <c r="Z43" s="51" t="str">
        <f>IF(AND('Mapa riesgos'!$AD$59="Baja",'Mapa riesgos'!$AF$59="Moderado"),CONCATENATE("R8C",'Mapa riesgos'!$T$59),"")</f>
        <v/>
      </c>
      <c r="AA43" s="52" t="str">
        <f>IF(AND('Mapa riesgos'!$AD$60="Baja",'Mapa riesgos'!$AF$60="Moderado"),CONCATENATE("R8C",'Mapa riesgos'!$T$60),"")</f>
        <v/>
      </c>
      <c r="AB43" s="35" t="str">
        <f>IF(AND('Mapa riesgos'!$AD$55="Baja",'Mapa riesgos'!$AF$55="Mayor"),CONCATENATE("R8C",'Mapa riesgos'!$T$55),"")</f>
        <v/>
      </c>
      <c r="AC43" s="36" t="str">
        <f>IF(AND('Mapa riesgos'!$AD$56="Baja",'Mapa riesgos'!$AF$56="Mayor"),CONCATENATE("R8C",'Mapa riesgos'!$T$56),"")</f>
        <v/>
      </c>
      <c r="AD43" s="36" t="str">
        <f>IF(AND('Mapa riesgos'!$AD$57="Baja",'Mapa riesgos'!$AF$57="Mayor"),CONCATENATE("R8C",'Mapa riesgos'!$T$57),"")</f>
        <v/>
      </c>
      <c r="AE43" s="36" t="str">
        <f>IF(AND('Mapa riesgos'!$AD$58="Baja",'Mapa riesgos'!$AF$58="Mayor"),CONCATENATE("R8C",'Mapa riesgos'!$T$58),"")</f>
        <v/>
      </c>
      <c r="AF43" s="36" t="str">
        <f>IF(AND('Mapa riesgos'!$AD$59="Baja",'Mapa riesgos'!$AF$59="Mayor"),CONCATENATE("R8C",'Mapa riesgos'!$T$59),"")</f>
        <v/>
      </c>
      <c r="AG43" s="37" t="str">
        <f>IF(AND('Mapa riesgos'!$AD$60="Baja",'Mapa riesgos'!$AF$60="Mayor"),CONCATENATE("R8C",'Mapa riesgos'!$T$60),"")</f>
        <v/>
      </c>
      <c r="AH43" s="38" t="str">
        <f>IF(AND('Mapa riesgos'!$AD$55="Baja",'Mapa riesgos'!$AF$55="Catastrófico"),CONCATENATE("R8C",'Mapa riesgos'!$T$55),"")</f>
        <v/>
      </c>
      <c r="AI43" s="39" t="str">
        <f>IF(AND('Mapa riesgos'!$AD$56="Baja",'Mapa riesgos'!$AF$56="Catastrófico"),CONCATENATE("R8C",'Mapa riesgos'!$T$56),"")</f>
        <v/>
      </c>
      <c r="AJ43" s="39" t="str">
        <f>IF(AND('Mapa riesgos'!$AD$57="Baja",'Mapa riesgos'!$AF$57="Catastrófico"),CONCATENATE("R8C",'Mapa riesgos'!$T$57),"")</f>
        <v/>
      </c>
      <c r="AK43" s="39" t="str">
        <f>IF(AND('Mapa riesgos'!$AD$58="Baja",'Mapa riesgos'!$AF$58="Catastrófico"),CONCATENATE("R8C",'Mapa riesgos'!$T$58),"")</f>
        <v/>
      </c>
      <c r="AL43" s="39" t="str">
        <f>IF(AND('Mapa riesgos'!$AD$59="Baja",'Mapa riesgos'!$AF$59="Catastrófico"),CONCATENATE("R8C",'Mapa riesgos'!$T$59),"")</f>
        <v/>
      </c>
      <c r="AM43" s="40" t="str">
        <f>IF(AND('Mapa riesgos'!$AD$60="Baja",'Mapa riesgos'!$AF$60="Catastrófico"),CONCATENATE("R8C",'Mapa riesgos'!$T$60),"")</f>
        <v/>
      </c>
      <c r="AN43" s="66"/>
      <c r="AO43" s="530"/>
      <c r="AP43" s="531"/>
      <c r="AQ43" s="531"/>
      <c r="AR43" s="531"/>
      <c r="AS43" s="531"/>
      <c r="AT43" s="532"/>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c r="A44" s="66"/>
      <c r="B44" s="458"/>
      <c r="C44" s="458"/>
      <c r="D44" s="459"/>
      <c r="E44" s="499"/>
      <c r="F44" s="500"/>
      <c r="G44" s="500"/>
      <c r="H44" s="500"/>
      <c r="I44" s="500"/>
      <c r="J44" s="59" t="str">
        <f>IF(AND('Mapa riesgos'!$AD$61="Baja",'Mapa riesgos'!$AF$61="Leve"),CONCATENATE("R9C",'Mapa riesgos'!$T$61),"")</f>
        <v/>
      </c>
      <c r="K44" s="60" t="str">
        <f>IF(AND('Mapa riesgos'!$AD$62="Baja",'Mapa riesgos'!$AF$62="Leve"),CONCATENATE("R9C",'Mapa riesgos'!$T$62),"")</f>
        <v/>
      </c>
      <c r="L44" s="60" t="str">
        <f>IF(AND('Mapa riesgos'!$AD$63="Baja",'Mapa riesgos'!$AF$63="Leve"),CONCATENATE("R9C",'Mapa riesgos'!$T$63),"")</f>
        <v/>
      </c>
      <c r="M44" s="60" t="str">
        <f>IF(AND('Mapa riesgos'!$AD$64="Baja",'Mapa riesgos'!$AF$64="Leve"),CONCATENATE("R9C",'Mapa riesgos'!$T$64),"")</f>
        <v/>
      </c>
      <c r="N44" s="60" t="str">
        <f>IF(AND('Mapa riesgos'!$AD$65="Baja",'Mapa riesgos'!$AF$65="Leve"),CONCATENATE("R9C",'Mapa riesgos'!$T$65),"")</f>
        <v/>
      </c>
      <c r="O44" s="61" t="str">
        <f>IF(AND('Mapa riesgos'!$AD$66="Baja",'Mapa riesgos'!$AF$66="Leve"),CONCATENATE("R9C",'Mapa riesgos'!$T$66),"")</f>
        <v/>
      </c>
      <c r="P44" s="50" t="str">
        <f>IF(AND('Mapa riesgos'!$AD$61="Baja",'Mapa riesgos'!$AF$61="Menor"),CONCATENATE("R9C",'Mapa riesgos'!$T$61),"")</f>
        <v/>
      </c>
      <c r="Q44" s="51" t="str">
        <f>IF(AND('Mapa riesgos'!$AD$62="Baja",'Mapa riesgos'!$AF$62="Menor"),CONCATENATE("R9C",'Mapa riesgos'!$T$62),"")</f>
        <v/>
      </c>
      <c r="R44" s="51" t="str">
        <f>IF(AND('Mapa riesgos'!$AD$63="Baja",'Mapa riesgos'!$AF$63="Menor"),CONCATENATE("R9C",'Mapa riesgos'!$T$63),"")</f>
        <v/>
      </c>
      <c r="S44" s="51" t="str">
        <f>IF(AND('Mapa riesgos'!$AD$64="Baja",'Mapa riesgos'!$AF$64="Menor"),CONCATENATE("R9C",'Mapa riesgos'!$T$64),"")</f>
        <v/>
      </c>
      <c r="T44" s="51" t="str">
        <f>IF(AND('Mapa riesgos'!$AD$65="Baja",'Mapa riesgos'!$AF$65="Menor"),CONCATENATE("R9C",'Mapa riesgos'!$T$65),"")</f>
        <v/>
      </c>
      <c r="U44" s="52" t="str">
        <f>IF(AND('Mapa riesgos'!$AD$66="Baja",'Mapa riesgos'!$AF$66="Menor"),CONCATENATE("R9C",'Mapa riesgos'!$T$66),"")</f>
        <v/>
      </c>
      <c r="V44" s="50" t="str">
        <f>IF(AND('Mapa riesgos'!$AD$61="Baja",'Mapa riesgos'!$AF$61="Moderado"),CONCATENATE("R9C",'Mapa riesgos'!$T$61),"")</f>
        <v/>
      </c>
      <c r="W44" s="51" t="str">
        <f>IF(AND('Mapa riesgos'!$AD$62="Baja",'Mapa riesgos'!$AF$62="Moderado"),CONCATENATE("R9C",'Mapa riesgos'!$T$62),"")</f>
        <v/>
      </c>
      <c r="X44" s="51" t="str">
        <f>IF(AND('Mapa riesgos'!$AD$63="Baja",'Mapa riesgos'!$AF$63="Moderado"),CONCATENATE("R9C",'Mapa riesgos'!$T$63),"")</f>
        <v/>
      </c>
      <c r="Y44" s="51" t="str">
        <f>IF(AND('Mapa riesgos'!$AD$64="Baja",'Mapa riesgos'!$AF$64="Moderado"),CONCATENATE("R9C",'Mapa riesgos'!$T$64),"")</f>
        <v/>
      </c>
      <c r="Z44" s="51" t="str">
        <f>IF(AND('Mapa riesgos'!$AD$65="Baja",'Mapa riesgos'!$AF$65="Moderado"),CONCATENATE("R9C",'Mapa riesgos'!$T$65),"")</f>
        <v/>
      </c>
      <c r="AA44" s="52" t="str">
        <f>IF(AND('Mapa riesgos'!$AD$66="Baja",'Mapa riesgos'!$AF$66="Moderado"),CONCATENATE("R9C",'Mapa riesgos'!$T$66),"")</f>
        <v/>
      </c>
      <c r="AB44" s="35" t="str">
        <f>IF(AND('Mapa riesgos'!$AD$61="Baja",'Mapa riesgos'!$AF$61="Mayor"),CONCATENATE("R9C",'Mapa riesgos'!$T$61),"")</f>
        <v/>
      </c>
      <c r="AC44" s="36" t="str">
        <f>IF(AND('Mapa riesgos'!$AD$62="Baja",'Mapa riesgos'!$AF$62="Mayor"),CONCATENATE("R9C",'Mapa riesgos'!$T$62),"")</f>
        <v/>
      </c>
      <c r="AD44" s="36" t="str">
        <f>IF(AND('Mapa riesgos'!$AD$63="Baja",'Mapa riesgos'!$AF$63="Mayor"),CONCATENATE("R9C",'Mapa riesgos'!$T$63),"")</f>
        <v/>
      </c>
      <c r="AE44" s="36" t="str">
        <f>IF(AND('Mapa riesgos'!$AD$64="Baja",'Mapa riesgos'!$AF$64="Mayor"),CONCATENATE("R9C",'Mapa riesgos'!$T$64),"")</f>
        <v/>
      </c>
      <c r="AF44" s="36" t="str">
        <f>IF(AND('Mapa riesgos'!$AD$65="Baja",'Mapa riesgos'!$AF$65="Mayor"),CONCATENATE("R9C",'Mapa riesgos'!$T$65),"")</f>
        <v/>
      </c>
      <c r="AG44" s="37" t="str">
        <f>IF(AND('Mapa riesgos'!$AD$66="Baja",'Mapa riesgos'!$AF$66="Mayor"),CONCATENATE("R9C",'Mapa riesgos'!$T$66),"")</f>
        <v/>
      </c>
      <c r="AH44" s="38" t="str">
        <f>IF(AND('Mapa riesgos'!$AD$61="Baja",'Mapa riesgos'!$AF$61="Catastrófico"),CONCATENATE("R9C",'Mapa riesgos'!$T$61),"")</f>
        <v/>
      </c>
      <c r="AI44" s="39" t="str">
        <f>IF(AND('Mapa riesgos'!$AD$62="Baja",'Mapa riesgos'!$AF$62="Catastrófico"),CONCATENATE("R9C",'Mapa riesgos'!$T$62),"")</f>
        <v/>
      </c>
      <c r="AJ44" s="39" t="str">
        <f>IF(AND('Mapa riesgos'!$AD$63="Baja",'Mapa riesgos'!$AF$63="Catastrófico"),CONCATENATE("R9C",'Mapa riesgos'!$T$63),"")</f>
        <v/>
      </c>
      <c r="AK44" s="39" t="str">
        <f>IF(AND('Mapa riesgos'!$AD$64="Baja",'Mapa riesgos'!$AF$64="Catastrófico"),CONCATENATE("R9C",'Mapa riesgos'!$T$64),"")</f>
        <v/>
      </c>
      <c r="AL44" s="39" t="str">
        <f>IF(AND('Mapa riesgos'!$AD$65="Baja",'Mapa riesgos'!$AF$65="Catastrófico"),CONCATENATE("R9C",'Mapa riesgos'!$T$65),"")</f>
        <v/>
      </c>
      <c r="AM44" s="40" t="str">
        <f>IF(AND('Mapa riesgos'!$AD$66="Baja",'Mapa riesgos'!$AF$66="Catastrófico"),CONCATENATE("R9C",'Mapa riesgos'!$T$66),"")</f>
        <v/>
      </c>
      <c r="AN44" s="66"/>
      <c r="AO44" s="530"/>
      <c r="AP44" s="531"/>
      <c r="AQ44" s="531"/>
      <c r="AR44" s="531"/>
      <c r="AS44" s="531"/>
      <c r="AT44" s="532"/>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c r="A45" s="66"/>
      <c r="B45" s="458"/>
      <c r="C45" s="458"/>
      <c r="D45" s="459"/>
      <c r="E45" s="502"/>
      <c r="F45" s="503"/>
      <c r="G45" s="503"/>
      <c r="H45" s="503"/>
      <c r="I45" s="503"/>
      <c r="J45" s="62" t="str">
        <f>IF(AND('Mapa riesgos'!$AD$67="Baja",'Mapa riesgos'!$AF$67="Leve"),CONCATENATE("R10C",'Mapa riesgos'!$T$67),"")</f>
        <v/>
      </c>
      <c r="K45" s="63" t="str">
        <f>IF(AND('Mapa riesgos'!$AD$68="Baja",'Mapa riesgos'!$AF$68="Leve"),CONCATENATE("R10C",'Mapa riesgos'!$T$68),"")</f>
        <v/>
      </c>
      <c r="L45" s="63" t="str">
        <f>IF(AND('Mapa riesgos'!$AD$69="Baja",'Mapa riesgos'!$AF$69="Leve"),CONCATENATE("R10C",'Mapa riesgos'!$T$69),"")</f>
        <v/>
      </c>
      <c r="M45" s="63" t="str">
        <f>IF(AND('Mapa riesgos'!$AD$70="Baja",'Mapa riesgos'!$AF$70="Leve"),CONCATENATE("R10C",'Mapa riesgos'!$T$70),"")</f>
        <v/>
      </c>
      <c r="N45" s="63" t="str">
        <f>IF(AND('Mapa riesgos'!$AD$71="Baja",'Mapa riesgos'!$AF$71="Leve"),CONCATENATE("R10C",'Mapa riesgos'!$T$71),"")</f>
        <v/>
      </c>
      <c r="O45" s="64" t="str">
        <f>IF(AND('Mapa riesgos'!$AD$72="Baja",'Mapa riesgos'!$AF$72="Leve"),CONCATENATE("R10C",'Mapa riesgos'!$T$72),"")</f>
        <v/>
      </c>
      <c r="P45" s="50" t="str">
        <f>IF(AND('Mapa riesgos'!$AD$67="Baja",'Mapa riesgos'!$AF$67="Menor"),CONCATENATE("R10C",'Mapa riesgos'!$T$67),"")</f>
        <v/>
      </c>
      <c r="Q45" s="51" t="str">
        <f>IF(AND('Mapa riesgos'!$AD$68="Baja",'Mapa riesgos'!$AF$68="Menor"),CONCATENATE("R10C",'Mapa riesgos'!$T$68),"")</f>
        <v/>
      </c>
      <c r="R45" s="51" t="str">
        <f>IF(AND('Mapa riesgos'!$AD$69="Baja",'Mapa riesgos'!$AF$69="Menor"),CONCATENATE("R10C",'Mapa riesgos'!$T$69),"")</f>
        <v/>
      </c>
      <c r="S45" s="51" t="str">
        <f>IF(AND('Mapa riesgos'!$AD$70="Baja",'Mapa riesgos'!$AF$70="Menor"),CONCATENATE("R10C",'Mapa riesgos'!$T$70),"")</f>
        <v/>
      </c>
      <c r="T45" s="51" t="str">
        <f>IF(AND('Mapa riesgos'!$AD$71="Baja",'Mapa riesgos'!$AF$71="Menor"),CONCATENATE("R10C",'Mapa riesgos'!$T$71),"")</f>
        <v/>
      </c>
      <c r="U45" s="52" t="str">
        <f>IF(AND('Mapa riesgos'!$AD$72="Baja",'Mapa riesgos'!$AF$72="Menor"),CONCATENATE("R10C",'Mapa riesgos'!$T$72),"")</f>
        <v/>
      </c>
      <c r="V45" s="53" t="str">
        <f>IF(AND('Mapa riesgos'!$AD$67="Baja",'Mapa riesgos'!$AF$67="Moderado"),CONCATENATE("R10C",'Mapa riesgos'!$T$67),"")</f>
        <v/>
      </c>
      <c r="W45" s="54" t="str">
        <f>IF(AND('Mapa riesgos'!$AD$68="Baja",'Mapa riesgos'!$AF$68="Moderado"),CONCATENATE("R10C",'Mapa riesgos'!$T$68),"")</f>
        <v/>
      </c>
      <c r="X45" s="54" t="str">
        <f>IF(AND('Mapa riesgos'!$AD$69="Baja",'Mapa riesgos'!$AF$69="Moderado"),CONCATENATE("R10C",'Mapa riesgos'!$T$69),"")</f>
        <v/>
      </c>
      <c r="Y45" s="54" t="str">
        <f>IF(AND('Mapa riesgos'!$AD$70="Baja",'Mapa riesgos'!$AF$70="Moderado"),CONCATENATE("R10C",'Mapa riesgos'!$T$70),"")</f>
        <v/>
      </c>
      <c r="Z45" s="54" t="str">
        <f>IF(AND('Mapa riesgos'!$AD$71="Baja",'Mapa riesgos'!$AF$71="Moderado"),CONCATENATE("R10C",'Mapa riesgos'!$T$71),"")</f>
        <v/>
      </c>
      <c r="AA45" s="55" t="str">
        <f>IF(AND('Mapa riesgos'!$AD$72="Baja",'Mapa riesgos'!$AF$72="Moderado"),CONCATENATE("R10C",'Mapa riesgos'!$T$72),"")</f>
        <v/>
      </c>
      <c r="AB45" s="41" t="str">
        <f>IF(AND('Mapa riesgos'!$AD$67="Baja",'Mapa riesgos'!$AF$67="Mayor"),CONCATENATE("R10C",'Mapa riesgos'!$T$67),"")</f>
        <v/>
      </c>
      <c r="AC45" s="42" t="str">
        <f>IF(AND('Mapa riesgos'!$AD$68="Baja",'Mapa riesgos'!$AF$68="Mayor"),CONCATENATE("R10C",'Mapa riesgos'!$T$68),"")</f>
        <v/>
      </c>
      <c r="AD45" s="42" t="str">
        <f>IF(AND('Mapa riesgos'!$AD$69="Baja",'Mapa riesgos'!$AF$69="Mayor"),CONCATENATE("R10C",'Mapa riesgos'!$T$69),"")</f>
        <v/>
      </c>
      <c r="AE45" s="42" t="str">
        <f>IF(AND('Mapa riesgos'!$AD$70="Baja",'Mapa riesgos'!$AF$70="Mayor"),CONCATENATE("R10C",'Mapa riesgos'!$T$70),"")</f>
        <v/>
      </c>
      <c r="AF45" s="42" t="str">
        <f>IF(AND('Mapa riesgos'!$AD$71="Baja",'Mapa riesgos'!$AF$71="Mayor"),CONCATENATE("R10C",'Mapa riesgos'!$T$71),"")</f>
        <v/>
      </c>
      <c r="AG45" s="43" t="str">
        <f>IF(AND('Mapa riesgos'!$AD$72="Baja",'Mapa riesgos'!$AF$72="Mayor"),CONCATENATE("R10C",'Mapa riesgos'!$T$72),"")</f>
        <v/>
      </c>
      <c r="AH45" s="44" t="str">
        <f>IF(AND('Mapa riesgos'!$AD$67="Baja",'Mapa riesgos'!$AF$67="Catastrófico"),CONCATENATE("R10C",'Mapa riesgos'!$T$67),"")</f>
        <v/>
      </c>
      <c r="AI45" s="45" t="str">
        <f>IF(AND('Mapa riesgos'!$AD$68="Baja",'Mapa riesgos'!$AF$68="Catastrófico"),CONCATENATE("R10C",'Mapa riesgos'!$T$68),"")</f>
        <v/>
      </c>
      <c r="AJ45" s="45" t="str">
        <f>IF(AND('Mapa riesgos'!$AD$69="Baja",'Mapa riesgos'!$AF$69="Catastrófico"),CONCATENATE("R10C",'Mapa riesgos'!$T$69),"")</f>
        <v/>
      </c>
      <c r="AK45" s="45" t="str">
        <f>IF(AND('Mapa riesgos'!$AD$70="Baja",'Mapa riesgos'!$AF$70="Catastrófico"),CONCATENATE("R10C",'Mapa riesgos'!$T$70),"")</f>
        <v/>
      </c>
      <c r="AL45" s="45" t="str">
        <f>IF(AND('Mapa riesgos'!$AD$71="Baja",'Mapa riesgos'!$AF$71="Catastrófico"),CONCATENATE("R10C",'Mapa riesgos'!$T$71),"")</f>
        <v/>
      </c>
      <c r="AM45" s="46" t="str">
        <f>IF(AND('Mapa riesgos'!$AD$72="Baja",'Mapa riesgos'!$AF$72="Catastrófico"),CONCATENATE("R10C",'Mapa riesgos'!$T$72),"")</f>
        <v/>
      </c>
      <c r="AN45" s="66"/>
      <c r="AO45" s="533"/>
      <c r="AP45" s="534"/>
      <c r="AQ45" s="534"/>
      <c r="AR45" s="534"/>
      <c r="AS45" s="534"/>
      <c r="AT45" s="535"/>
    </row>
    <row r="46" spans="1:80" ht="46.5" customHeight="1">
      <c r="A46" s="66"/>
      <c r="B46" s="458"/>
      <c r="C46" s="458"/>
      <c r="D46" s="459"/>
      <c r="E46" s="496" t="s">
        <v>225</v>
      </c>
      <c r="F46" s="497"/>
      <c r="G46" s="497"/>
      <c r="H46" s="497"/>
      <c r="I46" s="498"/>
      <c r="J46" s="56" t="str">
        <f>IF(AND('Mapa riesgos'!$AD$13="Muy Baja",'Mapa riesgos'!$AF$13="Leve"),CONCATENATE("R1C",'Mapa riesgos'!$T$13),"")</f>
        <v/>
      </c>
      <c r="K46" s="57" t="str">
        <f>IF(AND('Mapa riesgos'!$AD$14="Muy Baja",'Mapa riesgos'!$AF$14="Leve"),CONCATENATE("R1C",'Mapa riesgos'!$T$14),"")</f>
        <v/>
      </c>
      <c r="L46" s="57" t="str">
        <f>IF(AND('Mapa riesgos'!$AD$15="Muy Baja",'Mapa riesgos'!$AF$15="Leve"),CONCATENATE("R1C",'Mapa riesgos'!$T$15),"")</f>
        <v/>
      </c>
      <c r="M46" s="57" t="str">
        <f>IF(AND('Mapa riesgos'!$AD$16="Muy Baja",'Mapa riesgos'!$AF$16="Leve"),CONCATENATE("R1C",'Mapa riesgos'!$T$16),"")</f>
        <v/>
      </c>
      <c r="N46" s="57" t="str">
        <f>IF(AND('Mapa riesgos'!$AD$17="Muy Baja",'Mapa riesgos'!$AF$17="Leve"),CONCATENATE("R1C",'Mapa riesgos'!$T$17),"")</f>
        <v/>
      </c>
      <c r="O46" s="58" t="str">
        <f>IF(AND('Mapa riesgos'!$AD$18="Muy Baja",'Mapa riesgos'!$AF$18="Leve"),CONCATENATE("R1C",'Mapa riesgos'!$T$18),"")</f>
        <v/>
      </c>
      <c r="P46" s="56" t="str">
        <f>IF(AND('Mapa riesgos'!$AD$13="Muy Baja",'Mapa riesgos'!$AF$13="Menor"),CONCATENATE("R1C",'Mapa riesgos'!$T$13),"")</f>
        <v/>
      </c>
      <c r="Q46" s="57" t="str">
        <f>IF(AND('Mapa riesgos'!$AD$14="Muy Baja",'Mapa riesgos'!$AF$14="Menor"),CONCATENATE("R1C",'Mapa riesgos'!$T$14),"")</f>
        <v/>
      </c>
      <c r="R46" s="57" t="str">
        <f>IF(AND('Mapa riesgos'!$AD$15="Muy Baja",'Mapa riesgos'!$AF$15="Menor"),CONCATENATE("R1C",'Mapa riesgos'!$T$15),"")</f>
        <v/>
      </c>
      <c r="S46" s="57" t="str">
        <f>IF(AND('Mapa riesgos'!$AD$16="Muy Baja",'Mapa riesgos'!$AF$16="Menor"),CONCATENATE("R1C",'Mapa riesgos'!$T$16),"")</f>
        <v/>
      </c>
      <c r="T46" s="57" t="str">
        <f>IF(AND('Mapa riesgos'!$AD$17="Muy Baja",'Mapa riesgos'!$AF$17="Menor"),CONCATENATE("R1C",'Mapa riesgos'!$T$17),"")</f>
        <v/>
      </c>
      <c r="U46" s="58" t="str">
        <f>IF(AND('Mapa riesgos'!$AD$18="Muy Baja",'Mapa riesgos'!$AF$18="Menor"),CONCATENATE("R1C",'Mapa riesgos'!$T$18),"")</f>
        <v/>
      </c>
      <c r="V46" s="47" t="str">
        <f>IF(AND('Mapa riesgos'!$AD$13="Muy Baja",'Mapa riesgos'!$AF$13="Moderado"),CONCATENATE("R1C",'Mapa riesgos'!$T$13),"")</f>
        <v/>
      </c>
      <c r="W46" s="65" t="str">
        <f>IF(AND('Mapa riesgos'!$AD$14="Muy Baja",'Mapa riesgos'!$AF$14="Moderado"),CONCATENATE("R1C",'Mapa riesgos'!$T$14),"")</f>
        <v/>
      </c>
      <c r="X46" s="48" t="str">
        <f>IF(AND('Mapa riesgos'!$AD$15="Muy Baja",'Mapa riesgos'!$AF$15="Moderado"),CONCATENATE("R1C",'Mapa riesgos'!$T$15),"")</f>
        <v/>
      </c>
      <c r="Y46" s="48" t="str">
        <f>IF(AND('Mapa riesgos'!$AD$16="Muy Baja",'Mapa riesgos'!$AF$16="Moderado"),CONCATENATE("R1C",'Mapa riesgos'!$T$16),"")</f>
        <v/>
      </c>
      <c r="Z46" s="48" t="str">
        <f>IF(AND('Mapa riesgos'!$AD$17="Muy Baja",'Mapa riesgos'!$AF$17="Moderado"),CONCATENATE("R1C",'Mapa riesgos'!$T$17),"")</f>
        <v/>
      </c>
      <c r="AA46" s="49" t="str">
        <f>IF(AND('Mapa riesgos'!$AD$18="Muy Baja",'Mapa riesgos'!$AF$18="Moderado"),CONCATENATE("R1C",'Mapa riesgos'!$T$18),"")</f>
        <v/>
      </c>
      <c r="AB46" s="29" t="str">
        <f>IF(AND('Mapa riesgos'!$AD$13="Muy Baja",'Mapa riesgos'!$AF$13="Mayor"),CONCATENATE("R1C",'Mapa riesgos'!$T$13),"")</f>
        <v/>
      </c>
      <c r="AC46" s="30" t="str">
        <f>IF(AND('Mapa riesgos'!$AD$14="Muy Baja",'Mapa riesgos'!$AF$14="Mayor"),CONCATENATE("R1C",'Mapa riesgos'!$T$14),"")</f>
        <v/>
      </c>
      <c r="AD46" s="30" t="str">
        <f>IF(AND('Mapa riesgos'!$AD$15="Muy Baja",'Mapa riesgos'!$AF$15="Mayor"),CONCATENATE("R1C",'Mapa riesgos'!$T$15),"")</f>
        <v/>
      </c>
      <c r="AE46" s="30" t="str">
        <f>IF(AND('Mapa riesgos'!$AD$16="Muy Baja",'Mapa riesgos'!$AF$16="Mayor"),CONCATENATE("R1C",'Mapa riesgos'!$T$16),"")</f>
        <v/>
      </c>
      <c r="AF46" s="30" t="str">
        <f>IF(AND('Mapa riesgos'!$AD$17="Muy Baja",'Mapa riesgos'!$AF$17="Mayor"),CONCATENATE("R1C",'Mapa riesgos'!$T$17),"")</f>
        <v/>
      </c>
      <c r="AG46" s="31" t="str">
        <f>IF(AND('Mapa riesgos'!$AD$18="Muy Baja",'Mapa riesgos'!$AF$18="Mayor"),CONCATENATE("R1C",'Mapa riesgos'!$T$18),"")</f>
        <v/>
      </c>
      <c r="AH46" s="32" t="str">
        <f>IF(AND('Mapa riesgos'!$AD$13="Muy Baja",'Mapa riesgos'!$AF$13="Catastrófico"),CONCATENATE("R1C",'Mapa riesgos'!$T$13),"")</f>
        <v/>
      </c>
      <c r="AI46" s="33" t="str">
        <f>IF(AND('Mapa riesgos'!$AD$14="Muy Baja",'Mapa riesgos'!$AF$14="Catastrófico"),CONCATENATE("R1C",'Mapa riesgos'!$T$14),"")</f>
        <v/>
      </c>
      <c r="AJ46" s="33" t="str">
        <f>IF(AND('Mapa riesgos'!$AD$15="Muy Baja",'Mapa riesgos'!$AF$15="Catastrófico"),CONCATENATE("R1C",'Mapa riesgos'!$T$15),"")</f>
        <v/>
      </c>
      <c r="AK46" s="33" t="str">
        <f>IF(AND('Mapa riesgos'!$AD$16="Muy Baja",'Mapa riesgos'!$AF$16="Catastrófico"),CONCATENATE("R1C",'Mapa riesgos'!$T$16),"")</f>
        <v/>
      </c>
      <c r="AL46" s="33" t="str">
        <f>IF(AND('Mapa riesgos'!$AD$17="Muy Baja",'Mapa riesgos'!$AF$17="Catastrófico"),CONCATENATE("R1C",'Mapa riesgos'!$T$17),"")</f>
        <v/>
      </c>
      <c r="AM46" s="34" t="str">
        <f>IF(AND('Mapa riesgos'!$AD$18="Muy Baja",'Mapa riesgos'!$AF$18="Catastrófico"),CONCATENATE("R1C",'Mapa riesgos'!$T$18),"")</f>
        <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c r="A47" s="66"/>
      <c r="B47" s="458"/>
      <c r="C47" s="458"/>
      <c r="D47" s="459"/>
      <c r="E47" s="515"/>
      <c r="F47" s="500"/>
      <c r="G47" s="500"/>
      <c r="H47" s="500"/>
      <c r="I47" s="501"/>
      <c r="J47" s="59" t="str">
        <f>IF(AND('Mapa riesgos'!$AD$19="Muy Baja",'Mapa riesgos'!$AF$19="Leve"),CONCATENATE("R2C",'Mapa riesgos'!$T$19),"")</f>
        <v/>
      </c>
      <c r="K47" s="60" t="str">
        <f>IF(AND('Mapa riesgos'!$AD$20="Muy Baja",'Mapa riesgos'!$AF$20="Leve"),CONCATENATE("R2C",'Mapa riesgos'!$T$20),"")</f>
        <v/>
      </c>
      <c r="L47" s="60" t="str">
        <f>IF(AND('Mapa riesgos'!$AD$21="Muy Baja",'Mapa riesgos'!$AF$21="Leve"),CONCATENATE("R2C",'Mapa riesgos'!$T$21),"")</f>
        <v/>
      </c>
      <c r="M47" s="60" t="str">
        <f>IF(AND('Mapa riesgos'!$AD$22="Muy Baja",'Mapa riesgos'!$AF$22="Leve"),CONCATENATE("R2C",'Mapa riesgos'!$T$22),"")</f>
        <v/>
      </c>
      <c r="N47" s="60" t="str">
        <f>IF(AND('Mapa riesgos'!$AD$23="Muy Baja",'Mapa riesgos'!$AF$23="Leve"),CONCATENATE("R2C",'Mapa riesgos'!$T$23),"")</f>
        <v/>
      </c>
      <c r="O47" s="61" t="str">
        <f>IF(AND('Mapa riesgos'!$AD$24="Muy Baja",'Mapa riesgos'!$AF$24="Leve"),CONCATENATE("R2C",'Mapa riesgos'!$T$24),"")</f>
        <v/>
      </c>
      <c r="P47" s="59" t="str">
        <f>IF(AND('Mapa riesgos'!$AD$19="Muy Baja",'Mapa riesgos'!$AF$19="Menor"),CONCATENATE("R2C",'Mapa riesgos'!$T$19),"")</f>
        <v/>
      </c>
      <c r="Q47" s="60" t="str">
        <f>IF(AND('Mapa riesgos'!$AD$20="Muy Baja",'Mapa riesgos'!$AF$20="Menor"),CONCATENATE("R2C",'Mapa riesgos'!$T$20),"")</f>
        <v/>
      </c>
      <c r="R47" s="60" t="str">
        <f>IF(AND('Mapa riesgos'!$AD$21="Muy Baja",'Mapa riesgos'!$AF$21="Menor"),CONCATENATE("R2C",'Mapa riesgos'!$T$21),"")</f>
        <v/>
      </c>
      <c r="S47" s="60" t="str">
        <f>IF(AND('Mapa riesgos'!$AD$22="Muy Baja",'Mapa riesgos'!$AF$22="Menor"),CONCATENATE("R2C",'Mapa riesgos'!$T$22),"")</f>
        <v/>
      </c>
      <c r="T47" s="60" t="str">
        <f>IF(AND('Mapa riesgos'!$AD$23="Muy Baja",'Mapa riesgos'!$AF$23="Menor"),CONCATENATE("R2C",'Mapa riesgos'!$T$23),"")</f>
        <v/>
      </c>
      <c r="U47" s="61" t="str">
        <f>IF(AND('Mapa riesgos'!$AD$24="Muy Baja",'Mapa riesgos'!$AF$24="Menor"),CONCATENATE("R2C",'Mapa riesgos'!$T$24),"")</f>
        <v/>
      </c>
      <c r="V47" s="50" t="str">
        <f>IF(AND('Mapa riesgos'!$AD$19="Muy Baja",'Mapa riesgos'!$AF$19="Moderado"),CONCATENATE("R2C",'Mapa riesgos'!$T$19),"")</f>
        <v/>
      </c>
      <c r="W47" s="51" t="str">
        <f>IF(AND('Mapa riesgos'!$AD$20="Muy Baja",'Mapa riesgos'!$AF$20="Moderado"),CONCATENATE("R2C",'Mapa riesgos'!$T$20),"")</f>
        <v/>
      </c>
      <c r="X47" s="51" t="str">
        <f>IF(AND('Mapa riesgos'!$AD$21="Muy Baja",'Mapa riesgos'!$AF$21="Moderado"),CONCATENATE("R2C",'Mapa riesgos'!$T$21),"")</f>
        <v/>
      </c>
      <c r="Y47" s="51" t="str">
        <f>IF(AND('Mapa riesgos'!$AD$22="Muy Baja",'Mapa riesgos'!$AF$22="Moderado"),CONCATENATE("R2C",'Mapa riesgos'!$T$22),"")</f>
        <v/>
      </c>
      <c r="Z47" s="51" t="str">
        <f>IF(AND('Mapa riesgos'!$AD$23="Muy Baja",'Mapa riesgos'!$AF$23="Moderado"),CONCATENATE("R2C",'Mapa riesgos'!$T$23),"")</f>
        <v/>
      </c>
      <c r="AA47" s="52" t="str">
        <f>IF(AND('Mapa riesgos'!$AD$24="Muy Baja",'Mapa riesgos'!$AF$24="Moderado"),CONCATENATE("R2C",'Mapa riesgos'!$T$24),"")</f>
        <v/>
      </c>
      <c r="AB47" s="35" t="str">
        <f>IF(AND('Mapa riesgos'!$AD$19="Muy Baja",'Mapa riesgos'!$AF$19="Mayor"),CONCATENATE("R2C",'Mapa riesgos'!$T$19),"")</f>
        <v/>
      </c>
      <c r="AC47" s="36" t="str">
        <f>IF(AND('Mapa riesgos'!$AD$20="Muy Baja",'Mapa riesgos'!$AF$20="Mayor"),CONCATENATE("R2C",'Mapa riesgos'!$T$20),"")</f>
        <v/>
      </c>
      <c r="AD47" s="36" t="str">
        <f>IF(AND('Mapa riesgos'!$AD$21="Muy Baja",'Mapa riesgos'!$AF$21="Mayor"),CONCATENATE("R2C",'Mapa riesgos'!$T$21),"")</f>
        <v/>
      </c>
      <c r="AE47" s="36" t="str">
        <f>IF(AND('Mapa riesgos'!$AD$22="Muy Baja",'Mapa riesgos'!$AF$22="Mayor"),CONCATENATE("R2C",'Mapa riesgos'!$T$22),"")</f>
        <v/>
      </c>
      <c r="AF47" s="36" t="str">
        <f>IF(AND('Mapa riesgos'!$AD$23="Muy Baja",'Mapa riesgos'!$AF$23="Mayor"),CONCATENATE("R2C",'Mapa riesgos'!$T$23),"")</f>
        <v/>
      </c>
      <c r="AG47" s="37" t="str">
        <f>IF(AND('Mapa riesgos'!$AD$24="Muy Baja",'Mapa riesgos'!$AF$24="Mayor"),CONCATENATE("R2C",'Mapa riesgos'!$T$24),"")</f>
        <v/>
      </c>
      <c r="AH47" s="38" t="str">
        <f>IF(AND('Mapa riesgos'!$AD$19="Muy Baja",'Mapa riesgos'!$AF$19="Catastrófico"),CONCATENATE("R2C",'Mapa riesgos'!$T$19),"")</f>
        <v/>
      </c>
      <c r="AI47" s="39" t="str">
        <f>IF(AND('Mapa riesgos'!$AD$20="Muy Baja",'Mapa riesgos'!$AF$20="Catastrófico"),CONCATENATE("R2C",'Mapa riesgos'!$T$20),"")</f>
        <v/>
      </c>
      <c r="AJ47" s="39" t="str">
        <f>IF(AND('Mapa riesgos'!$AD$21="Muy Baja",'Mapa riesgos'!$AF$21="Catastrófico"),CONCATENATE("R2C",'Mapa riesgos'!$T$21),"")</f>
        <v/>
      </c>
      <c r="AK47" s="39" t="str">
        <f>IF(AND('Mapa riesgos'!$AD$22="Muy Baja",'Mapa riesgos'!$AF$22="Catastrófico"),CONCATENATE("R2C",'Mapa riesgos'!$T$22),"")</f>
        <v/>
      </c>
      <c r="AL47" s="39" t="str">
        <f>IF(AND('Mapa riesgos'!$AD$23="Muy Baja",'Mapa riesgos'!$AF$23="Catastrófico"),CONCATENATE("R2C",'Mapa riesgos'!$T$23),"")</f>
        <v/>
      </c>
      <c r="AM47" s="40" t="str">
        <f>IF(AND('Mapa riesgos'!$AD$24="Muy Baja",'Mapa riesgos'!$AF$24="Catastrófico"),CONCATENATE("R2C",'Mapa riesgos'!$T$24),"")</f>
        <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c r="A48" s="66"/>
      <c r="B48" s="458"/>
      <c r="C48" s="458"/>
      <c r="D48" s="459"/>
      <c r="E48" s="515"/>
      <c r="F48" s="500"/>
      <c r="G48" s="500"/>
      <c r="H48" s="500"/>
      <c r="I48" s="501"/>
      <c r="J48" s="59" t="str">
        <f>IF(AND('Mapa riesgos'!$AD$25="Muy Baja",'Mapa riesgos'!$AF$25="Leve"),CONCATENATE("R3C",'Mapa riesgos'!$T$25),"")</f>
        <v/>
      </c>
      <c r="K48" s="60" t="str">
        <f>IF(AND('Mapa riesgos'!$AD$26="Muy Baja",'Mapa riesgos'!$AF$26="Leve"),CONCATENATE("R3C",'Mapa riesgos'!$T$26),"")</f>
        <v/>
      </c>
      <c r="L48" s="60" t="str">
        <f>IF(AND('Mapa riesgos'!$AD$27="Muy Baja",'Mapa riesgos'!$AF$27="Leve"),CONCATENATE("R3C",'Mapa riesgos'!$T$27),"")</f>
        <v/>
      </c>
      <c r="M48" s="60" t="str">
        <f>IF(AND('Mapa riesgos'!$AD$28="Muy Baja",'Mapa riesgos'!$AF$28="Leve"),CONCATENATE("R3C",'Mapa riesgos'!$T$28),"")</f>
        <v/>
      </c>
      <c r="N48" s="60" t="str">
        <f>IF(AND('Mapa riesgos'!$AD$29="Muy Baja",'Mapa riesgos'!$AF$29="Leve"),CONCATENATE("R3C",'Mapa riesgos'!$T$29),"")</f>
        <v/>
      </c>
      <c r="O48" s="61" t="str">
        <f>IF(AND('Mapa riesgos'!$AD$30="Muy Baja",'Mapa riesgos'!$AF$30="Leve"),CONCATENATE("R3C",'Mapa riesgos'!$T$30),"")</f>
        <v/>
      </c>
      <c r="P48" s="59" t="str">
        <f>IF(AND('Mapa riesgos'!$AD$25="Muy Baja",'Mapa riesgos'!$AF$25="Menor"),CONCATENATE("R3C",'Mapa riesgos'!$T$25),"")</f>
        <v/>
      </c>
      <c r="Q48" s="60" t="str">
        <f>IF(AND('Mapa riesgos'!$AD$26="Muy Baja",'Mapa riesgos'!$AF$26="Menor"),CONCATENATE("R3C",'Mapa riesgos'!$T$26),"")</f>
        <v/>
      </c>
      <c r="R48" s="60" t="str">
        <f>IF(AND('Mapa riesgos'!$AD$27="Muy Baja",'Mapa riesgos'!$AF$27="Menor"),CONCATENATE("R3C",'Mapa riesgos'!$T$27),"")</f>
        <v/>
      </c>
      <c r="S48" s="60" t="str">
        <f>IF(AND('Mapa riesgos'!$AD$28="Muy Baja",'Mapa riesgos'!$AF$28="Menor"),CONCATENATE("R3C",'Mapa riesgos'!$T$28),"")</f>
        <v/>
      </c>
      <c r="T48" s="60" t="str">
        <f>IF(AND('Mapa riesgos'!$AD$29="Muy Baja",'Mapa riesgos'!$AF$29="Menor"),CONCATENATE("R3C",'Mapa riesgos'!$T$29),"")</f>
        <v/>
      </c>
      <c r="U48" s="61" t="str">
        <f>IF(AND('Mapa riesgos'!$AD$30="Muy Baja",'Mapa riesgos'!$AF$30="Menor"),CONCATENATE("R3C",'Mapa riesgos'!$T$30),"")</f>
        <v/>
      </c>
      <c r="V48" s="50" t="str">
        <f>IF(AND('Mapa riesgos'!$AD$25="Muy Baja",'Mapa riesgos'!$AF$25="Moderado"),CONCATENATE("R3C",'Mapa riesgos'!$T$25),"")</f>
        <v/>
      </c>
      <c r="W48" s="51" t="str">
        <f>IF(AND('Mapa riesgos'!$AD$26="Muy Baja",'Mapa riesgos'!$AF$26="Moderado"),CONCATENATE("R3C",'Mapa riesgos'!$T$26),"")</f>
        <v/>
      </c>
      <c r="X48" s="51" t="str">
        <f>IF(AND('Mapa riesgos'!$AD$27="Muy Baja",'Mapa riesgos'!$AF$27="Moderado"),CONCATENATE("R3C",'Mapa riesgos'!$T$27),"")</f>
        <v/>
      </c>
      <c r="Y48" s="51" t="str">
        <f>IF(AND('Mapa riesgos'!$AD$28="Muy Baja",'Mapa riesgos'!$AF$28="Moderado"),CONCATENATE("R3C",'Mapa riesgos'!$T$28),"")</f>
        <v/>
      </c>
      <c r="Z48" s="51" t="str">
        <f>IF(AND('Mapa riesgos'!$AD$29="Muy Baja",'Mapa riesgos'!$AF$29="Moderado"),CONCATENATE("R3C",'Mapa riesgos'!$T$29),"")</f>
        <v/>
      </c>
      <c r="AA48" s="52" t="str">
        <f>IF(AND('Mapa riesgos'!$AD$30="Muy Baja",'Mapa riesgos'!$AF$30="Moderado"),CONCATENATE("R3C",'Mapa riesgos'!$T$30),"")</f>
        <v/>
      </c>
      <c r="AB48" s="35" t="str">
        <f>IF(AND('Mapa riesgos'!$AD$25="Muy Baja",'Mapa riesgos'!$AF$25="Mayor"),CONCATENATE("R3C",'Mapa riesgos'!$T$25),"")</f>
        <v/>
      </c>
      <c r="AC48" s="36" t="str">
        <f>IF(AND('Mapa riesgos'!$AD$26="Muy Baja",'Mapa riesgos'!$AF$26="Mayor"),CONCATENATE("R3C",'Mapa riesgos'!$T$26),"")</f>
        <v/>
      </c>
      <c r="AD48" s="36" t="str">
        <f>IF(AND('Mapa riesgos'!$AD$27="Muy Baja",'Mapa riesgos'!$AF$27="Mayor"),CONCATENATE("R3C",'Mapa riesgos'!$T$27),"")</f>
        <v/>
      </c>
      <c r="AE48" s="36" t="str">
        <f>IF(AND('Mapa riesgos'!$AD$28="Muy Baja",'Mapa riesgos'!$AF$28="Mayor"),CONCATENATE("R3C",'Mapa riesgos'!$T$28),"")</f>
        <v/>
      </c>
      <c r="AF48" s="36" t="str">
        <f>IF(AND('Mapa riesgos'!$AD$29="Muy Baja",'Mapa riesgos'!$AF$29="Mayor"),CONCATENATE("R3C",'Mapa riesgos'!$T$29),"")</f>
        <v/>
      </c>
      <c r="AG48" s="37" t="str">
        <f>IF(AND('Mapa riesgos'!$AD$30="Muy Baja",'Mapa riesgos'!$AF$30="Mayor"),CONCATENATE("R3C",'Mapa riesgos'!$T$30),"")</f>
        <v/>
      </c>
      <c r="AH48" s="38" t="str">
        <f>IF(AND('Mapa riesgos'!$AD$25="Muy Baja",'Mapa riesgos'!$AF$25="Catastrófico"),CONCATENATE("R3C",'Mapa riesgos'!$T$25),"")</f>
        <v/>
      </c>
      <c r="AI48" s="39" t="str">
        <f>IF(AND('Mapa riesgos'!$AD$26="Muy Baja",'Mapa riesgos'!$AF$26="Catastrófico"),CONCATENATE("R3C",'Mapa riesgos'!$T$26),"")</f>
        <v/>
      </c>
      <c r="AJ48" s="39" t="str">
        <f>IF(AND('Mapa riesgos'!$AD$27="Muy Baja",'Mapa riesgos'!$AF$27="Catastrófico"),CONCATENATE("R3C",'Mapa riesgos'!$T$27),"")</f>
        <v/>
      </c>
      <c r="AK48" s="39" t="str">
        <f>IF(AND('Mapa riesgos'!$AD$28="Muy Baja",'Mapa riesgos'!$AF$28="Catastrófico"),CONCATENATE("R3C",'Mapa riesgos'!$T$28),"")</f>
        <v/>
      </c>
      <c r="AL48" s="39" t="str">
        <f>IF(AND('Mapa riesgos'!$AD$29="Muy Baja",'Mapa riesgos'!$AF$29="Catastrófico"),CONCATENATE("R3C",'Mapa riesgos'!$T$29),"")</f>
        <v/>
      </c>
      <c r="AM48" s="40" t="str">
        <f>IF(AND('Mapa riesgos'!$AD$30="Muy Baja",'Mapa riesgos'!$AF$30="Catastrófico"),CONCATENATE("R3C",'Mapa riesgos'!$T$30),"")</f>
        <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c r="A49" s="66"/>
      <c r="B49" s="458"/>
      <c r="C49" s="458"/>
      <c r="D49" s="459"/>
      <c r="E49" s="499"/>
      <c r="F49" s="500"/>
      <c r="G49" s="500"/>
      <c r="H49" s="500"/>
      <c r="I49" s="501"/>
      <c r="J49" s="59" t="str">
        <f>IF(AND('Mapa riesgos'!$AD$31="Muy Baja",'Mapa riesgos'!$AF$31="Leve"),CONCATENATE("R4C",'Mapa riesgos'!$T$31),"")</f>
        <v/>
      </c>
      <c r="K49" s="60" t="str">
        <f>IF(AND('Mapa riesgos'!$AD$32="Muy Baja",'Mapa riesgos'!$AF$32="Leve"),CONCATENATE("R4C",'Mapa riesgos'!$T$32),"")</f>
        <v/>
      </c>
      <c r="L49" s="60" t="str">
        <f>IF(AND('Mapa riesgos'!$AD$33="Muy Baja",'Mapa riesgos'!$AF$33="Leve"),CONCATENATE("R4C",'Mapa riesgos'!$T$33),"")</f>
        <v/>
      </c>
      <c r="M49" s="60" t="str">
        <f>IF(AND('Mapa riesgos'!$AD$34="Muy Baja",'Mapa riesgos'!$AF$34="Leve"),CONCATENATE("R4C",'Mapa riesgos'!$T$34),"")</f>
        <v/>
      </c>
      <c r="N49" s="60" t="str">
        <f>IF(AND('Mapa riesgos'!$AD$35="Muy Baja",'Mapa riesgos'!$AF$35="Leve"),CONCATENATE("R4C",'Mapa riesgos'!$T$35),"")</f>
        <v/>
      </c>
      <c r="O49" s="61" t="str">
        <f>IF(AND('Mapa riesgos'!$AD$36="Muy Baja",'Mapa riesgos'!$AF$36="Leve"),CONCATENATE("R4C",'Mapa riesgos'!$T$36),"")</f>
        <v/>
      </c>
      <c r="P49" s="59" t="str">
        <f>IF(AND('Mapa riesgos'!$AD$31="Muy Baja",'Mapa riesgos'!$AF$31="Menor"),CONCATENATE("R4C",'Mapa riesgos'!$T$31),"")</f>
        <v/>
      </c>
      <c r="Q49" s="60" t="str">
        <f>IF(AND('Mapa riesgos'!$AD$32="Muy Baja",'Mapa riesgos'!$AF$32="Menor"),CONCATENATE("R4C",'Mapa riesgos'!$T$32),"")</f>
        <v/>
      </c>
      <c r="R49" s="60" t="str">
        <f>IF(AND('Mapa riesgos'!$AD$33="Muy Baja",'Mapa riesgos'!$AF$33="Menor"),CONCATENATE("R4C",'Mapa riesgos'!$T$33),"")</f>
        <v/>
      </c>
      <c r="S49" s="60" t="str">
        <f>IF(AND('Mapa riesgos'!$AD$34="Muy Baja",'Mapa riesgos'!$AF$34="Menor"),CONCATENATE("R4C",'Mapa riesgos'!$T$34),"")</f>
        <v/>
      </c>
      <c r="T49" s="60" t="str">
        <f>IF(AND('Mapa riesgos'!$AD$35="Muy Baja",'Mapa riesgos'!$AF$35="Menor"),CONCATENATE("R4C",'Mapa riesgos'!$T$35),"")</f>
        <v/>
      </c>
      <c r="U49" s="61" t="str">
        <f>IF(AND('Mapa riesgos'!$AD$36="Muy Baja",'Mapa riesgos'!$AF$36="Menor"),CONCATENATE("R4C",'Mapa riesgos'!$T$36),"")</f>
        <v/>
      </c>
      <c r="V49" s="50" t="str">
        <f>IF(AND('Mapa riesgos'!$AD$31="Muy Baja",'Mapa riesgos'!$AF$31="Moderado"),CONCATENATE("R4C",'Mapa riesgos'!$T$31),"")</f>
        <v/>
      </c>
      <c r="W49" s="51" t="str">
        <f>IF(AND('Mapa riesgos'!$AD$32="Muy Baja",'Mapa riesgos'!$AF$32="Moderado"),CONCATENATE("R4C",'Mapa riesgos'!$T$32),"")</f>
        <v/>
      </c>
      <c r="X49" s="51" t="str">
        <f>IF(AND('Mapa riesgos'!$AD$33="Muy Baja",'Mapa riesgos'!$AF$33="Moderado"),CONCATENATE("R4C",'Mapa riesgos'!$T$33),"")</f>
        <v/>
      </c>
      <c r="Y49" s="51" t="str">
        <f>IF(AND('Mapa riesgos'!$AD$34="Muy Baja",'Mapa riesgos'!$AF$34="Moderado"),CONCATENATE("R4C",'Mapa riesgos'!$T$34),"")</f>
        <v/>
      </c>
      <c r="Z49" s="51" t="str">
        <f>IF(AND('Mapa riesgos'!$AD$35="Muy Baja",'Mapa riesgos'!$AF$35="Moderado"),CONCATENATE("R4C",'Mapa riesgos'!$T$35),"")</f>
        <v/>
      </c>
      <c r="AA49" s="52" t="str">
        <f>IF(AND('Mapa riesgos'!$AD$36="Muy Baja",'Mapa riesgos'!$AF$36="Moderado"),CONCATENATE("R4C",'Mapa riesgos'!$T$36),"")</f>
        <v/>
      </c>
      <c r="AB49" s="35" t="str">
        <f>IF(AND('Mapa riesgos'!$AD$31="Muy Baja",'Mapa riesgos'!$AF$31="Mayor"),CONCATENATE("R4C",'Mapa riesgos'!$T$31),"")</f>
        <v/>
      </c>
      <c r="AC49" s="36" t="str">
        <f>IF(AND('Mapa riesgos'!$AD$32="Muy Baja",'Mapa riesgos'!$AF$32="Mayor"),CONCATENATE("R4C",'Mapa riesgos'!$T$32),"")</f>
        <v/>
      </c>
      <c r="AD49" s="36" t="str">
        <f>IF(AND('Mapa riesgos'!$AD$33="Muy Baja",'Mapa riesgos'!$AF$33="Mayor"),CONCATENATE("R4C",'Mapa riesgos'!$T$33),"")</f>
        <v/>
      </c>
      <c r="AE49" s="36" t="str">
        <f>IF(AND('Mapa riesgos'!$AD$34="Muy Baja",'Mapa riesgos'!$AF$34="Mayor"),CONCATENATE("R4C",'Mapa riesgos'!$T$34),"")</f>
        <v/>
      </c>
      <c r="AF49" s="36" t="str">
        <f>IF(AND('Mapa riesgos'!$AD$35="Muy Baja",'Mapa riesgos'!$AF$35="Mayor"),CONCATENATE("R4C",'Mapa riesgos'!$T$35),"")</f>
        <v/>
      </c>
      <c r="AG49" s="37" t="str">
        <f>IF(AND('Mapa riesgos'!$AD$36="Muy Baja",'Mapa riesgos'!$AF$36="Mayor"),CONCATENATE("R4C",'Mapa riesgos'!$T$36),"")</f>
        <v/>
      </c>
      <c r="AH49" s="38" t="str">
        <f>IF(AND('Mapa riesgos'!$AD$31="Muy Baja",'Mapa riesgos'!$AF$31="Catastrófico"),CONCATENATE("R4C",'Mapa riesgos'!$T$31),"")</f>
        <v/>
      </c>
      <c r="AI49" s="39" t="str">
        <f>IF(AND('Mapa riesgos'!$AD$32="Muy Baja",'Mapa riesgos'!$AF$32="Catastrófico"),CONCATENATE("R4C",'Mapa riesgos'!$T$32),"")</f>
        <v/>
      </c>
      <c r="AJ49" s="39" t="str">
        <f>IF(AND('Mapa riesgos'!$AD$33="Muy Baja",'Mapa riesgos'!$AF$33="Catastrófico"),CONCATENATE("R4C",'Mapa riesgos'!$T$33),"")</f>
        <v/>
      </c>
      <c r="AK49" s="39" t="str">
        <f>IF(AND('Mapa riesgos'!$AD$34="Muy Baja",'Mapa riesgos'!$AF$34="Catastrófico"),CONCATENATE("R4C",'Mapa riesgos'!$T$34),"")</f>
        <v/>
      </c>
      <c r="AL49" s="39" t="str">
        <f>IF(AND('Mapa riesgos'!$AD$35="Muy Baja",'Mapa riesgos'!$AF$35="Catastrófico"),CONCATENATE("R4C",'Mapa riesgos'!$T$35),"")</f>
        <v/>
      </c>
      <c r="AM49" s="40" t="str">
        <f>IF(AND('Mapa riesgos'!$AD$36="Muy Baja",'Mapa riesgos'!$AF$36="Catastrófico"),CONCATENATE("R4C",'Mapa riesgos'!$T$36),"")</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c r="A50" s="66"/>
      <c r="B50" s="458"/>
      <c r="C50" s="458"/>
      <c r="D50" s="459"/>
      <c r="E50" s="499"/>
      <c r="F50" s="500"/>
      <c r="G50" s="500"/>
      <c r="H50" s="500"/>
      <c r="I50" s="501"/>
      <c r="J50" s="59" t="str">
        <f>IF(AND('Mapa riesgos'!$AD$37="Muy Baja",'Mapa riesgos'!$AF$37="Leve"),CONCATENATE("R5C",'Mapa riesgos'!$T$37),"")</f>
        <v/>
      </c>
      <c r="K50" s="60" t="str">
        <f>IF(AND('Mapa riesgos'!$AD$38="Muy Baja",'Mapa riesgos'!$AF$38="Leve"),CONCATENATE("R5C",'Mapa riesgos'!$T$38),"")</f>
        <v/>
      </c>
      <c r="L50" s="60" t="str">
        <f>IF(AND('Mapa riesgos'!$AD$39="Muy Baja",'Mapa riesgos'!$AF$39="Leve"),CONCATENATE("R5C",'Mapa riesgos'!$T$39),"")</f>
        <v/>
      </c>
      <c r="M50" s="60" t="str">
        <f>IF(AND('Mapa riesgos'!$AD$40="Muy Baja",'Mapa riesgos'!$AF$40="Leve"),CONCATENATE("R5C",'Mapa riesgos'!$T$40),"")</f>
        <v/>
      </c>
      <c r="N50" s="60" t="str">
        <f>IF(AND('Mapa riesgos'!$AD$41="Muy Baja",'Mapa riesgos'!$AF$41="Leve"),CONCATENATE("R5C",'Mapa riesgos'!$T$41),"")</f>
        <v/>
      </c>
      <c r="O50" s="61" t="str">
        <f>IF(AND('Mapa riesgos'!$AD$42="Muy Baja",'Mapa riesgos'!$AF$42="Leve"),CONCATENATE("R5C",'Mapa riesgos'!$T$42),"")</f>
        <v/>
      </c>
      <c r="P50" s="59" t="str">
        <f>IF(AND('Mapa riesgos'!$AD$37="Muy Baja",'Mapa riesgos'!$AF$37="Menor"),CONCATENATE("R5C",'Mapa riesgos'!$T$37),"")</f>
        <v/>
      </c>
      <c r="Q50" s="60" t="str">
        <f>IF(AND('Mapa riesgos'!$AD$38="Muy Baja",'Mapa riesgos'!$AF$38="Menor"),CONCATENATE("R5C",'Mapa riesgos'!$T$38),"")</f>
        <v/>
      </c>
      <c r="R50" s="60" t="str">
        <f>IF(AND('Mapa riesgos'!$AD$39="Muy Baja",'Mapa riesgos'!$AF$39="Menor"),CONCATENATE("R5C",'Mapa riesgos'!$T$39),"")</f>
        <v/>
      </c>
      <c r="S50" s="60" t="str">
        <f>IF(AND('Mapa riesgos'!$AD$40="Muy Baja",'Mapa riesgos'!$AF$40="Menor"),CONCATENATE("R5C",'Mapa riesgos'!$T$40),"")</f>
        <v/>
      </c>
      <c r="T50" s="60" t="str">
        <f>IF(AND('Mapa riesgos'!$AD$41="Muy Baja",'Mapa riesgos'!$AF$41="Menor"),CONCATENATE("R5C",'Mapa riesgos'!$T$41),"")</f>
        <v/>
      </c>
      <c r="U50" s="61" t="str">
        <f>IF(AND('Mapa riesgos'!$AD$42="Muy Baja",'Mapa riesgos'!$AF$42="Menor"),CONCATENATE("R5C",'Mapa riesgos'!$T$42),"")</f>
        <v/>
      </c>
      <c r="V50" s="50" t="str">
        <f>IF(AND('Mapa riesgos'!$AD$37="Muy Baja",'Mapa riesgos'!$AF$37="Moderado"),CONCATENATE("R5C",'Mapa riesgos'!$T$37),"")</f>
        <v/>
      </c>
      <c r="W50" s="51" t="str">
        <f>IF(AND('Mapa riesgos'!$AD$38="Muy Baja",'Mapa riesgos'!$AF$38="Moderado"),CONCATENATE("R5C",'Mapa riesgos'!$T$38),"")</f>
        <v/>
      </c>
      <c r="X50" s="51" t="str">
        <f>IF(AND('Mapa riesgos'!$AD$39="Muy Baja",'Mapa riesgos'!$AF$39="Moderado"),CONCATENATE("R5C",'Mapa riesgos'!$T$39),"")</f>
        <v/>
      </c>
      <c r="Y50" s="51" t="str">
        <f>IF(AND('Mapa riesgos'!$AD$40="Muy Baja",'Mapa riesgos'!$AF$40="Moderado"),CONCATENATE("R5C",'Mapa riesgos'!$T$40),"")</f>
        <v/>
      </c>
      <c r="Z50" s="51" t="str">
        <f>IF(AND('Mapa riesgos'!$AD$41="Muy Baja",'Mapa riesgos'!$AF$41="Moderado"),CONCATENATE("R5C",'Mapa riesgos'!$T$41),"")</f>
        <v/>
      </c>
      <c r="AA50" s="52" t="str">
        <f>IF(AND('Mapa riesgos'!$AD$42="Muy Baja",'Mapa riesgos'!$AF$42="Moderado"),CONCATENATE("R5C",'Mapa riesgos'!$T$42),"")</f>
        <v/>
      </c>
      <c r="AB50" s="35" t="str">
        <f>IF(AND('Mapa riesgos'!$AD$37="Muy Baja",'Mapa riesgos'!$AF$37="Mayor"),CONCATENATE("R5C",'Mapa riesgos'!$T$37),"")</f>
        <v/>
      </c>
      <c r="AC50" s="36" t="str">
        <f>IF(AND('Mapa riesgos'!$AD$38="Muy Baja",'Mapa riesgos'!$AF$38="Mayor"),CONCATENATE("R5C",'Mapa riesgos'!$T$38),"")</f>
        <v/>
      </c>
      <c r="AD50" s="36" t="str">
        <f>IF(AND('Mapa riesgos'!$AD$39="Muy Baja",'Mapa riesgos'!$AF$39="Mayor"),CONCATENATE("R5C",'Mapa riesgos'!$T$39),"")</f>
        <v/>
      </c>
      <c r="AE50" s="36" t="str">
        <f>IF(AND('Mapa riesgos'!$AD$40="Muy Baja",'Mapa riesgos'!$AF$40="Mayor"),CONCATENATE("R5C",'Mapa riesgos'!$T$40),"")</f>
        <v/>
      </c>
      <c r="AF50" s="36" t="str">
        <f>IF(AND('Mapa riesgos'!$AD$41="Muy Baja",'Mapa riesgos'!$AF$41="Mayor"),CONCATENATE("R5C",'Mapa riesgos'!$T$41),"")</f>
        <v/>
      </c>
      <c r="AG50" s="37" t="str">
        <f>IF(AND('Mapa riesgos'!$AD$42="Muy Baja",'Mapa riesgos'!$AF$42="Mayor"),CONCATENATE("R5C",'Mapa riesgos'!$T$42),"")</f>
        <v/>
      </c>
      <c r="AH50" s="38" t="str">
        <f>IF(AND('Mapa riesgos'!$AD$37="Muy Baja",'Mapa riesgos'!$AF$37="Catastrófico"),CONCATENATE("R5C",'Mapa riesgos'!$T$37),"")</f>
        <v/>
      </c>
      <c r="AI50" s="39" t="str">
        <f>IF(AND('Mapa riesgos'!$AD$38="Muy Baja",'Mapa riesgos'!$AF$38="Catastrófico"),CONCATENATE("R5C",'Mapa riesgos'!$T$38),"")</f>
        <v/>
      </c>
      <c r="AJ50" s="39" t="str">
        <f>IF(AND('Mapa riesgos'!$AD$39="Muy Baja",'Mapa riesgos'!$AF$39="Catastrófico"),CONCATENATE("R5C",'Mapa riesgos'!$T$39),"")</f>
        <v/>
      </c>
      <c r="AK50" s="39" t="str">
        <f>IF(AND('Mapa riesgos'!$AD$40="Muy Baja",'Mapa riesgos'!$AF$40="Catastrófico"),CONCATENATE("R5C",'Mapa riesgos'!$T$40),"")</f>
        <v/>
      </c>
      <c r="AL50" s="39" t="str">
        <f>IF(AND('Mapa riesgos'!$AD$41="Muy Baja",'Mapa riesgos'!$AF$41="Catastrófico"),CONCATENATE("R5C",'Mapa riesgos'!$T$41),"")</f>
        <v/>
      </c>
      <c r="AM50" s="40" t="str">
        <f>IF(AND('Mapa riesgos'!$AD$42="Muy Baja",'Mapa riesgos'!$AF$42="Catastrófico"),CONCATENATE("R5C",'Mapa riesgos'!$T$42),"")</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c r="A51" s="66"/>
      <c r="B51" s="458"/>
      <c r="C51" s="458"/>
      <c r="D51" s="459"/>
      <c r="E51" s="499"/>
      <c r="F51" s="500"/>
      <c r="G51" s="500"/>
      <c r="H51" s="500"/>
      <c r="I51" s="501"/>
      <c r="J51" s="59" t="str">
        <f>IF(AND('Mapa riesgos'!$AD$43="Muy Baja",'Mapa riesgos'!$AF$43="Leve"),CONCATENATE("R6C",'Mapa riesgos'!$T$43),"")</f>
        <v/>
      </c>
      <c r="K51" s="60" t="str">
        <f>IF(AND('Mapa riesgos'!$AD$44="Muy Baja",'Mapa riesgos'!$AF$44="Leve"),CONCATENATE("R6C",'Mapa riesgos'!$T$44),"")</f>
        <v/>
      </c>
      <c r="L51" s="60" t="str">
        <f>IF(AND('Mapa riesgos'!$AD$45="Muy Baja",'Mapa riesgos'!$AF$45="Leve"),CONCATENATE("R6C",'Mapa riesgos'!$T$45),"")</f>
        <v/>
      </c>
      <c r="M51" s="60" t="str">
        <f>IF(AND('Mapa riesgos'!$AD$46="Muy Baja",'Mapa riesgos'!$AF$46="Leve"),CONCATENATE("R6C",'Mapa riesgos'!$T$46),"")</f>
        <v/>
      </c>
      <c r="N51" s="60" t="str">
        <f>IF(AND('Mapa riesgos'!$AD$47="Muy Baja",'Mapa riesgos'!$AF$47="Leve"),CONCATENATE("R6C",'Mapa riesgos'!$T$47),"")</f>
        <v/>
      </c>
      <c r="O51" s="61" t="str">
        <f>IF(AND('Mapa riesgos'!$AD$48="Muy Baja",'Mapa riesgos'!$AF$48="Leve"),CONCATENATE("R6C",'Mapa riesgos'!$T$48),"")</f>
        <v/>
      </c>
      <c r="P51" s="59" t="str">
        <f>IF(AND('Mapa riesgos'!$AD$43="Muy Baja",'Mapa riesgos'!$AF$43="Menor"),CONCATENATE("R6C",'Mapa riesgos'!$T$43),"")</f>
        <v/>
      </c>
      <c r="Q51" s="60" t="str">
        <f>IF(AND('Mapa riesgos'!$AD$44="Muy Baja",'Mapa riesgos'!$AF$44="Menor"),CONCATENATE("R6C",'Mapa riesgos'!$T$44),"")</f>
        <v/>
      </c>
      <c r="R51" s="60" t="str">
        <f>IF(AND('Mapa riesgos'!$AD$45="Muy Baja",'Mapa riesgos'!$AF$45="Menor"),CONCATENATE("R6C",'Mapa riesgos'!$T$45),"")</f>
        <v/>
      </c>
      <c r="S51" s="60" t="str">
        <f>IF(AND('Mapa riesgos'!$AD$46="Muy Baja",'Mapa riesgos'!$AF$46="Menor"),CONCATENATE("R6C",'Mapa riesgos'!$T$46),"")</f>
        <v/>
      </c>
      <c r="T51" s="60" t="str">
        <f>IF(AND('Mapa riesgos'!$AD$47="Muy Baja",'Mapa riesgos'!$AF$47="Menor"),CONCATENATE("R6C",'Mapa riesgos'!$T$47),"")</f>
        <v/>
      </c>
      <c r="U51" s="61" t="str">
        <f>IF(AND('Mapa riesgos'!$AD$48="Muy Baja",'Mapa riesgos'!$AF$48="Menor"),CONCATENATE("R6C",'Mapa riesgos'!$T$48),"")</f>
        <v/>
      </c>
      <c r="V51" s="50" t="str">
        <f>IF(AND('Mapa riesgos'!$AD$43="Muy Baja",'Mapa riesgos'!$AF$43="Moderado"),CONCATENATE("R6C",'Mapa riesgos'!$T$43),"")</f>
        <v/>
      </c>
      <c r="W51" s="51" t="str">
        <f>IF(AND('Mapa riesgos'!$AD$44="Muy Baja",'Mapa riesgos'!$AF$44="Moderado"),CONCATENATE("R6C",'Mapa riesgos'!$T$44),"")</f>
        <v/>
      </c>
      <c r="X51" s="51" t="str">
        <f>IF(AND('Mapa riesgos'!$AD$45="Muy Baja",'Mapa riesgos'!$AF$45="Moderado"),CONCATENATE("R6C",'Mapa riesgos'!$T$45),"")</f>
        <v/>
      </c>
      <c r="Y51" s="51" t="str">
        <f>IF(AND('Mapa riesgos'!$AD$46="Muy Baja",'Mapa riesgos'!$AF$46="Moderado"),CONCATENATE("R6C",'Mapa riesgos'!$T$46),"")</f>
        <v/>
      </c>
      <c r="Z51" s="51" t="str">
        <f>IF(AND('Mapa riesgos'!$AD$47="Muy Baja",'Mapa riesgos'!$AF$47="Moderado"),CONCATENATE("R6C",'Mapa riesgos'!$T$47),"")</f>
        <v/>
      </c>
      <c r="AA51" s="52" t="str">
        <f>IF(AND('Mapa riesgos'!$AD$48="Muy Baja",'Mapa riesgos'!$AF$48="Moderado"),CONCATENATE("R6C",'Mapa riesgos'!$T$48),"")</f>
        <v/>
      </c>
      <c r="AB51" s="35" t="str">
        <f>IF(AND('Mapa riesgos'!$AD$43="Muy Baja",'Mapa riesgos'!$AF$43="Mayor"),CONCATENATE("R6C",'Mapa riesgos'!$T$43),"")</f>
        <v/>
      </c>
      <c r="AC51" s="36" t="str">
        <f>IF(AND('Mapa riesgos'!$AD$44="Muy Baja",'Mapa riesgos'!$AF$44="Mayor"),CONCATENATE("R6C",'Mapa riesgos'!$T$44),"")</f>
        <v/>
      </c>
      <c r="AD51" s="36" t="str">
        <f>IF(AND('Mapa riesgos'!$AD$45="Muy Baja",'Mapa riesgos'!$AF$45="Mayor"),CONCATENATE("R6C",'Mapa riesgos'!$T$45),"")</f>
        <v/>
      </c>
      <c r="AE51" s="36" t="str">
        <f>IF(AND('Mapa riesgos'!$AD$46="Muy Baja",'Mapa riesgos'!$AF$46="Mayor"),CONCATENATE("R6C",'Mapa riesgos'!$T$46),"")</f>
        <v/>
      </c>
      <c r="AF51" s="36" t="str">
        <f>IF(AND('Mapa riesgos'!$AD$47="Muy Baja",'Mapa riesgos'!$AF$47="Mayor"),CONCATENATE("R6C",'Mapa riesgos'!$T$47),"")</f>
        <v/>
      </c>
      <c r="AG51" s="37" t="str">
        <f>IF(AND('Mapa riesgos'!$AD$48="Muy Baja",'Mapa riesgos'!$AF$48="Mayor"),CONCATENATE("R6C",'Mapa riesgos'!$T$48),"")</f>
        <v/>
      </c>
      <c r="AH51" s="38" t="str">
        <f>IF(AND('Mapa riesgos'!$AD$43="Muy Baja",'Mapa riesgos'!$AF$43="Catastrófico"),CONCATENATE("R6C",'Mapa riesgos'!$T$43),"")</f>
        <v/>
      </c>
      <c r="AI51" s="39" t="str">
        <f>IF(AND('Mapa riesgos'!$AD$44="Muy Baja",'Mapa riesgos'!$AF$44="Catastrófico"),CONCATENATE("R6C",'Mapa riesgos'!$T$44),"")</f>
        <v/>
      </c>
      <c r="AJ51" s="39" t="str">
        <f>IF(AND('Mapa riesgos'!$AD$45="Muy Baja",'Mapa riesgos'!$AF$45="Catastrófico"),CONCATENATE("R6C",'Mapa riesgos'!$T$45),"")</f>
        <v/>
      </c>
      <c r="AK51" s="39" t="str">
        <f>IF(AND('Mapa riesgos'!$AD$46="Muy Baja",'Mapa riesgos'!$AF$46="Catastrófico"),CONCATENATE("R6C",'Mapa riesgos'!$T$46),"")</f>
        <v/>
      </c>
      <c r="AL51" s="39" t="str">
        <f>IF(AND('Mapa riesgos'!$AD$47="Muy Baja",'Mapa riesgos'!$AF$47="Catastrófico"),CONCATENATE("R6C",'Mapa riesgos'!$T$47),"")</f>
        <v/>
      </c>
      <c r="AM51" s="40" t="str">
        <f>IF(AND('Mapa riesgos'!$AD$48="Muy Baja",'Mapa riesgos'!$AF$48="Catastrófico"),CONCATENATE("R6C",'Mapa riesgos'!$T$48),"")</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c r="A52" s="66"/>
      <c r="B52" s="458"/>
      <c r="C52" s="458"/>
      <c r="D52" s="459"/>
      <c r="E52" s="499"/>
      <c r="F52" s="500"/>
      <c r="G52" s="500"/>
      <c r="H52" s="500"/>
      <c r="I52" s="501"/>
      <c r="J52" s="59" t="str">
        <f>IF(AND('Mapa riesgos'!$AD$49="Muy Baja",'Mapa riesgos'!$AF$49="Leve"),CONCATENATE("R7C",'Mapa riesgos'!$T$49),"")</f>
        <v/>
      </c>
      <c r="K52" s="60" t="str">
        <f>IF(AND('Mapa riesgos'!$AD$50="Muy Baja",'Mapa riesgos'!$AF$50="Leve"),CONCATENATE("R7C",'Mapa riesgos'!$T$50),"")</f>
        <v/>
      </c>
      <c r="L52" s="60" t="str">
        <f>IF(AND('Mapa riesgos'!$AD$51="Muy Baja",'Mapa riesgos'!$AF$51="Leve"),CONCATENATE("R7C",'Mapa riesgos'!$T$51),"")</f>
        <v/>
      </c>
      <c r="M52" s="60" t="str">
        <f>IF(AND('Mapa riesgos'!$AD$52="Muy Baja",'Mapa riesgos'!$AF$52="Leve"),CONCATENATE("R7C",'Mapa riesgos'!$T$52),"")</f>
        <v/>
      </c>
      <c r="N52" s="60" t="str">
        <f>IF(AND('Mapa riesgos'!$AD$53="Muy Baja",'Mapa riesgos'!$AF$53="Leve"),CONCATENATE("R7C",'Mapa riesgos'!$T$53),"")</f>
        <v/>
      </c>
      <c r="O52" s="61" t="str">
        <f>IF(AND('Mapa riesgos'!$AD$54="Muy Baja",'Mapa riesgos'!$AF$54="Leve"),CONCATENATE("R7C",'Mapa riesgos'!$T$54),"")</f>
        <v/>
      </c>
      <c r="P52" s="59" t="str">
        <f>IF(AND('Mapa riesgos'!$AD$49="Muy Baja",'Mapa riesgos'!$AF$49="Menor"),CONCATENATE("R7C",'Mapa riesgos'!$T$49),"")</f>
        <v/>
      </c>
      <c r="Q52" s="60" t="str">
        <f>IF(AND('Mapa riesgos'!$AD$50="Muy Baja",'Mapa riesgos'!$AF$50="Menor"),CONCATENATE("R7C",'Mapa riesgos'!$T$50),"")</f>
        <v/>
      </c>
      <c r="R52" s="60" t="str">
        <f>IF(AND('Mapa riesgos'!$AD$51="Muy Baja",'Mapa riesgos'!$AF$51="Menor"),CONCATENATE("R7C",'Mapa riesgos'!$T$51),"")</f>
        <v/>
      </c>
      <c r="S52" s="60" t="str">
        <f>IF(AND('Mapa riesgos'!$AD$52="Muy Baja",'Mapa riesgos'!$AF$52="Menor"),CONCATENATE("R7C",'Mapa riesgos'!$T$52),"")</f>
        <v/>
      </c>
      <c r="T52" s="60" t="str">
        <f>IF(AND('Mapa riesgos'!$AD$53="Muy Baja",'Mapa riesgos'!$AF$53="Menor"),CONCATENATE("R7C",'Mapa riesgos'!$T$53),"")</f>
        <v/>
      </c>
      <c r="U52" s="61" t="str">
        <f>IF(AND('Mapa riesgos'!$AD$54="Muy Baja",'Mapa riesgos'!$AF$54="Menor"),CONCATENATE("R7C",'Mapa riesgos'!$T$54),"")</f>
        <v/>
      </c>
      <c r="V52" s="50" t="str">
        <f>IF(AND('Mapa riesgos'!$AD$49="Muy Baja",'Mapa riesgos'!$AF$49="Moderado"),CONCATENATE("R7C",'Mapa riesgos'!$T$49),"")</f>
        <v/>
      </c>
      <c r="W52" s="51" t="str">
        <f>IF(AND('Mapa riesgos'!$AD$50="Muy Baja",'Mapa riesgos'!$AF$50="Moderado"),CONCATENATE("R7C",'Mapa riesgos'!$T$50),"")</f>
        <v/>
      </c>
      <c r="X52" s="51" t="str">
        <f>IF(AND('Mapa riesgos'!$AD$51="Muy Baja",'Mapa riesgos'!$AF$51="Moderado"),CONCATENATE("R7C",'Mapa riesgos'!$T$51),"")</f>
        <v/>
      </c>
      <c r="Y52" s="51" t="str">
        <f>IF(AND('Mapa riesgos'!$AD$52="Muy Baja",'Mapa riesgos'!$AF$52="Moderado"),CONCATENATE("R7C",'Mapa riesgos'!$T$52),"")</f>
        <v/>
      </c>
      <c r="Z52" s="51" t="str">
        <f>IF(AND('Mapa riesgos'!$AD$53="Muy Baja",'Mapa riesgos'!$AF$53="Moderado"),CONCATENATE("R7C",'Mapa riesgos'!$T$53),"")</f>
        <v/>
      </c>
      <c r="AA52" s="52" t="str">
        <f>IF(AND('Mapa riesgos'!$AD$54="Muy Baja",'Mapa riesgos'!$AF$54="Moderado"),CONCATENATE("R7C",'Mapa riesgos'!$T$54),"")</f>
        <v/>
      </c>
      <c r="AB52" s="35" t="str">
        <f>IF(AND('Mapa riesgos'!$AD$49="Muy Baja",'Mapa riesgos'!$AF$49="Mayor"),CONCATENATE("R7C",'Mapa riesgos'!$T$49),"")</f>
        <v/>
      </c>
      <c r="AC52" s="36" t="str">
        <f>IF(AND('Mapa riesgos'!$AD$50="Muy Baja",'Mapa riesgos'!$AF$50="Mayor"),CONCATENATE("R7C",'Mapa riesgos'!$T$50),"")</f>
        <v/>
      </c>
      <c r="AD52" s="36" t="str">
        <f>IF(AND('Mapa riesgos'!$AD$51="Muy Baja",'Mapa riesgos'!$AF$51="Mayor"),CONCATENATE("R7C",'Mapa riesgos'!$T$51),"")</f>
        <v/>
      </c>
      <c r="AE52" s="36" t="str">
        <f>IF(AND('Mapa riesgos'!$AD$52="Muy Baja",'Mapa riesgos'!$AF$52="Mayor"),CONCATENATE("R7C",'Mapa riesgos'!$T$52),"")</f>
        <v/>
      </c>
      <c r="AF52" s="36" t="str">
        <f>IF(AND('Mapa riesgos'!$AD$53="Muy Baja",'Mapa riesgos'!$AF$53="Mayor"),CONCATENATE("R7C",'Mapa riesgos'!$T$53),"")</f>
        <v/>
      </c>
      <c r="AG52" s="37" t="str">
        <f>IF(AND('Mapa riesgos'!$AD$54="Muy Baja",'Mapa riesgos'!$AF$54="Mayor"),CONCATENATE("R7C",'Mapa riesgos'!$T$54),"")</f>
        <v/>
      </c>
      <c r="AH52" s="38" t="str">
        <f>IF(AND('Mapa riesgos'!$AD$49="Muy Baja",'Mapa riesgos'!$AF$49="Catastrófico"),CONCATENATE("R7C",'Mapa riesgos'!$T$49),"")</f>
        <v/>
      </c>
      <c r="AI52" s="39" t="str">
        <f>IF(AND('Mapa riesgos'!$AD$50="Muy Baja",'Mapa riesgos'!$AF$50="Catastrófico"),CONCATENATE("R7C",'Mapa riesgos'!$T$50),"")</f>
        <v/>
      </c>
      <c r="AJ52" s="39" t="str">
        <f>IF(AND('Mapa riesgos'!$AD$51="Muy Baja",'Mapa riesgos'!$AF$51="Catastrófico"),CONCATENATE("R7C",'Mapa riesgos'!$T$51),"")</f>
        <v/>
      </c>
      <c r="AK52" s="39" t="str">
        <f>IF(AND('Mapa riesgos'!$AD$52="Muy Baja",'Mapa riesgos'!$AF$52="Catastrófico"),CONCATENATE("R7C",'Mapa riesgos'!$T$52),"")</f>
        <v/>
      </c>
      <c r="AL52" s="39" t="str">
        <f>IF(AND('Mapa riesgos'!$AD$53="Muy Baja",'Mapa riesgos'!$AF$53="Catastrófico"),CONCATENATE("R7C",'Mapa riesgos'!$T$53),"")</f>
        <v/>
      </c>
      <c r="AM52" s="40" t="str">
        <f>IF(AND('Mapa riesgos'!$AD$54="Muy Baja",'Mapa riesgos'!$AF$54="Catastrófico"),CONCATENATE("R7C",'Mapa riesgos'!$T$54),"")</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c r="A53" s="66"/>
      <c r="B53" s="458"/>
      <c r="C53" s="458"/>
      <c r="D53" s="459"/>
      <c r="E53" s="499"/>
      <c r="F53" s="500"/>
      <c r="G53" s="500"/>
      <c r="H53" s="500"/>
      <c r="I53" s="501"/>
      <c r="J53" s="59" t="str">
        <f>IF(AND('Mapa riesgos'!$AD$55="Muy Baja",'Mapa riesgos'!$AF$55="Leve"),CONCATENATE("R8C",'Mapa riesgos'!$T$55),"")</f>
        <v/>
      </c>
      <c r="K53" s="60" t="str">
        <f>IF(AND('Mapa riesgos'!$AD$56="Muy Baja",'Mapa riesgos'!$AF$56="Leve"),CONCATENATE("R8C",'Mapa riesgos'!$T$56),"")</f>
        <v/>
      </c>
      <c r="L53" s="60" t="str">
        <f>IF(AND('Mapa riesgos'!$AD$57="Muy Baja",'Mapa riesgos'!$AF$57="Leve"),CONCATENATE("R8C",'Mapa riesgos'!$T$57),"")</f>
        <v/>
      </c>
      <c r="M53" s="60" t="str">
        <f>IF(AND('Mapa riesgos'!$AD$58="Muy Baja",'Mapa riesgos'!$AF$58="Leve"),CONCATENATE("R8C",'Mapa riesgos'!$T$58),"")</f>
        <v/>
      </c>
      <c r="N53" s="60" t="str">
        <f>IF(AND('Mapa riesgos'!$AD$59="Muy Baja",'Mapa riesgos'!$AF$59="Leve"),CONCATENATE("R8C",'Mapa riesgos'!$T$59),"")</f>
        <v/>
      </c>
      <c r="O53" s="61" t="str">
        <f>IF(AND('Mapa riesgos'!$AD$60="Muy Baja",'Mapa riesgos'!$AF$60="Leve"),CONCATENATE("R8C",'Mapa riesgos'!$T$60),"")</f>
        <v/>
      </c>
      <c r="P53" s="59" t="str">
        <f>IF(AND('Mapa riesgos'!$AD$55="Muy Baja",'Mapa riesgos'!$AF$55="Menor"),CONCATENATE("R8C",'Mapa riesgos'!$T$55),"")</f>
        <v/>
      </c>
      <c r="Q53" s="60" t="str">
        <f>IF(AND('Mapa riesgos'!$AD$56="Muy Baja",'Mapa riesgos'!$AF$56="Menor"),CONCATENATE("R8C",'Mapa riesgos'!$T$56),"")</f>
        <v/>
      </c>
      <c r="R53" s="60" t="str">
        <f>IF(AND('Mapa riesgos'!$AD$57="Muy Baja",'Mapa riesgos'!$AF$57="Menor"),CONCATENATE("R8C",'Mapa riesgos'!$T$57),"")</f>
        <v/>
      </c>
      <c r="S53" s="60" t="str">
        <f>IF(AND('Mapa riesgos'!$AD$58="Muy Baja",'Mapa riesgos'!$AF$58="Menor"),CONCATENATE("R8C",'Mapa riesgos'!$T$58),"")</f>
        <v/>
      </c>
      <c r="T53" s="60" t="str">
        <f>IF(AND('Mapa riesgos'!$AD$59="Muy Baja",'Mapa riesgos'!$AF$59="Menor"),CONCATENATE("R8C",'Mapa riesgos'!$T$59),"")</f>
        <v/>
      </c>
      <c r="U53" s="61" t="str">
        <f>IF(AND('Mapa riesgos'!$AD$60="Muy Baja",'Mapa riesgos'!$AF$60="Menor"),CONCATENATE("R8C",'Mapa riesgos'!$T$60),"")</f>
        <v/>
      </c>
      <c r="V53" s="50" t="str">
        <f>IF(AND('Mapa riesgos'!$AD$55="Muy Baja",'Mapa riesgos'!$AF$55="Moderado"),CONCATENATE("R8C",'Mapa riesgos'!$T$55),"")</f>
        <v/>
      </c>
      <c r="W53" s="51" t="str">
        <f>IF(AND('Mapa riesgos'!$AD$56="Muy Baja",'Mapa riesgos'!$AF$56="Moderado"),CONCATENATE("R8C",'Mapa riesgos'!$T$56),"")</f>
        <v/>
      </c>
      <c r="X53" s="51" t="str">
        <f>IF(AND('Mapa riesgos'!$AD$57="Muy Baja",'Mapa riesgos'!$AF$57="Moderado"),CONCATENATE("R8C",'Mapa riesgos'!$T$57),"")</f>
        <v/>
      </c>
      <c r="Y53" s="51" t="str">
        <f>IF(AND('Mapa riesgos'!$AD$58="Muy Baja",'Mapa riesgos'!$AF$58="Moderado"),CONCATENATE("R8C",'Mapa riesgos'!$T$58),"")</f>
        <v/>
      </c>
      <c r="Z53" s="51" t="str">
        <f>IF(AND('Mapa riesgos'!$AD$59="Muy Baja",'Mapa riesgos'!$AF$59="Moderado"),CONCATENATE("R8C",'Mapa riesgos'!$T$59),"")</f>
        <v/>
      </c>
      <c r="AA53" s="52" t="str">
        <f>IF(AND('Mapa riesgos'!$AD$60="Muy Baja",'Mapa riesgos'!$AF$60="Moderado"),CONCATENATE("R8C",'Mapa riesgos'!$T$60),"")</f>
        <v/>
      </c>
      <c r="AB53" s="35" t="str">
        <f>IF(AND('Mapa riesgos'!$AD$55="Muy Baja",'Mapa riesgos'!$AF$55="Mayor"),CONCATENATE("R8C",'Mapa riesgos'!$T$55),"")</f>
        <v/>
      </c>
      <c r="AC53" s="36" t="str">
        <f>IF(AND('Mapa riesgos'!$AD$56="Muy Baja",'Mapa riesgos'!$AF$56="Mayor"),CONCATENATE("R8C",'Mapa riesgos'!$T$56),"")</f>
        <v/>
      </c>
      <c r="AD53" s="36" t="str">
        <f>IF(AND('Mapa riesgos'!$AD$57="Muy Baja",'Mapa riesgos'!$AF$57="Mayor"),CONCATENATE("R8C",'Mapa riesgos'!$T$57),"")</f>
        <v/>
      </c>
      <c r="AE53" s="36" t="str">
        <f>IF(AND('Mapa riesgos'!$AD$58="Muy Baja",'Mapa riesgos'!$AF$58="Mayor"),CONCATENATE("R8C",'Mapa riesgos'!$T$58),"")</f>
        <v/>
      </c>
      <c r="AF53" s="36" t="str">
        <f>IF(AND('Mapa riesgos'!$AD$59="Muy Baja",'Mapa riesgos'!$AF$59="Mayor"),CONCATENATE("R8C",'Mapa riesgos'!$T$59),"")</f>
        <v/>
      </c>
      <c r="AG53" s="37" t="str">
        <f>IF(AND('Mapa riesgos'!$AD$60="Muy Baja",'Mapa riesgos'!$AF$60="Mayor"),CONCATENATE("R8C",'Mapa riesgos'!$T$60),"")</f>
        <v/>
      </c>
      <c r="AH53" s="38" t="str">
        <f>IF(AND('Mapa riesgos'!$AD$55="Muy Baja",'Mapa riesgos'!$AF$55="Catastrófico"),CONCATENATE("R8C",'Mapa riesgos'!$T$55),"")</f>
        <v/>
      </c>
      <c r="AI53" s="39" t="str">
        <f>IF(AND('Mapa riesgos'!$AD$56="Muy Baja",'Mapa riesgos'!$AF$56="Catastrófico"),CONCATENATE("R8C",'Mapa riesgos'!$T$56),"")</f>
        <v/>
      </c>
      <c r="AJ53" s="39" t="str">
        <f>IF(AND('Mapa riesgos'!$AD$57="Muy Baja",'Mapa riesgos'!$AF$57="Catastrófico"),CONCATENATE("R8C",'Mapa riesgos'!$T$57),"")</f>
        <v/>
      </c>
      <c r="AK53" s="39" t="str">
        <f>IF(AND('Mapa riesgos'!$AD$58="Muy Baja",'Mapa riesgos'!$AF$58="Catastrófico"),CONCATENATE("R8C",'Mapa riesgos'!$T$58),"")</f>
        <v/>
      </c>
      <c r="AL53" s="39" t="str">
        <f>IF(AND('Mapa riesgos'!$AD$59="Muy Baja",'Mapa riesgos'!$AF$59="Catastrófico"),CONCATENATE("R8C",'Mapa riesgos'!$T$59),"")</f>
        <v/>
      </c>
      <c r="AM53" s="40" t="str">
        <f>IF(AND('Mapa riesgos'!$AD$60="Muy Baja",'Mapa riesgos'!$AF$60="Catastrófico"),CONCATENATE("R8C",'Mapa riesgos'!$T$60),"")</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c r="A54" s="66"/>
      <c r="B54" s="458"/>
      <c r="C54" s="458"/>
      <c r="D54" s="459"/>
      <c r="E54" s="499"/>
      <c r="F54" s="500"/>
      <c r="G54" s="500"/>
      <c r="H54" s="500"/>
      <c r="I54" s="501"/>
      <c r="J54" s="59" t="str">
        <f>IF(AND('Mapa riesgos'!$AD$61="Muy Baja",'Mapa riesgos'!$AF$61="Leve"),CONCATENATE("R9C",'Mapa riesgos'!$T$61),"")</f>
        <v/>
      </c>
      <c r="K54" s="60" t="str">
        <f>IF(AND('Mapa riesgos'!$AD$62="Muy Baja",'Mapa riesgos'!$AF$62="Leve"),CONCATENATE("R9C",'Mapa riesgos'!$T$62),"")</f>
        <v/>
      </c>
      <c r="L54" s="60" t="str">
        <f>IF(AND('Mapa riesgos'!$AD$63="Muy Baja",'Mapa riesgos'!$AF$63="Leve"),CONCATENATE("R9C",'Mapa riesgos'!$T$63),"")</f>
        <v/>
      </c>
      <c r="M54" s="60" t="str">
        <f>IF(AND('Mapa riesgos'!$AD$64="Muy Baja",'Mapa riesgos'!$AF$64="Leve"),CONCATENATE("R9C",'Mapa riesgos'!$T$64),"")</f>
        <v/>
      </c>
      <c r="N54" s="60" t="str">
        <f>IF(AND('Mapa riesgos'!$AD$65="Muy Baja",'Mapa riesgos'!$AF$65="Leve"),CONCATENATE("R9C",'Mapa riesgos'!$T$65),"")</f>
        <v/>
      </c>
      <c r="O54" s="61" t="str">
        <f>IF(AND('Mapa riesgos'!$AD$66="Muy Baja",'Mapa riesgos'!$AF$66="Leve"),CONCATENATE("R9C",'Mapa riesgos'!$T$66),"")</f>
        <v/>
      </c>
      <c r="P54" s="59" t="str">
        <f>IF(AND('Mapa riesgos'!$AD$61="Muy Baja",'Mapa riesgos'!$AF$61="Menor"),CONCATENATE("R9C",'Mapa riesgos'!$T$61),"")</f>
        <v/>
      </c>
      <c r="Q54" s="60" t="str">
        <f>IF(AND('Mapa riesgos'!$AD$62="Muy Baja",'Mapa riesgos'!$AF$62="Menor"),CONCATENATE("R9C",'Mapa riesgos'!$T$62),"")</f>
        <v/>
      </c>
      <c r="R54" s="60" t="str">
        <f>IF(AND('Mapa riesgos'!$AD$63="Muy Baja",'Mapa riesgos'!$AF$63="Menor"),CONCATENATE("R9C",'Mapa riesgos'!$T$63),"")</f>
        <v/>
      </c>
      <c r="S54" s="60" t="str">
        <f>IF(AND('Mapa riesgos'!$AD$64="Muy Baja",'Mapa riesgos'!$AF$64="Menor"),CONCATENATE("R9C",'Mapa riesgos'!$T$64),"")</f>
        <v/>
      </c>
      <c r="T54" s="60" t="str">
        <f>IF(AND('Mapa riesgos'!$AD$65="Muy Baja",'Mapa riesgos'!$AF$65="Menor"),CONCATENATE("R9C",'Mapa riesgos'!$T$65),"")</f>
        <v/>
      </c>
      <c r="U54" s="61" t="str">
        <f>IF(AND('Mapa riesgos'!$AD$66="Muy Baja",'Mapa riesgos'!$AF$66="Menor"),CONCATENATE("R9C",'Mapa riesgos'!$T$66),"")</f>
        <v/>
      </c>
      <c r="V54" s="50" t="str">
        <f>IF(AND('Mapa riesgos'!$AD$61="Muy Baja",'Mapa riesgos'!$AF$61="Moderado"),CONCATENATE("R9C",'Mapa riesgos'!$T$61),"")</f>
        <v/>
      </c>
      <c r="W54" s="51" t="str">
        <f>IF(AND('Mapa riesgos'!$AD$62="Muy Baja",'Mapa riesgos'!$AF$62="Moderado"),CONCATENATE("R9C",'Mapa riesgos'!$T$62),"")</f>
        <v/>
      </c>
      <c r="X54" s="51" t="str">
        <f>IF(AND('Mapa riesgos'!$AD$63="Muy Baja",'Mapa riesgos'!$AF$63="Moderado"),CONCATENATE("R9C",'Mapa riesgos'!$T$63),"")</f>
        <v/>
      </c>
      <c r="Y54" s="51" t="str">
        <f>IF(AND('Mapa riesgos'!$AD$64="Muy Baja",'Mapa riesgos'!$AF$64="Moderado"),CONCATENATE("R9C",'Mapa riesgos'!$T$64),"")</f>
        <v/>
      </c>
      <c r="Z54" s="51" t="str">
        <f>IF(AND('Mapa riesgos'!$AD$65="Muy Baja",'Mapa riesgos'!$AF$65="Moderado"),CONCATENATE("R9C",'Mapa riesgos'!$T$65),"")</f>
        <v/>
      </c>
      <c r="AA54" s="52" t="str">
        <f>IF(AND('Mapa riesgos'!$AD$66="Muy Baja",'Mapa riesgos'!$AF$66="Moderado"),CONCATENATE("R9C",'Mapa riesgos'!$T$66),"")</f>
        <v/>
      </c>
      <c r="AB54" s="35" t="str">
        <f>IF(AND('Mapa riesgos'!$AD$61="Muy Baja",'Mapa riesgos'!$AF$61="Mayor"),CONCATENATE("R9C",'Mapa riesgos'!$T$61),"")</f>
        <v/>
      </c>
      <c r="AC54" s="36" t="str">
        <f>IF(AND('Mapa riesgos'!$AD$62="Muy Baja",'Mapa riesgos'!$AF$62="Mayor"),CONCATENATE("R9C",'Mapa riesgos'!$T$62),"")</f>
        <v/>
      </c>
      <c r="AD54" s="36" t="str">
        <f>IF(AND('Mapa riesgos'!$AD$63="Muy Baja",'Mapa riesgos'!$AF$63="Mayor"),CONCATENATE("R9C",'Mapa riesgos'!$T$63),"")</f>
        <v/>
      </c>
      <c r="AE54" s="36" t="str">
        <f>IF(AND('Mapa riesgos'!$AD$64="Muy Baja",'Mapa riesgos'!$AF$64="Mayor"),CONCATENATE("R9C",'Mapa riesgos'!$T$64),"")</f>
        <v/>
      </c>
      <c r="AF54" s="36" t="str">
        <f>IF(AND('Mapa riesgos'!$AD$65="Muy Baja",'Mapa riesgos'!$AF$65="Mayor"),CONCATENATE("R9C",'Mapa riesgos'!$T$65),"")</f>
        <v/>
      </c>
      <c r="AG54" s="37" t="str">
        <f>IF(AND('Mapa riesgos'!$AD$66="Muy Baja",'Mapa riesgos'!$AF$66="Mayor"),CONCATENATE("R9C",'Mapa riesgos'!$T$66),"")</f>
        <v/>
      </c>
      <c r="AH54" s="38" t="str">
        <f>IF(AND('Mapa riesgos'!$AD$61="Muy Baja",'Mapa riesgos'!$AF$61="Catastrófico"),CONCATENATE("R9C",'Mapa riesgos'!$T$61),"")</f>
        <v/>
      </c>
      <c r="AI54" s="39" t="str">
        <f>IF(AND('Mapa riesgos'!$AD$62="Muy Baja",'Mapa riesgos'!$AF$62="Catastrófico"),CONCATENATE("R9C",'Mapa riesgos'!$T$62),"")</f>
        <v/>
      </c>
      <c r="AJ54" s="39" t="str">
        <f>IF(AND('Mapa riesgos'!$AD$63="Muy Baja",'Mapa riesgos'!$AF$63="Catastrófico"),CONCATENATE("R9C",'Mapa riesgos'!$T$63),"")</f>
        <v/>
      </c>
      <c r="AK54" s="39" t="str">
        <f>IF(AND('Mapa riesgos'!$AD$64="Muy Baja",'Mapa riesgos'!$AF$64="Catastrófico"),CONCATENATE("R9C",'Mapa riesgos'!$T$64),"")</f>
        <v/>
      </c>
      <c r="AL54" s="39" t="str">
        <f>IF(AND('Mapa riesgos'!$AD$65="Muy Baja",'Mapa riesgos'!$AF$65="Catastrófico"),CONCATENATE("R9C",'Mapa riesgos'!$T$65),"")</f>
        <v/>
      </c>
      <c r="AM54" s="40" t="str">
        <f>IF(AND('Mapa riesgos'!$AD$66="Muy Baja",'Mapa riesgos'!$AF$66="Catastrófico"),CONCATENATE("R9C",'Mapa riesgos'!$T$66),"")</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c r="A55" s="66"/>
      <c r="B55" s="458"/>
      <c r="C55" s="458"/>
      <c r="D55" s="459"/>
      <c r="E55" s="502"/>
      <c r="F55" s="503"/>
      <c r="G55" s="503"/>
      <c r="H55" s="503"/>
      <c r="I55" s="504"/>
      <c r="J55" s="62" t="str">
        <f>IF(AND('Mapa riesgos'!$AD$67="Muy Baja",'Mapa riesgos'!$AF$67="Leve"),CONCATENATE("R10C",'Mapa riesgos'!$T$67),"")</f>
        <v/>
      </c>
      <c r="K55" s="63" t="str">
        <f>IF(AND('Mapa riesgos'!$AD$68="Muy Baja",'Mapa riesgos'!$AF$68="Leve"),CONCATENATE("R10C",'Mapa riesgos'!$T$68),"")</f>
        <v/>
      </c>
      <c r="L55" s="63" t="str">
        <f>IF(AND('Mapa riesgos'!$AD$69="Muy Baja",'Mapa riesgos'!$AF$69="Leve"),CONCATENATE("R10C",'Mapa riesgos'!$T$69),"")</f>
        <v/>
      </c>
      <c r="M55" s="63" t="str">
        <f>IF(AND('Mapa riesgos'!$AD$70="Muy Baja",'Mapa riesgos'!$AF$70="Leve"),CONCATENATE("R10C",'Mapa riesgos'!$T$70),"")</f>
        <v/>
      </c>
      <c r="N55" s="63" t="str">
        <f>IF(AND('Mapa riesgos'!$AD$71="Muy Baja",'Mapa riesgos'!$AF$71="Leve"),CONCATENATE("R10C",'Mapa riesgos'!$T$71),"")</f>
        <v/>
      </c>
      <c r="O55" s="64" t="str">
        <f>IF(AND('Mapa riesgos'!$AD$72="Muy Baja",'Mapa riesgos'!$AF$72="Leve"),CONCATENATE("R10C",'Mapa riesgos'!$T$72),"")</f>
        <v/>
      </c>
      <c r="P55" s="62" t="str">
        <f>IF(AND('Mapa riesgos'!$AD$67="Muy Baja",'Mapa riesgos'!$AF$67="Menor"),CONCATENATE("R10C",'Mapa riesgos'!$T$67),"")</f>
        <v/>
      </c>
      <c r="Q55" s="63" t="str">
        <f>IF(AND('Mapa riesgos'!$AD$68="Muy Baja",'Mapa riesgos'!$AF$68="Menor"),CONCATENATE("R10C",'Mapa riesgos'!$T$68),"")</f>
        <v/>
      </c>
      <c r="R55" s="63" t="str">
        <f>IF(AND('Mapa riesgos'!$AD$69="Muy Baja",'Mapa riesgos'!$AF$69="Menor"),CONCATENATE("R10C",'Mapa riesgos'!$T$69),"")</f>
        <v/>
      </c>
      <c r="S55" s="63" t="str">
        <f>IF(AND('Mapa riesgos'!$AD$70="Muy Baja",'Mapa riesgos'!$AF$70="Menor"),CONCATENATE("R10C",'Mapa riesgos'!$T$70),"")</f>
        <v/>
      </c>
      <c r="T55" s="63" t="str">
        <f>IF(AND('Mapa riesgos'!$AD$71="Muy Baja",'Mapa riesgos'!$AF$71="Menor"),CONCATENATE("R10C",'Mapa riesgos'!$T$71),"")</f>
        <v/>
      </c>
      <c r="U55" s="64" t="str">
        <f>IF(AND('Mapa riesgos'!$AD$72="Muy Baja",'Mapa riesgos'!$AF$72="Menor"),CONCATENATE("R10C",'Mapa riesgos'!$T$72),"")</f>
        <v/>
      </c>
      <c r="V55" s="53" t="str">
        <f>IF(AND('Mapa riesgos'!$AD$67="Muy Baja",'Mapa riesgos'!$AF$67="Moderado"),CONCATENATE("R10C",'Mapa riesgos'!$T$67),"")</f>
        <v/>
      </c>
      <c r="W55" s="54" t="str">
        <f>IF(AND('Mapa riesgos'!$AD$68="Muy Baja",'Mapa riesgos'!$AF$68="Moderado"),CONCATENATE("R10C",'Mapa riesgos'!$T$68),"")</f>
        <v/>
      </c>
      <c r="X55" s="54" t="str">
        <f>IF(AND('Mapa riesgos'!$AD$69="Muy Baja",'Mapa riesgos'!$AF$69="Moderado"),CONCATENATE("R10C",'Mapa riesgos'!$T$69),"")</f>
        <v/>
      </c>
      <c r="Y55" s="54" t="str">
        <f>IF(AND('Mapa riesgos'!$AD$70="Muy Baja",'Mapa riesgos'!$AF$70="Moderado"),CONCATENATE("R10C",'Mapa riesgos'!$T$70),"")</f>
        <v/>
      </c>
      <c r="Z55" s="54" t="str">
        <f>IF(AND('Mapa riesgos'!$AD$71="Muy Baja",'Mapa riesgos'!$AF$71="Moderado"),CONCATENATE("R10C",'Mapa riesgos'!$T$71),"")</f>
        <v/>
      </c>
      <c r="AA55" s="55" t="str">
        <f>IF(AND('Mapa riesgos'!$AD$72="Muy Baja",'Mapa riesgos'!$AF$72="Moderado"),CONCATENATE("R10C",'Mapa riesgos'!$T$72),"")</f>
        <v/>
      </c>
      <c r="AB55" s="41" t="str">
        <f>IF(AND('Mapa riesgos'!$AD$67="Muy Baja",'Mapa riesgos'!$AF$67="Mayor"),CONCATENATE("R10C",'Mapa riesgos'!$T$67),"")</f>
        <v/>
      </c>
      <c r="AC55" s="42" t="str">
        <f>IF(AND('Mapa riesgos'!$AD$68="Muy Baja",'Mapa riesgos'!$AF$68="Mayor"),CONCATENATE("R10C",'Mapa riesgos'!$T$68),"")</f>
        <v/>
      </c>
      <c r="AD55" s="42" t="str">
        <f>IF(AND('Mapa riesgos'!$AD$69="Muy Baja",'Mapa riesgos'!$AF$69="Mayor"),CONCATENATE("R10C",'Mapa riesgos'!$T$69),"")</f>
        <v/>
      </c>
      <c r="AE55" s="42" t="str">
        <f>IF(AND('Mapa riesgos'!$AD$70="Muy Baja",'Mapa riesgos'!$AF$70="Mayor"),CONCATENATE("R10C",'Mapa riesgos'!$T$70),"")</f>
        <v/>
      </c>
      <c r="AF55" s="42" t="str">
        <f>IF(AND('Mapa riesgos'!$AD$71="Muy Baja",'Mapa riesgos'!$AF$71="Mayor"),CONCATENATE("R10C",'Mapa riesgos'!$T$71),"")</f>
        <v/>
      </c>
      <c r="AG55" s="43" t="str">
        <f>IF(AND('Mapa riesgos'!$AD$72="Muy Baja",'Mapa riesgos'!$AF$72="Mayor"),CONCATENATE("R10C",'Mapa riesgos'!$T$72),"")</f>
        <v/>
      </c>
      <c r="AH55" s="44" t="str">
        <f>IF(AND('Mapa riesgos'!$AD$67="Muy Baja",'Mapa riesgos'!$AF$67="Catastrófico"),CONCATENATE("R10C",'Mapa riesgos'!$T$67),"")</f>
        <v/>
      </c>
      <c r="AI55" s="45" t="str">
        <f>IF(AND('Mapa riesgos'!$AD$68="Muy Baja",'Mapa riesgos'!$AF$68="Catastrófico"),CONCATENATE("R10C",'Mapa riesgos'!$T$68),"")</f>
        <v/>
      </c>
      <c r="AJ55" s="45" t="str">
        <f>IF(AND('Mapa riesgos'!$AD$69="Muy Baja",'Mapa riesgos'!$AF$69="Catastrófico"),CONCATENATE("R10C",'Mapa riesgos'!$T$69),"")</f>
        <v/>
      </c>
      <c r="AK55" s="45" t="str">
        <f>IF(AND('Mapa riesgos'!$AD$70="Muy Baja",'Mapa riesgos'!$AF$70="Catastrófico"),CONCATENATE("R10C",'Mapa riesgos'!$T$70),"")</f>
        <v/>
      </c>
      <c r="AL55" s="45" t="str">
        <f>IF(AND('Mapa riesgos'!$AD$71="Muy Baja",'Mapa riesgos'!$AF$71="Catastrófico"),CONCATENATE("R10C",'Mapa riesgos'!$T$71),"")</f>
        <v/>
      </c>
      <c r="AM55" s="46" t="str">
        <f>IF(AND('Mapa riesgos'!$AD$72="Muy Baja",'Mapa riesgos'!$AF$72="Catastrófico"),CONCATENATE("R10C",'Mapa riesgos'!$T$72),"")</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c r="A56" s="66"/>
      <c r="B56" s="66"/>
      <c r="C56" s="66"/>
      <c r="D56" s="66"/>
      <c r="E56" s="66"/>
      <c r="F56" s="66"/>
      <c r="G56" s="66"/>
      <c r="H56" s="66"/>
      <c r="I56" s="66"/>
      <c r="J56" s="496" t="s">
        <v>226</v>
      </c>
      <c r="K56" s="497"/>
      <c r="L56" s="497"/>
      <c r="M56" s="497"/>
      <c r="N56" s="497"/>
      <c r="O56" s="498"/>
      <c r="P56" s="496" t="s">
        <v>227</v>
      </c>
      <c r="Q56" s="497"/>
      <c r="R56" s="497"/>
      <c r="S56" s="497"/>
      <c r="T56" s="497"/>
      <c r="U56" s="498"/>
      <c r="V56" s="496" t="s">
        <v>228</v>
      </c>
      <c r="W56" s="497"/>
      <c r="X56" s="497"/>
      <c r="Y56" s="497"/>
      <c r="Z56" s="497"/>
      <c r="AA56" s="498"/>
      <c r="AB56" s="496" t="s">
        <v>229</v>
      </c>
      <c r="AC56" s="505"/>
      <c r="AD56" s="497"/>
      <c r="AE56" s="497"/>
      <c r="AF56" s="497"/>
      <c r="AG56" s="498"/>
      <c r="AH56" s="496" t="s">
        <v>230</v>
      </c>
      <c r="AI56" s="497"/>
      <c r="AJ56" s="497"/>
      <c r="AK56" s="497"/>
      <c r="AL56" s="497"/>
      <c r="AM56" s="498"/>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c r="A57" s="66"/>
      <c r="B57" s="66"/>
      <c r="C57" s="66"/>
      <c r="D57" s="66"/>
      <c r="E57" s="66"/>
      <c r="F57" s="66"/>
      <c r="G57" s="66"/>
      <c r="H57" s="66"/>
      <c r="I57" s="66"/>
      <c r="J57" s="499"/>
      <c r="K57" s="500"/>
      <c r="L57" s="500"/>
      <c r="M57" s="500"/>
      <c r="N57" s="500"/>
      <c r="O57" s="501"/>
      <c r="P57" s="499"/>
      <c r="Q57" s="500"/>
      <c r="R57" s="500"/>
      <c r="S57" s="500"/>
      <c r="T57" s="500"/>
      <c r="U57" s="501"/>
      <c r="V57" s="499"/>
      <c r="W57" s="500"/>
      <c r="X57" s="500"/>
      <c r="Y57" s="500"/>
      <c r="Z57" s="500"/>
      <c r="AA57" s="501"/>
      <c r="AB57" s="499"/>
      <c r="AC57" s="500"/>
      <c r="AD57" s="500"/>
      <c r="AE57" s="500"/>
      <c r="AF57" s="500"/>
      <c r="AG57" s="501"/>
      <c r="AH57" s="499"/>
      <c r="AI57" s="500"/>
      <c r="AJ57" s="500"/>
      <c r="AK57" s="500"/>
      <c r="AL57" s="500"/>
      <c r="AM57" s="501"/>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c r="A58" s="66"/>
      <c r="B58" s="66"/>
      <c r="C58" s="66"/>
      <c r="D58" s="66"/>
      <c r="E58" s="66"/>
      <c r="F58" s="66"/>
      <c r="G58" s="66"/>
      <c r="H58" s="66"/>
      <c r="I58" s="66"/>
      <c r="J58" s="499"/>
      <c r="K58" s="500"/>
      <c r="L58" s="500"/>
      <c r="M58" s="500"/>
      <c r="N58" s="500"/>
      <c r="O58" s="501"/>
      <c r="P58" s="499"/>
      <c r="Q58" s="500"/>
      <c r="R58" s="500"/>
      <c r="S58" s="500"/>
      <c r="T58" s="500"/>
      <c r="U58" s="501"/>
      <c r="V58" s="499"/>
      <c r="W58" s="500"/>
      <c r="X58" s="500"/>
      <c r="Y58" s="500"/>
      <c r="Z58" s="500"/>
      <c r="AA58" s="501"/>
      <c r="AB58" s="499"/>
      <c r="AC58" s="500"/>
      <c r="AD58" s="500"/>
      <c r="AE58" s="500"/>
      <c r="AF58" s="500"/>
      <c r="AG58" s="501"/>
      <c r="AH58" s="499"/>
      <c r="AI58" s="500"/>
      <c r="AJ58" s="500"/>
      <c r="AK58" s="500"/>
      <c r="AL58" s="500"/>
      <c r="AM58" s="501"/>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c r="A59" s="66"/>
      <c r="B59" s="66"/>
      <c r="C59" s="66"/>
      <c r="D59" s="66"/>
      <c r="E59" s="66"/>
      <c r="F59" s="66"/>
      <c r="G59" s="66"/>
      <c r="H59" s="66"/>
      <c r="I59" s="66"/>
      <c r="J59" s="499"/>
      <c r="K59" s="500"/>
      <c r="L59" s="500"/>
      <c r="M59" s="500"/>
      <c r="N59" s="500"/>
      <c r="O59" s="501"/>
      <c r="P59" s="499"/>
      <c r="Q59" s="500"/>
      <c r="R59" s="500"/>
      <c r="S59" s="500"/>
      <c r="T59" s="500"/>
      <c r="U59" s="501"/>
      <c r="V59" s="499"/>
      <c r="W59" s="500"/>
      <c r="X59" s="500"/>
      <c r="Y59" s="500"/>
      <c r="Z59" s="500"/>
      <c r="AA59" s="501"/>
      <c r="AB59" s="499"/>
      <c r="AC59" s="500"/>
      <c r="AD59" s="500"/>
      <c r="AE59" s="500"/>
      <c r="AF59" s="500"/>
      <c r="AG59" s="501"/>
      <c r="AH59" s="499"/>
      <c r="AI59" s="500"/>
      <c r="AJ59" s="500"/>
      <c r="AK59" s="500"/>
      <c r="AL59" s="500"/>
      <c r="AM59" s="501"/>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c r="A60" s="66"/>
      <c r="B60" s="66"/>
      <c r="C60" s="66"/>
      <c r="D60" s="66"/>
      <c r="E60" s="66"/>
      <c r="F60" s="66"/>
      <c r="G60" s="66"/>
      <c r="H60" s="66"/>
      <c r="I60" s="66"/>
      <c r="J60" s="499"/>
      <c r="K60" s="500"/>
      <c r="L60" s="500"/>
      <c r="M60" s="500"/>
      <c r="N60" s="500"/>
      <c r="O60" s="501"/>
      <c r="P60" s="499"/>
      <c r="Q60" s="500"/>
      <c r="R60" s="500"/>
      <c r="S60" s="500"/>
      <c r="T60" s="500"/>
      <c r="U60" s="501"/>
      <c r="V60" s="499"/>
      <c r="W60" s="500"/>
      <c r="X60" s="500"/>
      <c r="Y60" s="500"/>
      <c r="Z60" s="500"/>
      <c r="AA60" s="501"/>
      <c r="AB60" s="499"/>
      <c r="AC60" s="500"/>
      <c r="AD60" s="500"/>
      <c r="AE60" s="500"/>
      <c r="AF60" s="500"/>
      <c r="AG60" s="501"/>
      <c r="AH60" s="499"/>
      <c r="AI60" s="500"/>
      <c r="AJ60" s="500"/>
      <c r="AK60" s="500"/>
      <c r="AL60" s="500"/>
      <c r="AM60" s="501"/>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75" thickBot="1">
      <c r="A61" s="66"/>
      <c r="B61" s="66"/>
      <c r="C61" s="66"/>
      <c r="D61" s="66"/>
      <c r="E61" s="66"/>
      <c r="F61" s="66"/>
      <c r="G61" s="66"/>
      <c r="H61" s="66"/>
      <c r="I61" s="66"/>
      <c r="J61" s="502"/>
      <c r="K61" s="503"/>
      <c r="L61" s="503"/>
      <c r="M61" s="503"/>
      <c r="N61" s="503"/>
      <c r="O61" s="504"/>
      <c r="P61" s="502"/>
      <c r="Q61" s="503"/>
      <c r="R61" s="503"/>
      <c r="S61" s="503"/>
      <c r="T61" s="503"/>
      <c r="U61" s="504"/>
      <c r="V61" s="502"/>
      <c r="W61" s="503"/>
      <c r="X61" s="503"/>
      <c r="Y61" s="503"/>
      <c r="Z61" s="503"/>
      <c r="AA61" s="504"/>
      <c r="AB61" s="502"/>
      <c r="AC61" s="503"/>
      <c r="AD61" s="503"/>
      <c r="AE61" s="503"/>
      <c r="AF61" s="503"/>
      <c r="AG61" s="504"/>
      <c r="AH61" s="502"/>
      <c r="AI61" s="503"/>
      <c r="AJ61" s="503"/>
      <c r="AK61" s="503"/>
      <c r="AL61" s="503"/>
      <c r="AM61" s="504"/>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c r="A245" s="66"/>
    </row>
    <row r="246" spans="1:60">
      <c r="A246" s="66"/>
    </row>
    <row r="247" spans="1:60">
      <c r="A247" s="66"/>
    </row>
    <row r="248" spans="1:60">
      <c r="A248" s="66"/>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55"/>
  <sheetViews>
    <sheetView zoomScale="90" zoomScaleNormal="90" workbookViewId="0">
      <selection activeCell="B7" sqref="B7"/>
    </sheetView>
  </sheetViews>
  <sheetFormatPr defaultColWidth="11.42578125" defaultRowHeight="15"/>
  <cols>
    <col min="2" max="2" width="24.140625" customWidth="1"/>
    <col min="3" max="3" width="70.140625" customWidth="1"/>
    <col min="4" max="4" width="29.85546875" customWidth="1"/>
  </cols>
  <sheetData>
    <row r="1" spans="1:37" ht="23.25">
      <c r="A1" s="66"/>
      <c r="B1" s="545" t="s">
        <v>232</v>
      </c>
      <c r="C1" s="545"/>
      <c r="D1" s="545"/>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5">
      <c r="A3" s="66"/>
      <c r="B3" s="3"/>
      <c r="C3" s="4" t="s">
        <v>233</v>
      </c>
      <c r="D3" s="4" t="s">
        <v>216</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1">
      <c r="A4" s="66"/>
      <c r="B4" s="5" t="s">
        <v>234</v>
      </c>
      <c r="C4" s="6" t="s">
        <v>235</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1">
      <c r="A5" s="66"/>
      <c r="B5" s="8" t="s">
        <v>236</v>
      </c>
      <c r="C5" s="9" t="s">
        <v>237</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1">
      <c r="A6" s="66"/>
      <c r="B6" s="11" t="s">
        <v>238</v>
      </c>
      <c r="C6" s="9" t="s">
        <v>239</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6.5">
      <c r="A7" s="66"/>
      <c r="B7" s="12" t="s">
        <v>240</v>
      </c>
      <c r="C7" s="9" t="s">
        <v>241</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1">
      <c r="A8" s="66"/>
      <c r="B8" s="13" t="s">
        <v>242</v>
      </c>
      <c r="C8" s="9" t="s">
        <v>243</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ht="16.5">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c r="A35" s="66"/>
    </row>
    <row r="36" spans="1:31">
      <c r="A36" s="66"/>
    </row>
    <row r="37" spans="1:31">
      <c r="A37" s="66"/>
    </row>
    <row r="38" spans="1:31">
      <c r="A38" s="66"/>
    </row>
    <row r="39" spans="1:31">
      <c r="A39" s="66"/>
    </row>
    <row r="40" spans="1:31">
      <c r="A40" s="66"/>
    </row>
    <row r="41" spans="1:31">
      <c r="A41" s="66"/>
    </row>
    <row r="42" spans="1:31">
      <c r="A42" s="66"/>
    </row>
    <row r="43" spans="1:31">
      <c r="A43" s="66"/>
    </row>
    <row r="44" spans="1:31">
      <c r="A44" s="66"/>
    </row>
    <row r="45" spans="1:31">
      <c r="A45" s="66"/>
    </row>
    <row r="46" spans="1:31">
      <c r="A46" s="66"/>
    </row>
    <row r="47" spans="1:31">
      <c r="A47" s="66"/>
    </row>
    <row r="48" spans="1:31">
      <c r="A48" s="66"/>
    </row>
    <row r="49" spans="1:1">
      <c r="A49" s="66"/>
    </row>
    <row r="50" spans="1:1">
      <c r="A50" s="66"/>
    </row>
    <row r="51" spans="1:1">
      <c r="A51" s="66"/>
    </row>
    <row r="52" spans="1:1">
      <c r="A52" s="66"/>
    </row>
    <row r="53" spans="1:1">
      <c r="A53" s="66"/>
    </row>
    <row r="54" spans="1:1">
      <c r="A54" s="66"/>
    </row>
    <row r="55" spans="1:1">
      <c r="A55" s="66"/>
    </row>
  </sheetData>
  <mergeCells count="1">
    <mergeCell ref="B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U233"/>
  <sheetViews>
    <sheetView zoomScale="50" zoomScaleNormal="50" workbookViewId="0">
      <selection activeCell="G8" sqref="G8"/>
    </sheetView>
  </sheetViews>
  <sheetFormatPr defaultColWidth="11.42578125" defaultRowHeight="15"/>
  <cols>
    <col min="1" max="1" width="5.28515625" customWidth="1"/>
    <col min="2" max="2" width="56.85546875" customWidth="1"/>
    <col min="3" max="3" width="75.140625" customWidth="1"/>
    <col min="4" max="4" width="87.5703125" customWidth="1"/>
    <col min="5" max="5" width="46.42578125" customWidth="1"/>
    <col min="6" max="6" width="23.42578125" style="114" customWidth="1"/>
    <col min="7" max="7" width="26.85546875" customWidth="1"/>
  </cols>
  <sheetData>
    <row r="2" spans="1:21" s="184" customFormat="1" ht="45.75" customHeight="1">
      <c r="A2" s="182"/>
      <c r="B2" s="546" t="s">
        <v>244</v>
      </c>
      <c r="C2" s="546"/>
      <c r="D2" s="546"/>
      <c r="E2" s="546"/>
      <c r="F2" s="183"/>
      <c r="G2" s="182"/>
      <c r="H2" s="182"/>
      <c r="I2" s="182"/>
      <c r="J2" s="182"/>
      <c r="K2" s="182"/>
      <c r="L2" s="182"/>
      <c r="M2" s="182"/>
      <c r="N2" s="182"/>
      <c r="O2" s="182"/>
      <c r="P2" s="182"/>
      <c r="Q2" s="182"/>
      <c r="R2" s="182"/>
      <c r="S2" s="182"/>
      <c r="T2" s="182"/>
      <c r="U2" s="182"/>
    </row>
    <row r="3" spans="1:21" s="184" customFormat="1" ht="18.75" customHeight="1">
      <c r="A3" s="182"/>
      <c r="B3" s="185"/>
      <c r="C3" s="182"/>
      <c r="D3" s="182"/>
      <c r="E3" s="182"/>
      <c r="F3" s="183"/>
      <c r="G3" s="182"/>
      <c r="H3" s="182"/>
      <c r="I3" s="182"/>
      <c r="J3" s="182"/>
      <c r="K3" s="182"/>
      <c r="L3" s="182"/>
      <c r="M3" s="182"/>
      <c r="N3" s="182"/>
      <c r="O3" s="182"/>
      <c r="P3" s="182"/>
      <c r="Q3" s="182"/>
      <c r="R3" s="182"/>
      <c r="S3" s="182"/>
      <c r="T3" s="182"/>
      <c r="U3" s="182"/>
    </row>
    <row r="4" spans="1:21" ht="67.5" customHeight="1">
      <c r="A4" s="66"/>
      <c r="B4" s="106"/>
      <c r="C4" s="21" t="s">
        <v>245</v>
      </c>
      <c r="D4" s="21" t="s">
        <v>246</v>
      </c>
      <c r="E4" s="21" t="s">
        <v>247</v>
      </c>
      <c r="F4" s="112"/>
      <c r="G4" s="66"/>
      <c r="H4" s="66"/>
      <c r="I4" s="66"/>
      <c r="J4" s="66"/>
      <c r="K4" s="66"/>
      <c r="L4" s="66"/>
      <c r="M4" s="66"/>
      <c r="N4" s="66"/>
      <c r="O4" s="66"/>
      <c r="P4" s="66"/>
      <c r="Q4" s="66"/>
      <c r="R4" s="66"/>
      <c r="S4" s="66"/>
      <c r="T4" s="66"/>
      <c r="U4" s="66"/>
    </row>
    <row r="5" spans="1:21" ht="67.5" customHeight="1">
      <c r="A5" s="86" t="s">
        <v>248</v>
      </c>
      <c r="B5" s="22" t="s">
        <v>249</v>
      </c>
      <c r="C5" s="27" t="s">
        <v>250</v>
      </c>
      <c r="D5" s="104" t="s">
        <v>251</v>
      </c>
      <c r="E5" s="236">
        <f>908526*130</f>
        <v>118108380</v>
      </c>
      <c r="F5" s="66"/>
      <c r="G5" s="66"/>
      <c r="H5" s="66"/>
      <c r="I5" s="66"/>
      <c r="J5" s="66"/>
      <c r="K5" s="66"/>
      <c r="L5" s="66"/>
      <c r="M5" s="66"/>
      <c r="N5" s="66"/>
      <c r="O5" s="66"/>
      <c r="P5" s="66"/>
      <c r="Q5" s="66"/>
      <c r="R5" s="66"/>
      <c r="S5" s="66"/>
      <c r="T5" s="66"/>
      <c r="U5" s="66"/>
    </row>
    <row r="6" spans="1:21" ht="129" customHeight="1">
      <c r="A6" s="86" t="s">
        <v>252</v>
      </c>
      <c r="B6" s="23" t="s">
        <v>253</v>
      </c>
      <c r="C6" s="28" t="s">
        <v>254</v>
      </c>
      <c r="D6" s="105" t="s">
        <v>255</v>
      </c>
      <c r="E6" s="236">
        <f>908526*650</f>
        <v>590541900</v>
      </c>
      <c r="F6" s="66"/>
      <c r="G6" s="66"/>
      <c r="H6" s="66"/>
      <c r="I6" s="66"/>
      <c r="J6" s="66"/>
      <c r="K6" s="66"/>
      <c r="L6" s="66"/>
      <c r="M6" s="66"/>
      <c r="N6" s="66"/>
      <c r="O6" s="66"/>
      <c r="P6" s="66"/>
      <c r="Q6" s="66"/>
      <c r="R6" s="66"/>
      <c r="S6" s="66"/>
      <c r="T6" s="66"/>
      <c r="U6" s="66"/>
    </row>
    <row r="7" spans="1:21" ht="101.25">
      <c r="A7" s="86" t="s">
        <v>222</v>
      </c>
      <c r="B7" s="24" t="s">
        <v>256</v>
      </c>
      <c r="C7" s="28" t="s">
        <v>257</v>
      </c>
      <c r="D7" s="105" t="s">
        <v>258</v>
      </c>
      <c r="E7" s="236">
        <f>908526*1300</f>
        <v>1181083800</v>
      </c>
      <c r="F7" s="66"/>
      <c r="G7" s="66"/>
      <c r="H7" s="66"/>
      <c r="I7" s="66"/>
      <c r="J7" s="66"/>
      <c r="K7" s="66"/>
      <c r="L7" s="66"/>
      <c r="M7" s="66"/>
      <c r="N7" s="66"/>
      <c r="O7" s="66"/>
      <c r="P7" s="66"/>
      <c r="Q7" s="66"/>
      <c r="R7" s="66"/>
      <c r="S7" s="66"/>
      <c r="T7" s="66"/>
      <c r="U7" s="66"/>
    </row>
    <row r="8" spans="1:21" ht="135">
      <c r="A8" s="86" t="s">
        <v>259</v>
      </c>
      <c r="B8" s="25" t="s">
        <v>260</v>
      </c>
      <c r="C8" s="28" t="s">
        <v>261</v>
      </c>
      <c r="D8" s="105" t="s">
        <v>262</v>
      </c>
      <c r="E8" s="236">
        <f>908526*6500</f>
        <v>5905419000</v>
      </c>
      <c r="F8" s="66"/>
      <c r="G8" s="66"/>
      <c r="H8" s="66"/>
      <c r="I8" s="66"/>
      <c r="J8" s="66"/>
      <c r="K8" s="66"/>
      <c r="L8" s="66"/>
      <c r="M8" s="66"/>
      <c r="N8" s="66"/>
      <c r="O8" s="66"/>
      <c r="P8" s="66"/>
      <c r="Q8" s="66"/>
      <c r="R8" s="66"/>
      <c r="S8" s="66"/>
      <c r="T8" s="66"/>
      <c r="U8" s="66"/>
    </row>
    <row r="9" spans="1:21" ht="101.25">
      <c r="A9" s="86" t="s">
        <v>263</v>
      </c>
      <c r="B9" s="26" t="s">
        <v>264</v>
      </c>
      <c r="C9" s="28" t="s">
        <v>265</v>
      </c>
      <c r="D9" s="105" t="s">
        <v>266</v>
      </c>
      <c r="E9" s="236"/>
      <c r="F9" s="107"/>
      <c r="G9" s="107"/>
      <c r="H9" s="66"/>
      <c r="I9" s="66"/>
      <c r="J9" s="66"/>
      <c r="K9" s="66"/>
      <c r="L9" s="66"/>
      <c r="M9" s="66"/>
      <c r="N9" s="66"/>
      <c r="O9" s="66"/>
      <c r="P9" s="66"/>
      <c r="Q9" s="66"/>
      <c r="R9" s="66"/>
      <c r="S9" s="66"/>
      <c r="T9" s="66"/>
      <c r="U9" s="66"/>
    </row>
    <row r="10" spans="1:21" s="110" customFormat="1" ht="20.25" hidden="1">
      <c r="A10" s="108"/>
      <c r="B10" s="108"/>
      <c r="C10" s="109"/>
      <c r="D10" s="109"/>
      <c r="E10" s="108"/>
      <c r="F10" s="108"/>
      <c r="G10" s="108"/>
      <c r="H10" s="108"/>
      <c r="I10" s="108"/>
      <c r="J10" s="108"/>
      <c r="K10" s="108"/>
      <c r="L10" s="108"/>
      <c r="M10" s="108"/>
      <c r="N10" s="108"/>
      <c r="O10" s="108"/>
      <c r="P10" s="108"/>
      <c r="Q10" s="108"/>
      <c r="R10" s="108"/>
      <c r="S10" s="108"/>
      <c r="T10" s="108"/>
      <c r="U10" s="108"/>
    </row>
    <row r="11" spans="1:21" s="110" customFormat="1" ht="16.5" hidden="1">
      <c r="A11" s="108"/>
      <c r="B11" s="111"/>
      <c r="C11" s="111"/>
      <c r="D11" s="111"/>
      <c r="E11" s="108"/>
      <c r="F11" s="108"/>
      <c r="G11" s="108"/>
      <c r="H11" s="108"/>
      <c r="I11" s="108"/>
      <c r="J11" s="108"/>
      <c r="K11" s="108"/>
      <c r="L11" s="108"/>
      <c r="M11" s="108"/>
      <c r="N11" s="108"/>
      <c r="O11" s="108"/>
      <c r="P11" s="108"/>
      <c r="Q11" s="108"/>
      <c r="R11" s="108"/>
      <c r="S11" s="108"/>
      <c r="T11" s="108"/>
      <c r="U11" s="108"/>
    </row>
    <row r="12" spans="1:21" s="110" customFormat="1" hidden="1">
      <c r="A12" s="108"/>
      <c r="B12" s="108" t="s">
        <v>267</v>
      </c>
      <c r="C12" s="108" t="s">
        <v>268</v>
      </c>
      <c r="D12" s="108" t="s">
        <v>269</v>
      </c>
      <c r="E12" s="108"/>
      <c r="F12" s="108"/>
      <c r="G12" s="108"/>
      <c r="H12" s="108"/>
      <c r="I12" s="108"/>
      <c r="J12" s="108"/>
      <c r="K12" s="108"/>
      <c r="L12" s="108"/>
      <c r="M12" s="108"/>
      <c r="N12" s="108"/>
      <c r="O12" s="108"/>
      <c r="P12" s="108"/>
      <c r="Q12" s="108"/>
      <c r="R12" s="108"/>
      <c r="S12" s="108"/>
      <c r="T12" s="108"/>
      <c r="U12" s="108"/>
    </row>
    <row r="13" spans="1:21" s="110" customFormat="1" hidden="1">
      <c r="A13" s="108"/>
      <c r="B13" s="108" t="s">
        <v>270</v>
      </c>
      <c r="C13" s="108" t="s">
        <v>271</v>
      </c>
      <c r="D13" s="108" t="s">
        <v>272</v>
      </c>
      <c r="E13" s="108"/>
      <c r="F13" s="108"/>
      <c r="G13" s="108"/>
      <c r="H13" s="108"/>
      <c r="I13" s="108"/>
      <c r="J13" s="108"/>
      <c r="K13" s="108"/>
      <c r="L13" s="108"/>
      <c r="M13" s="108"/>
      <c r="N13" s="108"/>
      <c r="O13" s="108"/>
      <c r="P13" s="108"/>
      <c r="Q13" s="108"/>
      <c r="R13" s="108"/>
      <c r="S13" s="108"/>
      <c r="T13" s="108"/>
      <c r="U13" s="108"/>
    </row>
    <row r="14" spans="1:21" s="110" customFormat="1" hidden="1">
      <c r="A14" s="108"/>
      <c r="B14" s="108"/>
      <c r="C14" s="108" t="s">
        <v>273</v>
      </c>
      <c r="D14" s="108" t="s">
        <v>182</v>
      </c>
      <c r="E14" s="108"/>
      <c r="F14" s="108"/>
      <c r="G14" s="108"/>
      <c r="H14" s="108"/>
      <c r="I14" s="108"/>
      <c r="J14" s="108"/>
      <c r="K14" s="108"/>
      <c r="L14" s="108"/>
      <c r="M14" s="108"/>
      <c r="N14" s="108"/>
      <c r="O14" s="108"/>
      <c r="P14" s="108"/>
      <c r="Q14" s="108"/>
      <c r="R14" s="108"/>
      <c r="S14" s="108"/>
      <c r="T14" s="108"/>
      <c r="U14" s="108"/>
    </row>
    <row r="15" spans="1:21" s="110" customFormat="1" hidden="1">
      <c r="A15" s="108"/>
      <c r="B15" s="108"/>
      <c r="C15" s="108" t="s">
        <v>274</v>
      </c>
      <c r="D15" s="108" t="s">
        <v>275</v>
      </c>
      <c r="E15" s="108"/>
      <c r="F15" s="108"/>
      <c r="G15" s="108"/>
      <c r="H15" s="108"/>
      <c r="I15" s="108"/>
      <c r="J15" s="108"/>
      <c r="K15" s="108"/>
      <c r="L15" s="108"/>
      <c r="M15" s="108"/>
      <c r="N15" s="108"/>
      <c r="O15" s="108"/>
      <c r="P15" s="108"/>
      <c r="Q15" s="108"/>
      <c r="R15" s="108"/>
      <c r="S15" s="108"/>
      <c r="T15" s="108"/>
      <c r="U15" s="108"/>
    </row>
    <row r="16" spans="1:21" s="110" customFormat="1" hidden="1">
      <c r="A16" s="108"/>
      <c r="B16" s="108"/>
      <c r="C16" s="108" t="s">
        <v>276</v>
      </c>
      <c r="D16" s="108" t="s">
        <v>277</v>
      </c>
      <c r="E16" s="108"/>
      <c r="F16" s="108"/>
      <c r="G16" s="108"/>
      <c r="H16" s="108"/>
      <c r="I16" s="108"/>
      <c r="J16" s="108"/>
      <c r="K16" s="108"/>
      <c r="L16" s="108"/>
      <c r="M16" s="108"/>
      <c r="N16" s="108"/>
      <c r="O16" s="108"/>
      <c r="P16" s="108"/>
      <c r="Q16" s="108"/>
      <c r="R16" s="108"/>
      <c r="S16" s="108"/>
      <c r="T16" s="108"/>
      <c r="U16" s="108"/>
    </row>
    <row r="17" spans="1:15" s="110" customFormat="1" hidden="1">
      <c r="A17" s="108"/>
      <c r="B17" s="108"/>
      <c r="C17" s="108"/>
      <c r="D17" s="108"/>
      <c r="E17" s="108"/>
      <c r="F17" s="108"/>
      <c r="G17" s="108"/>
      <c r="H17" s="108"/>
      <c r="I17" s="108"/>
      <c r="J17" s="108"/>
      <c r="K17" s="108"/>
      <c r="L17" s="108"/>
      <c r="M17" s="108"/>
      <c r="N17" s="108"/>
      <c r="O17" s="108"/>
    </row>
    <row r="18" spans="1:15" s="110" customFormat="1">
      <c r="A18" s="108"/>
      <c r="B18" s="108"/>
      <c r="C18" s="108"/>
      <c r="D18" s="108"/>
      <c r="E18" s="108"/>
      <c r="F18" s="108"/>
      <c r="G18" s="108"/>
      <c r="H18" s="108"/>
      <c r="I18" s="108"/>
      <c r="J18" s="108"/>
      <c r="K18" s="108"/>
      <c r="L18" s="108"/>
      <c r="M18" s="108"/>
      <c r="N18" s="108"/>
      <c r="O18" s="108"/>
    </row>
    <row r="19" spans="1:15" s="110" customFormat="1">
      <c r="A19" s="108"/>
      <c r="B19" s="108"/>
      <c r="C19" s="108"/>
      <c r="D19" s="108"/>
      <c r="E19" s="108"/>
      <c r="F19" s="108"/>
      <c r="G19" s="108"/>
      <c r="H19" s="108"/>
      <c r="I19" s="108"/>
      <c r="J19" s="108"/>
      <c r="K19" s="108"/>
      <c r="L19" s="108"/>
      <c r="M19" s="108"/>
      <c r="N19" s="108"/>
      <c r="O19" s="108"/>
    </row>
    <row r="20" spans="1:15" s="110" customFormat="1">
      <c r="A20" s="108"/>
      <c r="B20" s="108"/>
      <c r="C20" s="108"/>
      <c r="D20" s="108"/>
      <c r="E20" s="108"/>
      <c r="F20" s="108"/>
      <c r="G20" s="108"/>
      <c r="H20" s="108"/>
      <c r="I20" s="108"/>
      <c r="J20" s="108"/>
      <c r="K20" s="108"/>
      <c r="L20" s="108"/>
      <c r="M20" s="108"/>
      <c r="N20" s="108"/>
      <c r="O20" s="108"/>
    </row>
    <row r="21" spans="1:15" s="110" customFormat="1">
      <c r="A21" s="108"/>
      <c r="B21" s="108"/>
      <c r="C21" s="108"/>
      <c r="D21" s="108"/>
      <c r="E21" s="108"/>
      <c r="F21" s="113"/>
      <c r="G21" s="108"/>
      <c r="H21" s="108"/>
      <c r="I21" s="108"/>
      <c r="J21" s="108"/>
      <c r="K21" s="108"/>
      <c r="L21" s="108"/>
      <c r="M21" s="108"/>
      <c r="N21" s="108"/>
      <c r="O21" s="108"/>
    </row>
    <row r="22" spans="1:15" s="110" customFormat="1">
      <c r="A22" s="108"/>
      <c r="B22" s="108"/>
      <c r="C22" s="108"/>
      <c r="D22" s="108"/>
      <c r="E22" s="108"/>
      <c r="F22" s="113"/>
      <c r="G22" s="108"/>
      <c r="H22" s="108"/>
      <c r="I22" s="108"/>
      <c r="J22" s="108"/>
      <c r="K22" s="108"/>
      <c r="L22" s="108"/>
      <c r="M22" s="108"/>
      <c r="N22" s="108"/>
      <c r="O22" s="108"/>
    </row>
    <row r="23" spans="1:15" s="110" customFormat="1" ht="20.25">
      <c r="A23" s="108"/>
      <c r="B23" s="108"/>
      <c r="C23" s="109"/>
      <c r="D23" s="109"/>
      <c r="E23" s="108"/>
      <c r="F23" s="113"/>
      <c r="G23" s="108"/>
      <c r="H23" s="108"/>
      <c r="I23" s="108"/>
      <c r="J23" s="108"/>
      <c r="K23" s="108"/>
      <c r="L23" s="108"/>
      <c r="M23" s="108"/>
      <c r="N23" s="108"/>
      <c r="O23" s="108"/>
    </row>
    <row r="24" spans="1:15" s="110" customFormat="1" ht="20.25">
      <c r="A24" s="108"/>
      <c r="B24" s="108"/>
      <c r="C24" s="109"/>
      <c r="D24" s="109"/>
      <c r="E24" s="108"/>
      <c r="F24" s="113"/>
      <c r="G24" s="108"/>
      <c r="H24" s="108"/>
      <c r="I24" s="108"/>
      <c r="J24" s="108"/>
      <c r="K24" s="108"/>
      <c r="L24" s="108"/>
      <c r="M24" s="108"/>
      <c r="N24" s="108"/>
      <c r="O24" s="108"/>
    </row>
    <row r="25" spans="1:15" s="110" customFormat="1" ht="20.25">
      <c r="A25" s="108"/>
      <c r="B25" s="108"/>
      <c r="C25" s="109"/>
      <c r="D25" s="109"/>
      <c r="E25" s="108"/>
      <c r="F25" s="113"/>
      <c r="G25" s="108"/>
      <c r="H25" s="108"/>
      <c r="I25" s="108"/>
      <c r="J25" s="108"/>
      <c r="K25" s="108"/>
      <c r="L25" s="108"/>
      <c r="M25" s="108"/>
      <c r="N25" s="108"/>
      <c r="O25" s="108"/>
    </row>
    <row r="26" spans="1:15" s="110" customFormat="1" ht="20.25">
      <c r="A26" s="108"/>
      <c r="B26" s="108"/>
      <c r="C26" s="109"/>
      <c r="D26" s="109"/>
      <c r="E26" s="108"/>
      <c r="F26" s="113"/>
      <c r="G26" s="108"/>
      <c r="H26" s="108"/>
      <c r="I26" s="108"/>
      <c r="J26" s="108"/>
      <c r="K26" s="108"/>
      <c r="L26" s="108"/>
      <c r="M26" s="108"/>
      <c r="N26" s="108"/>
      <c r="O26" s="108"/>
    </row>
    <row r="27" spans="1:15" s="110" customFormat="1" ht="20.25">
      <c r="A27" s="108"/>
      <c r="B27" s="108"/>
      <c r="C27" s="109"/>
      <c r="D27" s="109"/>
      <c r="E27" s="108"/>
      <c r="F27" s="113"/>
      <c r="G27" s="108"/>
      <c r="H27" s="108"/>
      <c r="I27" s="108"/>
      <c r="J27" s="108"/>
      <c r="K27" s="108"/>
      <c r="L27" s="108"/>
      <c r="M27" s="108"/>
      <c r="N27" s="108"/>
      <c r="O27" s="108"/>
    </row>
    <row r="28" spans="1:15" s="110" customFormat="1" ht="20.25">
      <c r="A28" s="108"/>
      <c r="B28" s="108"/>
      <c r="C28" s="109"/>
      <c r="D28" s="109"/>
      <c r="E28" s="108"/>
      <c r="F28" s="113"/>
      <c r="G28" s="108"/>
      <c r="H28" s="108"/>
      <c r="I28" s="108"/>
      <c r="J28" s="108"/>
      <c r="K28" s="108"/>
      <c r="L28" s="108"/>
      <c r="M28" s="108"/>
      <c r="N28" s="108"/>
      <c r="O28" s="108"/>
    </row>
    <row r="29" spans="1:15" s="110" customFormat="1" ht="20.25">
      <c r="A29" s="108"/>
      <c r="B29" s="108"/>
      <c r="C29" s="109"/>
      <c r="D29" s="109"/>
      <c r="E29" s="108"/>
      <c r="F29" s="113"/>
      <c r="G29" s="108"/>
      <c r="H29" s="108"/>
      <c r="I29" s="108"/>
      <c r="J29" s="108"/>
      <c r="K29" s="108"/>
      <c r="L29" s="108"/>
      <c r="M29" s="108"/>
      <c r="N29" s="108"/>
      <c r="O29" s="108"/>
    </row>
    <row r="30" spans="1:15" s="110" customFormat="1" ht="20.25">
      <c r="A30" s="108"/>
      <c r="B30" s="108"/>
      <c r="C30" s="109"/>
      <c r="D30" s="109"/>
      <c r="E30" s="108"/>
      <c r="F30" s="113"/>
      <c r="G30" s="108"/>
      <c r="H30" s="108"/>
      <c r="I30" s="108"/>
      <c r="J30" s="108"/>
      <c r="K30" s="108"/>
      <c r="L30" s="108"/>
      <c r="M30" s="108"/>
      <c r="N30" s="108"/>
      <c r="O30" s="108"/>
    </row>
    <row r="31" spans="1:15" s="110" customFormat="1" ht="20.25">
      <c r="A31" s="108"/>
      <c r="B31" s="108"/>
      <c r="C31" s="109"/>
      <c r="D31" s="109"/>
      <c r="E31" s="108"/>
      <c r="F31" s="113"/>
      <c r="G31" s="108"/>
      <c r="H31" s="108"/>
      <c r="I31" s="108"/>
      <c r="J31" s="108"/>
      <c r="K31" s="108"/>
      <c r="L31" s="108"/>
      <c r="M31" s="108"/>
      <c r="N31" s="108"/>
      <c r="O31" s="108"/>
    </row>
    <row r="32" spans="1:15" s="110" customFormat="1" ht="20.25">
      <c r="A32" s="108"/>
      <c r="B32" s="108"/>
      <c r="C32" s="109"/>
      <c r="D32" s="109"/>
      <c r="E32" s="108"/>
      <c r="F32" s="113"/>
      <c r="G32" s="108"/>
      <c r="H32" s="108"/>
      <c r="I32" s="108"/>
      <c r="J32" s="108"/>
      <c r="K32" s="108"/>
      <c r="L32" s="108"/>
      <c r="M32" s="108"/>
      <c r="N32" s="108"/>
      <c r="O32" s="108"/>
    </row>
    <row r="33" spans="1:15" s="110" customFormat="1" ht="20.25">
      <c r="A33" s="108"/>
      <c r="B33" s="108"/>
      <c r="C33" s="109"/>
      <c r="D33" s="109"/>
      <c r="E33" s="108"/>
      <c r="F33" s="113"/>
      <c r="G33" s="108"/>
      <c r="H33" s="108"/>
      <c r="I33" s="108"/>
      <c r="J33" s="108"/>
      <c r="K33" s="108"/>
      <c r="L33" s="108"/>
      <c r="M33" s="108"/>
      <c r="N33" s="108"/>
      <c r="O33" s="108"/>
    </row>
    <row r="34" spans="1:15" s="110" customFormat="1" ht="20.25">
      <c r="A34" s="108"/>
      <c r="B34" s="108"/>
      <c r="C34" s="109"/>
      <c r="D34" s="109"/>
      <c r="E34" s="108"/>
      <c r="F34" s="113"/>
      <c r="G34" s="108"/>
      <c r="H34" s="108"/>
      <c r="I34" s="108"/>
      <c r="J34" s="108"/>
      <c r="K34" s="108"/>
      <c r="L34" s="108"/>
      <c r="M34" s="108"/>
      <c r="N34" s="108"/>
      <c r="O34" s="108"/>
    </row>
    <row r="35" spans="1:15" s="110" customFormat="1" ht="20.25">
      <c r="A35" s="108"/>
      <c r="B35" s="108"/>
      <c r="C35" s="109"/>
      <c r="D35" s="109"/>
      <c r="E35" s="108"/>
      <c r="F35" s="113"/>
      <c r="G35" s="108"/>
      <c r="H35" s="108"/>
      <c r="I35" s="108"/>
      <c r="J35" s="108"/>
      <c r="K35" s="108"/>
      <c r="L35" s="108"/>
      <c r="M35" s="108"/>
      <c r="N35" s="108"/>
      <c r="O35" s="108"/>
    </row>
    <row r="36" spans="1:15" s="110" customFormat="1" ht="20.25">
      <c r="A36" s="108"/>
      <c r="B36" s="108"/>
      <c r="C36" s="109"/>
      <c r="D36" s="109"/>
      <c r="E36" s="108"/>
      <c r="F36" s="113"/>
      <c r="G36" s="108"/>
      <c r="H36" s="108"/>
      <c r="I36" s="108"/>
      <c r="J36" s="108"/>
      <c r="K36" s="108"/>
      <c r="L36" s="108"/>
      <c r="M36" s="108"/>
      <c r="N36" s="108"/>
      <c r="O36" s="108"/>
    </row>
    <row r="37" spans="1:15" s="110" customFormat="1" ht="20.25">
      <c r="A37" s="108"/>
      <c r="B37" s="108"/>
      <c r="C37" s="109"/>
      <c r="D37" s="109"/>
      <c r="E37" s="108"/>
      <c r="F37" s="113"/>
      <c r="G37" s="108"/>
      <c r="H37" s="108"/>
      <c r="I37" s="108"/>
      <c r="J37" s="108"/>
      <c r="K37" s="108"/>
      <c r="L37" s="108"/>
      <c r="M37" s="108"/>
      <c r="N37" s="108"/>
      <c r="O37" s="108"/>
    </row>
    <row r="38" spans="1:15" s="110" customFormat="1" ht="20.25">
      <c r="A38" s="108"/>
      <c r="B38" s="108"/>
      <c r="C38" s="109"/>
      <c r="D38" s="109"/>
      <c r="E38" s="108"/>
      <c r="F38" s="113"/>
      <c r="G38" s="108"/>
      <c r="H38" s="108"/>
      <c r="I38" s="108"/>
      <c r="J38" s="108"/>
      <c r="K38" s="108"/>
      <c r="L38" s="108"/>
      <c r="M38" s="108"/>
      <c r="N38" s="108"/>
      <c r="O38" s="108"/>
    </row>
    <row r="39" spans="1:15" s="110" customFormat="1" ht="20.25">
      <c r="A39" s="108"/>
      <c r="B39" s="108"/>
      <c r="C39" s="109"/>
      <c r="D39" s="109"/>
      <c r="E39" s="108"/>
      <c r="F39" s="113"/>
      <c r="G39" s="108"/>
      <c r="H39" s="108"/>
      <c r="I39" s="108"/>
      <c r="J39" s="108"/>
      <c r="K39" s="108"/>
      <c r="L39" s="108"/>
      <c r="M39" s="108"/>
      <c r="N39" s="108"/>
      <c r="O39" s="108"/>
    </row>
    <row r="40" spans="1:15" s="110" customFormat="1" ht="20.25">
      <c r="A40" s="108"/>
      <c r="B40" s="108"/>
      <c r="C40" s="109"/>
      <c r="D40" s="109"/>
      <c r="E40" s="108"/>
      <c r="F40" s="113"/>
      <c r="G40" s="108"/>
      <c r="H40" s="108"/>
      <c r="I40" s="108"/>
      <c r="J40" s="108"/>
      <c r="K40" s="108"/>
      <c r="L40" s="108"/>
      <c r="M40" s="108"/>
      <c r="N40" s="108"/>
      <c r="O40" s="108"/>
    </row>
    <row r="41" spans="1:15" s="110" customFormat="1" ht="20.25">
      <c r="A41" s="108"/>
      <c r="B41" s="108"/>
      <c r="C41" s="109"/>
      <c r="D41" s="109"/>
      <c r="E41" s="108"/>
      <c r="F41" s="113"/>
      <c r="G41" s="108"/>
      <c r="H41" s="108"/>
      <c r="I41" s="108"/>
      <c r="J41" s="108"/>
      <c r="K41" s="108"/>
      <c r="L41" s="108"/>
      <c r="M41" s="108"/>
      <c r="N41" s="108"/>
      <c r="O41" s="108"/>
    </row>
    <row r="42" spans="1:15" s="110" customFormat="1" ht="20.25">
      <c r="A42" s="108"/>
      <c r="B42" s="108"/>
      <c r="C42" s="109"/>
      <c r="D42" s="109"/>
      <c r="E42" s="108"/>
      <c r="F42" s="113"/>
      <c r="G42" s="108"/>
      <c r="H42" s="108"/>
      <c r="I42" s="108"/>
      <c r="J42" s="108"/>
      <c r="K42" s="108"/>
      <c r="L42" s="108"/>
      <c r="M42" s="108"/>
      <c r="N42" s="108"/>
      <c r="O42" s="108"/>
    </row>
    <row r="43" spans="1:15" s="110" customFormat="1" ht="20.25">
      <c r="A43" s="108"/>
      <c r="B43" s="108"/>
      <c r="C43" s="109"/>
      <c r="D43" s="109"/>
      <c r="E43" s="108"/>
      <c r="F43" s="113"/>
      <c r="G43" s="108"/>
      <c r="H43" s="108"/>
      <c r="I43" s="108"/>
      <c r="J43" s="108"/>
      <c r="K43" s="108"/>
      <c r="L43" s="108"/>
      <c r="M43" s="108"/>
      <c r="N43" s="108"/>
      <c r="O43" s="108"/>
    </row>
    <row r="44" spans="1:15" s="110" customFormat="1" ht="20.25">
      <c r="A44" s="108"/>
      <c r="B44" s="108"/>
      <c r="C44" s="109"/>
      <c r="D44" s="109"/>
      <c r="E44" s="108"/>
      <c r="F44" s="113"/>
      <c r="G44" s="108"/>
      <c r="H44" s="108"/>
      <c r="I44" s="108"/>
      <c r="J44" s="108"/>
      <c r="K44" s="108"/>
      <c r="L44" s="108"/>
      <c r="M44" s="108"/>
      <c r="N44" s="108"/>
      <c r="O44" s="108"/>
    </row>
    <row r="45" spans="1:15" s="110" customFormat="1" ht="20.25">
      <c r="A45" s="108"/>
      <c r="B45" s="108"/>
      <c r="C45" s="109"/>
      <c r="D45" s="109"/>
      <c r="E45" s="108"/>
      <c r="F45" s="113"/>
      <c r="G45" s="108"/>
      <c r="H45" s="108"/>
      <c r="I45" s="108"/>
      <c r="J45" s="108"/>
      <c r="K45" s="108"/>
      <c r="L45" s="108"/>
      <c r="M45" s="108"/>
      <c r="N45" s="108"/>
      <c r="O45" s="108"/>
    </row>
    <row r="46" spans="1:15" s="110" customFormat="1" ht="20.25">
      <c r="A46" s="108"/>
      <c r="B46" s="108"/>
      <c r="C46" s="109"/>
      <c r="D46" s="109"/>
      <c r="E46" s="108"/>
      <c r="F46" s="113"/>
      <c r="G46" s="108"/>
      <c r="H46" s="108"/>
      <c r="I46" s="108"/>
      <c r="J46" s="108"/>
      <c r="K46" s="108"/>
      <c r="L46" s="108"/>
      <c r="M46" s="108"/>
      <c r="N46" s="108"/>
      <c r="O46" s="108"/>
    </row>
    <row r="47" spans="1:15" ht="20.25">
      <c r="A47" s="86"/>
      <c r="B47" s="86"/>
      <c r="C47" s="87"/>
      <c r="D47" s="87"/>
      <c r="E47" s="66"/>
      <c r="F47" s="112"/>
      <c r="G47" s="66"/>
      <c r="H47" s="66"/>
      <c r="I47" s="66"/>
      <c r="J47" s="66"/>
      <c r="K47" s="66"/>
      <c r="L47" s="66"/>
      <c r="M47" s="66"/>
      <c r="N47" s="66"/>
      <c r="O47" s="66"/>
    </row>
    <row r="48" spans="1:15" ht="20.25">
      <c r="A48" s="86"/>
      <c r="B48" s="86"/>
      <c r="C48" s="87"/>
      <c r="D48" s="87"/>
      <c r="E48" s="66"/>
      <c r="F48" s="112"/>
      <c r="G48" s="66"/>
      <c r="H48" s="66"/>
      <c r="I48" s="66"/>
      <c r="J48" s="66"/>
      <c r="K48" s="66"/>
      <c r="L48" s="66"/>
      <c r="M48" s="66"/>
      <c r="N48" s="66"/>
      <c r="O48" s="66"/>
    </row>
    <row r="49" spans="1:15" ht="20.25">
      <c r="A49" s="86"/>
      <c r="B49" s="86"/>
      <c r="C49" s="87"/>
      <c r="D49" s="87"/>
      <c r="E49" s="66"/>
      <c r="F49" s="112"/>
      <c r="G49" s="66"/>
      <c r="H49" s="66"/>
      <c r="I49" s="66"/>
      <c r="J49" s="66"/>
      <c r="K49" s="66"/>
      <c r="L49" s="66"/>
      <c r="M49" s="66"/>
      <c r="N49" s="66"/>
      <c r="O49" s="66"/>
    </row>
    <row r="50" spans="1:15" ht="20.25">
      <c r="A50" s="86"/>
      <c r="B50" s="86"/>
      <c r="C50" s="87"/>
      <c r="D50" s="87"/>
      <c r="E50" s="66"/>
      <c r="F50" s="112"/>
      <c r="G50" s="66"/>
      <c r="H50" s="66"/>
      <c r="I50" s="66"/>
      <c r="J50" s="66"/>
      <c r="K50" s="66"/>
      <c r="L50" s="66"/>
      <c r="M50" s="66"/>
      <c r="N50" s="66"/>
      <c r="O50" s="66"/>
    </row>
    <row r="51" spans="1:15" ht="20.25">
      <c r="A51" s="86"/>
      <c r="B51" s="86"/>
      <c r="C51" s="87"/>
      <c r="D51" s="87"/>
      <c r="E51" s="66"/>
      <c r="F51" s="112"/>
      <c r="G51" s="66"/>
      <c r="H51" s="66"/>
      <c r="I51" s="66"/>
      <c r="J51" s="66"/>
      <c r="K51" s="66"/>
      <c r="L51" s="66"/>
      <c r="M51" s="66"/>
      <c r="N51" s="66"/>
      <c r="O51" s="66"/>
    </row>
    <row r="52" spans="1:15" ht="20.25">
      <c r="A52" s="86"/>
      <c r="B52" s="86"/>
      <c r="C52" s="87"/>
      <c r="D52" s="87"/>
      <c r="E52" s="66"/>
      <c r="F52" s="112"/>
      <c r="G52" s="66"/>
      <c r="H52" s="66"/>
      <c r="I52" s="66"/>
      <c r="J52" s="66"/>
      <c r="K52" s="66"/>
      <c r="L52" s="66"/>
      <c r="M52" s="66"/>
      <c r="N52" s="66"/>
      <c r="O52" s="66"/>
    </row>
    <row r="53" spans="1:15" ht="20.25">
      <c r="A53" s="86"/>
      <c r="B53" s="15"/>
      <c r="C53" s="20"/>
      <c r="D53" s="20"/>
    </row>
    <row r="54" spans="1:15" ht="20.25">
      <c r="A54" s="86"/>
      <c r="B54" s="15"/>
      <c r="C54" s="20"/>
      <c r="D54" s="20"/>
    </row>
    <row r="55" spans="1:15" ht="20.25">
      <c r="A55" s="86"/>
      <c r="B55" s="15"/>
      <c r="C55" s="20"/>
      <c r="D55" s="20"/>
    </row>
    <row r="56" spans="1:15" ht="20.25">
      <c r="A56" s="86"/>
      <c r="B56" s="15"/>
      <c r="C56" s="20"/>
      <c r="D56" s="20"/>
    </row>
    <row r="57" spans="1:15" ht="20.25">
      <c r="A57" s="86"/>
      <c r="B57" s="15"/>
      <c r="C57" s="20"/>
      <c r="D57" s="20"/>
    </row>
    <row r="58" spans="1:15" ht="20.25">
      <c r="A58" s="86"/>
      <c r="B58" s="15"/>
      <c r="C58" s="20"/>
      <c r="D58" s="20"/>
    </row>
    <row r="59" spans="1:15" ht="20.25">
      <c r="A59" s="86"/>
      <c r="B59" s="15"/>
      <c r="C59" s="20"/>
      <c r="D59" s="20"/>
    </row>
    <row r="60" spans="1:15" ht="20.25">
      <c r="A60" s="86"/>
      <c r="B60" s="15"/>
      <c r="C60" s="20"/>
      <c r="D60" s="20"/>
    </row>
    <row r="61" spans="1:15" ht="20.25">
      <c r="A61" s="86"/>
      <c r="B61" s="15"/>
      <c r="C61" s="20"/>
      <c r="D61" s="20"/>
    </row>
    <row r="62" spans="1:15" ht="20.25">
      <c r="A62" s="86"/>
      <c r="B62" s="15"/>
      <c r="C62" s="20"/>
      <c r="D62" s="20"/>
    </row>
    <row r="63" spans="1:15" ht="20.25">
      <c r="A63" s="86"/>
      <c r="B63" s="15"/>
      <c r="C63" s="20"/>
      <c r="D63" s="20"/>
    </row>
    <row r="64" spans="1:15" ht="20.25">
      <c r="A64" s="86"/>
      <c r="B64" s="15"/>
      <c r="C64" s="20"/>
      <c r="D64" s="20"/>
    </row>
    <row r="65" spans="1:4" ht="20.25">
      <c r="A65" s="86"/>
      <c r="B65" s="15"/>
      <c r="C65" s="20"/>
      <c r="D65" s="20"/>
    </row>
    <row r="66" spans="1:4" ht="20.25">
      <c r="A66" s="86"/>
      <c r="B66" s="15"/>
      <c r="C66" s="20"/>
      <c r="D66" s="20"/>
    </row>
    <row r="67" spans="1:4" ht="20.25">
      <c r="A67" s="86"/>
      <c r="B67" s="15"/>
      <c r="C67" s="20"/>
      <c r="D67" s="20"/>
    </row>
    <row r="68" spans="1:4" ht="20.25">
      <c r="A68" s="86"/>
      <c r="B68" s="15"/>
      <c r="C68" s="20"/>
      <c r="D68" s="20"/>
    </row>
    <row r="69" spans="1:4" ht="20.25">
      <c r="A69" s="86"/>
      <c r="B69" s="15"/>
      <c r="C69" s="20"/>
      <c r="D69" s="20"/>
    </row>
    <row r="70" spans="1:4" ht="20.25">
      <c r="A70" s="86"/>
      <c r="B70" s="15"/>
      <c r="C70" s="20"/>
      <c r="D70" s="20"/>
    </row>
    <row r="71" spans="1:4" ht="20.25">
      <c r="A71" s="86"/>
      <c r="B71" s="15"/>
      <c r="C71" s="20"/>
      <c r="D71" s="20"/>
    </row>
    <row r="72" spans="1:4" ht="20.25">
      <c r="A72" s="86"/>
      <c r="B72" s="15"/>
      <c r="C72" s="20"/>
      <c r="D72" s="20"/>
    </row>
    <row r="73" spans="1:4" ht="20.25">
      <c r="A73" s="86"/>
      <c r="B73" s="15"/>
      <c r="C73" s="20"/>
      <c r="D73" s="20"/>
    </row>
    <row r="74" spans="1:4" ht="20.25">
      <c r="A74" s="86"/>
      <c r="B74" s="15"/>
      <c r="C74" s="20"/>
      <c r="D74" s="20"/>
    </row>
    <row r="75" spans="1:4" ht="20.25">
      <c r="A75" s="86"/>
      <c r="B75" s="15"/>
      <c r="C75" s="20"/>
      <c r="D75" s="20"/>
    </row>
    <row r="76" spans="1:4" ht="20.25">
      <c r="A76" s="86"/>
      <c r="B76" s="15"/>
      <c r="C76" s="20"/>
      <c r="D76" s="20"/>
    </row>
    <row r="77" spans="1:4" ht="20.25">
      <c r="A77" s="86"/>
      <c r="B77" s="15"/>
      <c r="C77" s="20"/>
      <c r="D77" s="20"/>
    </row>
    <row r="78" spans="1:4" ht="20.25">
      <c r="A78" s="86"/>
      <c r="B78" s="15"/>
      <c r="C78" s="20"/>
      <c r="D78" s="20"/>
    </row>
    <row r="79" spans="1:4" ht="20.25">
      <c r="A79" s="86"/>
      <c r="B79" s="15"/>
      <c r="C79" s="20"/>
      <c r="D79" s="20"/>
    </row>
    <row r="80" spans="1:4" ht="20.25">
      <c r="A80" s="86"/>
      <c r="B80" s="15"/>
      <c r="C80" s="20"/>
      <c r="D80" s="20"/>
    </row>
    <row r="81" spans="1:4" ht="20.25">
      <c r="A81" s="86"/>
      <c r="B81" s="15"/>
      <c r="C81" s="20"/>
      <c r="D81" s="20"/>
    </row>
    <row r="82" spans="1:4" ht="20.25">
      <c r="A82" s="86"/>
      <c r="B82" s="15"/>
      <c r="C82" s="20"/>
      <c r="D82" s="20"/>
    </row>
    <row r="83" spans="1:4" ht="20.25">
      <c r="A83" s="86"/>
      <c r="B83" s="15"/>
      <c r="C83" s="20"/>
      <c r="D83" s="20"/>
    </row>
    <row r="84" spans="1:4" ht="20.25">
      <c r="A84" s="86"/>
      <c r="B84" s="15"/>
      <c r="C84" s="20"/>
      <c r="D84" s="20"/>
    </row>
    <row r="85" spans="1:4" ht="20.25">
      <c r="A85" s="86"/>
      <c r="B85" s="15"/>
      <c r="C85" s="20"/>
      <c r="D85" s="20"/>
    </row>
    <row r="86" spans="1:4" ht="20.25">
      <c r="A86" s="86"/>
      <c r="B86" s="15"/>
      <c r="C86" s="20"/>
      <c r="D86" s="20"/>
    </row>
    <row r="87" spans="1:4" ht="20.25">
      <c r="A87" s="86"/>
      <c r="B87" s="15"/>
      <c r="C87" s="20"/>
      <c r="D87" s="20"/>
    </row>
    <row r="88" spans="1:4" ht="20.25">
      <c r="A88" s="86"/>
      <c r="B88" s="15"/>
      <c r="C88" s="20"/>
      <c r="D88" s="20"/>
    </row>
    <row r="89" spans="1:4" ht="20.25">
      <c r="A89" s="86"/>
      <c r="B89" s="15"/>
      <c r="C89" s="20"/>
      <c r="D89" s="20"/>
    </row>
    <row r="90" spans="1:4" ht="20.25">
      <c r="A90" s="86"/>
      <c r="B90" s="15"/>
      <c r="C90" s="20"/>
      <c r="D90" s="20"/>
    </row>
    <row r="91" spans="1:4" ht="20.25">
      <c r="A91" s="86"/>
      <c r="B91" s="15"/>
      <c r="C91" s="20"/>
      <c r="D91" s="20"/>
    </row>
    <row r="92" spans="1:4" ht="20.25">
      <c r="A92" s="86"/>
      <c r="B92" s="15"/>
      <c r="C92" s="20"/>
      <c r="D92" s="20"/>
    </row>
    <row r="93" spans="1:4" ht="20.25">
      <c r="A93" s="86"/>
      <c r="B93" s="15"/>
      <c r="C93" s="20"/>
      <c r="D93" s="20"/>
    </row>
    <row r="94" spans="1:4" ht="20.25">
      <c r="A94" s="86"/>
      <c r="B94" s="15"/>
      <c r="C94" s="20"/>
      <c r="D94" s="20"/>
    </row>
    <row r="95" spans="1:4" ht="20.25">
      <c r="A95" s="86"/>
      <c r="B95" s="15"/>
      <c r="C95" s="20"/>
      <c r="D95" s="20"/>
    </row>
    <row r="96" spans="1:4" ht="20.25">
      <c r="A96" s="86"/>
      <c r="B96" s="15"/>
      <c r="C96" s="20"/>
      <c r="D96" s="20"/>
    </row>
    <row r="97" spans="1:4" ht="20.25">
      <c r="A97" s="86"/>
      <c r="B97" s="15"/>
      <c r="C97" s="20"/>
      <c r="D97" s="20"/>
    </row>
    <row r="98" spans="1:4" ht="20.25">
      <c r="A98" s="86"/>
      <c r="B98" s="15"/>
      <c r="C98" s="20"/>
      <c r="D98" s="20"/>
    </row>
    <row r="99" spans="1:4" ht="20.25">
      <c r="A99" s="86"/>
      <c r="B99" s="15"/>
      <c r="C99" s="20"/>
      <c r="D99" s="20"/>
    </row>
    <row r="100" spans="1:4" ht="20.25">
      <c r="A100" s="86"/>
      <c r="B100" s="15"/>
      <c r="C100" s="20"/>
      <c r="D100" s="20"/>
    </row>
    <row r="101" spans="1:4" ht="20.25">
      <c r="A101" s="86"/>
      <c r="B101" s="15"/>
      <c r="C101" s="20"/>
      <c r="D101" s="20"/>
    </row>
    <row r="102" spans="1:4" ht="20.25">
      <c r="A102" s="86"/>
      <c r="B102" s="15"/>
      <c r="C102" s="20"/>
      <c r="D102" s="20"/>
    </row>
    <row r="103" spans="1:4" ht="20.25">
      <c r="A103" s="86"/>
      <c r="B103" s="15"/>
      <c r="C103" s="20"/>
      <c r="D103" s="20"/>
    </row>
    <row r="104" spans="1:4" ht="20.25">
      <c r="A104" s="86"/>
      <c r="B104" s="15"/>
      <c r="C104" s="20"/>
      <c r="D104" s="20"/>
    </row>
    <row r="105" spans="1:4" ht="20.25">
      <c r="A105" s="86"/>
      <c r="B105" s="15"/>
      <c r="C105" s="20"/>
      <c r="D105" s="20"/>
    </row>
    <row r="106" spans="1:4" ht="20.25">
      <c r="A106" s="86"/>
      <c r="B106" s="15"/>
      <c r="C106" s="20"/>
      <c r="D106" s="20"/>
    </row>
    <row r="107" spans="1:4" ht="20.25">
      <c r="A107" s="86"/>
      <c r="B107" s="15"/>
      <c r="C107" s="20"/>
      <c r="D107" s="20"/>
    </row>
    <row r="108" spans="1:4" ht="20.25">
      <c r="A108" s="86"/>
      <c r="B108" s="15"/>
      <c r="C108" s="20"/>
      <c r="D108" s="20"/>
    </row>
    <row r="109" spans="1:4" ht="20.25">
      <c r="A109" s="86"/>
      <c r="B109" s="15"/>
      <c r="C109" s="20"/>
      <c r="D109" s="20"/>
    </row>
    <row r="110" spans="1:4" ht="20.25">
      <c r="A110" s="86"/>
      <c r="B110" s="15"/>
      <c r="C110" s="20"/>
      <c r="D110" s="20"/>
    </row>
    <row r="111" spans="1:4" ht="20.25">
      <c r="A111" s="86"/>
      <c r="B111" s="15"/>
      <c r="C111" s="20"/>
      <c r="D111" s="20"/>
    </row>
    <row r="112" spans="1:4" ht="20.25">
      <c r="A112" s="86"/>
      <c r="B112" s="15"/>
      <c r="C112" s="20"/>
      <c r="D112" s="20"/>
    </row>
    <row r="113" spans="1:4" ht="20.25">
      <c r="A113" s="86"/>
      <c r="B113" s="15"/>
      <c r="C113" s="20"/>
      <c r="D113" s="20"/>
    </row>
    <row r="114" spans="1:4" ht="20.25">
      <c r="A114" s="86"/>
      <c r="B114" s="15"/>
      <c r="C114" s="20"/>
      <c r="D114" s="20"/>
    </row>
    <row r="115" spans="1:4" ht="20.25">
      <c r="A115" s="86"/>
      <c r="B115" s="15"/>
      <c r="C115" s="20"/>
      <c r="D115" s="20"/>
    </row>
    <row r="116" spans="1:4" ht="20.25">
      <c r="A116" s="86"/>
      <c r="B116" s="15"/>
      <c r="C116" s="20"/>
      <c r="D116" s="20"/>
    </row>
    <row r="117" spans="1:4" ht="20.25">
      <c r="A117" s="86"/>
      <c r="B117" s="15"/>
      <c r="C117" s="20"/>
      <c r="D117" s="20"/>
    </row>
    <row r="118" spans="1:4" ht="20.25">
      <c r="A118" s="86"/>
      <c r="B118" s="15"/>
      <c r="C118" s="20"/>
      <c r="D118" s="20"/>
    </row>
    <row r="119" spans="1:4" ht="20.25">
      <c r="A119" s="86"/>
      <c r="B119" s="15"/>
      <c r="C119" s="20"/>
      <c r="D119" s="20"/>
    </row>
    <row r="120" spans="1:4" ht="20.25">
      <c r="A120" s="86"/>
      <c r="B120" s="15"/>
      <c r="C120" s="20"/>
      <c r="D120" s="20"/>
    </row>
    <row r="121" spans="1:4" ht="20.25">
      <c r="A121" s="86"/>
      <c r="B121" s="15"/>
      <c r="C121" s="20"/>
      <c r="D121" s="20"/>
    </row>
    <row r="122" spans="1:4" ht="20.25">
      <c r="A122" s="86"/>
      <c r="B122" s="15"/>
      <c r="C122" s="20"/>
      <c r="D122" s="20"/>
    </row>
    <row r="123" spans="1:4" ht="20.25">
      <c r="A123" s="86"/>
      <c r="B123" s="15"/>
      <c r="C123" s="20"/>
      <c r="D123" s="20"/>
    </row>
    <row r="124" spans="1:4" ht="20.25">
      <c r="A124" s="86"/>
      <c r="B124" s="15"/>
      <c r="C124" s="20"/>
      <c r="D124" s="20"/>
    </row>
    <row r="125" spans="1:4" ht="20.25">
      <c r="A125" s="86"/>
      <c r="B125" s="15"/>
      <c r="C125" s="20"/>
      <c r="D125" s="20"/>
    </row>
    <row r="126" spans="1:4" ht="20.25">
      <c r="A126" s="86"/>
      <c r="B126" s="15"/>
      <c r="C126" s="20"/>
      <c r="D126" s="20"/>
    </row>
    <row r="127" spans="1:4" ht="20.25">
      <c r="A127" s="86"/>
      <c r="B127" s="15"/>
      <c r="C127" s="20"/>
      <c r="D127" s="20"/>
    </row>
    <row r="128" spans="1:4" ht="20.25">
      <c r="A128" s="86"/>
      <c r="B128" s="15"/>
      <c r="C128" s="20"/>
      <c r="D128" s="20"/>
    </row>
    <row r="129" spans="1:4" ht="20.25">
      <c r="A129" s="86"/>
      <c r="B129" s="15"/>
      <c r="C129" s="20"/>
      <c r="D129" s="20"/>
    </row>
    <row r="130" spans="1:4" ht="20.25">
      <c r="A130" s="86"/>
      <c r="B130" s="15"/>
      <c r="C130" s="20"/>
      <c r="D130" s="20"/>
    </row>
    <row r="131" spans="1:4" ht="20.25">
      <c r="A131" s="86"/>
      <c r="B131" s="15"/>
      <c r="C131" s="20"/>
      <c r="D131" s="20"/>
    </row>
    <row r="132" spans="1:4" ht="20.25">
      <c r="A132" s="86"/>
      <c r="B132" s="15"/>
      <c r="C132" s="20"/>
      <c r="D132" s="20"/>
    </row>
    <row r="133" spans="1:4" ht="20.25">
      <c r="A133" s="86"/>
      <c r="B133" s="15"/>
      <c r="C133" s="20"/>
      <c r="D133" s="20"/>
    </row>
    <row r="134" spans="1:4" ht="20.25">
      <c r="A134" s="86"/>
      <c r="B134" s="15"/>
      <c r="C134" s="20"/>
      <c r="D134" s="20"/>
    </row>
    <row r="135" spans="1:4" ht="20.25">
      <c r="A135" s="86"/>
      <c r="B135" s="15"/>
      <c r="C135" s="20"/>
      <c r="D135" s="20"/>
    </row>
    <row r="136" spans="1:4" ht="20.25">
      <c r="A136" s="86"/>
      <c r="B136" s="15"/>
      <c r="C136" s="20"/>
      <c r="D136" s="20"/>
    </row>
    <row r="137" spans="1:4" ht="20.25">
      <c r="A137" s="86"/>
      <c r="B137" s="15"/>
      <c r="C137" s="20"/>
      <c r="D137" s="20"/>
    </row>
    <row r="138" spans="1:4" ht="20.25">
      <c r="A138" s="86"/>
      <c r="B138" s="15"/>
      <c r="C138" s="20"/>
      <c r="D138" s="20"/>
    </row>
    <row r="139" spans="1:4" ht="20.25">
      <c r="A139" s="86"/>
      <c r="B139" s="15"/>
      <c r="C139" s="20"/>
      <c r="D139" s="20"/>
    </row>
    <row r="140" spans="1:4" ht="20.25">
      <c r="A140" s="86"/>
      <c r="B140" s="15"/>
      <c r="C140" s="20"/>
      <c r="D140" s="20"/>
    </row>
    <row r="141" spans="1:4" ht="20.25">
      <c r="A141" s="86"/>
      <c r="B141" s="15"/>
      <c r="C141" s="20"/>
      <c r="D141" s="20"/>
    </row>
    <row r="142" spans="1:4" ht="20.25">
      <c r="A142" s="86"/>
      <c r="B142" s="15"/>
      <c r="C142" s="20"/>
      <c r="D142" s="20"/>
    </row>
    <row r="143" spans="1:4" ht="20.25">
      <c r="A143" s="86"/>
      <c r="B143" s="15"/>
      <c r="C143" s="20"/>
      <c r="D143" s="20"/>
    </row>
    <row r="144" spans="1:4" ht="20.25">
      <c r="A144" s="86"/>
      <c r="B144" s="15"/>
      <c r="C144" s="20"/>
      <c r="D144" s="20"/>
    </row>
    <row r="145" spans="1:4" ht="20.25">
      <c r="A145" s="86"/>
      <c r="B145" s="15"/>
      <c r="C145" s="20"/>
      <c r="D145" s="20"/>
    </row>
    <row r="146" spans="1:4" ht="20.25">
      <c r="A146" s="86"/>
      <c r="B146" s="15"/>
      <c r="C146" s="20"/>
      <c r="D146" s="20"/>
    </row>
    <row r="147" spans="1:4" ht="20.25">
      <c r="A147" s="86"/>
      <c r="B147" s="15"/>
      <c r="C147" s="20"/>
      <c r="D147" s="20"/>
    </row>
    <row r="148" spans="1:4" ht="20.25">
      <c r="A148" s="86"/>
      <c r="B148" s="15"/>
      <c r="C148" s="20"/>
      <c r="D148" s="20"/>
    </row>
    <row r="149" spans="1:4" ht="20.25">
      <c r="A149" s="86"/>
      <c r="B149" s="15"/>
      <c r="C149" s="20"/>
      <c r="D149" s="20"/>
    </row>
    <row r="150" spans="1:4" ht="20.25">
      <c r="A150" s="86"/>
      <c r="B150" s="15"/>
      <c r="C150" s="20"/>
      <c r="D150" s="20"/>
    </row>
    <row r="151" spans="1:4" ht="20.25">
      <c r="A151" s="86"/>
      <c r="B151" s="15"/>
      <c r="C151" s="20"/>
      <c r="D151" s="20"/>
    </row>
    <row r="152" spans="1:4" ht="20.25">
      <c r="A152" s="86"/>
      <c r="B152" s="15"/>
      <c r="C152" s="20"/>
      <c r="D152" s="20"/>
    </row>
    <row r="153" spans="1:4" ht="20.25">
      <c r="A153" s="86"/>
      <c r="B153" s="15"/>
      <c r="C153" s="20"/>
      <c r="D153" s="20"/>
    </row>
    <row r="154" spans="1:4" ht="20.25">
      <c r="A154" s="86"/>
      <c r="B154" s="15"/>
      <c r="C154" s="20"/>
      <c r="D154" s="20"/>
    </row>
    <row r="155" spans="1:4" ht="20.25">
      <c r="A155" s="86"/>
      <c r="B155" s="15"/>
      <c r="C155" s="20"/>
      <c r="D155" s="20"/>
    </row>
    <row r="156" spans="1:4" ht="20.25">
      <c r="A156" s="86"/>
      <c r="B156" s="15"/>
      <c r="C156" s="20"/>
      <c r="D156" s="20"/>
    </row>
    <row r="157" spans="1:4" ht="20.25">
      <c r="A157" s="86"/>
      <c r="B157" s="15"/>
      <c r="C157" s="20"/>
      <c r="D157" s="20"/>
    </row>
    <row r="158" spans="1:4" ht="20.25">
      <c r="A158" s="86"/>
      <c r="B158" s="15"/>
      <c r="C158" s="20"/>
      <c r="D158" s="20"/>
    </row>
    <row r="159" spans="1:4" ht="20.25">
      <c r="A159" s="86"/>
      <c r="B159" s="15"/>
      <c r="C159" s="20"/>
      <c r="D159" s="20"/>
    </row>
    <row r="160" spans="1:4" ht="20.25">
      <c r="A160" s="86"/>
      <c r="B160" s="15"/>
      <c r="C160" s="20"/>
      <c r="D160" s="20"/>
    </row>
    <row r="161" spans="1:4" ht="20.25">
      <c r="A161" s="86"/>
      <c r="B161" s="15"/>
      <c r="C161" s="20"/>
      <c r="D161" s="20"/>
    </row>
    <row r="162" spans="1:4" ht="20.25">
      <c r="A162" s="86"/>
      <c r="B162" s="15"/>
      <c r="C162" s="20"/>
      <c r="D162" s="20"/>
    </row>
    <row r="163" spans="1:4" ht="20.25">
      <c r="A163" s="86"/>
      <c r="B163" s="15"/>
      <c r="C163" s="20"/>
      <c r="D163" s="20"/>
    </row>
    <row r="164" spans="1:4" ht="20.25">
      <c r="A164" s="86"/>
      <c r="B164" s="15"/>
      <c r="C164" s="20"/>
      <c r="D164" s="20"/>
    </row>
    <row r="165" spans="1:4" ht="20.25">
      <c r="A165" s="86"/>
      <c r="B165" s="15"/>
      <c r="C165" s="20"/>
      <c r="D165" s="20"/>
    </row>
    <row r="166" spans="1:4" ht="20.25">
      <c r="A166" s="86"/>
      <c r="B166" s="15"/>
      <c r="C166" s="20"/>
      <c r="D166" s="20"/>
    </row>
    <row r="167" spans="1:4" ht="20.25">
      <c r="A167" s="86"/>
      <c r="B167" s="15"/>
      <c r="C167" s="20"/>
      <c r="D167" s="20"/>
    </row>
    <row r="168" spans="1:4" ht="20.25">
      <c r="A168" s="86"/>
      <c r="B168" s="15"/>
      <c r="C168" s="20"/>
      <c r="D168" s="20"/>
    </row>
    <row r="169" spans="1:4" ht="20.25">
      <c r="A169" s="86"/>
      <c r="B169" s="15"/>
      <c r="C169" s="20"/>
      <c r="D169" s="20"/>
    </row>
    <row r="170" spans="1:4" ht="20.25">
      <c r="A170" s="86"/>
      <c r="B170" s="15"/>
      <c r="C170" s="20"/>
      <c r="D170" s="20"/>
    </row>
    <row r="171" spans="1:4" ht="20.25">
      <c r="A171" s="86"/>
      <c r="B171" s="15"/>
      <c r="C171" s="20"/>
      <c r="D171" s="20"/>
    </row>
    <row r="172" spans="1:4" ht="20.25">
      <c r="A172" s="86"/>
      <c r="B172" s="15"/>
      <c r="C172" s="20"/>
      <c r="D172" s="20"/>
    </row>
    <row r="173" spans="1:4" ht="20.25">
      <c r="A173" s="86"/>
      <c r="B173" s="15"/>
      <c r="C173" s="20"/>
      <c r="D173" s="20"/>
    </row>
    <row r="174" spans="1:4" ht="20.25">
      <c r="A174" s="86"/>
      <c r="B174" s="15"/>
      <c r="C174" s="20"/>
      <c r="D174" s="20"/>
    </row>
    <row r="175" spans="1:4" ht="20.25">
      <c r="A175" s="86"/>
      <c r="B175" s="15"/>
      <c r="C175" s="20"/>
      <c r="D175" s="20"/>
    </row>
    <row r="176" spans="1:4" ht="20.25">
      <c r="A176" s="86"/>
      <c r="B176" s="15"/>
      <c r="C176" s="20"/>
      <c r="D176" s="20"/>
    </row>
    <row r="177" spans="1:4" ht="20.25">
      <c r="A177" s="86"/>
      <c r="B177" s="15"/>
      <c r="C177" s="20"/>
      <c r="D177" s="20"/>
    </row>
    <row r="178" spans="1:4" ht="20.25">
      <c r="A178" s="86"/>
      <c r="B178" s="15"/>
      <c r="C178" s="20"/>
      <c r="D178" s="20"/>
    </row>
    <row r="179" spans="1:4" ht="20.25">
      <c r="A179" s="86"/>
      <c r="B179" s="15"/>
      <c r="C179" s="20"/>
      <c r="D179" s="20"/>
    </row>
    <row r="180" spans="1:4" ht="20.25">
      <c r="A180" s="86"/>
      <c r="B180" s="15"/>
      <c r="C180" s="20"/>
      <c r="D180" s="20"/>
    </row>
    <row r="181" spans="1:4" ht="20.25">
      <c r="A181" s="86"/>
      <c r="B181" s="15"/>
      <c r="C181" s="20"/>
      <c r="D181" s="20"/>
    </row>
    <row r="182" spans="1:4" ht="20.25">
      <c r="A182" s="86"/>
      <c r="B182" s="15"/>
      <c r="C182" s="20"/>
      <c r="D182" s="20"/>
    </row>
    <row r="183" spans="1:4" ht="20.25">
      <c r="A183" s="86"/>
      <c r="B183" s="15"/>
      <c r="C183" s="20"/>
      <c r="D183" s="20"/>
    </row>
    <row r="184" spans="1:4" ht="20.25">
      <c r="A184" s="86"/>
      <c r="B184" s="15"/>
      <c r="C184" s="20"/>
      <c r="D184" s="20"/>
    </row>
    <row r="185" spans="1:4" ht="20.25">
      <c r="A185" s="86"/>
      <c r="B185" s="15"/>
      <c r="C185" s="20"/>
      <c r="D185" s="20"/>
    </row>
    <row r="186" spans="1:4" ht="20.25">
      <c r="A186" s="86"/>
      <c r="B186" s="15"/>
      <c r="C186" s="20"/>
      <c r="D186" s="20"/>
    </row>
    <row r="187" spans="1:4" ht="20.25">
      <c r="A187" s="86"/>
      <c r="B187" s="15"/>
      <c r="C187" s="20"/>
      <c r="D187" s="20"/>
    </row>
    <row r="188" spans="1:4" ht="20.25">
      <c r="A188" s="86"/>
      <c r="B188" s="15"/>
      <c r="C188" s="20"/>
      <c r="D188" s="20"/>
    </row>
    <row r="189" spans="1:4" ht="20.25">
      <c r="A189" s="86"/>
      <c r="B189" s="15"/>
      <c r="C189" s="20"/>
      <c r="D189" s="20"/>
    </row>
    <row r="190" spans="1:4" ht="20.25">
      <c r="A190" s="86"/>
      <c r="B190" s="15"/>
      <c r="C190" s="20"/>
      <c r="D190" s="20"/>
    </row>
    <row r="191" spans="1:4" ht="20.25">
      <c r="A191" s="86"/>
      <c r="B191" s="15"/>
      <c r="C191" s="20"/>
      <c r="D191" s="20"/>
    </row>
    <row r="192" spans="1:4" ht="20.25">
      <c r="A192" s="86"/>
      <c r="B192" s="15"/>
      <c r="C192" s="20"/>
      <c r="D192" s="20"/>
    </row>
    <row r="193" spans="1:6" ht="20.25">
      <c r="A193" s="86"/>
      <c r="B193" s="15"/>
      <c r="C193" s="20"/>
      <c r="D193" s="20"/>
    </row>
    <row r="194" spans="1:6" ht="20.25">
      <c r="A194" s="86"/>
      <c r="B194" s="15"/>
      <c r="C194" s="20"/>
      <c r="D194" s="20"/>
    </row>
    <row r="195" spans="1:6" ht="20.25">
      <c r="A195" s="86"/>
      <c r="B195" s="15"/>
      <c r="C195" s="20"/>
      <c r="D195" s="20"/>
    </row>
    <row r="196" spans="1:6" ht="20.25">
      <c r="A196" s="86"/>
      <c r="B196" s="15"/>
      <c r="C196" s="20"/>
      <c r="D196" s="20"/>
    </row>
    <row r="197" spans="1:6" ht="20.25">
      <c r="A197" s="86"/>
      <c r="B197" s="15"/>
      <c r="C197" s="20"/>
      <c r="D197" s="20"/>
    </row>
    <row r="198" spans="1:6" ht="20.25">
      <c r="A198" s="86"/>
      <c r="B198" s="15"/>
      <c r="C198" s="20"/>
      <c r="D198" s="20"/>
    </row>
    <row r="199" spans="1:6" ht="20.25">
      <c r="A199" s="86"/>
      <c r="B199" s="15"/>
      <c r="C199" s="20"/>
      <c r="D199" s="20"/>
    </row>
    <row r="200" spans="1:6" ht="20.25">
      <c r="A200" s="86"/>
      <c r="B200" s="15"/>
      <c r="C200" s="20"/>
      <c r="D200" s="20"/>
    </row>
    <row r="201" spans="1:6" ht="20.25">
      <c r="A201" s="86"/>
      <c r="B201" s="15"/>
      <c r="C201" s="20"/>
      <c r="D201" s="20"/>
    </row>
    <row r="202" spans="1:6" ht="20.25">
      <c r="A202" s="86"/>
      <c r="B202" s="15"/>
      <c r="C202" s="20"/>
      <c r="D202" s="20"/>
    </row>
    <row r="203" spans="1:6" ht="20.25">
      <c r="A203" s="86"/>
      <c r="B203" s="15"/>
      <c r="C203" s="20"/>
      <c r="D203" s="20"/>
    </row>
    <row r="204" spans="1:6" ht="20.25">
      <c r="A204" s="86"/>
      <c r="B204" s="15"/>
      <c r="C204" s="20"/>
      <c r="D204" s="20"/>
    </row>
    <row r="205" spans="1:6" ht="20.25">
      <c r="A205" s="86"/>
      <c r="B205" s="15"/>
      <c r="C205" s="20"/>
      <c r="D205" s="20"/>
    </row>
    <row r="206" spans="1:6" ht="20.25">
      <c r="A206" s="86"/>
      <c r="B206" s="15"/>
      <c r="C206" s="20"/>
      <c r="D206" s="20"/>
    </row>
    <row r="207" spans="1:6" ht="20.25">
      <c r="A207" s="86"/>
      <c r="B207" s="15"/>
      <c r="C207" s="20"/>
      <c r="D207" s="20"/>
    </row>
    <row r="208" spans="1:6" ht="20.25">
      <c r="A208" s="86"/>
      <c r="B208" s="15"/>
      <c r="C208" s="20"/>
      <c r="D208" s="20"/>
      <c r="F208" s="114" t="s">
        <v>222</v>
      </c>
    </row>
    <row r="209" spans="1:8">
      <c r="A209" s="66"/>
      <c r="B209" s="15"/>
      <c r="C209" s="15"/>
      <c r="D209" s="15"/>
      <c r="F209" s="114" t="s">
        <v>259</v>
      </c>
    </row>
    <row r="210" spans="1:8" ht="20.25">
      <c r="A210" s="66"/>
      <c r="B210" s="16" t="s">
        <v>278</v>
      </c>
      <c r="C210" s="16" t="s">
        <v>279</v>
      </c>
      <c r="D210" s="19" t="s">
        <v>278</v>
      </c>
      <c r="E210" s="19" t="s">
        <v>279</v>
      </c>
      <c r="F210" s="114" t="s">
        <v>280</v>
      </c>
    </row>
    <row r="211" spans="1:8" ht="21">
      <c r="A211" s="66"/>
      <c r="B211" s="17" t="s">
        <v>281</v>
      </c>
      <c r="C211" s="117" t="s">
        <v>282</v>
      </c>
      <c r="D211" s="116" t="s">
        <v>281</v>
      </c>
      <c r="F211" s="114" t="str">
        <f>IF(NOT(ISBLANK(D211)),D211,IF(NOT(ISBLANK(E211)),"     "&amp;E211,FALSE))</f>
        <v>Afectación Económica o presupuestal</v>
      </c>
      <c r="G211" t="s">
        <v>281</v>
      </c>
      <c r="H211" t="str">
        <f>IF(NOT(ISERROR(MATCH(G211,_xlfn.ANCHORARRAY(B222),0))),F224&amp;"Por favor no seleccionar los criterios de impacto",G211)</f>
        <v>❌Por favor no seleccionar los criterios de impacto</v>
      </c>
    </row>
    <row r="212" spans="1:8" ht="21">
      <c r="A212" s="66"/>
      <c r="B212" s="17" t="s">
        <v>281</v>
      </c>
      <c r="C212" s="117" t="s">
        <v>254</v>
      </c>
      <c r="E212" t="s">
        <v>282</v>
      </c>
      <c r="F212" s="114" t="str">
        <f t="shared" ref="F212:F222" si="0">IF(NOT(ISBLANK(D212)),D212,IF(NOT(ISBLANK(E212)),"     "&amp;E212,FALSE))</f>
        <v xml:space="preserve">     Afectación menor a 130 SMLMV .</v>
      </c>
    </row>
    <row r="213" spans="1:8" ht="21">
      <c r="A213" s="66"/>
      <c r="B213" s="17" t="s">
        <v>281</v>
      </c>
      <c r="C213" s="117" t="s">
        <v>257</v>
      </c>
      <c r="E213" t="s">
        <v>254</v>
      </c>
      <c r="F213" s="114" t="str">
        <f t="shared" si="0"/>
        <v xml:space="preserve">     Entre 130 y 650 SMLMV </v>
      </c>
    </row>
    <row r="214" spans="1:8" ht="21">
      <c r="A214" s="66"/>
      <c r="B214" s="17" t="s">
        <v>281</v>
      </c>
      <c r="C214" s="117" t="s">
        <v>261</v>
      </c>
      <c r="E214" t="s">
        <v>257</v>
      </c>
      <c r="F214" s="114" t="str">
        <f t="shared" si="0"/>
        <v xml:space="preserve">     Entre 650 y 1300 SMLMV </v>
      </c>
    </row>
    <row r="215" spans="1:8" ht="21">
      <c r="A215" s="66"/>
      <c r="B215" s="17" t="s">
        <v>281</v>
      </c>
      <c r="C215" s="117" t="s">
        <v>265</v>
      </c>
      <c r="E215" t="s">
        <v>261</v>
      </c>
      <c r="F215" s="114" t="str">
        <f t="shared" si="0"/>
        <v xml:space="preserve">     Entre 1300 y 6500 SMLMV </v>
      </c>
    </row>
    <row r="216" spans="1:8" ht="21">
      <c r="A216" s="66"/>
      <c r="B216" s="17" t="s">
        <v>246</v>
      </c>
      <c r="C216" s="117" t="s">
        <v>251</v>
      </c>
      <c r="E216" t="s">
        <v>265</v>
      </c>
      <c r="F216" s="114" t="str">
        <f t="shared" si="0"/>
        <v xml:space="preserve">     Mayor a 6500 SMLMV </v>
      </c>
    </row>
    <row r="217" spans="1:8" ht="63">
      <c r="A217" s="66"/>
      <c r="B217" s="17" t="s">
        <v>246</v>
      </c>
      <c r="C217" s="117" t="s">
        <v>255</v>
      </c>
      <c r="D217" s="116" t="s">
        <v>246</v>
      </c>
      <c r="F217" s="114" t="str">
        <f t="shared" si="0"/>
        <v>Pérdida Reputacional</v>
      </c>
    </row>
    <row r="218" spans="1:8" ht="42">
      <c r="A218" s="66"/>
      <c r="B218" s="17" t="s">
        <v>246</v>
      </c>
      <c r="C218" s="117" t="s">
        <v>258</v>
      </c>
      <c r="D218" s="116"/>
      <c r="E218" s="118" t="s">
        <v>251</v>
      </c>
      <c r="F218" s="114" t="str">
        <f t="shared" si="0"/>
        <v xml:space="preserve">     El riesgo afecta la imagen de alguna área de la organización</v>
      </c>
    </row>
    <row r="219" spans="1:8" ht="63">
      <c r="A219" s="66"/>
      <c r="B219" s="17" t="s">
        <v>246</v>
      </c>
      <c r="C219" s="117" t="s">
        <v>283</v>
      </c>
      <c r="D219" s="116"/>
      <c r="E219" s="118" t="s">
        <v>255</v>
      </c>
      <c r="F219" s="114" t="str">
        <f t="shared" si="0"/>
        <v xml:space="preserve">     El riesgo afecta la imagen de la entidad internamente, de conocimiento general, nivel interno, de junta dircetiva y accionistas y/o de provedores</v>
      </c>
    </row>
    <row r="220" spans="1:8" ht="45">
      <c r="A220" s="66"/>
      <c r="B220" s="17" t="s">
        <v>246</v>
      </c>
      <c r="C220" s="117" t="s">
        <v>266</v>
      </c>
      <c r="D220" s="116"/>
      <c r="E220" s="118" t="s">
        <v>258</v>
      </c>
      <c r="F220" s="114" t="str">
        <f t="shared" si="0"/>
        <v xml:space="preserve">     El riesgo afecta la imagen de la entidad con algunos usuarios de relevancia frente al logro de los objetivos</v>
      </c>
    </row>
    <row r="221" spans="1:8" ht="45">
      <c r="A221" s="66"/>
      <c r="B221" s="18"/>
      <c r="C221" s="18"/>
      <c r="D221" s="116"/>
      <c r="E221" s="118" t="s">
        <v>283</v>
      </c>
      <c r="F221" s="114" t="str">
        <f t="shared" si="0"/>
        <v xml:space="preserve">     El riesgo afecta la imagen de de la entidad con efecto publicitario sostenido a nivel de sector administrativo, nivel departamental o municipal</v>
      </c>
    </row>
    <row r="222" spans="1:8" ht="58.5" customHeight="1">
      <c r="A222" s="66"/>
      <c r="B222" s="18" t="str" cm="1">
        <f t="array" ref="B222:B224">_xlfn.UNIQUE(Tabla1[[#All],[Criterios]])</f>
        <v>Criterios</v>
      </c>
      <c r="C222" s="18"/>
      <c r="D222" s="116"/>
      <c r="E222" s="118" t="s">
        <v>266</v>
      </c>
      <c r="F222" s="114" t="str">
        <f t="shared" si="0"/>
        <v xml:space="preserve">     El riesgo afecta la imagen de la entidad a nivel nacional, con efecto publicitarios sostenible a nivel país</v>
      </c>
    </row>
    <row r="223" spans="1:8">
      <c r="A223" s="66"/>
      <c r="B223" s="18" t="str">
        <v>Afectación Económica o presupuestal</v>
      </c>
      <c r="C223" s="18"/>
    </row>
    <row r="224" spans="1:8">
      <c r="B224" s="18" t="str">
        <v>Pérdida Reputacional</v>
      </c>
      <c r="C224" s="18"/>
      <c r="F224" s="115" t="s">
        <v>284</v>
      </c>
    </row>
    <row r="225" spans="2:6">
      <c r="B225" s="14"/>
      <c r="C225" s="14"/>
      <c r="F225" s="115" t="s">
        <v>285</v>
      </c>
    </row>
    <row r="226" spans="2:6">
      <c r="B226" s="14"/>
      <c r="C226" s="14"/>
    </row>
    <row r="227" spans="2:6">
      <c r="B227" s="14"/>
      <c r="C227" s="14"/>
    </row>
    <row r="228" spans="2:6">
      <c r="B228" s="14"/>
      <c r="C228" s="14"/>
      <c r="D228" s="14"/>
    </row>
    <row r="229" spans="2:6">
      <c r="B229" s="14"/>
      <c r="C229" s="14"/>
      <c r="D229" s="14"/>
    </row>
    <row r="230" spans="2:6">
      <c r="B230" s="14"/>
      <c r="C230" s="14"/>
      <c r="D230" s="14"/>
    </row>
    <row r="231" spans="2:6">
      <c r="B231" s="14"/>
      <c r="C231" s="14"/>
      <c r="D231" s="14"/>
    </row>
    <row r="232" spans="2:6">
      <c r="B232" s="14"/>
      <c r="C232" s="14"/>
      <c r="D232" s="14"/>
    </row>
    <row r="233" spans="2:6">
      <c r="B233" s="14"/>
      <c r="C233" s="14"/>
      <c r="D233" s="14"/>
    </row>
  </sheetData>
  <mergeCells count="1">
    <mergeCell ref="B2:E2"/>
  </mergeCells>
  <dataValidations disablePrompts="1" count="1">
    <dataValidation type="list" allowBlank="1" showInputMessage="1" showErrorMessage="1" sqref="G211" xr:uid="{00000000-0002-0000-0700-000000000000}">
      <formula1>$F$211:$F$222</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F26"/>
  <sheetViews>
    <sheetView zoomScaleNormal="100" zoomScaleSheetLayoutView="90" workbookViewId="0">
      <selection activeCell="E5" sqref="E5:F23"/>
    </sheetView>
  </sheetViews>
  <sheetFormatPr defaultColWidth="11.42578125" defaultRowHeight="14.25"/>
  <cols>
    <col min="1" max="1" width="2.140625" style="148" customWidth="1"/>
    <col min="2" max="2" width="11.42578125" style="148"/>
    <col min="3" max="3" width="34.28515625" style="148" customWidth="1"/>
    <col min="4" max="4" width="36.42578125" style="148" customWidth="1"/>
    <col min="5" max="6" width="13.85546875" style="148" customWidth="1"/>
    <col min="7" max="7" width="1.28515625" style="148" customWidth="1"/>
    <col min="8" max="16384" width="11.42578125" style="148"/>
  </cols>
  <sheetData>
    <row r="1" spans="2:6" ht="11.25" customHeight="1" thickBot="1"/>
    <row r="2" spans="2:6" ht="18.75" customHeight="1" thickBot="1">
      <c r="B2" s="548" t="s">
        <v>286</v>
      </c>
      <c r="C2" s="549"/>
      <c r="D2" s="549"/>
      <c r="E2" s="549"/>
      <c r="F2" s="550"/>
    </row>
    <row r="3" spans="2:6" ht="31.9" customHeight="1">
      <c r="B3" s="551" t="s">
        <v>287</v>
      </c>
      <c r="C3" s="553" t="s">
        <v>288</v>
      </c>
      <c r="D3" s="553"/>
      <c r="E3" s="553" t="s">
        <v>289</v>
      </c>
      <c r="F3" s="555"/>
    </row>
    <row r="4" spans="2:6" ht="28.15" customHeight="1" thickBot="1">
      <c r="B4" s="552"/>
      <c r="C4" s="554"/>
      <c r="D4" s="554"/>
      <c r="E4" s="158" t="s">
        <v>290</v>
      </c>
      <c r="F4" s="159" t="s">
        <v>291</v>
      </c>
    </row>
    <row r="5" spans="2:6" ht="23.25" customHeight="1">
      <c r="B5" s="149">
        <v>1</v>
      </c>
      <c r="C5" s="556" t="s">
        <v>292</v>
      </c>
      <c r="D5" s="556"/>
      <c r="E5" s="178"/>
      <c r="F5" s="179"/>
    </row>
    <row r="6" spans="2:6" ht="33" customHeight="1">
      <c r="B6" s="150">
        <v>2</v>
      </c>
      <c r="C6" s="547" t="s">
        <v>293</v>
      </c>
      <c r="D6" s="547"/>
      <c r="E6" s="180"/>
      <c r="F6" s="181"/>
    </row>
    <row r="7" spans="2:6" ht="39" customHeight="1">
      <c r="B7" s="150">
        <v>3</v>
      </c>
      <c r="C7" s="547" t="s">
        <v>294</v>
      </c>
      <c r="D7" s="547"/>
      <c r="E7" s="180"/>
      <c r="F7" s="181"/>
    </row>
    <row r="8" spans="2:6" ht="24.75" customHeight="1">
      <c r="B8" s="150">
        <v>4</v>
      </c>
      <c r="C8" s="547" t="s">
        <v>295</v>
      </c>
      <c r="D8" s="547"/>
      <c r="E8" s="180"/>
      <c r="F8" s="181"/>
    </row>
    <row r="9" spans="2:6" ht="23.25" customHeight="1">
      <c r="B9" s="150">
        <v>5</v>
      </c>
      <c r="C9" s="547" t="s">
        <v>296</v>
      </c>
      <c r="D9" s="547"/>
      <c r="E9" s="180"/>
      <c r="F9" s="181"/>
    </row>
    <row r="10" spans="2:6" ht="23.25" customHeight="1">
      <c r="B10" s="150">
        <v>6</v>
      </c>
      <c r="C10" s="547" t="s">
        <v>297</v>
      </c>
      <c r="D10" s="547"/>
      <c r="E10" s="180"/>
      <c r="F10" s="181"/>
    </row>
    <row r="11" spans="2:6" ht="23.25" customHeight="1">
      <c r="B11" s="150">
        <v>7</v>
      </c>
      <c r="C11" s="547" t="s">
        <v>298</v>
      </c>
      <c r="D11" s="547"/>
      <c r="E11" s="180"/>
      <c r="F11" s="181"/>
    </row>
    <row r="12" spans="2:6" ht="25.5" customHeight="1">
      <c r="B12" s="150">
        <v>8</v>
      </c>
      <c r="C12" s="547" t="s">
        <v>299</v>
      </c>
      <c r="D12" s="547"/>
      <c r="E12" s="151"/>
      <c r="F12" s="152"/>
    </row>
    <row r="13" spans="2:6" ht="23.25" customHeight="1">
      <c r="B13" s="150">
        <v>9</v>
      </c>
      <c r="C13" s="547" t="s">
        <v>300</v>
      </c>
      <c r="D13" s="547"/>
      <c r="E13" s="151"/>
      <c r="F13" s="152"/>
    </row>
    <row r="14" spans="2:6" ht="23.25" customHeight="1">
      <c r="B14" s="150">
        <v>10</v>
      </c>
      <c r="C14" s="547" t="s">
        <v>301</v>
      </c>
      <c r="D14" s="547"/>
      <c r="E14" s="151"/>
      <c r="F14" s="152"/>
    </row>
    <row r="15" spans="2:6" ht="23.25" customHeight="1">
      <c r="B15" s="150">
        <v>11</v>
      </c>
      <c r="C15" s="547" t="s">
        <v>302</v>
      </c>
      <c r="D15" s="547"/>
      <c r="E15" s="151"/>
      <c r="F15" s="152"/>
    </row>
    <row r="16" spans="2:6" ht="23.25" customHeight="1">
      <c r="B16" s="150">
        <v>12</v>
      </c>
      <c r="C16" s="547" t="s">
        <v>303</v>
      </c>
      <c r="D16" s="547"/>
      <c r="E16" s="151"/>
      <c r="F16" s="152"/>
    </row>
    <row r="17" spans="2:6" ht="23.25" customHeight="1">
      <c r="B17" s="150">
        <v>13</v>
      </c>
      <c r="C17" s="547" t="s">
        <v>304</v>
      </c>
      <c r="D17" s="547"/>
      <c r="E17" s="151"/>
      <c r="F17" s="152"/>
    </row>
    <row r="18" spans="2:6" ht="23.25" customHeight="1">
      <c r="B18" s="150">
        <v>14</v>
      </c>
      <c r="C18" s="547" t="s">
        <v>305</v>
      </c>
      <c r="D18" s="547"/>
      <c r="E18" s="151"/>
      <c r="F18" s="152"/>
    </row>
    <row r="19" spans="2:6" ht="23.25" customHeight="1">
      <c r="B19" s="150">
        <v>15</v>
      </c>
      <c r="C19" s="547" t="s">
        <v>306</v>
      </c>
      <c r="D19" s="547"/>
      <c r="E19" s="151"/>
      <c r="F19" s="152"/>
    </row>
    <row r="20" spans="2:6" ht="23.25" customHeight="1">
      <c r="B20" s="150">
        <v>16</v>
      </c>
      <c r="C20" s="547" t="s">
        <v>307</v>
      </c>
      <c r="D20" s="547"/>
      <c r="E20" s="151"/>
      <c r="F20" s="152"/>
    </row>
    <row r="21" spans="2:6" ht="23.25" customHeight="1">
      <c r="B21" s="150">
        <v>17</v>
      </c>
      <c r="C21" s="547" t="s">
        <v>308</v>
      </c>
      <c r="D21" s="547"/>
      <c r="E21" s="151"/>
      <c r="F21" s="152"/>
    </row>
    <row r="22" spans="2:6" ht="23.25" customHeight="1">
      <c r="B22" s="150">
        <v>18</v>
      </c>
      <c r="C22" s="561" t="s">
        <v>309</v>
      </c>
      <c r="D22" s="561"/>
      <c r="E22" s="151"/>
      <c r="F22" s="152"/>
    </row>
    <row r="23" spans="2:6" ht="23.25" customHeight="1" thickBot="1">
      <c r="B23" s="150">
        <v>19</v>
      </c>
      <c r="C23" s="547" t="s">
        <v>310</v>
      </c>
      <c r="D23" s="547"/>
      <c r="E23" s="151"/>
      <c r="F23" s="152"/>
    </row>
    <row r="24" spans="2:6" ht="15.75" customHeight="1" thickBot="1">
      <c r="B24" s="562" t="s">
        <v>311</v>
      </c>
      <c r="C24" s="557"/>
      <c r="D24" s="557"/>
      <c r="E24" s="557">
        <f>COUNTIF(E5:E23,"X")</f>
        <v>0</v>
      </c>
      <c r="F24" s="558"/>
    </row>
    <row r="25" spans="2:6" ht="45.75" customHeight="1">
      <c r="B25" s="559" t="s">
        <v>312</v>
      </c>
      <c r="C25" s="559"/>
      <c r="D25" s="559"/>
      <c r="E25" s="559"/>
      <c r="F25" s="559"/>
    </row>
    <row r="26" spans="2:6" ht="9.75" customHeight="1">
      <c r="B26" s="560"/>
      <c r="C26" s="560"/>
      <c r="D26" s="560"/>
      <c r="E26" s="560"/>
      <c r="F26" s="560"/>
    </row>
  </sheetData>
  <mergeCells count="27">
    <mergeCell ref="E24:F24"/>
    <mergeCell ref="B25:F25"/>
    <mergeCell ref="B26:F26"/>
    <mergeCell ref="C19:D19"/>
    <mergeCell ref="C20:D20"/>
    <mergeCell ref="C21:D21"/>
    <mergeCell ref="C22:D22"/>
    <mergeCell ref="C23:D23"/>
    <mergeCell ref="B24:D24"/>
    <mergeCell ref="C18:D18"/>
    <mergeCell ref="C7:D7"/>
    <mergeCell ref="C8:D8"/>
    <mergeCell ref="C9:D9"/>
    <mergeCell ref="C10:D10"/>
    <mergeCell ref="C11:D11"/>
    <mergeCell ref="C12:D12"/>
    <mergeCell ref="C13:D13"/>
    <mergeCell ref="C14:D14"/>
    <mergeCell ref="C15:D15"/>
    <mergeCell ref="C16:D16"/>
    <mergeCell ref="C17:D17"/>
    <mergeCell ref="C6:D6"/>
    <mergeCell ref="B2:F2"/>
    <mergeCell ref="B3:B4"/>
    <mergeCell ref="C3:D4"/>
    <mergeCell ref="E3:F3"/>
    <mergeCell ref="C5:D5"/>
  </mergeCells>
  <dataValidations count="1">
    <dataValidation type="list" allowBlank="1" showInputMessage="1" showErrorMessage="1" sqref="E5:F23" xr:uid="{00000000-0002-0000-0800-000000000000}">
      <formula1>"X"</formula1>
    </dataValidation>
  </dataValidations>
  <printOptions horizontalCentered="1"/>
  <pageMargins left="0.25" right="0.25" top="0.75" bottom="0.75" header="0.3" footer="0.3"/>
  <pageSetup scale="8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8" ma:contentTypeDescription="Crear nuevo documento." ma:contentTypeScope="" ma:versionID="58c11e15b91a2d584b323e9c7ba5a5ed">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b79cdc359a82ef12ddd8d7e71febe80b"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7c4427a-9750-41f9-ad55-9fc71e3b9295}" ma:internalName="TaxCatchAll" ma:showField="CatchAllData" ma:web="70eaac67-e064-433b-ba54-6f78c0f1e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70eaac67-e064-433b-ba54-6f78c0f1ecb1">
      <UserInfo>
        <DisplayName>Stefany Ospino Cuellar</DisplayName>
        <AccountId>1659</AccountId>
        <AccountType/>
      </UserInfo>
      <UserInfo>
        <DisplayName>German Andres Hernandez Matiz</DisplayName>
        <AccountId>571</AccountId>
        <AccountType/>
      </UserInfo>
    </SharedWithUsers>
    <TaxCatchAll xmlns="70eaac67-e064-433b-ba54-6f78c0f1ecb1" xsi:nil="true"/>
    <lcf76f155ced4ddcb4097134ff3c332f xmlns="64d77176-54eb-4753-be67-9b2e2fa23e0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5C579D-B497-4039-9E1B-BCDFF1CAF2B9}"/>
</file>

<file path=customXml/itemProps2.xml><?xml version="1.0" encoding="utf-8"?>
<ds:datastoreItem xmlns:ds="http://schemas.openxmlformats.org/officeDocument/2006/customXml" ds:itemID="{D3D5E4EF-2809-49C9-8DCF-B2E4E5208101}"/>
</file>

<file path=customXml/itemProps3.xml><?xml version="1.0" encoding="utf-8"?>
<ds:datastoreItem xmlns:ds="http://schemas.openxmlformats.org/officeDocument/2006/customXml" ds:itemID="{0238E702-99CD-4A3A-A328-D1F3ADA68EBC}"/>
</file>

<file path=docProps/app.xml><?xml version="1.0" encoding="utf-8"?>
<Properties xmlns="http://schemas.openxmlformats.org/officeDocument/2006/extended-properties" xmlns:vt="http://schemas.openxmlformats.org/officeDocument/2006/docPropsVTypes">
  <Application>Microsoft Excel Online</Application>
  <Manager/>
  <Company>Hewlett-Packard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Natalia Norato Mora</cp:lastModifiedBy>
  <cp:revision/>
  <dcterms:created xsi:type="dcterms:W3CDTF">2020-03-24T23:12:47Z</dcterms:created>
  <dcterms:modified xsi:type="dcterms:W3CDTF">2022-03-28T18:51:16Z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y fmtid="{D5CDD505-2E9C-101B-9397-08002B2CF9AE}" pid="3" name="MediaServiceImageTags">
    <vt:lpwstr/>
  </property>
</Properties>
</file>