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hidePivotFieldList="1" defaultThemeVersion="124226"/>
  <mc:AlternateContent xmlns:mc="http://schemas.openxmlformats.org/markup-compatibility/2006">
    <mc:Choice Requires="x15">
      <x15ac:absPath xmlns:x15ac="http://schemas.microsoft.com/office/spreadsheetml/2010/11/ac" url="https://d.docs.live.net/4592eb41938d7ffb/Documentos/UMV/2023/a. Enero/Mapa de Riesgos 2023/"/>
    </mc:Choice>
  </mc:AlternateContent>
  <xr:revisionPtr revIDLastSave="4" documentId="11_7DA76B85D78A590867DD4CDC16D41D851341317D" xr6:coauthVersionLast="47" xr6:coauthVersionMax="47" xr10:uidLastSave="{B3AF3AC4-2163-4C89-9EC6-E27486613A25}"/>
  <bookViews>
    <workbookView xWindow="-120" yWindow="-120" windowWidth="20730" windowHeight="11040" tabRatio="933" activeTab="3" xr2:uid="{00000000-000D-0000-FFFF-FFFF00000000}"/>
  </bookViews>
  <sheets>
    <sheet name="Intructivo" sheetId="20" r:id="rId1"/>
    <sheet name="Revisión DOFA" sheetId="21" state="hidden" r:id="rId2"/>
    <sheet name="Listas" sheetId="16" state="hidden" r:id="rId3"/>
    <sheet name="Riesgos de Gestión" sheetId="1" r:id="rId4"/>
    <sheet name="Matriz Calor Inherente" sheetId="18" r:id="rId5"/>
    <sheet name="Matriz Calor Residual" sheetId="19" r:id="rId6"/>
    <sheet name="Riesgos de Corrupción" sheetId="31" r:id="rId7"/>
    <sheet name="Impacto Corrupción " sheetId="22" r:id="rId8"/>
    <sheet name="Riesgos de Seguridad" sheetId="32" r:id="rId9"/>
    <sheet name="Tabla probabilidad" sheetId="12" r:id="rId10"/>
    <sheet name="Tabla Impacto" sheetId="13" r:id="rId11"/>
    <sheet name="Tipo de riesgos" sheetId="23" r:id="rId12"/>
    <sheet name="Amenazas" sheetId="28" r:id="rId13"/>
    <sheet name="Ejemplos de riesgos" sheetId="26" r:id="rId14"/>
    <sheet name="Tabla Valoración controles" sheetId="15" r:id="rId15"/>
    <sheet name="Hoja1" sheetId="11" state="hidden" r:id="rId16"/>
  </sheets>
  <externalReferences>
    <externalReference r:id="rId17"/>
    <externalReference r:id="rId18"/>
  </externalReferences>
  <definedNames>
    <definedName name="_xlnm.Print_Area" localSheetId="7">'Impacto Corrupción '!$A$1:$G$26</definedName>
    <definedName name="_xlnm.Print_Area" localSheetId="6">'Riesgos de Corrupción'!$A$1:$AR$66</definedName>
    <definedName name="_xlnm.Print_Area" localSheetId="3">'Riesgos de Gestión'!$A$1:$AR$76</definedName>
    <definedName name="_xlnm.Print_Area" localSheetId="8">'Riesgos de Seguridad'!$A$1:$AV$24</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7">#REF!</definedName>
    <definedName name="impactoco">#REF!</definedName>
    <definedName name="infraestructura">#REF!</definedName>
    <definedName name="interno">#REF!</definedName>
    <definedName name="macroprocesos">#REF!</definedName>
    <definedName name="medio_ambientales">#REF!</definedName>
    <definedName name="opciondelriesgo" localSheetId="7">[1]FORMULAS!$K$4:$K$7</definedName>
    <definedName name="opciondelriesgo">[2]FORMULAS!$K$4:$K$7</definedName>
    <definedName name="personal">#REF!</definedName>
    <definedName name="políticos">#REF!</definedName>
    <definedName name="probabilidad" localSheetId="7">#REF!</definedName>
    <definedName name="probabilidad">[2]FORMULAS!$G$4:$G$8</definedName>
    <definedName name="proceso">#REF!</definedName>
    <definedName name="procesos" localSheetId="7">#REF!</definedName>
    <definedName name="procesos">[2]FORMULAS!$B$4:$B$21</definedName>
    <definedName name="sociales">#REF!</definedName>
    <definedName name="tecnología">#REF!</definedName>
    <definedName name="tecnológicos">#REF!</definedName>
    <definedName name="tipo_de_amenaza" localSheetId="7">[1]FORMULAS!$E$4:$E$11</definedName>
    <definedName name="tipo_de_amenaza">[2]FORMULAS!$E$4:$E$11</definedName>
    <definedName name="tipo_de_riesgos" localSheetId="7">[1]FORMULAS!$C$4:$C$6</definedName>
    <definedName name="tipo_de_riesgos">[2]FORMULAS!$C$4:$C$6</definedName>
    <definedName name="_xlnm.Print_Titles" localSheetId="6">'Riesgos de Corrupción'!$1:$8</definedName>
    <definedName name="_xlnm.Print_Titles" localSheetId="3">'Riesgos de Gestión'!$1:$8</definedName>
    <definedName name="_xlnm.Print_Titles" localSheetId="8">'Riesgos de Seguridad'!$1:$8</definedName>
  </definedNames>
  <calcPr calcId="191029"/>
  <pivotCaches>
    <pivotCache cacheId="0"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2" i="32" l="1"/>
  <c r="AB72" i="32"/>
  <c r="AI72" i="32" s="1"/>
  <c r="V72" i="32"/>
  <c r="AE71" i="32"/>
  <c r="AB71" i="32"/>
  <c r="AM72" i="32" s="1"/>
  <c r="AL72" i="32" s="1"/>
  <c r="V71" i="32"/>
  <c r="AE70" i="32"/>
  <c r="AB70" i="32"/>
  <c r="AM71" i="32" s="1"/>
  <c r="AL71" i="32" s="1"/>
  <c r="V70" i="32"/>
  <c r="AE69" i="32"/>
  <c r="AB69" i="32"/>
  <c r="V69" i="32"/>
  <c r="AE68" i="32"/>
  <c r="AB68" i="32"/>
  <c r="V68" i="32"/>
  <c r="AE67" i="32"/>
  <c r="AB67" i="32"/>
  <c r="T67" i="32"/>
  <c r="S67" i="32"/>
  <c r="AE66" i="32"/>
  <c r="AB66" i="32"/>
  <c r="V66" i="32"/>
  <c r="AE65" i="32"/>
  <c r="AB65" i="32"/>
  <c r="V65" i="32"/>
  <c r="AE64" i="32"/>
  <c r="AB64" i="32"/>
  <c r="AI65" i="32" s="1"/>
  <c r="V64" i="32"/>
  <c r="AE63" i="32"/>
  <c r="AB63" i="32"/>
  <c r="V63" i="32"/>
  <c r="AE62" i="32"/>
  <c r="AB62" i="32"/>
  <c r="AI63" i="32" s="1"/>
  <c r="V62" i="32"/>
  <c r="AE61" i="32"/>
  <c r="AB61" i="32"/>
  <c r="S61" i="32"/>
  <c r="AE60" i="32"/>
  <c r="AB60" i="32"/>
  <c r="V60" i="32"/>
  <c r="AE59" i="32"/>
  <c r="AB59" i="32"/>
  <c r="AI60" i="32" s="1"/>
  <c r="V59" i="32"/>
  <c r="AE58" i="32"/>
  <c r="AB58" i="32"/>
  <c r="V58" i="32"/>
  <c r="AE57" i="32"/>
  <c r="AB57" i="32"/>
  <c r="AM58" i="32" s="1"/>
  <c r="AL58" i="32" s="1"/>
  <c r="V57" i="32"/>
  <c r="AE56" i="32"/>
  <c r="AB56" i="32"/>
  <c r="V56" i="32"/>
  <c r="AE55" i="32"/>
  <c r="AB55" i="32"/>
  <c r="AM55" i="32" s="1"/>
  <c r="AL55" i="32" s="1"/>
  <c r="S55" i="32"/>
  <c r="AE54" i="32"/>
  <c r="AB54" i="32"/>
  <c r="V54" i="32"/>
  <c r="AE53" i="32"/>
  <c r="AB53" i="32"/>
  <c r="AM54" i="32" s="1"/>
  <c r="AL54" i="32" s="1"/>
  <c r="V53" i="32"/>
  <c r="AE52" i="32"/>
  <c r="AB52" i="32"/>
  <c r="V52" i="32"/>
  <c r="AE51" i="32"/>
  <c r="AB51" i="32"/>
  <c r="AM52" i="32" s="1"/>
  <c r="AL52" i="32" s="1"/>
  <c r="V51" i="32"/>
  <c r="AE50" i="32"/>
  <c r="AB50" i="32"/>
  <c r="V50" i="32"/>
  <c r="AE49" i="32"/>
  <c r="AB49" i="32"/>
  <c r="AM49" i="32" s="1"/>
  <c r="AL49" i="32" s="1"/>
  <c r="S49" i="32"/>
  <c r="T49" i="32" s="1"/>
  <c r="AE48" i="32"/>
  <c r="AB48" i="32"/>
  <c r="AM48" i="32" s="1"/>
  <c r="AL48" i="32" s="1"/>
  <c r="V48" i="32"/>
  <c r="AE47" i="32"/>
  <c r="AB47" i="32"/>
  <c r="V47" i="32"/>
  <c r="AE46" i="32"/>
  <c r="AB46" i="32"/>
  <c r="AM46" i="32" s="1"/>
  <c r="AL46" i="32" s="1"/>
  <c r="V46" i="32"/>
  <c r="AE45" i="32"/>
  <c r="AB45" i="32"/>
  <c r="V45" i="32"/>
  <c r="AE44" i="32"/>
  <c r="AB44" i="32"/>
  <c r="AM45" i="32" s="1"/>
  <c r="AL45" i="32" s="1"/>
  <c r="V44" i="32"/>
  <c r="AE43" i="32"/>
  <c r="AB43" i="32"/>
  <c r="AI43" i="32" s="1"/>
  <c r="AJ43" i="32" s="1"/>
  <c r="S43" i="32"/>
  <c r="AE42" i="32"/>
  <c r="AB42" i="32"/>
  <c r="V42" i="32"/>
  <c r="AE41" i="32"/>
  <c r="AB41" i="32"/>
  <c r="V41" i="32"/>
  <c r="AE40" i="32"/>
  <c r="AB40" i="32"/>
  <c r="V40" i="32"/>
  <c r="AI39" i="32"/>
  <c r="AK39" i="32" s="1"/>
  <c r="AE39" i="32"/>
  <c r="AB39" i="32"/>
  <c r="V39" i="32"/>
  <c r="AE38" i="32"/>
  <c r="AB38" i="32"/>
  <c r="V38" i="32"/>
  <c r="AE37" i="32"/>
  <c r="AB37" i="32"/>
  <c r="AI37" i="32" s="1"/>
  <c r="S37" i="32"/>
  <c r="T37" i="32" s="1"/>
  <c r="AM36" i="32"/>
  <c r="AL36" i="32" s="1"/>
  <c r="AE36" i="32"/>
  <c r="AB36" i="32"/>
  <c r="V36" i="32"/>
  <c r="AE35" i="32"/>
  <c r="AB35" i="32"/>
  <c r="AI36" i="32" s="1"/>
  <c r="AK36" i="32" s="1"/>
  <c r="V35" i="32"/>
  <c r="AE34" i="32"/>
  <c r="AB34" i="32"/>
  <c r="V34" i="32"/>
  <c r="AE33" i="32"/>
  <c r="AB33" i="32"/>
  <c r="AM34" i="32" s="1"/>
  <c r="AL34" i="32" s="1"/>
  <c r="V33" i="32"/>
  <c r="AE32" i="32"/>
  <c r="AB32" i="32"/>
  <c r="V32" i="32"/>
  <c r="AE31" i="32"/>
  <c r="AB31" i="32"/>
  <c r="AM31" i="32" s="1"/>
  <c r="AL31" i="32" s="1"/>
  <c r="S31" i="32"/>
  <c r="AE30" i="32"/>
  <c r="AB30" i="32"/>
  <c r="V30" i="32"/>
  <c r="AE29" i="32"/>
  <c r="AB29" i="32"/>
  <c r="V29" i="32"/>
  <c r="AE28" i="32"/>
  <c r="AB28" i="32"/>
  <c r="AM29" i="32" s="1"/>
  <c r="AL29" i="32" s="1"/>
  <c r="V28" i="32"/>
  <c r="AE27" i="32"/>
  <c r="AB27" i="32"/>
  <c r="V27" i="32"/>
  <c r="AE26" i="32"/>
  <c r="AB26" i="32"/>
  <c r="AM27" i="32" s="1"/>
  <c r="AL27" i="32" s="1"/>
  <c r="V26" i="32"/>
  <c r="AE25" i="32"/>
  <c r="AB25" i="32"/>
  <c r="S25" i="32"/>
  <c r="AE24" i="32"/>
  <c r="AB24" i="32"/>
  <c r="V24" i="32"/>
  <c r="AE23" i="32"/>
  <c r="AB23" i="32"/>
  <c r="AM24" i="32" s="1"/>
  <c r="AL24" i="32" s="1"/>
  <c r="V23" i="32"/>
  <c r="AE22" i="32"/>
  <c r="AB22" i="32"/>
  <c r="V22" i="32"/>
  <c r="AE21" i="32"/>
  <c r="AB21" i="32"/>
  <c r="AM22" i="32" s="1"/>
  <c r="AL22" i="32" s="1"/>
  <c r="V21" i="32"/>
  <c r="AE20" i="32"/>
  <c r="AB20" i="32"/>
  <c r="V20" i="32"/>
  <c r="AE19" i="32"/>
  <c r="AB19" i="32"/>
  <c r="AM19" i="32" s="1"/>
  <c r="AL19" i="32" s="1"/>
  <c r="T19" i="32"/>
  <c r="S19" i="32"/>
  <c r="AE18" i="32"/>
  <c r="AB18" i="32"/>
  <c r="V18" i="32"/>
  <c r="AE17" i="32"/>
  <c r="AB17" i="32"/>
  <c r="AM18" i="32" s="1"/>
  <c r="AL18" i="32" s="1"/>
  <c r="V17" i="32"/>
  <c r="AE16" i="32"/>
  <c r="AB16" i="32"/>
  <c r="AM17" i="32" s="1"/>
  <c r="AL17" i="32" s="1"/>
  <c r="V16" i="32"/>
  <c r="AE15" i="32"/>
  <c r="AB15" i="32"/>
  <c r="V15" i="32"/>
  <c r="AE14" i="32"/>
  <c r="AB14" i="32"/>
  <c r="AI15" i="32" s="1"/>
  <c r="V14" i="32"/>
  <c r="AE13" i="32"/>
  <c r="AB13" i="32"/>
  <c r="S13" i="32"/>
  <c r="AA72" i="31"/>
  <c r="X72" i="31"/>
  <c r="R72" i="31"/>
  <c r="AA71" i="31"/>
  <c r="X71" i="31"/>
  <c r="AE72" i="31" s="1"/>
  <c r="R71" i="31"/>
  <c r="AA70" i="31"/>
  <c r="X70" i="31"/>
  <c r="R70" i="31"/>
  <c r="AA69" i="31"/>
  <c r="X69" i="31"/>
  <c r="AI70" i="31" s="1"/>
  <c r="AH70" i="31" s="1"/>
  <c r="R69" i="31"/>
  <c r="AA68" i="31"/>
  <c r="X68" i="31"/>
  <c r="R68" i="31"/>
  <c r="AE67" i="31"/>
  <c r="AF67" i="31" s="1"/>
  <c r="AA67" i="31"/>
  <c r="X67" i="31"/>
  <c r="AI67" i="31" s="1"/>
  <c r="AH67" i="31" s="1"/>
  <c r="O67" i="31"/>
  <c r="P67" i="31" s="1"/>
  <c r="AA66" i="31"/>
  <c r="X66" i="31"/>
  <c r="AE66" i="31" s="1"/>
  <c r="AG66" i="31" s="1"/>
  <c r="R66" i="31"/>
  <c r="AA65" i="31"/>
  <c r="X65" i="31"/>
  <c r="R65" i="31"/>
  <c r="AA64" i="31"/>
  <c r="X64" i="31"/>
  <c r="R64" i="31"/>
  <c r="AA63" i="31"/>
  <c r="X63" i="31"/>
  <c r="AE64" i="31" s="1"/>
  <c r="R63" i="31"/>
  <c r="AA62" i="31"/>
  <c r="X62" i="31"/>
  <c r="R62" i="31"/>
  <c r="AA61" i="31"/>
  <c r="X61" i="31"/>
  <c r="AE62" i="31" s="1"/>
  <c r="O61" i="31"/>
  <c r="P61" i="31" s="1"/>
  <c r="AA60" i="31"/>
  <c r="X60" i="31"/>
  <c r="R60" i="31"/>
  <c r="AA59" i="31"/>
  <c r="X59" i="31"/>
  <c r="R59" i="31"/>
  <c r="AI58" i="31"/>
  <c r="AH58" i="31" s="1"/>
  <c r="AA58" i="31"/>
  <c r="X58" i="31"/>
  <c r="R58" i="31"/>
  <c r="AA57" i="31"/>
  <c r="X57" i="31"/>
  <c r="AE58" i="31" s="1"/>
  <c r="R57" i="31"/>
  <c r="AA56" i="31"/>
  <c r="X56" i="31"/>
  <c r="AI57" i="31" s="1"/>
  <c r="AH57" i="31" s="1"/>
  <c r="R56" i="31"/>
  <c r="AA55" i="31"/>
  <c r="X55" i="31"/>
  <c r="O55" i="31"/>
  <c r="AA54" i="31"/>
  <c r="X54" i="31"/>
  <c r="R54" i="31"/>
  <c r="AA53" i="31"/>
  <c r="X53" i="31"/>
  <c r="R53" i="31"/>
  <c r="AA52" i="31"/>
  <c r="X52" i="31"/>
  <c r="R52" i="31"/>
  <c r="AA51" i="31"/>
  <c r="X51" i="31"/>
  <c r="AI52" i="31" s="1"/>
  <c r="AH52" i="31" s="1"/>
  <c r="R51" i="31"/>
  <c r="AA50" i="31"/>
  <c r="X50" i="31"/>
  <c r="R50" i="31"/>
  <c r="AA49" i="31"/>
  <c r="X49" i="31"/>
  <c r="AI49" i="31" s="1"/>
  <c r="AH49" i="31" s="1"/>
  <c r="O49" i="31"/>
  <c r="P49" i="31" s="1"/>
  <c r="AA48" i="31"/>
  <c r="X48" i="31"/>
  <c r="R48" i="31"/>
  <c r="AA47" i="31"/>
  <c r="X47" i="31"/>
  <c r="AE48" i="31" s="1"/>
  <c r="AF48" i="31" s="1"/>
  <c r="R47" i="31"/>
  <c r="AA46" i="31"/>
  <c r="X46" i="31"/>
  <c r="AE46" i="31" s="1"/>
  <c r="R46" i="31"/>
  <c r="AA45" i="31"/>
  <c r="X45" i="31"/>
  <c r="AI45" i="31" s="1"/>
  <c r="AH45" i="31" s="1"/>
  <c r="R45" i="31"/>
  <c r="AA44" i="31"/>
  <c r="X44" i="31"/>
  <c r="R44" i="31"/>
  <c r="AA43" i="31"/>
  <c r="X43" i="31"/>
  <c r="AI43" i="31" s="1"/>
  <c r="AH43" i="31" s="1"/>
  <c r="O43" i="31"/>
  <c r="P43" i="31" s="1"/>
  <c r="AA42" i="31"/>
  <c r="X42" i="31"/>
  <c r="AI42" i="31" s="1"/>
  <c r="AH42" i="31" s="1"/>
  <c r="R42" i="31"/>
  <c r="AI41" i="31"/>
  <c r="AH41" i="31" s="1"/>
  <c r="AA41" i="31"/>
  <c r="X41" i="31"/>
  <c r="R41" i="31"/>
  <c r="AA40" i="31"/>
  <c r="X40" i="31"/>
  <c r="AE41" i="31" s="1"/>
  <c r="R40" i="31"/>
  <c r="AA39" i="31"/>
  <c r="X39" i="31"/>
  <c r="AI40" i="31" s="1"/>
  <c r="AH40" i="31" s="1"/>
  <c r="R39" i="31"/>
  <c r="AA38" i="31"/>
  <c r="X38" i="31"/>
  <c r="R38" i="31"/>
  <c r="AA37" i="31"/>
  <c r="X37" i="31"/>
  <c r="AI38" i="31" s="1"/>
  <c r="AH38" i="31" s="1"/>
  <c r="O37" i="31"/>
  <c r="AA36" i="31"/>
  <c r="X36" i="31"/>
  <c r="R36" i="31"/>
  <c r="AA35" i="31"/>
  <c r="X35" i="31"/>
  <c r="AI36" i="31" s="1"/>
  <c r="AH36" i="31" s="1"/>
  <c r="R35" i="31"/>
  <c r="AA34" i="31"/>
  <c r="X34" i="31"/>
  <c r="AE35" i="31" s="1"/>
  <c r="AG35" i="31" s="1"/>
  <c r="R34" i="31"/>
  <c r="AA33" i="31"/>
  <c r="X33" i="31"/>
  <c r="R33" i="31"/>
  <c r="AA32" i="31"/>
  <c r="X32" i="31"/>
  <c r="AE33" i="31" s="1"/>
  <c r="R32" i="31"/>
  <c r="AI31" i="31"/>
  <c r="AH31" i="31" s="1"/>
  <c r="AA31" i="31"/>
  <c r="X31" i="31"/>
  <c r="AE31" i="31" s="1"/>
  <c r="O31" i="31"/>
  <c r="P31" i="31" s="1"/>
  <c r="AE30" i="31"/>
  <c r="AG30" i="31" s="1"/>
  <c r="AA30" i="31"/>
  <c r="X30" i="31"/>
  <c r="R30" i="31"/>
  <c r="AA29" i="31"/>
  <c r="X29" i="31"/>
  <c r="R29" i="31"/>
  <c r="AA28" i="31"/>
  <c r="X28" i="31"/>
  <c r="AI28" i="31" s="1"/>
  <c r="AH28" i="31" s="1"/>
  <c r="R28" i="31"/>
  <c r="AA27" i="31"/>
  <c r="X27" i="31"/>
  <c r="R27" i="31"/>
  <c r="AA26" i="31"/>
  <c r="X26" i="31"/>
  <c r="R26" i="31"/>
  <c r="AA25" i="31"/>
  <c r="X25" i="31"/>
  <c r="AI26" i="31" s="1"/>
  <c r="AH26" i="31" s="1"/>
  <c r="O25" i="31"/>
  <c r="P25" i="31" s="1"/>
  <c r="AA24" i="31"/>
  <c r="X24" i="31"/>
  <c r="R24" i="31"/>
  <c r="AA23" i="31"/>
  <c r="X23" i="31"/>
  <c r="AE24" i="31" s="1"/>
  <c r="R23" i="31"/>
  <c r="AA22" i="31"/>
  <c r="X22" i="31"/>
  <c r="R22" i="31"/>
  <c r="AA21" i="31"/>
  <c r="X21" i="31"/>
  <c r="AI22" i="31" s="1"/>
  <c r="AH22" i="31" s="1"/>
  <c r="R21" i="31"/>
  <c r="AA20" i="31"/>
  <c r="X20" i="31"/>
  <c r="AE20" i="31" s="1"/>
  <c r="AF20" i="31" s="1"/>
  <c r="R20" i="31"/>
  <c r="AA19" i="31"/>
  <c r="X19" i="31"/>
  <c r="AI19" i="31" s="1"/>
  <c r="AH19" i="31" s="1"/>
  <c r="O19" i="31"/>
  <c r="P19" i="31" s="1"/>
  <c r="AA18" i="31"/>
  <c r="X18" i="31"/>
  <c r="AE18" i="31" s="1"/>
  <c r="R18" i="31"/>
  <c r="AA17" i="31"/>
  <c r="X17" i="31"/>
  <c r="R17" i="31"/>
  <c r="AA16" i="31"/>
  <c r="X16" i="31"/>
  <c r="R16" i="31"/>
  <c r="AA15" i="31"/>
  <c r="X15" i="31"/>
  <c r="AI16" i="31" s="1"/>
  <c r="AH16" i="31" s="1"/>
  <c r="R15" i="31"/>
  <c r="AA14" i="31"/>
  <c r="X14" i="31"/>
  <c r="R14" i="31"/>
  <c r="AA13" i="31"/>
  <c r="X13" i="31"/>
  <c r="O13" i="31"/>
  <c r="P13" i="31" s="1"/>
  <c r="AE29" i="31" l="1"/>
  <c r="AG29" i="31" s="1"/>
  <c r="AI38" i="32"/>
  <c r="AM47" i="32"/>
  <c r="AL47" i="32" s="1"/>
  <c r="AI27" i="31"/>
  <c r="AH27" i="31" s="1"/>
  <c r="AI48" i="31"/>
  <c r="AH48" i="31" s="1"/>
  <c r="AE51" i="31"/>
  <c r="AF51" i="31" s="1"/>
  <c r="AE52" i="31"/>
  <c r="AG52" i="31" s="1"/>
  <c r="AI63" i="31"/>
  <c r="AH63" i="31" s="1"/>
  <c r="AI64" i="31"/>
  <c r="AH64" i="31" s="1"/>
  <c r="AI69" i="31"/>
  <c r="AH69" i="31" s="1"/>
  <c r="AM28" i="32"/>
  <c r="AL28" i="32" s="1"/>
  <c r="AI53" i="32"/>
  <c r="AK53" i="32" s="1"/>
  <c r="AI54" i="32"/>
  <c r="AK54" i="32" s="1"/>
  <c r="AM62" i="32"/>
  <c r="AL62" i="32" s="1"/>
  <c r="AM63" i="32"/>
  <c r="AL63" i="32" s="1"/>
  <c r="AM69" i="32"/>
  <c r="AL69" i="32" s="1"/>
  <c r="AE68" i="31"/>
  <c r="AF68" i="31" s="1"/>
  <c r="AM15" i="32"/>
  <c r="AL15" i="32" s="1"/>
  <c r="AM26" i="32"/>
  <c r="AL26" i="32" s="1"/>
  <c r="AI33" i="32"/>
  <c r="AI51" i="32"/>
  <c r="AM68" i="32"/>
  <c r="AL68" i="32" s="1"/>
  <c r="T31" i="32"/>
  <c r="AG67" i="31"/>
  <c r="AI35" i="32"/>
  <c r="AK35" i="32" s="1"/>
  <c r="AI48" i="32"/>
  <c r="AM66" i="32"/>
  <c r="AL66" i="32" s="1"/>
  <c r="AI68" i="32"/>
  <c r="AI34" i="31"/>
  <c r="AH34" i="31" s="1"/>
  <c r="AI47" i="31"/>
  <c r="AH47" i="31" s="1"/>
  <c r="AE49" i="31"/>
  <c r="AG49" i="31" s="1"/>
  <c r="AI60" i="31"/>
  <c r="AH60" i="31" s="1"/>
  <c r="AE65" i="31"/>
  <c r="AF65" i="31" s="1"/>
  <c r="AE69" i="31"/>
  <c r="AG69" i="31" s="1"/>
  <c r="AM30" i="32"/>
  <c r="AL30" i="32" s="1"/>
  <c r="AM41" i="32"/>
  <c r="AL41" i="32" s="1"/>
  <c r="AI46" i="32"/>
  <c r="AI55" i="32"/>
  <c r="AK55" i="32" s="1"/>
  <c r="AG33" i="31"/>
  <c r="AF33" i="31"/>
  <c r="AG64" i="31"/>
  <c r="AF64" i="31"/>
  <c r="AG46" i="31"/>
  <c r="AF46" i="31"/>
  <c r="AE50" i="31"/>
  <c r="AE60" i="31"/>
  <c r="AI21" i="31"/>
  <c r="AH21" i="31" s="1"/>
  <c r="AI23" i="31"/>
  <c r="AH23" i="31" s="1"/>
  <c r="AI24" i="31"/>
  <c r="AH24" i="31" s="1"/>
  <c r="AI30" i="31"/>
  <c r="AH30" i="31" s="1"/>
  <c r="AE34" i="31"/>
  <c r="AF34" i="31" s="1"/>
  <c r="AJ34" i="31" s="1"/>
  <c r="AE38" i="31"/>
  <c r="AG38" i="31" s="1"/>
  <c r="AE42" i="31"/>
  <c r="AE45" i="31"/>
  <c r="AI53" i="31"/>
  <c r="AH53" i="31" s="1"/>
  <c r="AI61" i="31"/>
  <c r="AH61" i="31" s="1"/>
  <c r="AE63" i="31"/>
  <c r="AF49" i="31"/>
  <c r="AI50" i="31"/>
  <c r="AH50" i="31" s="1"/>
  <c r="AI18" i="31"/>
  <c r="AH18" i="31" s="1"/>
  <c r="AE32" i="31"/>
  <c r="AI56" i="31"/>
  <c r="AH56" i="31" s="1"/>
  <c r="AI59" i="31"/>
  <c r="AH59" i="31" s="1"/>
  <c r="AI66" i="31"/>
  <c r="AH66" i="31" s="1"/>
  <c r="AI33" i="31"/>
  <c r="AH33" i="31" s="1"/>
  <c r="AE37" i="31"/>
  <c r="AF37" i="31" s="1"/>
  <c r="AE47" i="31"/>
  <c r="AI54" i="31"/>
  <c r="AH54" i="31" s="1"/>
  <c r="AI62" i="31"/>
  <c r="AH62" i="31" s="1"/>
  <c r="AI71" i="31"/>
  <c r="AH71" i="31" s="1"/>
  <c r="AI72" i="31"/>
  <c r="AH72" i="31" s="1"/>
  <c r="AE17" i="31"/>
  <c r="AF17" i="31" s="1"/>
  <c r="AE19" i="31"/>
  <c r="AF19" i="31" s="1"/>
  <c r="AE28" i="31"/>
  <c r="AE55" i="31"/>
  <c r="AG55" i="31" s="1"/>
  <c r="AE59" i="31"/>
  <c r="AE21" i="31"/>
  <c r="AG21" i="31" s="1"/>
  <c r="AE27" i="31"/>
  <c r="AI35" i="31"/>
  <c r="AH35" i="31" s="1"/>
  <c r="AI39" i="31"/>
  <c r="AH39" i="31" s="1"/>
  <c r="AI44" i="31"/>
  <c r="AH44" i="31" s="1"/>
  <c r="AE61" i="31"/>
  <c r="AF29" i="31"/>
  <c r="AF30" i="31"/>
  <c r="AK68" i="32"/>
  <c r="AJ68" i="32"/>
  <c r="AN68" i="32" s="1"/>
  <c r="AK51" i="32"/>
  <c r="AJ51" i="32"/>
  <c r="AK48" i="32"/>
  <c r="AJ48" i="32"/>
  <c r="AN48" i="32" s="1"/>
  <c r="AK65" i="32"/>
  <c r="AJ65" i="32"/>
  <c r="AK38" i="32"/>
  <c r="AJ38" i="32"/>
  <c r="AI71" i="32"/>
  <c r="AI17" i="32"/>
  <c r="AI18" i="32"/>
  <c r="AI34" i="32"/>
  <c r="AJ35" i="32"/>
  <c r="AM39" i="32"/>
  <c r="AL39" i="32" s="1"/>
  <c r="AI47" i="32"/>
  <c r="AJ47" i="32" s="1"/>
  <c r="AN47" i="32" s="1"/>
  <c r="AJ54" i="32"/>
  <c r="AN54" i="32" s="1"/>
  <c r="AJ55" i="32"/>
  <c r="AN55" i="32" s="1"/>
  <c r="AI20" i="32"/>
  <c r="AK20" i="32" s="1"/>
  <c r="AI19" i="32"/>
  <c r="AI23" i="32"/>
  <c r="AJ23" i="32" s="1"/>
  <c r="AI25" i="32"/>
  <c r="AJ25" i="32" s="1"/>
  <c r="AM32" i="32"/>
  <c r="AL32" i="32" s="1"/>
  <c r="AM20" i="32"/>
  <c r="AL20" i="32" s="1"/>
  <c r="AM23" i="32"/>
  <c r="AL23" i="32" s="1"/>
  <c r="AM25" i="32"/>
  <c r="AL25" i="32" s="1"/>
  <c r="T55" i="32"/>
  <c r="AM67" i="32"/>
  <c r="AL67" i="32" s="1"/>
  <c r="AI24" i="32"/>
  <c r="AJ24" i="32" s="1"/>
  <c r="AN24" i="32" s="1"/>
  <c r="AI29" i="32"/>
  <c r="AK29" i="32" s="1"/>
  <c r="AM57" i="32"/>
  <c r="AL57" i="32" s="1"/>
  <c r="AM70" i="32"/>
  <c r="AL70" i="32" s="1"/>
  <c r="AI70" i="32"/>
  <c r="AK70" i="32" s="1"/>
  <c r="AM51" i="32"/>
  <c r="AL51" i="32" s="1"/>
  <c r="AN51" i="32" s="1"/>
  <c r="AI57" i="32"/>
  <c r="AI22" i="32"/>
  <c r="AJ22" i="32" s="1"/>
  <c r="AN22" i="32" s="1"/>
  <c r="AI40" i="32"/>
  <c r="AK40" i="32" s="1"/>
  <c r="AM59" i="32"/>
  <c r="AL59" i="32" s="1"/>
  <c r="AM60" i="32"/>
  <c r="AL60" i="32" s="1"/>
  <c r="AM65" i="32"/>
  <c r="AL65" i="32" s="1"/>
  <c r="AN65" i="32" s="1"/>
  <c r="AM16" i="32"/>
  <c r="AL16" i="32" s="1"/>
  <c r="AI16" i="32"/>
  <c r="AK16" i="32" s="1"/>
  <c r="AM37" i="32"/>
  <c r="AL37" i="32" s="1"/>
  <c r="AM40" i="32"/>
  <c r="AL40" i="32" s="1"/>
  <c r="AI50" i="32"/>
  <c r="AI52" i="32"/>
  <c r="AI56" i="32"/>
  <c r="AK56" i="32" s="1"/>
  <c r="AI64" i="32"/>
  <c r="AK64" i="32" s="1"/>
  <c r="AI66" i="32"/>
  <c r="AI69" i="32"/>
  <c r="AI21" i="32"/>
  <c r="AI26" i="32"/>
  <c r="AJ26" i="32" s="1"/>
  <c r="AN26" i="32" s="1"/>
  <c r="AI30" i="32"/>
  <c r="AK30" i="32" s="1"/>
  <c r="AM33" i="32"/>
  <c r="AL33" i="32" s="1"/>
  <c r="AM42" i="32"/>
  <c r="AL42" i="32" s="1"/>
  <c r="AM44" i="32"/>
  <c r="AL44" i="32" s="1"/>
  <c r="AI67" i="32"/>
  <c r="AE16" i="31"/>
  <c r="AG16" i="31" s="1"/>
  <c r="AK46" i="32"/>
  <c r="AJ46" i="32"/>
  <c r="AN46" i="32" s="1"/>
  <c r="AK50" i="32"/>
  <c r="AJ50" i="32"/>
  <c r="AK33" i="32"/>
  <c r="AJ33" i="32"/>
  <c r="AK60" i="32"/>
  <c r="AJ60" i="32"/>
  <c r="AJ34" i="32"/>
  <c r="AN34" i="32" s="1"/>
  <c r="AK34" i="32"/>
  <c r="AK47" i="32"/>
  <c r="AK15" i="32"/>
  <c r="AJ15" i="32"/>
  <c r="AN15" i="32" s="1"/>
  <c r="AJ37" i="32"/>
  <c r="AK37" i="32"/>
  <c r="AK63" i="32"/>
  <c r="AJ63" i="32"/>
  <c r="AN63" i="32" s="1"/>
  <c r="AK72" i="32"/>
  <c r="AJ72" i="32"/>
  <c r="AN72" i="32" s="1"/>
  <c r="AJ29" i="32"/>
  <c r="AN29" i="32" s="1"/>
  <c r="AM50" i="32"/>
  <c r="AL50" i="32" s="1"/>
  <c r="AJ53" i="32"/>
  <c r="AM64" i="32"/>
  <c r="AL64" i="32" s="1"/>
  <c r="AJ70" i="32"/>
  <c r="T25" i="32"/>
  <c r="AJ40" i="32"/>
  <c r="T13" i="32"/>
  <c r="AI13" i="32" s="1"/>
  <c r="AM21" i="32"/>
  <c r="AL21" i="32" s="1"/>
  <c r="AI28" i="32"/>
  <c r="AI31" i="32"/>
  <c r="AM35" i="32"/>
  <c r="AL35" i="32" s="1"/>
  <c r="AN35" i="32" s="1"/>
  <c r="AM38" i="32"/>
  <c r="AL38" i="32" s="1"/>
  <c r="AN38" i="32" s="1"/>
  <c r="AI42" i="32"/>
  <c r="AK43" i="32"/>
  <c r="AI45" i="32"/>
  <c r="AI59" i="32"/>
  <c r="T61" i="32"/>
  <c r="AI62" i="32"/>
  <c r="AI27" i="32"/>
  <c r="AI32" i="32"/>
  <c r="AI49" i="32"/>
  <c r="AM53" i="32"/>
  <c r="AL53" i="32" s="1"/>
  <c r="AM56" i="32"/>
  <c r="AL56" i="32" s="1"/>
  <c r="AJ36" i="32"/>
  <c r="AN36" i="32" s="1"/>
  <c r="AJ39" i="32"/>
  <c r="AN39" i="32" s="1"/>
  <c r="AK25" i="32"/>
  <c r="T43" i="32"/>
  <c r="AI61" i="32"/>
  <c r="AM43" i="32"/>
  <c r="AL43" i="32" s="1"/>
  <c r="AN43" i="32" s="1"/>
  <c r="AI41" i="32"/>
  <c r="AI44" i="32"/>
  <c r="AM13" i="32"/>
  <c r="AL13" i="32" s="1"/>
  <c r="AM61" i="32"/>
  <c r="AL61" i="32" s="1"/>
  <c r="AI58" i="32"/>
  <c r="AJ33" i="31"/>
  <c r="AJ49" i="31"/>
  <c r="AJ67" i="31"/>
  <c r="AJ48" i="31"/>
  <c r="AJ64" i="31"/>
  <c r="AG42" i="31"/>
  <c r="AF42" i="31"/>
  <c r="AJ42" i="31" s="1"/>
  <c r="AG72" i="31"/>
  <c r="AF72" i="31"/>
  <c r="AG59" i="31"/>
  <c r="AF59" i="31"/>
  <c r="AJ59" i="31" s="1"/>
  <c r="AG27" i="31"/>
  <c r="AF27" i="31"/>
  <c r="AJ27" i="31" s="1"/>
  <c r="AG31" i="31"/>
  <c r="AF31" i="31"/>
  <c r="AJ31" i="31" s="1"/>
  <c r="AG18" i="31"/>
  <c r="AF18" i="31"/>
  <c r="AJ18" i="31" s="1"/>
  <c r="AJ19" i="31"/>
  <c r="AJ30" i="31"/>
  <c r="AG45" i="31"/>
  <c r="AF45" i="31"/>
  <c r="AJ45" i="31" s="1"/>
  <c r="AG58" i="31"/>
  <c r="AF58" i="31"/>
  <c r="AJ58" i="31" s="1"/>
  <c r="AG24" i="31"/>
  <c r="AF24" i="31"/>
  <c r="AJ24" i="31" s="1"/>
  <c r="AG41" i="31"/>
  <c r="AF41" i="31"/>
  <c r="AJ41" i="31" s="1"/>
  <c r="AG62" i="31"/>
  <c r="AF62" i="31"/>
  <c r="AJ62" i="31" s="1"/>
  <c r="AG28" i="31"/>
  <c r="AF28" i="31"/>
  <c r="AJ28" i="31" s="1"/>
  <c r="P37" i="31"/>
  <c r="AG20" i="31"/>
  <c r="AF21" i="31"/>
  <c r="AJ21" i="31" s="1"/>
  <c r="AE22" i="31"/>
  <c r="AE25" i="31"/>
  <c r="AI29" i="31"/>
  <c r="AH29" i="31" s="1"/>
  <c r="AJ29" i="31" s="1"/>
  <c r="AI32" i="31"/>
  <c r="AH32" i="31" s="1"/>
  <c r="AF35" i="31"/>
  <c r="AE36" i="31"/>
  <c r="AG37" i="31"/>
  <c r="AF38" i="31"/>
  <c r="AJ38" i="31" s="1"/>
  <c r="AE39" i="31"/>
  <c r="AI46" i="31"/>
  <c r="AH46" i="31" s="1"/>
  <c r="AJ46" i="31" s="1"/>
  <c r="AG48" i="31"/>
  <c r="AG51" i="31"/>
  <c r="AF52" i="31"/>
  <c r="AJ52" i="31" s="1"/>
  <c r="AE53" i="31"/>
  <c r="P55" i="31"/>
  <c r="AF55" i="31"/>
  <c r="AE56" i="31"/>
  <c r="AG65" i="31"/>
  <c r="AF66" i="31"/>
  <c r="AJ66" i="31" s="1"/>
  <c r="AG68" i="31"/>
  <c r="AF69" i="31"/>
  <c r="AJ69" i="31" s="1"/>
  <c r="AE70" i="31"/>
  <c r="AE23" i="31"/>
  <c r="AE26" i="31"/>
  <c r="AE40" i="31"/>
  <c r="AE43" i="31"/>
  <c r="AE54" i="31"/>
  <c r="AE57" i="31"/>
  <c r="AE71" i="31"/>
  <c r="AE13" i="31"/>
  <c r="AI17" i="31"/>
  <c r="AH17" i="31" s="1"/>
  <c r="AI20" i="31"/>
  <c r="AH20" i="31" s="1"/>
  <c r="AJ20" i="31" s="1"/>
  <c r="AI37" i="31"/>
  <c r="AH37" i="31" s="1"/>
  <c r="AJ37" i="31" s="1"/>
  <c r="AE44" i="31"/>
  <c r="AI51" i="31"/>
  <c r="AH51" i="31" s="1"/>
  <c r="AJ51" i="31" s="1"/>
  <c r="AI65" i="31"/>
  <c r="AH65" i="31" s="1"/>
  <c r="AJ65" i="31" s="1"/>
  <c r="AI68" i="31"/>
  <c r="AH68" i="31" s="1"/>
  <c r="AJ68" i="31" s="1"/>
  <c r="AI55" i="31"/>
  <c r="AH55" i="31" s="1"/>
  <c r="AI25" i="31"/>
  <c r="AH25" i="31" s="1"/>
  <c r="O13" i="1"/>
  <c r="P13" i="1" s="1"/>
  <c r="X13" i="1"/>
  <c r="AA13" i="1"/>
  <c r="X14" i="1"/>
  <c r="AA14" i="1"/>
  <c r="X15" i="1"/>
  <c r="AA15" i="1"/>
  <c r="X16" i="1"/>
  <c r="AA16" i="1"/>
  <c r="X17" i="1"/>
  <c r="AA17" i="1"/>
  <c r="X18" i="1"/>
  <c r="AA18" i="1"/>
  <c r="R17" i="1"/>
  <c r="R15" i="1"/>
  <c r="R16" i="1"/>
  <c r="R14" i="1"/>
  <c r="R18" i="1"/>
  <c r="AK23" i="32" l="1"/>
  <c r="AJ56" i="32"/>
  <c r="AJ35" i="31"/>
  <c r="AJ72" i="31"/>
  <c r="AJ17" i="31"/>
  <c r="AG17" i="31"/>
  <c r="AG60" i="31"/>
  <c r="AF60" i="31"/>
  <c r="AJ60" i="31" s="1"/>
  <c r="AG34" i="31"/>
  <c r="AG19" i="31"/>
  <c r="AG32" i="31"/>
  <c r="AF32" i="31"/>
  <c r="AJ32" i="31" s="1"/>
  <c r="AG50" i="31"/>
  <c r="AF50" i="31"/>
  <c r="AJ50" i="31" s="1"/>
  <c r="AG47" i="31"/>
  <c r="AF47" i="31"/>
  <c r="AJ47" i="31" s="1"/>
  <c r="AF61" i="31"/>
  <c r="AJ61" i="31" s="1"/>
  <c r="AG61" i="31"/>
  <c r="AF63" i="31"/>
  <c r="AJ63" i="31" s="1"/>
  <c r="AG63" i="31"/>
  <c r="AF16" i="31"/>
  <c r="AJ16" i="31" s="1"/>
  <c r="AN40" i="32"/>
  <c r="AN60" i="32"/>
  <c r="AN70" i="32"/>
  <c r="AK26" i="32"/>
  <c r="AJ30" i="32"/>
  <c r="AN30" i="32" s="1"/>
  <c r="AK24" i="32"/>
  <c r="AJ20" i="32"/>
  <c r="AN20" i="32" s="1"/>
  <c r="AK22" i="32"/>
  <c r="AJ16" i="32"/>
  <c r="AN16" i="32" s="1"/>
  <c r="AI14" i="31"/>
  <c r="AH14" i="31" s="1"/>
  <c r="AI15" i="31"/>
  <c r="AH15" i="31" s="1"/>
  <c r="AJ21" i="32"/>
  <c r="AN21" i="32" s="1"/>
  <c r="AK21" i="32"/>
  <c r="AK57" i="32"/>
  <c r="AJ57" i="32"/>
  <c r="AN57" i="32" s="1"/>
  <c r="AK19" i="32"/>
  <c r="AJ19" i="32"/>
  <c r="AN19" i="32" s="1"/>
  <c r="AJ18" i="32"/>
  <c r="AN18" i="32" s="1"/>
  <c r="AK18" i="32"/>
  <c r="AN33" i="32"/>
  <c r="AJ69" i="32"/>
  <c r="AN69" i="32" s="1"/>
  <c r="AK69" i="32"/>
  <c r="AK17" i="32"/>
  <c r="AJ17" i="32"/>
  <c r="AN17" i="32" s="1"/>
  <c r="AK71" i="32"/>
  <c r="AJ71" i="32"/>
  <c r="AN71" i="32" s="1"/>
  <c r="AJ66" i="32"/>
  <c r="AN66" i="32" s="1"/>
  <c r="AK66" i="32"/>
  <c r="AN37" i="32"/>
  <c r="AK67" i="32"/>
  <c r="AJ67" i="32"/>
  <c r="AN67" i="32" s="1"/>
  <c r="AJ64" i="32"/>
  <c r="AJ52" i="32"/>
  <c r="AN52" i="32" s="1"/>
  <c r="AK52" i="32"/>
  <c r="AN25" i="32"/>
  <c r="AN23" i="32"/>
  <c r="AK13" i="32"/>
  <c r="AI14" i="32" s="1"/>
  <c r="AJ13" i="32"/>
  <c r="AN13" i="32" s="1"/>
  <c r="AK45" i="32"/>
  <c r="AJ45" i="32"/>
  <c r="AN45" i="32" s="1"/>
  <c r="AK61" i="32"/>
  <c r="AJ61" i="32"/>
  <c r="AN61" i="32" s="1"/>
  <c r="AN56" i="32"/>
  <c r="AN50" i="32"/>
  <c r="AK58" i="32"/>
  <c r="AJ58" i="32"/>
  <c r="AN58" i="32" s="1"/>
  <c r="AK49" i="32"/>
  <c r="AJ49" i="32"/>
  <c r="AN49" i="32" s="1"/>
  <c r="AK42" i="32"/>
  <c r="AJ42" i="32"/>
  <c r="AN42" i="32" s="1"/>
  <c r="AN53" i="32"/>
  <c r="AK32" i="32"/>
  <c r="AJ32" i="32"/>
  <c r="AN32" i="32" s="1"/>
  <c r="AK62" i="32"/>
  <c r="AJ62" i="32"/>
  <c r="AN62" i="32" s="1"/>
  <c r="AK31" i="32"/>
  <c r="AJ31" i="32"/>
  <c r="AN31" i="32" s="1"/>
  <c r="AM14" i="32"/>
  <c r="AL14" i="32" s="1"/>
  <c r="AK44" i="32"/>
  <c r="AJ44" i="32"/>
  <c r="AN44" i="32" s="1"/>
  <c r="AN64" i="32"/>
  <c r="AK27" i="32"/>
  <c r="AJ27" i="32"/>
  <c r="AN27" i="32" s="1"/>
  <c r="AK28" i="32"/>
  <c r="AJ28" i="32"/>
  <c r="AN28" i="32" s="1"/>
  <c r="AK41" i="32"/>
  <c r="AJ41" i="32"/>
  <c r="AN41" i="32" s="1"/>
  <c r="AK59" i="32"/>
  <c r="AJ59" i="32"/>
  <c r="AN59" i="32" s="1"/>
  <c r="AG40" i="31"/>
  <c r="AF40" i="31"/>
  <c r="AJ40" i="31" s="1"/>
  <c r="AG56" i="31"/>
  <c r="AF56" i="31"/>
  <c r="AJ56" i="31" s="1"/>
  <c r="AG39" i="31"/>
  <c r="AF39" i="31"/>
  <c r="AJ39" i="31" s="1"/>
  <c r="AG25" i="31"/>
  <c r="AF25" i="31"/>
  <c r="AJ25" i="31" s="1"/>
  <c r="AG44" i="31"/>
  <c r="AF44" i="31"/>
  <c r="AJ44" i="31" s="1"/>
  <c r="AG22" i="31"/>
  <c r="AF22" i="31"/>
  <c r="AJ22" i="31" s="1"/>
  <c r="AG26" i="31"/>
  <c r="AF26" i="31"/>
  <c r="AJ26" i="31" s="1"/>
  <c r="AJ55" i="31"/>
  <c r="AG23" i="31"/>
  <c r="AF23" i="31"/>
  <c r="AJ23" i="31" s="1"/>
  <c r="AG57" i="31"/>
  <c r="AF57" i="31"/>
  <c r="AJ57" i="31" s="1"/>
  <c r="AG13" i="31"/>
  <c r="AE14" i="31" s="1"/>
  <c r="AF13" i="31"/>
  <c r="AG70" i="31"/>
  <c r="AF70" i="31"/>
  <c r="AJ70" i="31" s="1"/>
  <c r="AG53" i="31"/>
  <c r="AF53" i="31"/>
  <c r="AJ53" i="31" s="1"/>
  <c r="AG36" i="31"/>
  <c r="AF36" i="31"/>
  <c r="AJ36" i="31" s="1"/>
  <c r="AG54" i="31"/>
  <c r="AF54" i="31"/>
  <c r="AJ54" i="31" s="1"/>
  <c r="AG43" i="31"/>
  <c r="AF43" i="31"/>
  <c r="AJ43" i="31" s="1"/>
  <c r="AG71" i="31"/>
  <c r="AF71" i="31"/>
  <c r="AJ71" i="31" s="1"/>
  <c r="AE17" i="1"/>
  <c r="AF17" i="1" s="1"/>
  <c r="AI18" i="1"/>
  <c r="AH18" i="1" s="1"/>
  <c r="AE18" i="1"/>
  <c r="AG18" i="1" s="1"/>
  <c r="AI16" i="1"/>
  <c r="AH16" i="1" s="1"/>
  <c r="AE13" i="1"/>
  <c r="AG13" i="1" s="1"/>
  <c r="AE14" i="1" s="1"/>
  <c r="AI17" i="1"/>
  <c r="AH17" i="1" s="1"/>
  <c r="AE16" i="1"/>
  <c r="AK14" i="32" l="1"/>
  <c r="AJ14" i="32"/>
  <c r="AN14" i="32" s="1"/>
  <c r="AG14" i="31"/>
  <c r="AE15" i="31" s="1"/>
  <c r="AF14" i="31"/>
  <c r="AJ14" i="31" s="1"/>
  <c r="AG17" i="1"/>
  <c r="AF18" i="1"/>
  <c r="AJ18" i="1" s="1"/>
  <c r="AF13" i="1"/>
  <c r="AF14" i="1"/>
  <c r="AG14" i="1"/>
  <c r="AE15" i="1" s="1"/>
  <c r="AF15" i="1" s="1"/>
  <c r="AF16" i="1"/>
  <c r="AJ16" i="1" s="1"/>
  <c r="AG16" i="1"/>
  <c r="AJ17" i="1"/>
  <c r="AG15" i="31" l="1"/>
  <c r="AF15" i="31"/>
  <c r="AJ15" i="31" s="1"/>
  <c r="AG15" i="1"/>
  <c r="O55" i="1" l="1"/>
  <c r="X19" i="1" l="1"/>
  <c r="X20" i="1"/>
  <c r="E24" i="22" l="1"/>
  <c r="E8" i="13"/>
  <c r="E7" i="13"/>
  <c r="E6" i="13"/>
  <c r="E5" i="13"/>
  <c r="R22" i="1"/>
  <c r="R71" i="1"/>
  <c r="R38" i="1"/>
  <c r="R54" i="1"/>
  <c r="R20" i="1"/>
  <c r="R35" i="1"/>
  <c r="R32" i="1"/>
  <c r="R42" i="1"/>
  <c r="R47" i="1"/>
  <c r="R59" i="1"/>
  <c r="R64" i="1"/>
  <c r="R40" i="1"/>
  <c r="R70" i="1"/>
  <c r="R45" i="1"/>
  <c r="R30" i="1"/>
  <c r="R63" i="1"/>
  <c r="R28" i="1"/>
  <c r="R29" i="1"/>
  <c r="R57" i="1"/>
  <c r="R24" i="1"/>
  <c r="R58" i="1"/>
  <c r="R62" i="1"/>
  <c r="R69" i="1"/>
  <c r="R68" i="1"/>
  <c r="R21" i="1"/>
  <c r="R46" i="1"/>
  <c r="R44" i="1"/>
  <c r="R53" i="1"/>
  <c r="R50" i="1"/>
  <c r="R36" i="1"/>
  <c r="R39" i="1"/>
  <c r="R23" i="1"/>
  <c r="R51" i="1"/>
  <c r="R41" i="1"/>
  <c r="R72" i="1"/>
  <c r="R27" i="1"/>
  <c r="R26" i="1"/>
  <c r="R65" i="1"/>
  <c r="R48" i="1"/>
  <c r="R56" i="1"/>
  <c r="R33" i="1"/>
  <c r="R60" i="1"/>
  <c r="R34" i="1"/>
  <c r="R52" i="1"/>
  <c r="R66" i="1"/>
  <c r="F222" i="13" l="1"/>
  <c r="F212" i="13"/>
  <c r="F213" i="13"/>
  <c r="F214" i="13"/>
  <c r="F215" i="13"/>
  <c r="F216" i="13"/>
  <c r="F217" i="13"/>
  <c r="F218" i="13"/>
  <c r="F219" i="13"/>
  <c r="F220" i="13"/>
  <c r="F221" i="13"/>
  <c r="F211" i="13"/>
  <c r="B222" i="13" a="1"/>
  <c r="B222" i="13" l="1"/>
  <c r="X55" i="1"/>
  <c r="X50" i="1"/>
  <c r="X44" i="1"/>
  <c r="R13" i="1" l="1"/>
  <c r="S13" i="1" s="1"/>
  <c r="T13" i="1" s="1"/>
  <c r="AI13" i="1" s="1"/>
  <c r="V19" i="32"/>
  <c r="W19" i="32" s="1"/>
  <c r="R43" i="31"/>
  <c r="S43" i="31" s="1"/>
  <c r="R31" i="31"/>
  <c r="S31" i="31" s="1"/>
  <c r="R19" i="31"/>
  <c r="S19" i="31" s="1"/>
  <c r="V13" i="32"/>
  <c r="W13" i="32" s="1"/>
  <c r="V49" i="32"/>
  <c r="W49" i="32" s="1"/>
  <c r="V31" i="32"/>
  <c r="W31" i="32" s="1"/>
  <c r="R49" i="31"/>
  <c r="S49" i="31" s="1"/>
  <c r="V67" i="32"/>
  <c r="W67" i="32" s="1"/>
  <c r="R61" i="31"/>
  <c r="S61" i="31" s="1"/>
  <c r="R25" i="31"/>
  <c r="S25" i="31" s="1"/>
  <c r="V25" i="32"/>
  <c r="W25" i="32" s="1"/>
  <c r="V55" i="32"/>
  <c r="W55" i="32" s="1"/>
  <c r="R37" i="31"/>
  <c r="S37" i="31" s="1"/>
  <c r="R13" i="31"/>
  <c r="S13" i="31" s="1"/>
  <c r="R55" i="31"/>
  <c r="S55" i="31" s="1"/>
  <c r="V61" i="32"/>
  <c r="W61" i="32" s="1"/>
  <c r="V43" i="32"/>
  <c r="W43" i="32" s="1"/>
  <c r="V37" i="32"/>
  <c r="W37" i="32" s="1"/>
  <c r="R67" i="31"/>
  <c r="S67" i="31" s="1"/>
  <c r="AI55" i="1"/>
  <c r="U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X31" i="32" l="1"/>
  <c r="Y31" i="32"/>
  <c r="T37" i="31"/>
  <c r="U37" i="31"/>
  <c r="X49" i="32"/>
  <c r="Y49" i="32"/>
  <c r="X61" i="32"/>
  <c r="Y61" i="32"/>
  <c r="U13" i="31"/>
  <c r="T13" i="31"/>
  <c r="AI13" i="31" s="1"/>
  <c r="AH13" i="31" s="1"/>
  <c r="AJ13" i="31" s="1"/>
  <c r="X55" i="32"/>
  <c r="Y55" i="32"/>
  <c r="X13" i="32"/>
  <c r="Y13" i="32"/>
  <c r="T67" i="31"/>
  <c r="U67" i="31"/>
  <c r="X25" i="32"/>
  <c r="Y25" i="32"/>
  <c r="T19" i="31"/>
  <c r="U19" i="31"/>
  <c r="X37" i="32"/>
  <c r="Y37" i="32"/>
  <c r="T31" i="31"/>
  <c r="U31" i="31"/>
  <c r="U25" i="31"/>
  <c r="T25" i="31"/>
  <c r="X43" i="32"/>
  <c r="Y43" i="32"/>
  <c r="U61" i="31"/>
  <c r="T61" i="31"/>
  <c r="T43" i="31"/>
  <c r="U43" i="31"/>
  <c r="Y19" i="32"/>
  <c r="X19" i="32"/>
  <c r="Y67" i="32"/>
  <c r="X67" i="32"/>
  <c r="T55" i="31"/>
  <c r="U55" i="31"/>
  <c r="T49" i="31"/>
  <c r="U49" i="31"/>
  <c r="AH13" i="1"/>
  <c r="AJ13" i="1" s="1"/>
  <c r="AI14" i="1"/>
  <c r="AA72" i="1"/>
  <c r="X72" i="1"/>
  <c r="AA71" i="1"/>
  <c r="X71" i="1"/>
  <c r="AA70" i="1"/>
  <c r="X70" i="1"/>
  <c r="AA69" i="1"/>
  <c r="X69" i="1"/>
  <c r="AA68" i="1"/>
  <c r="X68" i="1"/>
  <c r="AA67" i="1"/>
  <c r="X67" i="1"/>
  <c r="O67" i="1"/>
  <c r="P67" i="1" s="1"/>
  <c r="AA66" i="1"/>
  <c r="X66" i="1"/>
  <c r="AA65" i="1"/>
  <c r="X65" i="1"/>
  <c r="AA64" i="1"/>
  <c r="X64" i="1"/>
  <c r="AA63" i="1"/>
  <c r="X63" i="1"/>
  <c r="AA62" i="1"/>
  <c r="X62" i="1"/>
  <c r="AA61" i="1"/>
  <c r="X61" i="1"/>
  <c r="O61" i="1"/>
  <c r="P61" i="1" s="1"/>
  <c r="AA60" i="1"/>
  <c r="X60" i="1"/>
  <c r="AA59" i="1"/>
  <c r="X59" i="1"/>
  <c r="AA58" i="1"/>
  <c r="X58" i="1"/>
  <c r="AA57" i="1"/>
  <c r="X57" i="1"/>
  <c r="AA56" i="1"/>
  <c r="X56" i="1"/>
  <c r="AA55" i="1"/>
  <c r="P55" i="1"/>
  <c r="AA54" i="1"/>
  <c r="X54" i="1"/>
  <c r="AA53" i="1"/>
  <c r="X53" i="1"/>
  <c r="AA52" i="1"/>
  <c r="X52" i="1"/>
  <c r="AA51" i="1"/>
  <c r="X51" i="1"/>
  <c r="AA50" i="1"/>
  <c r="AA49" i="1"/>
  <c r="X49" i="1"/>
  <c r="O49" i="1"/>
  <c r="P49" i="1" s="1"/>
  <c r="AA48" i="1"/>
  <c r="X48" i="1"/>
  <c r="AA47" i="1"/>
  <c r="X47" i="1"/>
  <c r="AA46" i="1"/>
  <c r="X46" i="1"/>
  <c r="AA45" i="1"/>
  <c r="X45" i="1"/>
  <c r="AA44" i="1"/>
  <c r="AA43" i="1"/>
  <c r="X43" i="1"/>
  <c r="O43" i="1"/>
  <c r="P43" i="1" s="1"/>
  <c r="AA42" i="1"/>
  <c r="X42" i="1"/>
  <c r="AA41" i="1"/>
  <c r="X41" i="1"/>
  <c r="AA40" i="1"/>
  <c r="X40" i="1"/>
  <c r="AA39" i="1"/>
  <c r="X39" i="1"/>
  <c r="AA38" i="1"/>
  <c r="X38" i="1"/>
  <c r="AA37" i="1"/>
  <c r="X37" i="1"/>
  <c r="O37" i="1"/>
  <c r="AA36" i="1"/>
  <c r="X36" i="1"/>
  <c r="AA35" i="1"/>
  <c r="X35" i="1"/>
  <c r="AA34" i="1"/>
  <c r="X34" i="1"/>
  <c r="AA33" i="1"/>
  <c r="X33" i="1"/>
  <c r="AA32" i="1"/>
  <c r="X32" i="1"/>
  <c r="AA31" i="1"/>
  <c r="X31" i="1"/>
  <c r="O31" i="1"/>
  <c r="P31" i="1" s="1"/>
  <c r="AA30" i="1"/>
  <c r="X30" i="1"/>
  <c r="AA29" i="1"/>
  <c r="X29" i="1"/>
  <c r="AA28" i="1"/>
  <c r="X28" i="1"/>
  <c r="AA27" i="1"/>
  <c r="X27" i="1"/>
  <c r="AA26" i="1"/>
  <c r="X26" i="1"/>
  <c r="AA25" i="1"/>
  <c r="X25" i="1"/>
  <c r="O25" i="1"/>
  <c r="P25" i="1" s="1"/>
  <c r="O19" i="1"/>
  <c r="AA24" i="1"/>
  <c r="X24" i="1"/>
  <c r="AA23" i="1"/>
  <c r="X23" i="1"/>
  <c r="AA22" i="1"/>
  <c r="X22" i="1"/>
  <c r="AA21" i="1"/>
  <c r="X21" i="1"/>
  <c r="AA20" i="1"/>
  <c r="AA19" i="1"/>
  <c r="AH14" i="1" l="1"/>
  <c r="AJ14" i="1" s="1"/>
  <c r="AI15" i="1"/>
  <c r="AH15" i="1" s="1"/>
  <c r="AJ15" i="1" s="1"/>
  <c r="P37" i="1"/>
  <c r="AI29" i="1"/>
  <c r="AI40" i="1"/>
  <c r="AI48" i="1"/>
  <c r="AI60" i="1"/>
  <c r="AI71" i="1"/>
  <c r="AI23" i="1"/>
  <c r="AI30" i="1"/>
  <c r="AI41" i="1"/>
  <c r="AI36" i="1"/>
  <c r="AI63" i="1"/>
  <c r="AI64" i="1"/>
  <c r="AI34" i="1"/>
  <c r="AI65" i="1"/>
  <c r="AI28" i="1"/>
  <c r="AI39" i="1"/>
  <c r="AI47" i="1"/>
  <c r="AI59" i="1"/>
  <c r="AI70" i="1"/>
  <c r="AI33" i="1"/>
  <c r="AI53" i="1"/>
  <c r="AH53" i="1" s="1"/>
  <c r="AI72" i="1"/>
  <c r="AI31" i="1"/>
  <c r="AI32" i="1"/>
  <c r="AI22" i="1"/>
  <c r="AI21" i="1"/>
  <c r="AI44" i="1"/>
  <c r="AI43" i="1"/>
  <c r="AI26" i="1"/>
  <c r="AI25" i="1"/>
  <c r="AI57" i="1"/>
  <c r="AI56" i="1"/>
  <c r="AI68" i="1"/>
  <c r="AI67" i="1"/>
  <c r="AI52" i="1"/>
  <c r="AI51" i="1"/>
  <c r="AI24" i="1"/>
  <c r="AI27" i="1"/>
  <c r="AI38" i="1"/>
  <c r="AI37" i="1"/>
  <c r="AI42" i="1"/>
  <c r="AI46" i="1"/>
  <c r="AI45" i="1"/>
  <c r="AI54" i="1"/>
  <c r="AH54" i="1" s="1"/>
  <c r="AI58" i="1"/>
  <c r="AI69" i="1"/>
  <c r="AI35" i="1"/>
  <c r="AI50" i="1"/>
  <c r="AI49" i="1"/>
  <c r="AI62" i="1"/>
  <c r="AI61" i="1"/>
  <c r="AI66" i="1"/>
  <c r="P19" i="1"/>
  <c r="AE19" i="1" s="1"/>
  <c r="AE67" i="1"/>
  <c r="AE61" i="1"/>
  <c r="AE55" i="1"/>
  <c r="AE49" i="1"/>
  <c r="AE53" i="1"/>
  <c r="AE54" i="1"/>
  <c r="AE43" i="1"/>
  <c r="AE37" i="1"/>
  <c r="AE31" i="1"/>
  <c r="AE25" i="1"/>
  <c r="AF67" i="1" l="1"/>
  <c r="AG67" i="1"/>
  <c r="AE68" i="1" s="1"/>
  <c r="AF68" i="1" s="1"/>
  <c r="AF61" i="1"/>
  <c r="AG61" i="1"/>
  <c r="AE62" i="1" s="1"/>
  <c r="AG62" i="1" s="1"/>
  <c r="AE63" i="1" s="1"/>
  <c r="AF55" i="1"/>
  <c r="AG55" i="1"/>
  <c r="AE56" i="1" s="1"/>
  <c r="AG56" i="1" s="1"/>
  <c r="AE57" i="1" s="1"/>
  <c r="AF54" i="1"/>
  <c r="AG54" i="1"/>
  <c r="AF53" i="1"/>
  <c r="AG53" i="1"/>
  <c r="AF49" i="1"/>
  <c r="AG49" i="1"/>
  <c r="AF43" i="1"/>
  <c r="AG43" i="1"/>
  <c r="AE44" i="1" s="1"/>
  <c r="AG44" i="1" s="1"/>
  <c r="AE45" i="1" s="1"/>
  <c r="AF37" i="1"/>
  <c r="AG37" i="1"/>
  <c r="AF31" i="1"/>
  <c r="AG31" i="1"/>
  <c r="AE32" i="1" s="1"/>
  <c r="AG32" i="1" s="1"/>
  <c r="AE33" i="1" s="1"/>
  <c r="AF33" i="1" s="1"/>
  <c r="AF25" i="1"/>
  <c r="AG25" i="1"/>
  <c r="AE26" i="1" s="1"/>
  <c r="AF26" i="1" s="1"/>
  <c r="AF19" i="1"/>
  <c r="AG19" i="1"/>
  <c r="AE20" i="1" s="1"/>
  <c r="AF62" i="1" l="1"/>
  <c r="AF56" i="1"/>
  <c r="AG26" i="1"/>
  <c r="AE27" i="1" s="1"/>
  <c r="AF27" i="1" s="1"/>
  <c r="AF44" i="1"/>
  <c r="AF32" i="1"/>
  <c r="AF45" i="1"/>
  <c r="AG45" i="1"/>
  <c r="AG63" i="1"/>
  <c r="AE64" i="1" s="1"/>
  <c r="AF63" i="1"/>
  <c r="AG57" i="1"/>
  <c r="AE58" i="1" s="1"/>
  <c r="AF57" i="1"/>
  <c r="AG68" i="1"/>
  <c r="AE69" i="1" s="1"/>
  <c r="AE38" i="1"/>
  <c r="AE50" i="1"/>
  <c r="AG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J53" i="1"/>
  <c r="AJ54" i="1"/>
  <c r="AF64" i="1" l="1"/>
  <c r="AG64" i="1"/>
  <c r="AF58" i="1"/>
  <c r="AG58" i="1"/>
  <c r="AE59" i="1" s="1"/>
  <c r="AG27" i="1"/>
  <c r="AE28" i="1" s="1"/>
  <c r="AG28" i="1" s="1"/>
  <c r="AF69" i="1"/>
  <c r="AG69" i="1"/>
  <c r="AE70" i="1" s="1"/>
  <c r="AF50" i="1"/>
  <c r="AG50" i="1"/>
  <c r="AE51" i="1" s="1"/>
  <c r="AF51" i="1" s="1"/>
  <c r="AE46" i="1"/>
  <c r="AF38" i="1"/>
  <c r="AG38" i="1"/>
  <c r="AE39" i="1" s="1"/>
  <c r="AF39" i="1" s="1"/>
  <c r="AE35" i="1"/>
  <c r="AF35" i="1" s="1"/>
  <c r="AE34" i="1"/>
  <c r="AF20" i="1"/>
  <c r="AG20" i="1"/>
  <c r="AE21" i="1" s="1"/>
  <c r="AF21" i="1" s="1"/>
  <c r="AG51" i="1" l="1"/>
  <c r="AE52" i="1" s="1"/>
  <c r="AF52" i="1" s="1"/>
  <c r="AG39" i="1"/>
  <c r="AE40" i="1" s="1"/>
  <c r="AG40" i="1" s="1"/>
  <c r="AE41" i="1" s="1"/>
  <c r="AF59" i="1"/>
  <c r="AG59" i="1"/>
  <c r="AE60" i="1" s="1"/>
  <c r="AE65" i="1"/>
  <c r="AE66" i="1"/>
  <c r="AF28" i="1"/>
  <c r="AF46" i="1"/>
  <c r="AG46" i="1"/>
  <c r="AE47" i="1" s="1"/>
  <c r="AF47" i="1" s="1"/>
  <c r="AE29" i="1"/>
  <c r="AG70" i="1"/>
  <c r="AF70" i="1"/>
  <c r="AF34" i="1"/>
  <c r="AG34" i="1"/>
  <c r="AG35" i="1"/>
  <c r="AE36" i="1" s="1"/>
  <c r="AG21" i="1"/>
  <c r="AE22" i="1" s="1"/>
  <c r="AF22" i="1" s="1"/>
  <c r="AG52" i="1" l="1"/>
  <c r="AF40" i="1"/>
  <c r="AF66" i="1"/>
  <c r="AG66" i="1"/>
  <c r="AF65" i="1"/>
  <c r="AG65" i="1"/>
  <c r="AF60" i="1"/>
  <c r="AG60" i="1"/>
  <c r="AE71" i="1"/>
  <c r="AE72" i="1"/>
  <c r="AG47" i="1"/>
  <c r="AE48" i="1" s="1"/>
  <c r="AF48" i="1" s="1"/>
  <c r="AG41" i="1"/>
  <c r="AE42" i="1" s="1"/>
  <c r="AF41" i="1"/>
  <c r="AF29" i="1"/>
  <c r="AG29" i="1"/>
  <c r="AE30" i="1" s="1"/>
  <c r="AF30" i="1" s="1"/>
  <c r="AF36" i="1"/>
  <c r="AG36" i="1"/>
  <c r="AG22" i="1"/>
  <c r="AE23" i="1" s="1"/>
  <c r="AG23" i="1" s="1"/>
  <c r="AE24" i="1" s="1"/>
  <c r="AF72" i="1" l="1"/>
  <c r="AG72" i="1"/>
  <c r="AF71" i="1"/>
  <c r="AG71" i="1"/>
  <c r="AF42" i="1"/>
  <c r="AG42" i="1"/>
  <c r="AG48" i="1"/>
  <c r="AG30" i="1"/>
  <c r="AF23" i="1"/>
  <c r="AF24" i="1"/>
  <c r="AG24" i="1"/>
  <c r="R43" i="1" l="1"/>
  <c r="S43" i="1" s="1"/>
  <c r="R31" i="1"/>
  <c r="S31" i="1" s="1"/>
  <c r="R25" i="1"/>
  <c r="S25" i="1" s="1"/>
  <c r="R55" i="1"/>
  <c r="S55" i="1" s="1"/>
  <c r="R49" i="1"/>
  <c r="S49" i="1" s="1"/>
  <c r="R37" i="1"/>
  <c r="S37" i="1" s="1"/>
  <c r="AD40" i="18" s="1"/>
  <c r="R67" i="1"/>
  <c r="S67" i="1" s="1"/>
  <c r="R61" i="1"/>
  <c r="S61" i="1" s="1"/>
  <c r="R19" i="1"/>
  <c r="S19" i="1" s="1"/>
  <c r="Z42" i="18" l="1"/>
  <c r="N42" i="18"/>
  <c r="AF26" i="18"/>
  <c r="N26" i="18"/>
  <c r="AF18" i="18"/>
  <c r="T10" i="18"/>
  <c r="N34" i="18"/>
  <c r="T34" i="18"/>
  <c r="T18" i="18"/>
  <c r="Z18" i="18"/>
  <c r="Z10" i="18"/>
  <c r="AL18" i="18"/>
  <c r="Z26" i="18"/>
  <c r="U61" i="1"/>
  <c r="T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T55" i="1"/>
  <c r="AJ42" i="18"/>
  <c r="AJ18" i="18"/>
  <c r="AD26" i="18"/>
  <c r="L10" i="18"/>
  <c r="AD10" i="18"/>
  <c r="X18" i="18"/>
  <c r="AD42" i="18"/>
  <c r="L18" i="18"/>
  <c r="R10" i="18"/>
  <c r="U55" i="1"/>
  <c r="T67" i="1"/>
  <c r="AB36" i="18"/>
  <c r="AH12" i="18"/>
  <c r="P28" i="18"/>
  <c r="AH20" i="18"/>
  <c r="P36" i="18"/>
  <c r="V12" i="18"/>
  <c r="AH28" i="18"/>
  <c r="AB20" i="18"/>
  <c r="J12" i="18"/>
  <c r="J20" i="18"/>
  <c r="U67" i="1"/>
  <c r="P44" i="18"/>
  <c r="AB44" i="18"/>
  <c r="V28" i="18"/>
  <c r="V36" i="18"/>
  <c r="J28" i="18"/>
  <c r="AH36" i="18"/>
  <c r="J44" i="18"/>
  <c r="P12" i="18"/>
  <c r="AB12" i="18"/>
  <c r="V44" i="18"/>
  <c r="AH44" i="18"/>
  <c r="V20" i="18"/>
  <c r="P20" i="18"/>
  <c r="J36" i="18"/>
  <c r="AB28" i="18"/>
  <c r="T38" i="18"/>
  <c r="AF22" i="18"/>
  <c r="N38" i="18"/>
  <c r="AF30" i="18"/>
  <c r="AL6" i="18"/>
  <c r="Z6" i="18"/>
  <c r="U25" i="1"/>
  <c r="T14" i="18"/>
  <c r="T22" i="18"/>
  <c r="N6" i="18"/>
  <c r="AL30" i="18"/>
  <c r="Z22" i="18"/>
  <c r="Z14" i="18"/>
  <c r="T25" i="1"/>
  <c r="Z30" i="18"/>
  <c r="AL38" i="18"/>
  <c r="AL14" i="18"/>
  <c r="AF6" i="18"/>
  <c r="AL22" i="18"/>
  <c r="T30" i="18"/>
  <c r="Z38" i="18"/>
  <c r="AF14" i="18"/>
  <c r="N30" i="18"/>
  <c r="N14" i="18"/>
  <c r="N22" i="18"/>
  <c r="AF38" i="18"/>
  <c r="T6" i="18"/>
  <c r="T37" i="1"/>
  <c r="X32" i="18"/>
  <c r="AD32" i="18"/>
  <c r="AJ8" i="18"/>
  <c r="L16" i="18"/>
  <c r="R32" i="18"/>
  <c r="AJ32" i="18"/>
  <c r="U37" i="1"/>
  <c r="R40" i="18"/>
  <c r="AJ40" i="18"/>
  <c r="AD24" i="18"/>
  <c r="AJ24" i="18"/>
  <c r="R24" i="18"/>
  <c r="AJ16" i="18"/>
  <c r="AD8" i="18"/>
  <c r="L32" i="18"/>
  <c r="L40" i="18"/>
  <c r="R16" i="18"/>
  <c r="L24" i="18"/>
  <c r="AD16" i="18"/>
  <c r="L8" i="18"/>
  <c r="R8" i="18"/>
  <c r="X40" i="18"/>
  <c r="X8" i="18"/>
  <c r="X16" i="18"/>
  <c r="X24" i="18"/>
  <c r="T31" i="1"/>
  <c r="J40" i="18"/>
  <c r="J16" i="18"/>
  <c r="P16" i="18"/>
  <c r="V8" i="18"/>
  <c r="J8" i="18"/>
  <c r="J24" i="18"/>
  <c r="AH16" i="18"/>
  <c r="AB16" i="18"/>
  <c r="AB40" i="18"/>
  <c r="P32" i="18"/>
  <c r="P40" i="18"/>
  <c r="AH24" i="18"/>
  <c r="AB32" i="18"/>
  <c r="J32" i="18"/>
  <c r="V16" i="18"/>
  <c r="V40" i="18"/>
  <c r="AH32" i="18"/>
  <c r="V24" i="18"/>
  <c r="V32" i="18"/>
  <c r="AH8" i="18"/>
  <c r="AB8" i="18"/>
  <c r="P8" i="18"/>
  <c r="U31" i="1"/>
  <c r="AH40" i="18"/>
  <c r="AB24" i="18"/>
  <c r="P24" i="18"/>
  <c r="AD38" i="18"/>
  <c r="L30" i="18"/>
  <c r="AD30" i="18"/>
  <c r="AJ6" i="18"/>
  <c r="L14" i="18"/>
  <c r="L22" i="18"/>
  <c r="X6" i="18"/>
  <c r="L6" i="18"/>
  <c r="U19" i="1"/>
  <c r="R38" i="18"/>
  <c r="AJ38" i="18"/>
  <c r="L38" i="18"/>
  <c r="AD6" i="18"/>
  <c r="R6" i="18"/>
  <c r="AJ30" i="18"/>
  <c r="R30" i="18"/>
  <c r="AD22" i="18"/>
  <c r="AJ14" i="18"/>
  <c r="AJ22" i="18"/>
  <c r="AD14" i="18"/>
  <c r="X38" i="18"/>
  <c r="X14" i="18"/>
  <c r="R22" i="18"/>
  <c r="X22" i="18"/>
  <c r="T19" i="1"/>
  <c r="AI19" i="1" s="1"/>
  <c r="AI20"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T49" i="1"/>
  <c r="AH34" i="18"/>
  <c r="AH42" i="18"/>
  <c r="AH18" i="18"/>
  <c r="AB10" i="18"/>
  <c r="J26" i="18"/>
  <c r="V18" i="18"/>
  <c r="V42" i="18"/>
  <c r="J42" i="18"/>
  <c r="P10" i="18"/>
  <c r="AB26" i="18"/>
  <c r="J34" i="18"/>
  <c r="J18" i="18"/>
  <c r="AH10" i="18"/>
  <c r="AB34" i="18"/>
  <c r="P26" i="18"/>
  <c r="P34" i="18"/>
  <c r="V34" i="18"/>
  <c r="AH26" i="18"/>
  <c r="J10" i="18"/>
  <c r="U49" i="1"/>
  <c r="P18" i="18"/>
  <c r="AB42" i="18"/>
  <c r="V10" i="18"/>
  <c r="AB18" i="18"/>
  <c r="P42" i="18"/>
  <c r="V26" i="18"/>
  <c r="Z32" i="18"/>
  <c r="N24" i="18"/>
  <c r="AL32" i="18"/>
  <c r="AL40" i="18"/>
  <c r="N8" i="18"/>
  <c r="AF24" i="18"/>
  <c r="Z40" i="18"/>
  <c r="Z16" i="18"/>
  <c r="N32" i="18"/>
  <c r="T32" i="18"/>
  <c r="N40" i="18"/>
  <c r="T8" i="18"/>
  <c r="T43" i="1"/>
  <c r="AF32" i="18"/>
  <c r="AL8" i="18"/>
  <c r="T24" i="18"/>
  <c r="N16" i="18"/>
  <c r="T16" i="18"/>
  <c r="Z24" i="18"/>
  <c r="AF16" i="18"/>
  <c r="U43" i="1"/>
  <c r="T40" i="18"/>
  <c r="AF8" i="18"/>
  <c r="AL24" i="18"/>
  <c r="Z8" i="18"/>
  <c r="AF40" i="18"/>
  <c r="AL16" i="18"/>
  <c r="AH31" i="1" l="1"/>
  <c r="AH67" i="1"/>
  <c r="AH43" i="1"/>
  <c r="AH55" i="1"/>
  <c r="AH19" i="1"/>
  <c r="AH25" i="1"/>
  <c r="AH49" i="1"/>
  <c r="AH37" i="1"/>
  <c r="AH50" i="1" l="1"/>
  <c r="AH56" i="1"/>
  <c r="AH62" i="1"/>
  <c r="AH38" i="1"/>
  <c r="AH44" i="1"/>
  <c r="AH32" i="1"/>
  <c r="AH26" i="1"/>
  <c r="J40" i="19"/>
  <c r="V30" i="19"/>
  <c r="AH20" i="19"/>
  <c r="J30" i="19"/>
  <c r="V20" i="19"/>
  <c r="AH10" i="19"/>
  <c r="P10" i="19"/>
  <c r="AB50" i="19"/>
  <c r="J50" i="19"/>
  <c r="AB40" i="19"/>
  <c r="P30" i="19"/>
  <c r="V50" i="19"/>
  <c r="P50" i="19"/>
  <c r="AB10" i="19"/>
  <c r="AH30" i="19"/>
  <c r="AH40" i="19"/>
  <c r="J10" i="19"/>
  <c r="AB20" i="19"/>
  <c r="AH50" i="19"/>
  <c r="AJ37" i="1"/>
  <c r="V10" i="19"/>
  <c r="P20" i="19"/>
  <c r="J20" i="19"/>
  <c r="P40" i="19"/>
  <c r="V40" i="19"/>
  <c r="AB30" i="19"/>
  <c r="J11" i="19"/>
  <c r="V11" i="19"/>
  <c r="AB21" i="19"/>
  <c r="P31" i="19"/>
  <c r="J31" i="19"/>
  <c r="AB41" i="19"/>
  <c r="AJ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J67" i="1"/>
  <c r="P25" i="19"/>
  <c r="V55" i="19"/>
  <c r="J15" i="19"/>
  <c r="AB15" i="19"/>
  <c r="J35" i="19"/>
  <c r="AB35" i="19"/>
  <c r="J55" i="19"/>
  <c r="AB25" i="19"/>
  <c r="P35" i="19"/>
  <c r="P55" i="19"/>
  <c r="AB45" i="19"/>
  <c r="P15" i="19"/>
  <c r="J47" i="19"/>
  <c r="V27" i="19"/>
  <c r="AH7" i="19"/>
  <c r="P47" i="19"/>
  <c r="AB27" i="19"/>
  <c r="J17" i="19"/>
  <c r="V47" i="19"/>
  <c r="J37" i="19"/>
  <c r="AJ19" i="1"/>
  <c r="AB37" i="19"/>
  <c r="J27" i="19"/>
  <c r="V7" i="19"/>
  <c r="AH37" i="19"/>
  <c r="P27" i="19"/>
  <c r="AB7" i="19"/>
  <c r="P17" i="19"/>
  <c r="V17" i="19"/>
  <c r="AH47" i="19"/>
  <c r="P37" i="19"/>
  <c r="AB17" i="19"/>
  <c r="J7" i="19"/>
  <c r="V37" i="19"/>
  <c r="AH17" i="19"/>
  <c r="P7" i="19"/>
  <c r="AH27" i="19"/>
  <c r="AB47" i="19"/>
  <c r="AJ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H61" i="1"/>
  <c r="AJ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J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H45" i="1"/>
  <c r="V32" i="19"/>
  <c r="P42" i="19"/>
  <c r="J12" i="19"/>
  <c r="J32" i="19"/>
  <c r="AB52" i="19"/>
  <c r="AJ49" i="1"/>
  <c r="J22" i="19"/>
  <c r="V22" i="19"/>
  <c r="J52" i="19"/>
  <c r="AH12" i="19"/>
  <c r="J42" i="19"/>
  <c r="AH42" i="19"/>
  <c r="P32" i="19"/>
  <c r="AB12" i="19"/>
  <c r="AH32" i="19"/>
  <c r="AB32" i="19"/>
  <c r="AB42" i="19"/>
  <c r="V42" i="19"/>
  <c r="V12" i="19"/>
  <c r="V52" i="19"/>
  <c r="AB22" i="19"/>
  <c r="AH52" i="19"/>
  <c r="AH22" i="19"/>
  <c r="P22" i="19"/>
  <c r="P12" i="19"/>
  <c r="P52" i="19"/>
  <c r="AH51" i="1"/>
  <c r="AH20" i="1"/>
  <c r="AH68" i="1" l="1"/>
  <c r="K45" i="19" s="1"/>
  <c r="AH52" i="1"/>
  <c r="S12" i="19" s="1"/>
  <c r="W37" i="19"/>
  <c r="AI7" i="19"/>
  <c r="W17" i="19"/>
  <c r="W27" i="19"/>
  <c r="Q47" i="19"/>
  <c r="W7" i="19"/>
  <c r="AI17" i="19"/>
  <c r="K47" i="19"/>
  <c r="AI47" i="19"/>
  <c r="Q27" i="19"/>
  <c r="AC27" i="19"/>
  <c r="AC47" i="19"/>
  <c r="AC37" i="19"/>
  <c r="AI37" i="19"/>
  <c r="AJ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J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J44" i="1"/>
  <c r="P54" i="19"/>
  <c r="AH14" i="19"/>
  <c r="AB14" i="19"/>
  <c r="AH34" i="19"/>
  <c r="AB54" i="19"/>
  <c r="AH54" i="19"/>
  <c r="AJ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J51" i="1"/>
  <c r="AD12" i="19"/>
  <c r="AD32" i="19"/>
  <c r="AD22" i="19"/>
  <c r="X52" i="19"/>
  <c r="AD52" i="19"/>
  <c r="L42" i="19"/>
  <c r="R42" i="19"/>
  <c r="AJ21" i="19"/>
  <c r="AD31" i="19"/>
  <c r="R21" i="19"/>
  <c r="AD41" i="19"/>
  <c r="AJ11" i="19"/>
  <c r="AJ51" i="19"/>
  <c r="AJ45" i="1"/>
  <c r="L41" i="19"/>
  <c r="AD11" i="19"/>
  <c r="L21" i="19"/>
  <c r="L11" i="19"/>
  <c r="X51" i="19"/>
  <c r="X21" i="19"/>
  <c r="R11" i="19"/>
  <c r="R31" i="19"/>
  <c r="AJ41" i="19"/>
  <c r="L31" i="19"/>
  <c r="R51" i="19"/>
  <c r="X31" i="19"/>
  <c r="X11" i="19"/>
  <c r="X41" i="19"/>
  <c r="AJ31" i="19"/>
  <c r="AD51" i="19"/>
  <c r="R41" i="19"/>
  <c r="AD21" i="19"/>
  <c r="L51" i="19"/>
  <c r="AH21" i="1"/>
  <c r="AH33" i="1"/>
  <c r="AH57" i="1"/>
  <c r="K42" i="19"/>
  <c r="AC32" i="19"/>
  <c r="W42" i="19"/>
  <c r="AI52" i="19"/>
  <c r="K22" i="19"/>
  <c r="Q32" i="19"/>
  <c r="AI12" i="19"/>
  <c r="AC52" i="19"/>
  <c r="Q42" i="19"/>
  <c r="AC42" i="19"/>
  <c r="K12" i="19"/>
  <c r="Q22" i="19"/>
  <c r="W52" i="19"/>
  <c r="AI42" i="19"/>
  <c r="W32" i="19"/>
  <c r="AI22" i="19"/>
  <c r="W12" i="19"/>
  <c r="AI32" i="19"/>
  <c r="AC12" i="19"/>
  <c r="Q12" i="19"/>
  <c r="Q52" i="19"/>
  <c r="AJ50" i="1"/>
  <c r="K32" i="19"/>
  <c r="W22" i="19"/>
  <c r="K52" i="19"/>
  <c r="AC22" i="19"/>
  <c r="AC40" i="19"/>
  <c r="W10" i="19"/>
  <c r="AC50" i="19"/>
  <c r="Q10" i="19"/>
  <c r="Q30" i="19"/>
  <c r="W50" i="19"/>
  <c r="K40" i="19"/>
  <c r="Q50" i="19"/>
  <c r="W20" i="19"/>
  <c r="AJ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H63" i="1"/>
  <c r="K39" i="19"/>
  <c r="AC39" i="19"/>
  <c r="W29" i="19"/>
  <c r="AI49" i="19"/>
  <c r="W9" i="19"/>
  <c r="AC19" i="19"/>
  <c r="Q49" i="19"/>
  <c r="W49" i="19"/>
  <c r="AC9" i="19"/>
  <c r="AI9" i="19"/>
  <c r="Q29" i="19"/>
  <c r="W39" i="19"/>
  <c r="Q39" i="19"/>
  <c r="AJ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J56" i="1"/>
  <c r="Q33" i="19"/>
  <c r="AI23" i="19"/>
  <c r="K53" i="19"/>
  <c r="AC23" i="19"/>
  <c r="AC13" i="19"/>
  <c r="W23" i="19"/>
  <c r="W33" i="19"/>
  <c r="Q13" i="19"/>
  <c r="W13" i="19"/>
  <c r="AI13" i="19"/>
  <c r="Q43" i="19"/>
  <c r="Q23" i="19"/>
  <c r="W53" i="19"/>
  <c r="AK42" i="19"/>
  <c r="AE32" i="19"/>
  <c r="AJ52" i="1"/>
  <c r="Y52" i="19"/>
  <c r="S22" i="19"/>
  <c r="AK52" i="19"/>
  <c r="M22" i="19"/>
  <c r="AK32" i="19"/>
  <c r="AE22" i="19"/>
  <c r="AE42" i="19"/>
  <c r="S42" i="19"/>
  <c r="AH46" i="1"/>
  <c r="AH48" i="1"/>
  <c r="AH47" i="1"/>
  <c r="AH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J26" i="1"/>
  <c r="M12" i="19" l="1"/>
  <c r="S52" i="19"/>
  <c r="AK22" i="19"/>
  <c r="AK12" i="19"/>
  <c r="AE52" i="19"/>
  <c r="Y42" i="19"/>
  <c r="Q55" i="19"/>
  <c r="Y22" i="19"/>
  <c r="Y32" i="19"/>
  <c r="AE12" i="19"/>
  <c r="M52" i="19"/>
  <c r="Y12" i="19"/>
  <c r="S32" i="19"/>
  <c r="M32" i="19"/>
  <c r="M42" i="19"/>
  <c r="W45" i="19"/>
  <c r="K25" i="19"/>
  <c r="W55" i="19"/>
  <c r="AI25" i="19"/>
  <c r="AI45" i="19"/>
  <c r="Q25" i="19"/>
  <c r="AJ68" i="1"/>
  <c r="AC35" i="19"/>
  <c r="AI15" i="19"/>
  <c r="Q35" i="19"/>
  <c r="W25" i="19"/>
  <c r="AC25" i="19"/>
  <c r="AI55" i="19"/>
  <c r="K15" i="19"/>
  <c r="Q15" i="19"/>
  <c r="K35" i="19"/>
  <c r="W35" i="19"/>
  <c r="W15" i="19"/>
  <c r="AC15" i="19"/>
  <c r="Q45" i="19"/>
  <c r="AC55" i="19"/>
  <c r="K55" i="19"/>
  <c r="AC45" i="19"/>
  <c r="AI35" i="19"/>
  <c r="AH69" i="1"/>
  <c r="AH27" i="1"/>
  <c r="R18" i="19" s="1"/>
  <c r="R40" i="19"/>
  <c r="AD10" i="19"/>
  <c r="X40" i="19"/>
  <c r="AJ10" i="19"/>
  <c r="R50" i="19"/>
  <c r="X10" i="19"/>
  <c r="R30" i="19"/>
  <c r="AJ39" i="1"/>
  <c r="L10" i="19"/>
  <c r="L50" i="19"/>
  <c r="AJ20" i="19"/>
  <c r="AJ40" i="19"/>
  <c r="AD30" i="19"/>
  <c r="R20" i="19"/>
  <c r="AD50" i="19"/>
  <c r="AJ30" i="19"/>
  <c r="AJ50" i="19"/>
  <c r="X30" i="19"/>
  <c r="AD20" i="19"/>
  <c r="L40" i="19"/>
  <c r="X50" i="19"/>
  <c r="X20" i="19"/>
  <c r="AD40" i="19"/>
  <c r="R10" i="19"/>
  <c r="L30" i="19"/>
  <c r="L20" i="19"/>
  <c r="AH58" i="1"/>
  <c r="AH72" i="1"/>
  <c r="AD47" i="19"/>
  <c r="AJ27" i="19"/>
  <c r="AD27" i="19"/>
  <c r="AJ7" i="19"/>
  <c r="AJ37" i="19"/>
  <c r="L27" i="19"/>
  <c r="AD17" i="19"/>
  <c r="L37" i="19"/>
  <c r="R17" i="19"/>
  <c r="AJ17" i="19"/>
  <c r="X7" i="19"/>
  <c r="X47" i="19"/>
  <c r="L7" i="19"/>
  <c r="L17" i="19"/>
  <c r="R27" i="19"/>
  <c r="X27" i="19"/>
  <c r="R7" i="19"/>
  <c r="X17" i="19"/>
  <c r="AJ47" i="19"/>
  <c r="L47" i="19"/>
  <c r="R37" i="19"/>
  <c r="AD7" i="19"/>
  <c r="X37" i="19"/>
  <c r="AJ21" i="1"/>
  <c r="R47" i="19"/>
  <c r="AD37" i="19"/>
  <c r="AH29" i="1"/>
  <c r="AH28" i="1"/>
  <c r="AH30" i="1"/>
  <c r="AJ43" i="19"/>
  <c r="AD33" i="19"/>
  <c r="X33" i="19"/>
  <c r="X13" i="19"/>
  <c r="AD43" i="19"/>
  <c r="L43" i="19"/>
  <c r="AJ57" i="1"/>
  <c r="X23" i="19"/>
  <c r="R33" i="19"/>
  <c r="R43" i="19"/>
  <c r="AD53" i="19"/>
  <c r="AJ13" i="19"/>
  <c r="R23" i="19"/>
  <c r="R13" i="19"/>
  <c r="AJ53" i="19"/>
  <c r="L33" i="19"/>
  <c r="L23" i="19"/>
  <c r="X43" i="19"/>
  <c r="X53" i="19"/>
  <c r="AD13" i="19"/>
  <c r="L53" i="19"/>
  <c r="L13" i="19"/>
  <c r="AD23" i="19"/>
  <c r="AJ33" i="19"/>
  <c r="AJ23" i="19"/>
  <c r="R53" i="19"/>
  <c r="AH22" i="1"/>
  <c r="Z11" i="19"/>
  <c r="AF31" i="19"/>
  <c r="T51" i="19"/>
  <c r="N51" i="19"/>
  <c r="Z41" i="19"/>
  <c r="AF21" i="19"/>
  <c r="AL31" i="19"/>
  <c r="T31" i="19"/>
  <c r="Z31" i="19"/>
  <c r="N21" i="19"/>
  <c r="N31" i="19"/>
  <c r="AL11" i="19"/>
  <c r="T11" i="19"/>
  <c r="AF11" i="19"/>
  <c r="AL41" i="19"/>
  <c r="T21" i="19"/>
  <c r="Z21" i="19"/>
  <c r="AL51" i="19"/>
  <c r="N11" i="19"/>
  <c r="AF51" i="19"/>
  <c r="N41" i="19"/>
  <c r="Z51" i="19"/>
  <c r="AJ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J48" i="1"/>
  <c r="AG11" i="19"/>
  <c r="AM41" i="19"/>
  <c r="AA21" i="19"/>
  <c r="AA51" i="19"/>
  <c r="U51" i="19"/>
  <c r="U31" i="19"/>
  <c r="AA11" i="19"/>
  <c r="AG21" i="19"/>
  <c r="O31" i="19"/>
  <c r="AH64" i="1"/>
  <c r="AH34" i="1"/>
  <c r="AH35" i="1"/>
  <c r="AH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H40" i="1"/>
  <c r="AE11" i="19"/>
  <c r="Y41" i="19"/>
  <c r="M41" i="19"/>
  <c r="Y21" i="19"/>
  <c r="AK41" i="19"/>
  <c r="S31" i="19"/>
  <c r="M31" i="19"/>
  <c r="M51" i="19"/>
  <c r="Y51" i="19"/>
  <c r="AK21" i="19"/>
  <c r="AK31" i="19"/>
  <c r="Y11" i="19"/>
  <c r="AE41" i="19"/>
  <c r="AE21" i="19"/>
  <c r="S51" i="19"/>
  <c r="AE51" i="19"/>
  <c r="AK51" i="19"/>
  <c r="M21" i="19"/>
  <c r="AE31" i="19"/>
  <c r="AJ46" i="1"/>
  <c r="S41" i="19"/>
  <c r="AK11" i="19"/>
  <c r="S11" i="19"/>
  <c r="Y31" i="19"/>
  <c r="S21" i="19"/>
  <c r="M11" i="19"/>
  <c r="L54" i="19"/>
  <c r="AJ14" i="19"/>
  <c r="AD44" i="19"/>
  <c r="X54" i="19"/>
  <c r="R14" i="19"/>
  <c r="AD24" i="19"/>
  <c r="AD34" i="19"/>
  <c r="R54" i="19"/>
  <c r="L34" i="19"/>
  <c r="AJ34" i="19"/>
  <c r="X24" i="19"/>
  <c r="AJ24" i="19"/>
  <c r="X44" i="19"/>
  <c r="R24" i="19"/>
  <c r="AJ63" i="1"/>
  <c r="X34" i="19"/>
  <c r="L14" i="19"/>
  <c r="AD14" i="19"/>
  <c r="L44" i="19"/>
  <c r="R44" i="19"/>
  <c r="AD54" i="19"/>
  <c r="X14" i="19"/>
  <c r="AJ44" i="19"/>
  <c r="R34" i="19"/>
  <c r="AJ54" i="19"/>
  <c r="L24" i="19"/>
  <c r="AD29" i="19"/>
  <c r="AD19" i="19"/>
  <c r="R39" i="19"/>
  <c r="R9" i="19"/>
  <c r="X49" i="19"/>
  <c r="X9" i="19"/>
  <c r="AD39" i="19"/>
  <c r="R29" i="19"/>
  <c r="L49" i="19"/>
  <c r="X19" i="19"/>
  <c r="X29" i="19"/>
  <c r="X39" i="19"/>
  <c r="L9" i="19"/>
  <c r="AJ33" i="1"/>
  <c r="AD9" i="19"/>
  <c r="AJ49" i="19"/>
  <c r="L39" i="19"/>
  <c r="R19" i="19"/>
  <c r="AJ39" i="19"/>
  <c r="AJ29" i="19"/>
  <c r="AJ19" i="19"/>
  <c r="AJ9" i="19"/>
  <c r="AD49" i="19"/>
  <c r="L19" i="19"/>
  <c r="L29" i="19"/>
  <c r="R49" i="19"/>
  <c r="R15" i="19" l="1"/>
  <c r="R55" i="19"/>
  <c r="AD25" i="19"/>
  <c r="L55" i="19"/>
  <c r="AJ35" i="19"/>
  <c r="X55" i="19"/>
  <c r="X35" i="19"/>
  <c r="AJ69" i="1"/>
  <c r="AD15" i="19"/>
  <c r="X25" i="19"/>
  <c r="X45" i="19"/>
  <c r="L35" i="19"/>
  <c r="R35" i="19"/>
  <c r="AJ15" i="19"/>
  <c r="L15" i="19"/>
  <c r="AJ25" i="19"/>
  <c r="AJ55" i="19"/>
  <c r="L45" i="19"/>
  <c r="AD35" i="19"/>
  <c r="R25" i="19"/>
  <c r="AD45" i="19"/>
  <c r="R45" i="19"/>
  <c r="AD55" i="19"/>
  <c r="X15" i="19"/>
  <c r="L25" i="19"/>
  <c r="AJ45" i="19"/>
  <c r="AH71" i="1"/>
  <c r="Z35" i="19" s="1"/>
  <c r="AH70" i="1"/>
  <c r="AJ48" i="19"/>
  <c r="L18" i="19"/>
  <c r="AD8" i="19"/>
  <c r="AJ8" i="19"/>
  <c r="AJ28" i="19"/>
  <c r="R48" i="19"/>
  <c r="X48" i="19"/>
  <c r="L8" i="19"/>
  <c r="AD28" i="19"/>
  <c r="X38" i="19"/>
  <c r="AJ27" i="1"/>
  <c r="X8" i="19"/>
  <c r="L48" i="19"/>
  <c r="AD48" i="19"/>
  <c r="AD38" i="19"/>
  <c r="X18" i="19"/>
  <c r="R38" i="19"/>
  <c r="R8" i="19"/>
  <c r="L38" i="19"/>
  <c r="R28" i="19"/>
  <c r="AJ38" i="19"/>
  <c r="AD18" i="19"/>
  <c r="L28" i="19"/>
  <c r="AJ18" i="19"/>
  <c r="X28" i="19"/>
  <c r="AH41" i="1"/>
  <c r="AH42" i="1"/>
  <c r="AG39" i="19"/>
  <c r="AG29" i="19"/>
  <c r="AM19" i="19"/>
  <c r="O39" i="19"/>
  <c r="AJ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J64" i="1"/>
  <c r="AE24" i="19"/>
  <c r="S14" i="19"/>
  <c r="AK17" i="19"/>
  <c r="S27" i="19"/>
  <c r="S37" i="19"/>
  <c r="AE27" i="19"/>
  <c r="Y47" i="19"/>
  <c r="S7" i="19"/>
  <c r="M17" i="19"/>
  <c r="AE17" i="19"/>
  <c r="AK27" i="19"/>
  <c r="Y7" i="19"/>
  <c r="Y37" i="19"/>
  <c r="AE37" i="19"/>
  <c r="Y27" i="19"/>
  <c r="M47" i="19"/>
  <c r="AJ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J28" i="1"/>
  <c r="AE28" i="19"/>
  <c r="AA55" i="19"/>
  <c r="O45" i="19"/>
  <c r="AA15" i="19"/>
  <c r="AM55" i="19"/>
  <c r="O55" i="19"/>
  <c r="AG35" i="19"/>
  <c r="AM25" i="19"/>
  <c r="AM35" i="19"/>
  <c r="AA25" i="19"/>
  <c r="AM45" i="19"/>
  <c r="AG25" i="19"/>
  <c r="AA35" i="19"/>
  <c r="O25" i="19"/>
  <c r="U25" i="19"/>
  <c r="AG45" i="19"/>
  <c r="U35" i="19"/>
  <c r="AA45" i="19"/>
  <c r="AM15" i="19"/>
  <c r="U45" i="19"/>
  <c r="O35" i="19"/>
  <c r="O15" i="19"/>
  <c r="AJ72" i="1"/>
  <c r="AG15" i="19"/>
  <c r="U15" i="19"/>
  <c r="AG55" i="19"/>
  <c r="U55" i="19"/>
  <c r="AE40" i="19"/>
  <c r="Y30" i="19"/>
  <c r="M20" i="19"/>
  <c r="AJ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J35" i="1"/>
  <c r="T19" i="19"/>
  <c r="AL49" i="19"/>
  <c r="T29" i="19"/>
  <c r="AF29" i="19"/>
  <c r="T18" i="19"/>
  <c r="N48" i="19"/>
  <c r="N8" i="19"/>
  <c r="T28" i="19"/>
  <c r="AF38" i="19"/>
  <c r="Z28" i="19"/>
  <c r="Z18" i="19"/>
  <c r="AF8" i="19"/>
  <c r="AJ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J34" i="1"/>
  <c r="M9" i="19"/>
  <c r="Y29" i="19"/>
  <c r="AH59" i="1"/>
  <c r="AH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H65" i="1"/>
  <c r="AH66" i="1"/>
  <c r="AH24" i="1"/>
  <c r="AH23" i="1"/>
  <c r="O8" i="19"/>
  <c r="AA48" i="19"/>
  <c r="AM38" i="19"/>
  <c r="U48" i="19"/>
  <c r="AA18" i="19"/>
  <c r="AG18" i="19"/>
  <c r="AG48" i="19"/>
  <c r="AM18" i="19"/>
  <c r="AA28" i="19"/>
  <c r="AG28" i="19"/>
  <c r="AA8" i="19"/>
  <c r="U18" i="19"/>
  <c r="AG38" i="19"/>
  <c r="U38" i="19"/>
  <c r="AM8" i="19"/>
  <c r="AA38" i="19"/>
  <c r="AM48" i="19"/>
  <c r="U28" i="19"/>
  <c r="O38" i="19"/>
  <c r="U8" i="19"/>
  <c r="AG8" i="19"/>
  <c r="AJ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J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J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J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J66" i="1"/>
  <c r="AA14" i="19"/>
  <c r="O54" i="19"/>
  <c r="U44" i="19"/>
  <c r="U43" i="19"/>
  <c r="U13" i="19"/>
  <c r="AM53" i="19"/>
  <c r="AA53" i="19"/>
  <c r="AA43" i="19"/>
  <c r="O53" i="19"/>
  <c r="O23" i="19"/>
  <c r="O13" i="19"/>
  <c r="AG43" i="19"/>
  <c r="U33" i="19"/>
  <c r="U23" i="19"/>
  <c r="AM13" i="19"/>
  <c r="AM23" i="19"/>
  <c r="AG13" i="19"/>
  <c r="AA23" i="19"/>
  <c r="AG33" i="19"/>
  <c r="AA33" i="19"/>
  <c r="AM33" i="19"/>
  <c r="AA13" i="19"/>
  <c r="AJ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J65" i="1"/>
  <c r="AF53" i="19"/>
  <c r="T43" i="19"/>
  <c r="Z53" i="19"/>
  <c r="N43" i="19"/>
  <c r="T23" i="19"/>
  <c r="AF43" i="19"/>
  <c r="Z13" i="19"/>
  <c r="Z43" i="19"/>
  <c r="AF23" i="19"/>
  <c r="AL13" i="19"/>
  <c r="Z23" i="19"/>
  <c r="AL43" i="19"/>
  <c r="AF13" i="19"/>
  <c r="AL23" i="19"/>
  <c r="N13" i="19"/>
  <c r="T33" i="19"/>
  <c r="AL53" i="19"/>
  <c r="N23" i="19"/>
  <c r="N53" i="19"/>
  <c r="AF33" i="19"/>
  <c r="N33" i="19"/>
  <c r="AJ59" i="1"/>
  <c r="T53" i="19"/>
  <c r="AL33" i="19"/>
  <c r="T13" i="19"/>
  <c r="Z33" i="19"/>
  <c r="Z47" i="19"/>
  <c r="T7" i="19"/>
  <c r="AL37" i="19"/>
  <c r="T17" i="19"/>
  <c r="Z17" i="19"/>
  <c r="AF7" i="19"/>
  <c r="AF37" i="19"/>
  <c r="N17" i="19"/>
  <c r="AF27" i="19"/>
  <c r="AJ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J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J24" i="1"/>
  <c r="AA17" i="19"/>
  <c r="O7" i="19"/>
  <c r="AA37" i="19"/>
  <c r="AA27" i="19"/>
  <c r="AM27" i="19"/>
  <c r="U17" i="19"/>
  <c r="U47" i="19"/>
  <c r="AG17" i="19"/>
  <c r="O47" i="19"/>
  <c r="Z40" i="19"/>
  <c r="AJ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<sst xmlns="http://schemas.openxmlformats.org/spreadsheetml/2006/main" count="786" uniqueCount="458">
  <si>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</si>
  <si>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</si>
  <si>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</si>
  <si>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</si>
  <si>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</si>
  <si>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</si>
  <si>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</si>
  <si>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</si>
  <si>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</si>
  <si>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</si>
  <si>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</si>
  <si>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</si>
  <si>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</si>
  <si>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</si>
  <si>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</si>
  <si>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</si>
  <si>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</si>
  <si>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</si>
  <si>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</si>
  <si>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</si>
  <si>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</si>
  <si>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</si>
  <si>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</si>
  <si>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</si>
  <si>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</si>
  <si>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</si>
  <si>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</si>
  <si>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</si>
  <si>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</si>
  <si>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</si>
  <si>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</si>
  <si>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</si>
  <si>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</si>
  <si>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</si>
  <si>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</si>
  <si>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</si>
  <si>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</si>
  <si>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</si>
  <si>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</si>
  <si>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</si>
  <si>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</si>
  <si>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</si>
  <si>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</si>
  <si>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</si>
  <si>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</si>
  <si>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</si>
  <si>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</si>
  <si>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</si>
  <si>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</si>
  <si>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</si>
  <si>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</si>
  <si>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</si>
  <si>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</si>
  <si>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</si>
  <si>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</si>
  <si>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</si>
  <si>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</si>
  <si>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</si>
  <si>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</si>
  <si>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</si>
  <si>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Control de cambios </t>
  </si>
  <si>
    <t>el registra la actualización de los riesgos a partir de 2023</t>
  </si>
  <si>
    <t>Versión inicial</t>
  </si>
  <si>
    <t>tipo de riesgos</t>
  </si>
  <si>
    <t>Fecha de cambio</t>
  </si>
  <si>
    <t>Aspecto(s) que cambiaron</t>
  </si>
  <si>
    <t>Descripción de los cambios efectuados</t>
  </si>
  <si>
    <t>2023 -v1</t>
  </si>
  <si>
    <t>na</t>
  </si>
  <si>
    <t>2023 -v2</t>
  </si>
  <si>
    <t>gestión</t>
  </si>
  <si>
    <t>interno</t>
  </si>
  <si>
    <t>se incorporo una nueva por el covid 2+</t>
  </si>
  <si>
    <t>1. Direccionamiento estratégico e innovación</t>
  </si>
  <si>
    <t>2. Atención a partes interesadas y comunicaciones</t>
  </si>
  <si>
    <t>3. Estrategia y gobierno de TI</t>
  </si>
  <si>
    <t>4. Planificación de la intervención vial</t>
  </si>
  <si>
    <t>5. Producción de mezcla y provisión de maquinaria y equipos</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</si>
  <si>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</si>
  <si>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</si>
  <si>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</si>
  <si>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</si>
  <si>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</si>
  <si>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</si>
  <si>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</si>
  <si>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</si>
  <si>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</si>
  <si>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</si>
  <si>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</si>
  <si>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</si>
  <si>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CONTEXTO  DE PROCESO</t>
  </si>
  <si>
    <t>Riesgo asociado</t>
  </si>
  <si>
    <t>FACTORES INTERNOS</t>
  </si>
  <si>
    <t>ORIGEN</t>
  </si>
  <si>
    <t>FORTALEZAS Y/O OPORTUNIDADES</t>
  </si>
  <si>
    <t>DEBILIDADES Y/O AMENAZAS</t>
  </si>
  <si>
    <t>DISEÑO DEL PROCESO:</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</si>
  <si>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</si>
  <si>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</si>
  <si>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</si>
  <si>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t>INTERACCIONES CON OTROS PROCESOS:</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</si>
  <si>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</si>
  <si>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</si>
  <si>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</si>
  <si>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TRANSVERSALIDAD</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</si>
  <si>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</si>
  <si>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</si>
  <si>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PROCEDIMIENTOS ASOCIADOS:</t>
  </si>
  <si>
    <t xml:space="preserve">RESPONSABLES DEL PROCESO: </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</si>
  <si>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</si>
  <si>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</si>
  <si>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COMUNICACIÓN ENTRE LOS PROCESOS:</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</si>
  <si>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</si>
  <si>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</si>
  <si>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ACTIVOS DE SEGURIDAD DIGITAL DEL PROCESO:</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</si>
  <si>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</si>
  <si>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</si>
  <si>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Aceptar</t>
  </si>
  <si>
    <t>Económico</t>
  </si>
  <si>
    <t>Evitar</t>
  </si>
  <si>
    <t>Reputacional</t>
  </si>
  <si>
    <t>Reducir (compartir)</t>
  </si>
  <si>
    <t>Económico y Reputacional</t>
  </si>
  <si>
    <t>Reducir (mitigar)</t>
  </si>
  <si>
    <t xml:space="preserve">Riesgo estrategico </t>
  </si>
  <si>
    <t>Objetivo Intitucional asociado</t>
  </si>
  <si>
    <t>Plan de accion (solo para la opción reducir)</t>
  </si>
  <si>
    <t>Si</t>
  </si>
  <si>
    <t>1. Lograr mecanismos de financiación que permitan incrementar los recursos propios de la entidad.</t>
  </si>
  <si>
    <t>Finalizado</t>
  </si>
  <si>
    <t>No</t>
  </si>
  <si>
    <t>2. Diseñar e implementar una estrategia de innovación que permita hacer más eficiente la gestión de la Unidad.</t>
  </si>
  <si>
    <t>En curso</t>
  </si>
  <si>
    <t xml:space="preserve">3.Mejorar el estado de la malla vial local, intermedia, rural, y de la ciclo-infraestructura de Bogotá D.C., </t>
  </si>
  <si>
    <t>4.Mejorar las condiciones de Infraestructura que permitan el uso y disfrute del espacio público en Bogotá D.C.</t>
  </si>
  <si>
    <t xml:space="preserve">Gestión </t>
  </si>
  <si>
    <t>Relaciones Laborales</t>
  </si>
  <si>
    <t>NA</t>
  </si>
  <si>
    <t>Daños Activos Fisicos</t>
  </si>
  <si>
    <t>Proyecto de inversión</t>
  </si>
  <si>
    <t>Ejecucion y Administracion de procesos</t>
  </si>
  <si>
    <t>7858 Conservación de la Malla Vial Distrital y Cicloinfraestructura de Bogotá</t>
  </si>
  <si>
    <t>Fallas Tecnologicas</t>
  </si>
  <si>
    <t xml:space="preserve">7859 Fortalecimiento Institucional </t>
  </si>
  <si>
    <t>Usuarios, productos y practicas , organizacionales</t>
  </si>
  <si>
    <t>7860 Fortalecimiento de los componentes de TI para la transformación digital</t>
  </si>
  <si>
    <t>Corrupción</t>
  </si>
  <si>
    <t>Fraude Externo</t>
  </si>
  <si>
    <t>7903 Apoyo a la adecuación y conservación del espacio público de Bogotá</t>
  </si>
  <si>
    <t>Fraude Interno</t>
  </si>
  <si>
    <t>Soborno</t>
  </si>
  <si>
    <t>seguridad</t>
  </si>
  <si>
    <t xml:space="preserve">Pérdida de la integridad </t>
  </si>
  <si>
    <t xml:space="preserve">Pérdida de la confidencialidad </t>
  </si>
  <si>
    <t xml:space="preserve">Pérdida de la disponibilidad </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</si>
  <si>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</si>
  <si>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</si>
  <si>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</si>
  <si>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</si>
  <si>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</si>
  <si>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</si>
  <si>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</si>
  <si>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</si>
  <si>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</si>
  <si>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</si>
  <si>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</si>
  <si>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</si>
  <si>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</si>
  <si>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</si>
  <si>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</si>
  <si>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</si>
  <si>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</si>
  <si>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</si>
  <si>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</si>
  <si>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</si>
  <si>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</si>
  <si>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</si>
  <si>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</si>
  <si>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</si>
  <si>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</si>
  <si>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</si>
  <si>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</si>
  <si>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</si>
  <si>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</si>
  <si>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</si>
  <si>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</si>
  <si>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</si>
  <si>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</si>
  <si>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</si>
  <si>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</si>
  <si>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</si>
  <si>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</si>
  <si>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</si>
  <si>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</si>
  <si>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</si>
  <si>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</si>
  <si>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</si>
  <si>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</si>
  <si>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</si>
  <si>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</si>
  <si>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</si>
  <si>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</si>
  <si>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</si>
  <si>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</si>
  <si>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</si>
  <si>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</si>
  <si>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</si>
  <si>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Incumplimiento en la disponibilidad del personal </t>
  </si>
  <si>
    <t>FORMATO MAPA RIESGOS DE PROCESO</t>
  </si>
  <si>
    <t>CÓDIGO: DESI-FM-018</t>
  </si>
  <si>
    <t>VERSIÓN: 11</t>
  </si>
  <si>
    <t>Proceso:</t>
  </si>
  <si>
    <t>Objetivo:</t>
  </si>
  <si>
    <t>Alcance:</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</si>
  <si>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</si>
  <si>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</si>
  <si>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</si>
  <si>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</si>
  <si>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</si>
  <si>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</si>
  <si>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</si>
  <si>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ACCION DE CONTINGENCIA</t>
  </si>
  <si>
    <t xml:space="preserve">Referencia </t>
  </si>
  <si>
    <t xml:space="preserve">Actividad clave o fase del proyecto </t>
  </si>
  <si>
    <t>Internas</t>
  </si>
  <si>
    <t>Externas</t>
  </si>
  <si>
    <t>Efectos (Consecuencias)</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</si>
  <si>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</si>
  <si>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</si>
  <si>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</si>
  <si>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</si>
  <si>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</si>
  <si>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</si>
  <si>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</si>
  <si>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</si>
  <si>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</si>
  <si>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</si>
  <si>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</si>
  <si>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</si>
  <si>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</si>
  <si>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</si>
  <si>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</si>
  <si>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</si>
  <si>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</si>
  <si>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</si>
  <si>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</si>
  <si>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 xml:space="preserve">Proyecto de Inversión asociado </t>
  </si>
  <si>
    <t>Tipo</t>
  </si>
  <si>
    <t>Implementación</t>
  </si>
  <si>
    <t>Calificación</t>
  </si>
  <si>
    <t>Documentación</t>
  </si>
  <si>
    <t>Frecuencia</t>
  </si>
  <si>
    <t>Evidencia</t>
  </si>
  <si>
    <t xml:space="preserve">     El riesgo afecta la imagen de la entidad con algunos usuarios de relevancia frente al logro de los objetivos</t>
  </si>
  <si>
    <t>Preventivo</t>
  </si>
  <si>
    <t>Manual</t>
  </si>
  <si>
    <t>Documentado</t>
  </si>
  <si>
    <t>Continua</t>
  </si>
  <si>
    <t>Con Registro</t>
  </si>
  <si>
    <t>Detectivo</t>
  </si>
  <si>
    <t>Sin Documentar</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</si>
  <si>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</si>
  <si>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</si>
  <si>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 RIESGOS GESTIÓN</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</si>
  <si>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</si>
  <si>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</si>
  <si>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</si>
  <si>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</si>
  <si>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</si>
  <si>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</si>
  <si>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</si>
  <si>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</si>
  <si>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</si>
  <si>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</si>
  <si>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</si>
  <si>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</si>
  <si>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</si>
  <si>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</si>
  <si>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</si>
  <si>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 RIESGOS GESTIÓN</t>
  </si>
  <si>
    <t>Actividad clave o fase del proyecto</t>
  </si>
  <si>
    <t>Correctivo</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</si>
  <si>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</si>
  <si>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</si>
  <si>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</si>
  <si>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</si>
  <si>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</si>
  <si>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</si>
  <si>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</si>
  <si>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</si>
  <si>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</si>
  <si>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</si>
  <si>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</si>
  <si>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</si>
  <si>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</si>
  <si>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</si>
  <si>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</si>
  <si>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</si>
  <si>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</si>
  <si>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</si>
  <si>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</si>
  <si>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</si>
  <si>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</si>
  <si>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</si>
  <si>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</si>
  <si>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</si>
  <si>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</si>
  <si>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</si>
  <si>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</si>
  <si>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Tipo de activo</t>
  </si>
  <si>
    <t>Activo de información</t>
  </si>
  <si>
    <t>Tipo de amenaza</t>
  </si>
  <si>
    <t>Amenaza</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</si>
  <si>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</si>
  <si>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</si>
  <si>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</si>
  <si>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</si>
  <si>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</si>
  <si>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</si>
  <si>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</si>
  <si>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</si>
  <si>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</si>
  <si>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</si>
  <si>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</si>
  <si>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</si>
  <si>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</si>
  <si>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</si>
  <si>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</si>
  <si>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 xml:space="preserve">Equivalente </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</si>
  <si>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</si>
  <si>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</si>
  <si>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</si>
  <si>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</si>
  <si>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</si>
  <si>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</si>
  <si>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</si>
  <si>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</si>
  <si>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</si>
  <si>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</si>
  <si>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</si>
  <si>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</si>
  <si>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</si>
  <si>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</si>
  <si>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</si>
  <si>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</si>
  <si>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</si>
  <si>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</si>
  <si>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</si>
  <si>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</si>
  <si>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</si>
  <si>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</si>
  <si>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</si>
  <si>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</si>
  <si>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</si>
  <si>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</si>
  <si>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</si>
  <si>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</si>
  <si>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</si>
  <si>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</si>
  <si>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</si>
  <si>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</si>
  <si>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</si>
  <si>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</si>
  <si>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</si>
  <si>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</si>
  <si>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</si>
  <si>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</si>
  <si>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Gestión</t>
  </si>
  <si>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</si>
  <si>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</si>
  <si>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</si>
  <si>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</si>
  <si>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</si>
  <si>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</si>
  <si>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Seguridad Digital</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</si>
  <si>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</si>
  <si>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</si>
  <si>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</si>
  <si>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</si>
  <si>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</si>
  <si>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</si>
  <si>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</si>
  <si>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</si>
  <si>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</si>
  <si>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</si>
  <si>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</si>
  <si>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INFORMACIÓN</t>
  </si>
  <si>
    <t>SOFTWARE</t>
  </si>
  <si>
    <t>HARDWARE</t>
  </si>
  <si>
    <t>INSTALACIONES</t>
  </si>
  <si>
    <t>PROCESOS</t>
  </si>
  <si>
    <t>RECURSOS HUMANOS</t>
  </si>
  <si>
    <t>RED</t>
  </si>
  <si>
    <t>SERVICIOS</t>
  </si>
  <si>
    <t>EQUIPAMIENTO AUXILIAR</t>
  </si>
  <si>
    <t>COMPONENTES DE RED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</si>
  <si>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</si>
  <si>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</si>
  <si>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</si>
  <si>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</si>
  <si>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</si>
  <si>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</si>
  <si>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</si>
  <si>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</si>
  <si>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</si>
  <si>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</si>
  <si>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</si>
  <si>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</si>
  <si>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</si>
  <si>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</si>
  <si>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</si>
  <si>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</si>
  <si>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</si>
  <si>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</si>
  <si>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</si>
  <si>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</si>
  <si>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</si>
  <si>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</si>
  <si>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</si>
  <si>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</si>
  <si>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</si>
  <si>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</si>
  <si>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FECHA DE APLICACIÓN: NOVIEMBRE 2022</t>
  </si>
  <si>
    <t xml:space="preserve">Tratamiento del riesgo -Plan de acción </t>
  </si>
  <si>
    <t xml:space="preserve">Acción de Contigencia </t>
  </si>
  <si>
    <t>Objetivo Institucional  asociado</t>
  </si>
  <si>
    <t xml:space="preserve">Sanción de un ente regulador al incumplir con la legislacion ambiental vigente aplicable a la entidad </t>
  </si>
  <si>
    <t>Desconocimiento en los lineamientos por parte de los colaboradores del equipo ambiental
Deficiencia en el seguimiento y control de los criterios ambientales en los diferentes procesos
Inadecuada implementación de las medidas de control y seguimiento ambiental en las sedes de la Entidad</t>
  </si>
  <si>
    <t xml:space="preserve">Posibilidad de afectación economica y reputacional por sanción de un ente regulador al incumplir con la legislacion ambiental vigente aplicable a la entidad por el desconocimiento en los lineamientos de los colaboradores del equipo ambiental, deficiencia en el seguimiento y control de los criterios ambientales en los diferentes procesos, y la inadecuada implementacion de las medidas de control y seguimiento ambiental en las sedes de la Entidad. </t>
  </si>
  <si>
    <t>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t>
  </si>
  <si>
    <t>Inicia con la identificación de los aspectos e impactos ambientales, continúa con la valoración de los impactos generados y la identificación normativa aplicable al componente ambiental del proceso y finaliza con la formulación, implementación y seguimiento del Plan Institucional de Gestión Ambiental  PIGA de la Entidad con el fin de establecer  las acciones encaminadas a  la mitigación de los impactos ambientales que generan las actividades de la UAERMV.</t>
  </si>
  <si>
    <t>•Revisar la normatividad ambiental vigente
• Revisar que se mantenga actualizada Matriz de Cumplimiento Legal (Normograma).</t>
  </si>
  <si>
    <t xml:space="preserve">*Una visión  arraigada frente al que hacer en las diferentes áreas de la entidad, que dificulte el cambio en la cultura ambiental. 
*Demora en la entrega de información de  algunos procesos para realizar el seguimiento y control ambiental. </t>
  </si>
  <si>
    <t xml:space="preserve">Cambios en la normatividad que la entidad desconozca </t>
  </si>
  <si>
    <t>El gerente GASA designa a los coordinadores (as) GAM para verificar bimestralmente que se cumplan las sensibilizaciones sobre los lineamientos ambientales establecidos en el cronograma y como evidencia queda el análisis de los resultados de las encuestas realizadas en las sensibilizaciones, en caso que los resultados de la encuesta no superen el 70% se repite la sensibilización.</t>
  </si>
  <si>
    <r>
      <t xml:space="preserve">Los coordinadores (as) GAM designados por el gerente GASA revisan de manera </t>
    </r>
    <r>
      <rPr>
        <b/>
        <sz val="12"/>
        <color theme="1"/>
        <rFont val="Arial"/>
        <family val="2"/>
      </rPr>
      <t>bimestral</t>
    </r>
    <r>
      <rPr>
        <sz val="12"/>
        <color theme="1"/>
        <rFont val="Arial"/>
        <family val="2"/>
      </rPr>
      <t xml:space="preserve"> que los puntos de control y evidencia de aplicacion de requisitos legales  establecidos en el normograma del proceso se estén llevando a cabo, por su parte  el gerente GASA valida que esta información sea verás en la mesa de apoyo del CIDG para el componente ambiental, como evidencia queda el acta de reunión de la revisión efectuada. 
En caso que se identifiquen anomalías en el cumplimiento del normograma, se informa en esta mesa de apoyo del CIGD para el componente ambiental, en donde se toman las acciones pertinentes  a mas tardar 10 días después de realizada la reunión.</t>
    </r>
  </si>
  <si>
    <r>
      <rPr>
        <b/>
        <sz val="12"/>
        <color theme="1"/>
        <rFont val="Arial"/>
        <family val="2"/>
      </rPr>
      <t>Los profesionales designados por el Gerente GASA</t>
    </r>
    <r>
      <rPr>
        <sz val="12"/>
        <color theme="1"/>
        <rFont val="Arial"/>
        <family val="2"/>
      </rPr>
      <t xml:space="preserve"> (Del equipo PIGA) realizarán por lo menos (2) dos visitas de seguimiento al </t>
    </r>
    <r>
      <rPr>
        <b/>
        <sz val="12"/>
        <color theme="1"/>
        <rFont val="Arial"/>
        <family val="2"/>
      </rPr>
      <t>mes a cada</t>
    </r>
    <r>
      <rPr>
        <sz val="12"/>
        <color theme="1"/>
        <rFont val="Arial"/>
        <family val="2"/>
      </rPr>
      <t xml:space="preserve"> una de las sedes de la entidad, para </t>
    </r>
    <r>
      <rPr>
        <b/>
        <sz val="12"/>
        <color theme="1"/>
        <rFont val="Arial"/>
        <family val="2"/>
      </rPr>
      <t>validar</t>
    </r>
    <r>
      <rPr>
        <sz val="12"/>
        <color theme="1"/>
        <rFont val="Arial"/>
        <family val="2"/>
      </rPr>
      <t xml:space="preserve"> la correcta implementación de los controles operacionales. Lo anterior se </t>
    </r>
    <r>
      <rPr>
        <b/>
        <sz val="12"/>
        <color theme="1"/>
        <rFont val="Arial"/>
        <family val="2"/>
      </rPr>
      <t>evidenciará</t>
    </r>
    <r>
      <rPr>
        <sz val="12"/>
        <color theme="1"/>
        <rFont val="Arial"/>
        <family val="2"/>
      </rPr>
      <t xml:space="preserve"> por medio de informe mensual del Coordinador GAM dirigido al Gerente GASA con el resultado de las visitas realizadas. 
En caso que se identifiquen anomalías se procede a informar al supervisor del contrato para tomar las medidas correctivas necesarias.</t>
    </r>
  </si>
  <si>
    <t>Realizar dos autoevaluaciones al cumplimiento del PIGA y de la legislación ambiental en la UAERMV de conformidad a las visitas anuales realizadas por la SDA</t>
  </si>
  <si>
    <t>Gerencia GASA
Coordinadores ambientales</t>
  </si>
  <si>
    <t xml:space="preserve">Herramienta de verificación diligenciada </t>
  </si>
  <si>
    <t xml:space="preserve">Elaborar plan de acción con las situaciones encontradas </t>
  </si>
  <si>
    <t xml:space="preserve">Plan de acción ejecutado </t>
  </si>
  <si>
    <t>Gerente Ambiental, Social y Atencion al Usuario</t>
  </si>
  <si>
    <t>Por la ocurrencia de accidentes ambientales producto de actividades misionales que afecten el suelo, aire y el agua</t>
  </si>
  <si>
    <t xml:space="preserve">Debilidades en la información preventiva para evitar la presentación de accidentes ambientales. 
Exceso de confianza en la manipulacion de elementos y maquinaria durante la operacion de las actividades misionales  </t>
  </si>
  <si>
    <t xml:space="preserve">Posibilidad de afectacion economica y reputacional por la ocurrencia de accidentes ambientales producto de las actividades misionales que afecten el suelo, aire y el agua debido a Debilidades en la información preventiva para evitar la presentación de accidentes ambientales y/o Exceso de confianza en la manipulacion de elementos y maquinaria durante la operacion de las actividades misionales  </t>
  </si>
  <si>
    <t>•Formular los controles necesarios para la prevención y/o mitigación de los impactos ambientales identificados en las actividades a ejecutar.  
•Identificar los aspectos y valorar los impactos ambientales asociados a la misionalidad de la entidad</t>
  </si>
  <si>
    <t xml:space="preserve">*Falta de apropiación por parte de los colaborares de la Entidad frente a los lineamientos establecidos por el proceso de Gestion ambiental-GAM, para la protección de los recursos naturales </t>
  </si>
  <si>
    <r>
      <rPr>
        <b/>
        <sz val="12"/>
        <color theme="1"/>
        <rFont val="Arial"/>
        <family val="2"/>
      </rPr>
      <t>El Gerente GAS</t>
    </r>
    <r>
      <rPr>
        <sz val="12"/>
        <color theme="1"/>
        <rFont val="Arial"/>
        <family val="2"/>
      </rPr>
      <t xml:space="preserve">A designa a los coordinadores (as) GAM para </t>
    </r>
    <r>
      <rPr>
        <b/>
        <sz val="12"/>
        <color theme="1"/>
        <rFont val="Arial"/>
        <family val="2"/>
      </rPr>
      <t>verificar bimestralmente</t>
    </r>
    <r>
      <rPr>
        <sz val="12"/>
        <color theme="1"/>
        <rFont val="Arial"/>
        <family val="2"/>
      </rPr>
      <t xml:space="preserve"> la efectividad de las sensibilizaciones impartidas sobre los lineamientos de prevención y atencion de derrames de sustancias peligrosas en sedes y frentes de obra, la </t>
    </r>
    <r>
      <rPr>
        <b/>
        <sz val="12"/>
        <color theme="1"/>
        <rFont val="Arial"/>
        <family val="2"/>
      </rPr>
      <t>evidencia</t>
    </r>
    <r>
      <rPr>
        <sz val="12"/>
        <color theme="1"/>
        <rFont val="Arial"/>
        <family val="2"/>
      </rPr>
      <t xml:space="preserve"> será el análisis de resultados de las evaluaciones que se realizan en las sensibilizaciones.
</t>
    </r>
    <r>
      <rPr>
        <b/>
        <sz val="12"/>
        <color theme="1"/>
        <rFont val="Arial"/>
        <family val="2"/>
      </rPr>
      <t xml:space="preserve">En caso que </t>
    </r>
    <r>
      <rPr>
        <sz val="12"/>
        <color theme="1"/>
        <rFont val="Arial"/>
        <family val="2"/>
      </rPr>
      <t>los resultados de la evaluación, no supere el 70% de las respuestas correctas, se repite la sensibilización.</t>
    </r>
  </si>
  <si>
    <r>
      <rPr>
        <b/>
        <sz val="12"/>
        <color theme="1"/>
        <rFont val="Arial"/>
        <family val="2"/>
      </rPr>
      <t xml:space="preserve">Los profesionales ambientales y SST, </t>
    </r>
    <r>
      <rPr>
        <sz val="12"/>
        <color theme="1"/>
        <rFont val="Arial"/>
        <family val="2"/>
      </rPr>
      <t xml:space="preserve">designados por el Gerente GASA, </t>
    </r>
    <r>
      <rPr>
        <b/>
        <sz val="12"/>
        <color theme="1"/>
        <rFont val="Arial"/>
        <family val="2"/>
      </rPr>
      <t>verifican</t>
    </r>
    <r>
      <rPr>
        <sz val="12"/>
        <color theme="1"/>
        <rFont val="Arial"/>
        <family val="2"/>
      </rPr>
      <t xml:space="preserve"> las actividades de manejo de sustancias peligrosas en la sedes operativa y de producción así como en frentes de obra en intervención, con el fin de evaluar prácticas y establecer si es el caso, oportunidades de mejora, a través de inspección </t>
    </r>
    <r>
      <rPr>
        <b/>
        <sz val="12"/>
        <color theme="1"/>
        <rFont val="Arial"/>
        <family val="2"/>
      </rPr>
      <t>trimestral. L</t>
    </r>
    <r>
      <rPr>
        <sz val="12"/>
        <color theme="1"/>
        <rFont val="Arial"/>
        <family val="2"/>
      </rPr>
      <t xml:space="preserve">a </t>
    </r>
    <r>
      <rPr>
        <b/>
        <sz val="12"/>
        <color theme="1"/>
        <rFont val="Arial"/>
        <family val="2"/>
      </rPr>
      <t>evidencia</t>
    </r>
    <r>
      <rPr>
        <sz val="12"/>
        <color theme="1"/>
        <rFont val="Arial"/>
        <family val="2"/>
      </rPr>
      <t xml:space="preserve"> son los formatos diligenciados GAM-FM-012 de las prácticas para  la prevención de accidentes ambientales.
</t>
    </r>
    <r>
      <rPr>
        <b/>
        <sz val="12"/>
        <color theme="1"/>
        <rFont val="Arial"/>
        <family val="2"/>
      </rPr>
      <t xml:space="preserve">En el caso </t>
    </r>
    <r>
      <rPr>
        <sz val="12"/>
        <color theme="1"/>
        <rFont val="Arial"/>
        <family val="2"/>
      </rPr>
      <t>que se evidencie prácticas inadecuadas que pueden generar un accidentes, se detine la actividad, se debe volver a socializar los lineamientos establecidos y nuevamente se aplica la herramienta.</t>
    </r>
  </si>
  <si>
    <t xml:space="preserve">Febrero y Agosto de 2023 </t>
  </si>
  <si>
    <t>Divulgar piezas comunicativas que sensibilicen a los colaboradores sobre el manejo y manipulacion de sustancias peligrosas</t>
  </si>
  <si>
    <t>Gerencia GASA
Coordinadores ambientales y SST</t>
  </si>
  <si>
    <t>Piezas publicadas</t>
  </si>
  <si>
    <t>enero a diciembre de 2023</t>
  </si>
  <si>
    <t>Eventos naturales o antrópicos
 (Por ej Terremoto, derrame inundación, explosión inducida)</t>
  </si>
  <si>
    <t xml:space="preserve">Sanciones económicas o perdida de legitimidad institucional. </t>
  </si>
  <si>
    <t>Afectacion en la salud pública por presentación de accidentes ambientales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</si>
</sst>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94"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sz val="16"/>
      <name val="Arial"/>
      <family val="2"/>
    </font>
    <font>
      <sz val="12"/>
      <color theme="1"/>
      <name val="Arial"/>
      <family val="2"/>
    </font>
    <font>
      <b/>
      <sz val="10"/>
      <color theme="0"/>
      <name val="Arial Narrow"/>
      <family val="2"/>
    </font>
    <font>
      <sz val="8"/>
      <name val="Calibri"/>
      <family val="2"/>
      <scheme val="minor"/>
    </font>
    <font>
      <b/>
      <sz val="16"/>
      <color theme="5" tint="-0.249977111117893"/>
      <name val="Arial"/>
      <family val="2"/>
    </font>
    <font>
      <b/>
      <sz val="24"/>
      <color theme="1"/>
      <name val="Arial Narrow"/>
      <family val="2"/>
    </font>
    <font>
      <sz val="13"/>
      <name val="Arial"/>
      <family val="2"/>
    </font>
    <font>
      <sz val="12"/>
      <color rgb="FF000000"/>
      <name val="Arial"/>
    </font>
    <font>
      <b/>
      <sz val="12"/>
      <color theme="1"/>
      <name val="Arial"/>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3" tint="0.59999389629810485"/>
        <bgColor indexed="64"/>
      </patternFill>
    </fill>
  </fills>
  <borders count="120">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theme="6" tint="-0.499984740745262"/>
      </left>
      <right/>
      <top/>
      <bottom/>
      <diagonal/>
    </border>
    <border>
      <left style="hair">
        <color theme="6" tint="-0.499984740745262"/>
      </left>
      <right/>
      <top style="medium">
        <color theme="6" tint="-0.499984740745262"/>
      </top>
      <bottom style="hair">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
      <left style="hair">
        <color theme="6" tint="-0.499984740745262"/>
      </left>
      <right style="hair">
        <color theme="6" tint="-0.499984740745262"/>
      </right>
      <top style="medium">
        <color indexed="64"/>
      </top>
      <bottom style="hair">
        <color theme="6" tint="-0.499984740745262"/>
      </bottom>
      <diagonal/>
    </border>
    <border>
      <left style="hair">
        <color theme="6" tint="-0.499984740745262"/>
      </left>
      <right style="hair">
        <color theme="6" tint="-0.499984740745262"/>
      </right>
      <top style="medium">
        <color indexed="64"/>
      </top>
      <bottom/>
      <diagonal/>
    </border>
    <border>
      <left style="hair">
        <color theme="6" tint="-0.499984740745262"/>
      </left>
      <right style="hair">
        <color theme="6" tint="-0.499984740745262"/>
      </right>
      <top style="hair">
        <color theme="6" tint="-0.499984740745262"/>
      </top>
      <bottom style="medium">
        <color indexed="64"/>
      </bottom>
      <diagonal/>
    </border>
    <border>
      <left style="hair">
        <color theme="6" tint="-0.499984740745262"/>
      </left>
      <right style="hair">
        <color theme="6" tint="-0.499984740745262"/>
      </right>
      <top/>
      <bottom style="medium">
        <color indexed="64"/>
      </bottom>
      <diagonal/>
    </border>
  </borders>
  <cellStyleXfs count="7">
    <xf numFmtId="0" fontId="0" fillId="0" borderId="0"/>
    <xf numFmtId="9" fontId="12" fillId="0" borderId="0" applyFont="0" applyFill="0" applyBorder="0" applyAlignment="0" applyProtection="0"/>
    <xf numFmtId="0" fontId="42" fillId="0" borderId="0"/>
    <xf numFmtId="0" fontId="43" fillId="0" borderId="0"/>
    <xf numFmtId="0" fontId="4" fillId="0" borderId="0"/>
    <xf numFmtId="44" fontId="12" fillId="0" borderId="0" applyFont="0" applyFill="0" applyBorder="0" applyAlignment="0" applyProtection="0"/>
    <xf numFmtId="44" fontId="12" fillId="0" borderId="0" applyFont="0" applyFill="0" applyBorder="0" applyAlignment="0" applyProtection="0"/>
  </cellStyleXfs>
  <cellXfs count="639">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0" fillId="0" borderId="0" xfId="0" applyFont="1" applyAlignment="1">
      <alignment horizontal="justify" vertical="center" wrapText="1" readingOrder="1"/>
    </xf>
    <xf numFmtId="0" fontId="28" fillId="6" borderId="0" xfId="0" applyFont="1" applyFill="1" applyAlignment="1">
      <alignment horizontal="center" vertical="center" wrapText="1" readingOrder="1"/>
    </xf>
    <xf numFmtId="0" fontId="29" fillId="5" borderId="4" xfId="0" applyFont="1" applyFill="1" applyBorder="1" applyAlignment="1">
      <alignment horizontal="center" vertical="center" wrapText="1" readingOrder="1"/>
    </xf>
    <xf numFmtId="0" fontId="29" fillId="7" borderId="1" xfId="0" applyFont="1" applyFill="1" applyBorder="1" applyAlignment="1">
      <alignment horizontal="center" vertical="center" wrapText="1" readingOrder="1"/>
    </xf>
    <xf numFmtId="0" fontId="29" fillId="4" borderId="1" xfId="0" applyFont="1" applyFill="1" applyBorder="1" applyAlignment="1">
      <alignment horizontal="center" vertical="center" wrapText="1" readingOrder="1"/>
    </xf>
    <xf numFmtId="0" fontId="29" fillId="8" borderId="1" xfId="0" applyFont="1" applyFill="1" applyBorder="1" applyAlignment="1">
      <alignment horizontal="center" vertical="center" wrapText="1" readingOrder="1"/>
    </xf>
    <xf numFmtId="0" fontId="30" fillId="9" borderId="1" xfId="0" applyFont="1" applyFill="1" applyBorder="1" applyAlignment="1">
      <alignment horizontal="center" vertical="center" wrapText="1" readingOrder="1"/>
    </xf>
    <xf numFmtId="0" fontId="29" fillId="0" borderId="4" xfId="0" applyFont="1" applyBorder="1" applyAlignment="1">
      <alignment horizontal="center" vertical="center" wrapText="1" readingOrder="1"/>
    </xf>
    <xf numFmtId="0" fontId="29"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0" fillId="3" borderId="0" xfId="0" applyFill="1"/>
    <xf numFmtId="0" fontId="44" fillId="3" borderId="40" xfId="2" applyFont="1" applyFill="1" applyBorder="1"/>
    <xf numFmtId="0" fontId="44" fillId="3" borderId="41" xfId="2" applyFont="1" applyFill="1" applyBorder="1"/>
    <xf numFmtId="0" fontId="44" fillId="3" borderId="42" xfId="2" applyFont="1" applyFill="1" applyBorder="1"/>
    <xf numFmtId="0" fontId="14" fillId="3" borderId="0" xfId="0" applyFont="1" applyFill="1" applyAlignment="1">
      <alignment vertical="center"/>
    </xf>
    <xf numFmtId="0" fontId="4" fillId="3" borderId="0" xfId="0" applyFont="1" applyFill="1"/>
    <xf numFmtId="0" fontId="32" fillId="3" borderId="0" xfId="0" applyFont="1" applyFill="1"/>
    <xf numFmtId="0" fontId="33" fillId="3" borderId="23" xfId="0" applyFont="1" applyFill="1" applyBorder="1" applyAlignment="1">
      <alignment horizontal="center" vertical="center" wrapText="1" readingOrder="1"/>
    </xf>
    <xf numFmtId="0" fontId="34" fillId="3" borderId="23" xfId="0" applyFont="1" applyFill="1" applyBorder="1" applyAlignment="1">
      <alignment horizontal="justify" vertical="center" wrapText="1" readingOrder="1"/>
    </xf>
    <xf numFmtId="9" fontId="33" fillId="3" borderId="32" xfId="0" applyNumberFormat="1"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4" fillId="3" borderId="22" xfId="0" applyFont="1" applyFill="1" applyBorder="1" applyAlignment="1">
      <alignment horizontal="justify" vertical="center" wrapText="1" readingOrder="1"/>
    </xf>
    <xf numFmtId="9" fontId="33" fillId="3" borderId="27" xfId="0" applyNumberFormat="1"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xf numFmtId="0" fontId="34" fillId="3" borderId="29" xfId="0" applyFont="1" applyFill="1" applyBorder="1" applyAlignment="1">
      <alignment horizontal="justify" vertical="center" wrapText="1" readingOrder="1"/>
    </xf>
    <xf numFmtId="0" fontId="34" fillId="3" borderId="30" xfId="0" applyFont="1" applyFill="1" applyBorder="1" applyAlignment="1">
      <alignment horizontal="center" vertical="center" wrapText="1" readingOrder="1"/>
    </xf>
    <xf numFmtId="0" fontId="41" fillId="3" borderId="0" xfId="0" applyFont="1" applyFill="1"/>
    <xf numFmtId="0" fontId="33" fillId="15" borderId="34" xfId="0" applyFont="1" applyFill="1" applyBorder="1" applyAlignment="1">
      <alignment horizontal="center" vertical="center" wrapText="1" readingOrder="1"/>
    </xf>
    <xf numFmtId="0" fontId="33"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4" fillId="3" borderId="7" xfId="2" applyFont="1" applyFill="1" applyBorder="1"/>
    <xf numFmtId="0" fontId="49" fillId="3" borderId="0" xfId="0" applyFont="1" applyFill="1" applyAlignment="1">
      <alignment horizontal="left" vertical="center" wrapText="1"/>
    </xf>
    <xf numFmtId="0" fontId="50" fillId="3" borderId="0" xfId="0" applyFont="1" applyFill="1" applyAlignment="1">
      <alignment horizontal="left" vertical="top" wrapText="1"/>
    </xf>
    <xf numFmtId="0" fontId="44" fillId="3" borderId="0" xfId="2" applyFont="1" applyFill="1"/>
    <xf numFmtId="0" fontId="44" fillId="3" borderId="8" xfId="2" applyFont="1" applyFill="1" applyBorder="1"/>
    <xf numFmtId="0" fontId="44" fillId="3" borderId="9" xfId="2" applyFont="1" applyFill="1" applyBorder="1"/>
    <xf numFmtId="0" fontId="44" fillId="3" borderId="11" xfId="2" applyFont="1" applyFill="1" applyBorder="1"/>
    <xf numFmtId="0" fontId="44" fillId="3" borderId="10" xfId="2" applyFont="1" applyFill="1" applyBorder="1"/>
    <xf numFmtId="0" fontId="48" fillId="3" borderId="0" xfId="2" applyFont="1" applyFill="1" applyAlignment="1">
      <alignment horizontal="left" vertical="center" wrapText="1"/>
    </xf>
    <xf numFmtId="0" fontId="44" fillId="3" borderId="0" xfId="2" applyFont="1" applyFill="1" applyAlignment="1">
      <alignment horizontal="left" vertical="center" wrapText="1"/>
    </xf>
    <xf numFmtId="0" fontId="44" fillId="3" borderId="0" xfId="2" quotePrefix="1" applyFont="1" applyFill="1" applyAlignment="1">
      <alignment horizontal="left" vertical="center" wrapText="1"/>
    </xf>
    <xf numFmtId="0" fontId="46" fillId="3" borderId="7"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8" xfId="2" quotePrefix="1" applyFont="1" applyFill="1" applyBorder="1" applyAlignment="1">
      <alignment horizontal="left" vertical="top" wrapText="1"/>
    </xf>
    <xf numFmtId="0" fontId="29" fillId="0" borderId="64" xfId="0" applyFont="1" applyBorder="1" applyAlignment="1">
      <alignment horizontal="justify" vertical="center" wrapText="1" readingOrder="1"/>
    </xf>
    <xf numFmtId="0" fontId="29" fillId="0" borderId="65" xfId="0" applyFont="1" applyBorder="1" applyAlignment="1">
      <alignment horizontal="justify" vertical="center" wrapText="1" readingOrder="1"/>
    </xf>
    <xf numFmtId="165" fontId="27"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4" fillId="3" borderId="0" xfId="0" applyFont="1" applyFill="1"/>
    <xf numFmtId="0" fontId="55" fillId="3" borderId="0" xfId="0" applyFont="1" applyFill="1" applyAlignment="1">
      <alignment horizontal="justify" vertical="center" wrapText="1" readingOrder="1"/>
    </xf>
    <xf numFmtId="0" fontId="54" fillId="0" borderId="0" xfId="0" applyFont="1"/>
    <xf numFmtId="0" fontId="56" fillId="3" borderId="0" xfId="0" applyFont="1" applyFill="1" applyAlignment="1">
      <alignment vertical="center"/>
    </xf>
    <xf numFmtId="44" fontId="0" fillId="3" borderId="0" xfId="5" applyFont="1" applyFill="1" applyAlignment="1">
      <alignment horizontal="left" vertical="center"/>
    </xf>
    <xf numFmtId="44" fontId="54" fillId="3" borderId="0" xfId="5" applyFont="1" applyFill="1" applyAlignment="1">
      <alignment horizontal="left" vertical="center"/>
    </xf>
    <xf numFmtId="44" fontId="0" fillId="0" borderId="0" xfId="5" applyFont="1" applyAlignment="1">
      <alignment horizontal="left" vertical="center"/>
    </xf>
    <xf numFmtId="44" fontId="26" fillId="0" borderId="0" xfId="5" applyFont="1" applyAlignment="1">
      <alignment horizontal="left" vertical="center"/>
    </xf>
    <xf numFmtId="0" fontId="0" fillId="0" borderId="0" xfId="0" applyAlignment="1">
      <alignment wrapText="1"/>
    </xf>
    <xf numFmtId="0" fontId="25" fillId="0" borderId="0" xfId="0" applyFont="1" applyAlignment="1">
      <alignment wrapText="1"/>
    </xf>
    <xf numFmtId="0" fontId="0" fillId="0" borderId="0" xfId="0" applyAlignment="1">
      <alignment vertical="center" wrapText="1"/>
    </xf>
    <xf numFmtId="0" fontId="57" fillId="0" borderId="0" xfId="0" applyFont="1"/>
    <xf numFmtId="0" fontId="58" fillId="0" borderId="0" xfId="0" applyFont="1"/>
    <xf numFmtId="0" fontId="59" fillId="0" borderId="0" xfId="0" applyFont="1"/>
    <xf numFmtId="0" fontId="60" fillId="0" borderId="0" xfId="0" applyFont="1" applyAlignment="1">
      <alignment wrapText="1"/>
    </xf>
    <xf numFmtId="0" fontId="59" fillId="0" borderId="0" xfId="0" applyFont="1" applyAlignment="1">
      <alignment wrapText="1"/>
    </xf>
    <xf numFmtId="0" fontId="57" fillId="0" borderId="8" xfId="0" applyFont="1" applyBorder="1"/>
    <xf numFmtId="0" fontId="62" fillId="0" borderId="8" xfId="0" applyFont="1" applyBorder="1"/>
    <xf numFmtId="0" fontId="63" fillId="19" borderId="69" xfId="0" applyFont="1" applyFill="1" applyBorder="1" applyAlignment="1">
      <alignment horizontal="center" vertical="center" wrapText="1"/>
    </xf>
    <xf numFmtId="0" fontId="64" fillId="19" borderId="10" xfId="0" applyFont="1" applyFill="1" applyBorder="1" applyAlignment="1">
      <alignment horizontal="center" vertical="center" wrapText="1"/>
    </xf>
    <xf numFmtId="0" fontId="63" fillId="19" borderId="33" xfId="0" applyFont="1" applyFill="1" applyBorder="1" applyAlignment="1">
      <alignment horizontal="center" vertical="center" wrapText="1"/>
    </xf>
    <xf numFmtId="0" fontId="62" fillId="0" borderId="0" xfId="0" applyFont="1"/>
    <xf numFmtId="0" fontId="63" fillId="19" borderId="69" xfId="0" applyFont="1" applyFill="1" applyBorder="1" applyAlignment="1">
      <alignment horizontal="center" vertical="center" textRotation="90" wrapText="1"/>
    </xf>
    <xf numFmtId="0" fontId="60" fillId="0" borderId="6" xfId="0" applyFont="1" applyBorder="1" applyAlignment="1">
      <alignment horizontal="justify" vertical="center" wrapText="1"/>
    </xf>
    <xf numFmtId="0" fontId="63" fillId="19" borderId="68" xfId="0" applyFont="1" applyFill="1" applyBorder="1" applyAlignment="1">
      <alignment horizontal="center" vertical="center" textRotation="90" wrapText="1"/>
    </xf>
    <xf numFmtId="0" fontId="60" fillId="0" borderId="68" xfId="0" applyFont="1" applyBorder="1" applyAlignment="1">
      <alignment horizontal="left" vertical="center" wrapText="1"/>
    </xf>
    <xf numFmtId="0" fontId="63" fillId="19" borderId="71" xfId="0" applyFont="1" applyFill="1" applyBorder="1" applyAlignment="1">
      <alignment horizontal="center" vertical="center" textRotation="90" wrapText="1"/>
    </xf>
    <xf numFmtId="0" fontId="60" fillId="0" borderId="69" xfId="0" applyFont="1" applyBorder="1" applyAlignment="1">
      <alignment horizontal="left" vertical="center" wrapText="1"/>
    </xf>
    <xf numFmtId="0" fontId="63" fillId="19" borderId="6" xfId="0" applyFont="1" applyFill="1" applyBorder="1" applyAlignment="1">
      <alignment horizontal="center" vertical="center" textRotation="90" wrapText="1"/>
    </xf>
    <xf numFmtId="0" fontId="67" fillId="0" borderId="68" xfId="0" applyFont="1" applyBorder="1" applyAlignment="1">
      <alignment horizontal="left" vertical="center" wrapText="1"/>
    </xf>
    <xf numFmtId="0" fontId="63" fillId="19" borderId="36" xfId="0" applyFont="1" applyFill="1" applyBorder="1" applyAlignment="1">
      <alignment horizontal="center" vertical="center" textRotation="90" wrapText="1"/>
    </xf>
    <xf numFmtId="0" fontId="68" fillId="0" borderId="8" xfId="0" applyFont="1" applyBorder="1"/>
    <xf numFmtId="0" fontId="69" fillId="20" borderId="6" xfId="0" applyFont="1" applyFill="1" applyBorder="1" applyAlignment="1">
      <alignment horizontal="center" vertical="center" textRotation="90" wrapText="1"/>
    </xf>
    <xf numFmtId="0" fontId="68" fillId="0" borderId="0" xfId="0" applyFont="1"/>
    <xf numFmtId="0" fontId="68" fillId="20" borderId="36" xfId="0" applyFont="1" applyFill="1" applyBorder="1"/>
    <xf numFmtId="0" fontId="70" fillId="20" borderId="69" xfId="0" applyFont="1" applyFill="1" applyBorder="1" applyAlignment="1">
      <alignment horizontal="center" vertical="center" wrapText="1"/>
    </xf>
    <xf numFmtId="0" fontId="69" fillId="20" borderId="69" xfId="0" applyFont="1" applyFill="1" applyBorder="1" applyAlignment="1">
      <alignment horizontal="center" vertical="center" wrapText="1"/>
    </xf>
    <xf numFmtId="0" fontId="64" fillId="0" borderId="0" xfId="0" applyFont="1" applyAlignment="1">
      <alignment horizontal="center" vertical="center"/>
    </xf>
    <xf numFmtId="0" fontId="63" fillId="0" borderId="0" xfId="0" applyFont="1" applyAlignment="1">
      <alignment horizontal="center" vertical="center"/>
    </xf>
    <xf numFmtId="0" fontId="60" fillId="0" borderId="0" xfId="0" applyFont="1"/>
    <xf numFmtId="0" fontId="71" fillId="0" borderId="0" xfId="0" applyFont="1" applyAlignment="1">
      <alignment vertical="center" wrapText="1"/>
    </xf>
    <xf numFmtId="0" fontId="71" fillId="0" borderId="73" xfId="0" applyFont="1" applyBorder="1" applyAlignment="1">
      <alignment horizontal="center" vertical="center" wrapText="1"/>
    </xf>
    <xf numFmtId="0" fontId="71" fillId="0" borderId="26" xfId="0" applyFont="1" applyBorder="1" applyAlignment="1">
      <alignment horizontal="center" vertical="center" wrapText="1"/>
    </xf>
    <xf numFmtId="0" fontId="71" fillId="0" borderId="22" xfId="0" applyFont="1" applyBorder="1" applyAlignment="1">
      <alignment vertical="center" wrapText="1"/>
    </xf>
    <xf numFmtId="0" fontId="71" fillId="0" borderId="27" xfId="0" applyFont="1" applyBorder="1" applyAlignment="1">
      <alignment vertical="center" wrapText="1"/>
    </xf>
    <xf numFmtId="0" fontId="76" fillId="0" borderId="77" xfId="0" applyFont="1" applyBorder="1" applyAlignment="1">
      <alignment horizontal="justify" vertical="center" wrapText="1"/>
    </xf>
    <xf numFmtId="0" fontId="76" fillId="0" borderId="79" xfId="0" applyFont="1" applyBorder="1" applyAlignment="1">
      <alignment horizontal="justify" vertical="center" wrapText="1"/>
    </xf>
    <xf numFmtId="0" fontId="75" fillId="16" borderId="77" xfId="0" applyFont="1" applyFill="1" applyBorder="1" applyAlignment="1">
      <alignment horizontal="center" vertical="center" wrapText="1"/>
    </xf>
    <xf numFmtId="0" fontId="75" fillId="16" borderId="79" xfId="0" applyFont="1" applyFill="1" applyBorder="1" applyAlignment="1">
      <alignment horizontal="center" vertical="center" wrapText="1"/>
    </xf>
    <xf numFmtId="0" fontId="75" fillId="16" borderId="81"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30" xfId="0" applyFont="1" applyFill="1" applyBorder="1" applyAlignment="1">
      <alignment horizontal="center" vertical="center" wrapText="1"/>
    </xf>
    <xf numFmtId="0" fontId="75" fillId="19" borderId="69" xfId="0" applyFont="1" applyFill="1" applyBorder="1" applyAlignment="1">
      <alignment horizontal="center" vertical="center" wrapText="1"/>
    </xf>
    <xf numFmtId="0" fontId="75" fillId="19" borderId="36" xfId="0" applyFont="1" applyFill="1" applyBorder="1" applyAlignment="1">
      <alignment horizontal="center" vertical="center" wrapText="1"/>
    </xf>
    <xf numFmtId="0" fontId="76" fillId="0" borderId="10" xfId="0" applyFont="1" applyBorder="1" applyAlignment="1">
      <alignment horizontal="justify" vertical="center" wrapText="1"/>
    </xf>
    <xf numFmtId="0" fontId="60" fillId="0" borderId="5" xfId="0" applyFont="1" applyBorder="1" applyAlignment="1">
      <alignment horizontal="justify" vertical="center" wrapText="1"/>
    </xf>
    <xf numFmtId="0" fontId="60" fillId="0" borderId="5" xfId="0" applyFont="1" applyBorder="1" applyAlignment="1">
      <alignment horizontal="left" vertical="center" wrapText="1"/>
    </xf>
    <xf numFmtId="0" fontId="59" fillId="0" borderId="24" xfId="0" applyFont="1" applyBorder="1" applyAlignment="1">
      <alignment horizontal="left" vertical="center" wrapText="1"/>
    </xf>
    <xf numFmtId="0" fontId="59" fillId="0" borderId="5" xfId="0" applyFont="1" applyBorder="1" applyAlignment="1">
      <alignment horizontal="justify" vertical="center" wrapText="1"/>
    </xf>
    <xf numFmtId="0" fontId="62" fillId="0" borderId="85" xfId="0" applyFont="1" applyBorder="1" applyAlignment="1">
      <alignment horizontal="center" vertical="center"/>
    </xf>
    <xf numFmtId="0" fontId="62" fillId="0" borderId="84" xfId="0" applyFont="1" applyBorder="1" applyAlignment="1">
      <alignment horizontal="center" vertical="center"/>
    </xf>
    <xf numFmtId="0" fontId="68" fillId="0" borderId="86" xfId="0" applyFont="1" applyBorder="1" applyAlignment="1">
      <alignment horizontal="center" vertical="center"/>
    </xf>
    <xf numFmtId="0" fontId="78" fillId="24" borderId="89" xfId="0" applyFont="1" applyFill="1" applyBorder="1" applyAlignment="1">
      <alignment horizontal="left" vertical="center" wrapText="1" readingOrder="1"/>
    </xf>
    <xf numFmtId="0" fontId="78" fillId="25" borderId="89" xfId="0" applyFont="1" applyFill="1" applyBorder="1" applyAlignment="1">
      <alignment horizontal="left" vertical="center" wrapText="1" readingOrder="1"/>
    </xf>
    <xf numFmtId="0" fontId="84" fillId="0" borderId="84" xfId="0" applyFont="1" applyBorder="1" applyAlignment="1">
      <alignment vertical="center" wrapText="1"/>
    </xf>
    <xf numFmtId="0" fontId="83" fillId="0" borderId="84" xfId="0" applyFont="1" applyBorder="1" applyAlignment="1">
      <alignment vertical="center"/>
    </xf>
    <xf numFmtId="0" fontId="83" fillId="0" borderId="84" xfId="0" applyFont="1" applyBorder="1" applyAlignment="1">
      <alignment vertical="center" wrapText="1"/>
    </xf>
    <xf numFmtId="0" fontId="83" fillId="26" borderId="0" xfId="0" applyFont="1" applyFill="1" applyAlignment="1">
      <alignment horizontal="center" vertical="center"/>
    </xf>
    <xf numFmtId="0" fontId="75" fillId="26" borderId="69" xfId="0" applyFont="1" applyFill="1" applyBorder="1" applyAlignment="1">
      <alignment horizontal="center" vertical="center" wrapText="1"/>
    </xf>
    <xf numFmtId="0" fontId="75" fillId="26" borderId="36" xfId="0" applyFont="1" applyFill="1" applyBorder="1" applyAlignment="1">
      <alignment horizontal="center" vertical="center" wrapText="1"/>
    </xf>
    <xf numFmtId="0" fontId="71" fillId="0" borderId="74" xfId="0" applyFont="1" applyBorder="1" applyAlignment="1">
      <alignment horizontal="center" vertical="center" wrapText="1"/>
    </xf>
    <xf numFmtId="0" fontId="71" fillId="0" borderId="75"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3" fillId="3" borderId="0" xfId="5" applyFont="1" applyFill="1" applyAlignment="1">
      <alignment vertical="top"/>
    </xf>
    <xf numFmtId="0" fontId="80" fillId="0" borderId="90" xfId="0" applyFont="1" applyBorder="1" applyAlignment="1" applyProtection="1">
      <alignment horizontal="center" vertical="center" wrapText="1"/>
      <protection locked="0"/>
    </xf>
    <xf numFmtId="0" fontId="80" fillId="0" borderId="90" xfId="0" applyFont="1" applyBorder="1" applyAlignment="1" applyProtection="1">
      <alignment horizontal="justify" vertical="center" wrapText="1"/>
      <protection locked="0"/>
    </xf>
    <xf numFmtId="0" fontId="80" fillId="0" borderId="90" xfId="0" applyFont="1" applyBorder="1" applyAlignment="1" applyProtection="1">
      <alignment horizontal="justify" vertical="center"/>
      <protection locked="0"/>
    </xf>
    <xf numFmtId="0" fontId="80" fillId="0" borderId="90" xfId="0" applyFont="1" applyBorder="1" applyAlignment="1" applyProtection="1">
      <alignment horizontal="center" vertical="center"/>
      <protection hidden="1"/>
    </xf>
    <xf numFmtId="0" fontId="80" fillId="0" borderId="90" xfId="0" applyFont="1" applyBorder="1" applyAlignment="1" applyProtection="1">
      <alignment horizontal="center" vertical="center" textRotation="90"/>
      <protection locked="0"/>
    </xf>
    <xf numFmtId="9" fontId="80" fillId="0" borderId="90" xfId="0" applyNumberFormat="1" applyFont="1" applyBorder="1" applyAlignment="1" applyProtection="1">
      <alignment horizontal="center" vertical="center"/>
      <protection hidden="1"/>
    </xf>
    <xf numFmtId="164" fontId="80" fillId="0" borderId="90" xfId="1" applyNumberFormat="1" applyFont="1" applyFill="1" applyBorder="1" applyAlignment="1">
      <alignment horizontal="center" vertical="center"/>
    </xf>
    <xf numFmtId="0" fontId="81" fillId="0" borderId="90" xfId="0" applyFont="1" applyBorder="1" applyAlignment="1" applyProtection="1">
      <alignment horizontal="center" vertical="center" textRotation="90" wrapText="1"/>
      <protection hidden="1"/>
    </xf>
    <xf numFmtId="0" fontId="81" fillId="0" borderId="90" xfId="0" applyFont="1" applyBorder="1" applyAlignment="1" applyProtection="1">
      <alignment horizontal="center" vertical="center" textRotation="90"/>
      <protection hidden="1"/>
    </xf>
    <xf numFmtId="0" fontId="80" fillId="0" borderId="90" xfId="0" applyFont="1" applyBorder="1" applyAlignment="1" applyProtection="1">
      <alignment horizontal="center" vertical="center" textRotation="90" wrapText="1"/>
      <protection locked="0"/>
    </xf>
    <xf numFmtId="0" fontId="80" fillId="0" borderId="90" xfId="0" applyFont="1" applyBorder="1" applyAlignment="1" applyProtection="1">
      <alignment horizontal="center" vertical="center"/>
      <protection locked="0"/>
    </xf>
    <xf numFmtId="14" fontId="80" fillId="0" borderId="90" xfId="0" applyNumberFormat="1" applyFont="1" applyBorder="1" applyAlignment="1" applyProtection="1">
      <alignment horizontal="center" vertical="center"/>
      <protection locked="0"/>
    </xf>
    <xf numFmtId="0" fontId="80" fillId="0" borderId="0" xfId="0" applyFont="1"/>
    <xf numFmtId="0" fontId="80" fillId="0" borderId="90" xfId="0" applyFont="1" applyBorder="1" applyAlignment="1" applyProtection="1">
      <alignment horizontal="justify" vertical="top" wrapText="1"/>
      <protection locked="0"/>
    </xf>
    <xf numFmtId="0" fontId="85" fillId="3" borderId="0" xfId="0" applyFont="1" applyFill="1"/>
    <xf numFmtId="0" fontId="85" fillId="0" borderId="0" xfId="0" applyFont="1"/>
    <xf numFmtId="0" fontId="80" fillId="3" borderId="0" xfId="0" applyFont="1" applyFill="1" applyAlignment="1">
      <alignment horizontal="center" vertical="center"/>
    </xf>
    <xf numFmtId="0" fontId="80" fillId="3" borderId="0" xfId="0" applyFont="1" applyFill="1" applyAlignment="1">
      <alignment horizontal="left" vertical="center"/>
    </xf>
    <xf numFmtId="0" fontId="80" fillId="3" borderId="0" xfId="0" applyFont="1" applyFill="1"/>
    <xf numFmtId="0" fontId="80" fillId="3" borderId="0" xfId="0" applyFont="1" applyFill="1" applyAlignment="1">
      <alignment horizontal="center"/>
    </xf>
    <xf numFmtId="0" fontId="81" fillId="0" borderId="0" xfId="0" applyFont="1" applyAlignment="1">
      <alignment horizontal="left" vertical="center"/>
    </xf>
    <xf numFmtId="0" fontId="80" fillId="0" borderId="0" xfId="0" applyFont="1" applyAlignment="1" applyProtection="1">
      <alignment horizontal="left" vertical="center" wrapText="1"/>
      <protection locked="0"/>
    </xf>
    <xf numFmtId="0" fontId="81" fillId="0" borderId="0" xfId="0" applyFont="1"/>
    <xf numFmtId="0" fontId="80" fillId="0" borderId="0" xfId="0" applyFont="1" applyAlignment="1">
      <alignment horizontal="left" wrapText="1"/>
    </xf>
    <xf numFmtId="0" fontId="81" fillId="16" borderId="90" xfId="0" applyFont="1" applyFill="1" applyBorder="1" applyAlignment="1">
      <alignment horizontal="center" vertical="center" textRotation="90"/>
    </xf>
    <xf numFmtId="0" fontId="81" fillId="3" borderId="0" xfId="0" applyFont="1" applyFill="1" applyAlignment="1">
      <alignment horizontal="center" vertical="center"/>
    </xf>
    <xf numFmtId="0" fontId="81" fillId="0" borderId="0" xfId="0" applyFont="1" applyAlignment="1">
      <alignment horizontal="center" vertical="center"/>
    </xf>
    <xf numFmtId="0" fontId="81" fillId="2" borderId="0" xfId="0" applyFont="1" applyFill="1" applyAlignment="1">
      <alignment horizontal="center" vertical="center"/>
    </xf>
    <xf numFmtId="0" fontId="80" fillId="0" borderId="90" xfId="0" applyFont="1" applyBorder="1" applyAlignment="1">
      <alignment horizontal="center" vertical="center"/>
    </xf>
    <xf numFmtId="0" fontId="80" fillId="0" borderId="0" xfId="0" applyFont="1" applyAlignment="1">
      <alignment vertical="center"/>
    </xf>
    <xf numFmtId="0" fontId="80" fillId="0" borderId="3" xfId="0" applyFont="1" applyBorder="1" applyAlignment="1">
      <alignment horizontal="center" vertical="center"/>
    </xf>
    <xf numFmtId="0" fontId="80" fillId="0" borderId="0" xfId="0" applyFont="1" applyAlignment="1">
      <alignment wrapText="1"/>
    </xf>
    <xf numFmtId="0" fontId="80" fillId="0" borderId="0" xfId="0" applyFont="1" applyAlignment="1">
      <alignment horizontal="center" vertical="center"/>
    </xf>
    <xf numFmtId="0" fontId="80" fillId="0" borderId="0" xfId="0" applyFont="1" applyAlignment="1">
      <alignment horizontal="center"/>
    </xf>
    <xf numFmtId="166" fontId="29" fillId="0" borderId="64" xfId="0" applyNumberFormat="1" applyFont="1" applyBorder="1" applyAlignment="1">
      <alignment horizontal="center" vertical="center" wrapText="1" readingOrder="1"/>
    </xf>
    <xf numFmtId="0" fontId="80" fillId="0" borderId="91" xfId="0" applyFont="1" applyBorder="1" applyAlignment="1" applyProtection="1">
      <alignment horizontal="center" vertical="center" wrapText="1"/>
      <protection locked="0"/>
    </xf>
    <xf numFmtId="0" fontId="80" fillId="0" borderId="99"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1" fillId="16" borderId="92" xfId="0" applyFont="1" applyFill="1" applyBorder="1" applyAlignment="1">
      <alignment vertical="center"/>
    </xf>
    <xf numFmtId="0" fontId="0" fillId="21" borderId="7" xfId="0" applyFill="1" applyBorder="1"/>
    <xf numFmtId="0" fontId="0" fillId="21" borderId="0" xfId="0" applyFill="1"/>
    <xf numFmtId="0" fontId="0" fillId="0" borderId="8" xfId="0" applyBorder="1"/>
    <xf numFmtId="0" fontId="0" fillId="8" borderId="7" xfId="0" applyFill="1" applyBorder="1"/>
    <xf numFmtId="0" fontId="0" fillId="8" borderId="0" xfId="0" applyFill="1"/>
    <xf numFmtId="0" fontId="0" fillId="27" borderId="7" xfId="0" applyFill="1" applyBorder="1"/>
    <xf numFmtId="0" fontId="0" fillId="27" borderId="0" xfId="0" applyFill="1"/>
    <xf numFmtId="0" fontId="0" fillId="27" borderId="9" xfId="0" applyFill="1" applyBorder="1"/>
    <xf numFmtId="0" fontId="0" fillId="27" borderId="11" xfId="0" applyFill="1" applyBorder="1"/>
    <xf numFmtId="0" fontId="0" fillId="0" borderId="11" xfId="0" applyBorder="1"/>
    <xf numFmtId="0" fontId="0" fillId="0" borderId="10" xfId="0" applyBorder="1"/>
    <xf numFmtId="0" fontId="83" fillId="0" borderId="24" xfId="0" applyFont="1" applyBorder="1"/>
    <xf numFmtId="0" fontId="83" fillId="0" borderId="25" xfId="0" applyFont="1" applyBorder="1"/>
    <xf numFmtId="0" fontId="0" fillId="0" borderId="25" xfId="0" applyBorder="1"/>
    <xf numFmtId="0" fontId="0" fillId="0" borderId="36" xfId="0" applyBorder="1"/>
    <xf numFmtId="0" fontId="86" fillId="0" borderId="90" xfId="0" applyFont="1" applyBorder="1" applyAlignment="1" applyProtection="1">
      <alignment horizontal="justify" vertical="center" wrapText="1"/>
      <protection locked="0"/>
    </xf>
    <xf numFmtId="0" fontId="87" fillId="28" borderId="109" xfId="0" applyFont="1" applyFill="1" applyBorder="1" applyAlignment="1" applyProtection="1">
      <alignment horizontal="center" vertical="center" wrapText="1"/>
      <protection hidden="1"/>
    </xf>
    <xf numFmtId="0" fontId="87" fillId="28" borderId="110" xfId="0" applyFont="1" applyFill="1" applyBorder="1" applyAlignment="1" applyProtection="1">
      <alignment horizontal="center" vertical="center" wrapText="1"/>
      <protection hidden="1"/>
    </xf>
    <xf numFmtId="0" fontId="87" fillId="28" borderId="111" xfId="0" applyFont="1" applyFill="1" applyBorder="1" applyAlignment="1" applyProtection="1">
      <alignment horizontal="center" vertical="center" wrapText="1"/>
      <protection hidden="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71" fillId="0" borderId="0" xfId="0" applyFont="1" applyAlignment="1">
      <alignment vertical="center"/>
    </xf>
    <xf numFmtId="0" fontId="83" fillId="0" borderId="70" xfId="0" applyFont="1" applyBorder="1" applyAlignment="1">
      <alignment vertical="center"/>
    </xf>
    <xf numFmtId="0" fontId="83" fillId="3" borderId="0" xfId="0" applyFont="1" applyFill="1"/>
    <xf numFmtId="0" fontId="81" fillId="21" borderId="92" xfId="0" applyFont="1" applyFill="1" applyBorder="1" applyAlignment="1">
      <alignment horizontal="center" vertical="center" wrapText="1"/>
    </xf>
    <xf numFmtId="0" fontId="81" fillId="21" borderId="91" xfId="0" applyFont="1" applyFill="1" applyBorder="1" applyAlignment="1">
      <alignment horizontal="center" vertical="center" wrapText="1"/>
    </xf>
    <xf numFmtId="0" fontId="79" fillId="0" borderId="0" xfId="0" applyFont="1" applyAlignment="1">
      <alignment vertical="center"/>
    </xf>
    <xf numFmtId="0" fontId="89" fillId="0" borderId="0" xfId="0" applyFont="1" applyAlignment="1">
      <alignment vertical="center"/>
    </xf>
    <xf numFmtId="0" fontId="80" fillId="3" borderId="0" xfId="0" applyFont="1" applyFill="1" applyAlignment="1">
      <alignment wrapText="1"/>
    </xf>
    <xf numFmtId="0" fontId="80" fillId="0" borderId="0" xfId="0" applyFont="1" applyAlignment="1" applyProtection="1">
      <alignment vertical="center"/>
      <protection locked="0"/>
    </xf>
    <xf numFmtId="0" fontId="80" fillId="3" borderId="0" xfId="0" applyFont="1" applyFill="1" applyAlignment="1" applyProtection="1">
      <alignment vertical="center" wrapText="1"/>
      <protection locked="0"/>
    </xf>
    <xf numFmtId="0" fontId="81" fillId="3" borderId="0" xfId="0" applyFont="1" applyFill="1"/>
    <xf numFmtId="0" fontId="80" fillId="23" borderId="0" xfId="0" applyFont="1" applyFill="1" applyAlignment="1">
      <alignment horizontal="center" vertical="center"/>
    </xf>
    <xf numFmtId="0" fontId="80" fillId="23" borderId="0" xfId="0" applyFont="1" applyFill="1"/>
    <xf numFmtId="0" fontId="80" fillId="23" borderId="0" xfId="0" applyFont="1" applyFill="1" applyAlignment="1">
      <alignment horizontal="center"/>
    </xf>
    <xf numFmtId="0" fontId="80" fillId="23" borderId="0" xfId="0" applyFont="1" applyFill="1" applyAlignment="1">
      <alignment wrapText="1"/>
    </xf>
    <xf numFmtId="0" fontId="81" fillId="21" borderId="99" xfId="0" applyFont="1" applyFill="1" applyBorder="1" applyAlignment="1">
      <alignment horizontal="center" vertical="center" wrapText="1"/>
    </xf>
    <xf numFmtId="0" fontId="81" fillId="16" borderId="91" xfId="0" applyFont="1" applyFill="1" applyBorder="1" applyAlignment="1">
      <alignment horizontal="center" vertical="center" textRotation="90"/>
    </xf>
    <xf numFmtId="0" fontId="80" fillId="0" borderId="92" xfId="0" applyFont="1" applyBorder="1" applyAlignment="1" applyProtection="1">
      <alignment horizontal="justify" vertical="center" wrapText="1"/>
      <protection locked="0"/>
    </xf>
    <xf numFmtId="0" fontId="80" fillId="0" borderId="92" xfId="0" applyFont="1" applyBorder="1" applyAlignment="1" applyProtection="1">
      <alignment horizontal="center" vertical="center"/>
      <protection locked="0"/>
    </xf>
    <xf numFmtId="0" fontId="80" fillId="0" borderId="92" xfId="0" applyFont="1" applyBorder="1" applyAlignment="1">
      <alignment horizontal="center" vertical="center"/>
    </xf>
    <xf numFmtId="0" fontId="80" fillId="0" borderId="92" xfId="0" applyFont="1" applyBorder="1" applyAlignment="1" applyProtection="1">
      <alignment horizontal="center" vertical="center"/>
      <protection hidden="1"/>
    </xf>
    <xf numFmtId="0" fontId="80" fillId="0" borderId="92" xfId="0" applyFont="1" applyBorder="1" applyAlignment="1" applyProtection="1">
      <alignment horizontal="center" vertical="center" textRotation="90"/>
      <protection locked="0"/>
    </xf>
    <xf numFmtId="9" fontId="80" fillId="0" borderId="92" xfId="0" applyNumberFormat="1" applyFont="1" applyBorder="1" applyAlignment="1" applyProtection="1">
      <alignment horizontal="center" vertical="center"/>
      <protection hidden="1"/>
    </xf>
    <xf numFmtId="164" fontId="80" fillId="0" borderId="92" xfId="1" applyNumberFormat="1" applyFont="1" applyFill="1" applyBorder="1" applyAlignment="1">
      <alignment horizontal="center" vertical="center"/>
    </xf>
    <xf numFmtId="0" fontId="81" fillId="0" borderId="92" xfId="0" applyFont="1" applyBorder="1" applyAlignment="1" applyProtection="1">
      <alignment horizontal="center" vertical="center" textRotation="90" wrapText="1"/>
      <protection hidden="1"/>
    </xf>
    <xf numFmtId="0" fontId="81" fillId="0" borderId="92" xfId="0" applyFont="1" applyBorder="1" applyAlignment="1" applyProtection="1">
      <alignment horizontal="center" vertical="center" textRotation="90"/>
      <protection hidden="1"/>
    </xf>
    <xf numFmtId="0" fontId="80" fillId="0" borderId="92" xfId="0" applyFont="1" applyBorder="1" applyAlignment="1" applyProtection="1">
      <alignment horizontal="center" vertical="center" textRotation="90" wrapText="1"/>
      <protection locked="0"/>
    </xf>
    <xf numFmtId="14" fontId="80" fillId="0" borderId="92" xfId="0" applyNumberFormat="1" applyFont="1" applyBorder="1" applyAlignment="1" applyProtection="1">
      <alignment horizontal="center" vertical="center"/>
      <protection locked="0"/>
    </xf>
    <xf numFmtId="0" fontId="80" fillId="0" borderId="116" xfId="0" applyFont="1" applyBorder="1" applyAlignment="1" applyProtection="1">
      <alignment horizontal="center" vertical="center" wrapText="1"/>
      <protection locked="0"/>
    </xf>
    <xf numFmtId="0" fontId="80" fillId="0" borderId="116" xfId="0" applyFont="1" applyBorder="1" applyAlignment="1">
      <alignment horizontal="center" vertical="center"/>
    </xf>
    <xf numFmtId="0" fontId="86" fillId="0" borderId="116" xfId="0" applyFont="1" applyBorder="1" applyAlignment="1" applyProtection="1">
      <alignment horizontal="justify" vertical="center" wrapText="1"/>
      <protection locked="0"/>
    </xf>
    <xf numFmtId="0" fontId="80" fillId="0" borderId="116" xfId="0" applyFont="1" applyBorder="1" applyAlignment="1" applyProtection="1">
      <alignment horizontal="center" vertical="center"/>
      <protection hidden="1"/>
    </xf>
    <xf numFmtId="0" fontId="80" fillId="0" borderId="116" xfId="0" applyFont="1" applyBorder="1" applyAlignment="1" applyProtection="1">
      <alignment horizontal="center" vertical="center" textRotation="90"/>
      <protection locked="0"/>
    </xf>
    <xf numFmtId="9" fontId="80" fillId="0" borderId="116" xfId="0" applyNumberFormat="1" applyFont="1" applyBorder="1" applyAlignment="1" applyProtection="1">
      <alignment horizontal="center" vertical="center"/>
      <protection hidden="1"/>
    </xf>
    <xf numFmtId="164" fontId="80" fillId="0" borderId="116" xfId="1" applyNumberFormat="1" applyFont="1" applyFill="1" applyBorder="1" applyAlignment="1">
      <alignment horizontal="center" vertical="center"/>
    </xf>
    <xf numFmtId="0" fontId="81" fillId="0" borderId="116" xfId="0" applyFont="1" applyBorder="1" applyAlignment="1" applyProtection="1">
      <alignment horizontal="center" vertical="center" textRotation="90" wrapText="1"/>
      <protection hidden="1"/>
    </xf>
    <xf numFmtId="0" fontId="81" fillId="0" borderId="116" xfId="0" applyFont="1" applyBorder="1" applyAlignment="1" applyProtection="1">
      <alignment horizontal="center" vertical="center" textRotation="90"/>
      <protection hidden="1"/>
    </xf>
    <xf numFmtId="0" fontId="80" fillId="0" borderId="116" xfId="0" applyFont="1" applyBorder="1" applyAlignment="1" applyProtection="1">
      <alignment horizontal="center" vertical="center" textRotation="90" wrapText="1"/>
      <protection locked="0"/>
    </xf>
    <xf numFmtId="14" fontId="80" fillId="0" borderId="116" xfId="0" applyNumberFormat="1" applyFont="1" applyBorder="1" applyAlignment="1" applyProtection="1">
      <alignment horizontal="center" vertical="center" wrapText="1"/>
      <protection locked="0"/>
    </xf>
    <xf numFmtId="0" fontId="80" fillId="0" borderId="118" xfId="0" applyFont="1" applyBorder="1" applyAlignment="1" applyProtection="1">
      <alignment horizontal="center" vertical="center" wrapText="1"/>
      <protection locked="0"/>
    </xf>
    <xf numFmtId="0" fontId="80" fillId="0" borderId="118" xfId="0" applyFont="1" applyBorder="1" applyAlignment="1" applyProtection="1">
      <alignment horizontal="justify" vertical="center" wrapText="1"/>
      <protection locked="0"/>
    </xf>
    <xf numFmtId="0" fontId="80" fillId="0" borderId="118" xfId="0" applyFont="1" applyBorder="1" applyAlignment="1" applyProtection="1">
      <alignment horizontal="center" vertical="center"/>
      <protection locked="0"/>
    </xf>
    <xf numFmtId="0" fontId="80" fillId="0" borderId="118" xfId="0" applyFont="1" applyBorder="1" applyAlignment="1">
      <alignment horizontal="center" vertical="center"/>
    </xf>
    <xf numFmtId="0" fontId="80" fillId="0" borderId="118" xfId="0" applyFont="1" applyBorder="1" applyAlignment="1" applyProtection="1">
      <alignment horizontal="center" vertical="center"/>
      <protection hidden="1"/>
    </xf>
    <xf numFmtId="0" fontId="80" fillId="0" borderId="118" xfId="0" applyFont="1" applyBorder="1" applyAlignment="1" applyProtection="1">
      <alignment horizontal="center" vertical="center" textRotation="90"/>
      <protection locked="0"/>
    </xf>
    <xf numFmtId="9" fontId="80" fillId="0" borderId="118" xfId="0" applyNumberFormat="1" applyFont="1" applyBorder="1" applyAlignment="1" applyProtection="1">
      <alignment horizontal="center" vertical="center"/>
      <protection hidden="1"/>
    </xf>
    <xf numFmtId="164" fontId="80" fillId="0" borderId="118" xfId="1" applyNumberFormat="1" applyFont="1" applyFill="1" applyBorder="1" applyAlignment="1">
      <alignment horizontal="center" vertical="center"/>
    </xf>
    <xf numFmtId="0" fontId="81" fillId="0" borderId="118" xfId="0" applyFont="1" applyBorder="1" applyAlignment="1" applyProtection="1">
      <alignment horizontal="center" vertical="center" textRotation="90" wrapText="1"/>
      <protection hidden="1"/>
    </xf>
    <xf numFmtId="0" fontId="81" fillId="0" borderId="118" xfId="0" applyFont="1" applyBorder="1" applyAlignment="1" applyProtection="1">
      <alignment horizontal="center" vertical="center" textRotation="90"/>
      <protection hidden="1"/>
    </xf>
    <xf numFmtId="0" fontId="80" fillId="0" borderId="118" xfId="0" applyFont="1" applyBorder="1" applyAlignment="1" applyProtection="1">
      <alignment horizontal="center" vertical="center" textRotation="90" wrapText="1"/>
      <protection locked="0"/>
    </xf>
    <xf numFmtId="14" fontId="80" fillId="0" borderId="118" xfId="0" applyNumberFormat="1" applyFont="1" applyBorder="1" applyAlignment="1" applyProtection="1">
      <alignment horizontal="center" vertical="center"/>
      <protection locked="0"/>
    </xf>
    <xf numFmtId="0" fontId="86" fillId="0" borderId="90" xfId="0" applyFont="1" applyBorder="1" applyAlignment="1" applyProtection="1">
      <alignment horizontal="justify" vertical="top" wrapText="1"/>
      <protection locked="0"/>
    </xf>
    <xf numFmtId="0" fontId="86" fillId="0" borderId="116" xfId="0" applyFont="1" applyBorder="1" applyAlignment="1" applyProtection="1">
      <alignment horizontal="justify" vertical="top" wrapText="1"/>
      <protection locked="0"/>
    </xf>
    <xf numFmtId="0" fontId="80" fillId="0" borderId="12" xfId="0" applyFont="1" applyBorder="1" applyAlignment="1">
      <alignment horizontal="center" vertical="center" wrapText="1"/>
    </xf>
    <xf numFmtId="0" fontId="45" fillId="23" borderId="37" xfId="2" applyFont="1" applyFill="1" applyBorder="1" applyAlignment="1">
      <alignment horizontal="center" vertical="center" wrapText="1"/>
    </xf>
    <xf numFmtId="0" fontId="45" fillId="23" borderId="38" xfId="2" applyFont="1" applyFill="1" applyBorder="1" applyAlignment="1">
      <alignment horizontal="center" vertical="center" wrapText="1"/>
    </xf>
    <xf numFmtId="0" fontId="45" fillId="23" borderId="39" xfId="2" applyFont="1" applyFill="1" applyBorder="1" applyAlignment="1">
      <alignment horizontal="center" vertical="center" wrapText="1"/>
    </xf>
    <xf numFmtId="0" fontId="44" fillId="0" borderId="7" xfId="2" quotePrefix="1" applyFont="1" applyBorder="1" applyAlignment="1">
      <alignment horizontal="left" vertical="center" wrapText="1"/>
    </xf>
    <xf numFmtId="0" fontId="44" fillId="0" borderId="0" xfId="2" quotePrefix="1" applyFont="1" applyAlignment="1">
      <alignment horizontal="left" vertical="center" wrapText="1"/>
    </xf>
    <xf numFmtId="0" fontId="44" fillId="0" borderId="8" xfId="2" quotePrefix="1" applyFont="1" applyBorder="1" applyAlignment="1">
      <alignment horizontal="left" vertical="center" wrapText="1"/>
    </xf>
    <xf numFmtId="0" fontId="44" fillId="0" borderId="57" xfId="2" quotePrefix="1" applyFont="1" applyBorder="1" applyAlignment="1">
      <alignment horizontal="left" vertical="center" wrapText="1"/>
    </xf>
    <xf numFmtId="0" fontId="44" fillId="0" borderId="58" xfId="2" quotePrefix="1" applyFont="1" applyBorder="1" applyAlignment="1">
      <alignment horizontal="left" vertical="center" wrapText="1"/>
    </xf>
    <xf numFmtId="0" fontId="44" fillId="0" borderId="59" xfId="2" quotePrefix="1" applyFont="1" applyBorder="1" applyAlignment="1">
      <alignment horizontal="left" vertical="center" wrapText="1"/>
    </xf>
    <xf numFmtId="0" fontId="46" fillId="3" borderId="40" xfId="2" quotePrefix="1" applyFont="1" applyFill="1" applyBorder="1" applyAlignment="1">
      <alignment horizontal="left" vertical="top" wrapText="1"/>
    </xf>
    <xf numFmtId="0" fontId="47" fillId="3" borderId="41" xfId="2" quotePrefix="1" applyFont="1" applyFill="1" applyBorder="1" applyAlignment="1">
      <alignment horizontal="left" vertical="top" wrapText="1"/>
    </xf>
    <xf numFmtId="0" fontId="47" fillId="3" borderId="42" xfId="2" quotePrefix="1" applyFont="1" applyFill="1" applyBorder="1" applyAlignment="1">
      <alignment horizontal="left" vertical="top" wrapText="1"/>
    </xf>
    <xf numFmtId="0" fontId="44" fillId="0" borderId="7" xfId="2" quotePrefix="1" applyFont="1" applyBorder="1" applyAlignment="1">
      <alignment horizontal="left" vertical="top" wrapText="1"/>
    </xf>
    <xf numFmtId="0" fontId="44" fillId="0" borderId="0" xfId="2" quotePrefix="1" applyFont="1" applyAlignment="1">
      <alignment horizontal="left" vertical="top" wrapText="1"/>
    </xf>
    <xf numFmtId="0" fontId="44" fillId="0" borderId="8" xfId="2" quotePrefix="1" applyFont="1" applyBorder="1" applyAlignment="1">
      <alignment horizontal="left" vertical="top" wrapText="1"/>
    </xf>
    <xf numFmtId="0" fontId="49" fillId="14" borderId="43" xfId="3" applyFont="1" applyFill="1" applyBorder="1" applyAlignment="1">
      <alignment horizontal="center" vertical="center" wrapText="1"/>
    </xf>
    <xf numFmtId="0" fontId="49" fillId="14" borderId="44" xfId="3" applyFont="1" applyFill="1" applyBorder="1" applyAlignment="1">
      <alignment horizontal="center" vertical="center" wrapText="1"/>
    </xf>
    <xf numFmtId="0" fontId="49" fillId="14" borderId="45" xfId="2" applyFont="1" applyFill="1" applyBorder="1" applyAlignment="1">
      <alignment horizontal="center" vertical="center"/>
    </xf>
    <xf numFmtId="0" fontId="49"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49" fillId="3" borderId="47" xfId="3" applyFont="1" applyFill="1" applyBorder="1" applyAlignment="1">
      <alignment horizontal="left" vertical="top" wrapText="1" readingOrder="1"/>
    </xf>
    <xf numFmtId="0" fontId="49" fillId="3" borderId="48" xfId="3" applyFont="1" applyFill="1" applyBorder="1" applyAlignment="1">
      <alignment horizontal="left" vertical="top" wrapText="1" readingOrder="1"/>
    </xf>
    <xf numFmtId="0" fontId="50" fillId="3" borderId="49" xfId="2" applyFont="1" applyFill="1" applyBorder="1" applyAlignment="1">
      <alignment horizontal="justify" vertical="center" wrapText="1"/>
    </xf>
    <xf numFmtId="0" fontId="50" fillId="3" borderId="50" xfId="2" applyFont="1" applyFill="1" applyBorder="1" applyAlignment="1">
      <alignment horizontal="justify" vertical="center" wrapText="1"/>
    </xf>
    <xf numFmtId="0" fontId="49" fillId="3" borderId="51" xfId="0" applyFont="1" applyFill="1" applyBorder="1" applyAlignment="1">
      <alignment horizontal="left" vertical="center" wrapText="1"/>
    </xf>
    <xf numFmtId="0" fontId="49" fillId="3" borderId="52" xfId="0" applyFont="1" applyFill="1" applyBorder="1" applyAlignment="1">
      <alignment horizontal="left" vertical="center" wrapText="1"/>
    </xf>
    <xf numFmtId="0" fontId="50" fillId="3" borderId="53" xfId="2" applyFont="1" applyFill="1" applyBorder="1" applyAlignment="1">
      <alignment horizontal="justify" vertical="center" wrapText="1"/>
    </xf>
    <xf numFmtId="0" fontId="50" fillId="3" borderId="54" xfId="2" applyFont="1" applyFill="1" applyBorder="1" applyAlignment="1">
      <alignment horizontal="justify" vertical="center" wrapText="1"/>
    </xf>
    <xf numFmtId="0" fontId="44" fillId="3" borderId="7" xfId="2" applyFont="1" applyFill="1" applyBorder="1" applyAlignment="1">
      <alignment horizontal="left" vertical="top" wrapText="1"/>
    </xf>
    <xf numFmtId="0" fontId="44" fillId="3" borderId="0" xfId="2" applyFont="1" applyFill="1" applyAlignment="1">
      <alignment horizontal="left" vertical="top" wrapText="1"/>
    </xf>
    <xf numFmtId="0" fontId="44" fillId="3" borderId="8" xfId="2" applyFont="1" applyFill="1" applyBorder="1" applyAlignment="1">
      <alignment horizontal="left" vertical="top" wrapText="1"/>
    </xf>
    <xf numFmtId="0" fontId="49" fillId="3" borderId="60" xfId="0" applyFont="1" applyFill="1" applyBorder="1" applyAlignment="1">
      <alignment horizontal="left" vertical="center" wrapText="1"/>
    </xf>
    <xf numFmtId="0" fontId="49" fillId="3" borderId="61" xfId="0" applyFont="1" applyFill="1" applyBorder="1" applyAlignment="1">
      <alignment horizontal="left" vertical="center" wrapText="1"/>
    </xf>
    <xf numFmtId="0" fontId="49" fillId="3" borderId="62" xfId="0" applyFont="1" applyFill="1" applyBorder="1" applyAlignment="1">
      <alignment horizontal="left" vertical="center" wrapText="1"/>
    </xf>
    <xf numFmtId="0" fontId="49" fillId="3" borderId="63" xfId="0" applyFont="1" applyFill="1" applyBorder="1" applyAlignment="1">
      <alignment horizontal="left" vertical="center" wrapText="1"/>
    </xf>
    <xf numFmtId="0" fontId="50" fillId="3" borderId="55" xfId="0" applyFont="1" applyFill="1" applyBorder="1" applyAlignment="1">
      <alignment horizontal="justify" vertical="center" wrapText="1"/>
    </xf>
    <xf numFmtId="0" fontId="50" fillId="3" borderId="56" xfId="0" applyFont="1" applyFill="1" applyBorder="1" applyAlignment="1">
      <alignment horizontal="justify" vertical="center" wrapText="1"/>
    </xf>
    <xf numFmtId="0" fontId="61" fillId="17" borderId="66" xfId="0" applyFont="1" applyFill="1" applyBorder="1" applyAlignment="1">
      <alignment horizontal="center" vertical="center" wrapText="1"/>
    </xf>
    <xf numFmtId="0" fontId="61" fillId="17" borderId="67" xfId="0" applyFont="1" applyFill="1" applyBorder="1" applyAlignment="1">
      <alignment horizontal="center" vertical="center" wrapText="1"/>
    </xf>
    <xf numFmtId="0" fontId="61" fillId="18" borderId="68" xfId="0" applyFont="1" applyFill="1" applyBorder="1" applyAlignment="1">
      <alignment horizontal="center" vertical="center" textRotation="90"/>
    </xf>
    <xf numFmtId="0" fontId="61" fillId="18" borderId="70" xfId="0" applyFont="1" applyFill="1" applyBorder="1" applyAlignment="1">
      <alignment horizontal="center" vertical="center" textRotation="90"/>
    </xf>
    <xf numFmtId="0" fontId="61" fillId="18" borderId="72" xfId="0" applyFont="1" applyFill="1" applyBorder="1" applyAlignment="1">
      <alignment horizontal="center" vertical="center" textRotation="90"/>
    </xf>
    <xf numFmtId="0" fontId="77" fillId="22" borderId="87" xfId="0" applyFont="1" applyFill="1" applyBorder="1" applyAlignment="1">
      <alignment horizontal="center" vertical="center"/>
    </xf>
    <xf numFmtId="0" fontId="77" fillId="22" borderId="88" xfId="0" applyFont="1" applyFill="1" applyBorder="1" applyAlignment="1">
      <alignment horizontal="center" vertical="center"/>
    </xf>
    <xf numFmtId="0" fontId="75" fillId="0" borderId="71" xfId="0" applyFont="1" applyBorder="1" applyAlignment="1">
      <alignment horizontal="center" vertical="center" wrapText="1"/>
    </xf>
    <xf numFmtId="0" fontId="75" fillId="0" borderId="70" xfId="0" applyFont="1" applyBorder="1" applyAlignment="1">
      <alignment horizontal="center" vertical="center" wrapText="1"/>
    </xf>
    <xf numFmtId="0" fontId="75" fillId="0" borderId="83" xfId="0" applyFont="1" applyBorder="1" applyAlignment="1">
      <alignment horizontal="center" vertical="center" wrapText="1"/>
    </xf>
    <xf numFmtId="0" fontId="75" fillId="0" borderId="68" xfId="0" applyFont="1" applyBorder="1" applyAlignment="1">
      <alignment horizontal="center" vertical="center" wrapText="1"/>
    </xf>
    <xf numFmtId="0" fontId="81" fillId="16" borderId="90" xfId="0" applyFont="1" applyFill="1" applyBorder="1" applyAlignment="1">
      <alignment horizontal="center" vertical="center" wrapText="1"/>
    </xf>
    <xf numFmtId="0" fontId="81" fillId="16" borderId="91" xfId="0" applyFont="1" applyFill="1" applyBorder="1" applyAlignment="1">
      <alignment horizontal="center" vertical="center" wrapText="1"/>
    </xf>
    <xf numFmtId="9" fontId="80" fillId="0" borderId="90" xfId="0" applyNumberFormat="1" applyFont="1" applyBorder="1" applyAlignment="1" applyProtection="1">
      <alignment horizontal="center" vertical="center" wrapText="1"/>
      <protection locked="0"/>
    </xf>
    <xf numFmtId="0" fontId="81" fillId="21" borderId="112" xfId="0" applyFont="1" applyFill="1" applyBorder="1" applyAlignment="1">
      <alignment horizontal="center" vertical="center" wrapText="1"/>
    </xf>
    <xf numFmtId="0" fontId="81" fillId="21" borderId="93" xfId="0" applyFont="1" applyFill="1" applyBorder="1" applyAlignment="1">
      <alignment horizontal="center" vertical="center" wrapText="1"/>
    </xf>
    <xf numFmtId="0" fontId="81" fillId="16" borderId="106" xfId="0" applyFont="1" applyFill="1" applyBorder="1" applyAlignment="1">
      <alignment horizontal="center" vertical="center"/>
    </xf>
    <xf numFmtId="0" fontId="81" fillId="16" borderId="107" xfId="0" applyFont="1" applyFill="1" applyBorder="1" applyAlignment="1">
      <alignment horizontal="center" vertical="center"/>
    </xf>
    <xf numFmtId="0" fontId="81" fillId="16" borderId="108" xfId="0" applyFont="1" applyFill="1" applyBorder="1" applyAlignment="1">
      <alignment horizontal="center" vertical="center"/>
    </xf>
    <xf numFmtId="0" fontId="80" fillId="0" borderId="117" xfId="0" applyFont="1" applyBorder="1" applyAlignment="1" applyProtection="1">
      <alignment horizontal="center" vertical="center" wrapText="1"/>
      <protection locked="0"/>
    </xf>
    <xf numFmtId="0" fontId="80" fillId="0" borderId="99" xfId="0" applyFont="1" applyBorder="1" applyAlignment="1" applyProtection="1">
      <alignment horizontal="center" vertical="center" wrapText="1"/>
      <protection locked="0"/>
    </xf>
    <xf numFmtId="0" fontId="80" fillId="0" borderId="119" xfId="0" applyFont="1" applyBorder="1" applyAlignment="1" applyProtection="1">
      <alignment horizontal="center" vertical="center" wrapText="1"/>
      <protection locked="0"/>
    </xf>
    <xf numFmtId="0" fontId="81" fillId="0" borderId="90" xfId="0" applyFont="1" applyBorder="1" applyAlignment="1" applyProtection="1">
      <alignment horizontal="center" vertical="center"/>
      <protection hidden="1"/>
    </xf>
    <xf numFmtId="9" fontId="80" fillId="0" borderId="116" xfId="0" applyNumberFormat="1" applyFont="1" applyBorder="1" applyAlignment="1" applyProtection="1">
      <alignment horizontal="center" vertical="center" wrapText="1"/>
      <protection hidden="1"/>
    </xf>
    <xf numFmtId="9" fontId="80" fillId="0" borderId="90" xfId="0" applyNumberFormat="1" applyFont="1" applyBorder="1" applyAlignment="1" applyProtection="1">
      <alignment horizontal="center" vertical="center" wrapText="1"/>
      <protection hidden="1"/>
    </xf>
    <xf numFmtId="9" fontId="80" fillId="0" borderId="118" xfId="0" applyNumberFormat="1" applyFont="1" applyBorder="1" applyAlignment="1" applyProtection="1">
      <alignment horizontal="center" vertical="center" wrapText="1"/>
      <protection hidden="1"/>
    </xf>
    <xf numFmtId="0" fontId="81" fillId="0" borderId="116" xfId="0" applyFont="1" applyBorder="1" applyAlignment="1" applyProtection="1">
      <alignment horizontal="center" vertical="center" wrapText="1"/>
      <protection hidden="1"/>
    </xf>
    <xf numFmtId="0" fontId="81" fillId="0" borderId="90" xfId="0" applyFont="1" applyBorder="1" applyAlignment="1" applyProtection="1">
      <alignment horizontal="center" vertical="center" wrapText="1"/>
      <protection hidden="1"/>
    </xf>
    <xf numFmtId="0" fontId="81" fillId="0" borderId="118" xfId="0" applyFont="1" applyBorder="1" applyAlignment="1" applyProtection="1">
      <alignment horizontal="center" vertical="center" wrapText="1"/>
      <protection hidden="1"/>
    </xf>
    <xf numFmtId="0" fontId="81" fillId="0" borderId="116" xfId="0" applyFont="1" applyBorder="1" applyAlignment="1" applyProtection="1">
      <alignment horizontal="center" vertical="center"/>
      <protection hidden="1"/>
    </xf>
    <xf numFmtId="0" fontId="81" fillId="0" borderId="118" xfId="0" applyFont="1" applyBorder="1" applyAlignment="1" applyProtection="1">
      <alignment horizontal="center" vertical="center"/>
      <protection hidden="1"/>
    </xf>
    <xf numFmtId="0" fontId="81" fillId="16" borderId="90" xfId="0" applyFont="1" applyFill="1" applyBorder="1" applyAlignment="1">
      <alignment horizontal="center" vertical="center" textRotation="90" wrapText="1"/>
    </xf>
    <xf numFmtId="0" fontId="81" fillId="16" borderId="91" xfId="0" applyFont="1" applyFill="1" applyBorder="1" applyAlignment="1">
      <alignment horizontal="center" vertical="center" textRotation="90" wrapText="1"/>
    </xf>
    <xf numFmtId="0" fontId="80" fillId="0" borderId="92" xfId="0" applyFont="1" applyBorder="1" applyAlignment="1" applyProtection="1">
      <alignment horizontal="center" vertical="center" wrapText="1"/>
      <protection locked="0"/>
    </xf>
    <xf numFmtId="9" fontId="80" fillId="0" borderId="116" xfId="0" applyNumberFormat="1" applyFont="1" applyBorder="1" applyAlignment="1" applyProtection="1">
      <alignment horizontal="center" vertical="center" wrapText="1"/>
      <protection locked="0"/>
    </xf>
    <xf numFmtId="9" fontId="80" fillId="0" borderId="118" xfId="0" applyNumberFormat="1" applyFont="1" applyBorder="1" applyAlignment="1" applyProtection="1">
      <alignment horizontal="center" vertical="center" wrapText="1"/>
      <protection locked="0"/>
    </xf>
    <xf numFmtId="0" fontId="81" fillId="16" borderId="92" xfId="0" applyFont="1" applyFill="1" applyBorder="1" applyAlignment="1">
      <alignment horizontal="center" vertical="center"/>
    </xf>
    <xf numFmtId="9" fontId="80" fillId="0" borderId="92" xfId="0" applyNumberFormat="1" applyFont="1" applyBorder="1" applyAlignment="1" applyProtection="1">
      <alignment horizontal="center" vertical="center" wrapText="1"/>
      <protection locked="0"/>
    </xf>
    <xf numFmtId="9" fontId="80" fillId="0" borderId="92" xfId="0" applyNumberFormat="1" applyFont="1" applyBorder="1" applyAlignment="1" applyProtection="1">
      <alignment horizontal="center" vertical="center" wrapText="1"/>
      <protection hidden="1"/>
    </xf>
    <xf numFmtId="0" fontId="81" fillId="0" borderId="92" xfId="0" applyFont="1" applyBorder="1" applyAlignment="1" applyProtection="1">
      <alignment horizontal="center" vertical="center" wrapText="1"/>
      <protection hidden="1"/>
    </xf>
    <xf numFmtId="0" fontId="80" fillId="0" borderId="116" xfId="0" applyFont="1" applyBorder="1" applyAlignment="1" applyProtection="1">
      <alignment horizontal="center" vertical="center"/>
      <protection locked="0"/>
    </xf>
    <xf numFmtId="0" fontId="80" fillId="0" borderId="90" xfId="0" applyFont="1" applyBorder="1" applyAlignment="1" applyProtection="1">
      <alignment horizontal="center" vertical="center"/>
      <protection locked="0"/>
    </xf>
    <xf numFmtId="0" fontId="80" fillId="0" borderId="118" xfId="0" applyFont="1" applyBorder="1" applyAlignment="1" applyProtection="1">
      <alignment horizontal="center" vertical="center"/>
      <protection locked="0"/>
    </xf>
    <xf numFmtId="0" fontId="81" fillId="29" borderId="106" xfId="0" applyFont="1" applyFill="1" applyBorder="1" applyAlignment="1">
      <alignment horizontal="center" vertical="center"/>
    </xf>
    <xf numFmtId="0" fontId="81" fillId="29" borderId="107" xfId="0" applyFont="1" applyFill="1" applyBorder="1" applyAlignment="1">
      <alignment horizontal="center" vertical="center"/>
    </xf>
    <xf numFmtId="0" fontId="81" fillId="29" borderId="108" xfId="0" applyFont="1" applyFill="1" applyBorder="1" applyAlignment="1">
      <alignment horizontal="center" vertical="center"/>
    </xf>
    <xf numFmtId="0" fontId="80" fillId="0" borderId="116" xfId="0" applyFont="1" applyBorder="1" applyAlignment="1" applyProtection="1">
      <alignment horizontal="center" vertical="center" wrapText="1"/>
      <protection locked="0"/>
    </xf>
    <xf numFmtId="0" fontId="80" fillId="0" borderId="90" xfId="0" applyFont="1" applyBorder="1" applyAlignment="1" applyProtection="1">
      <alignment horizontal="center" vertical="center" wrapText="1"/>
      <protection locked="0"/>
    </xf>
    <xf numFmtId="0" fontId="80" fillId="0" borderId="118" xfId="0" applyFont="1" applyBorder="1" applyAlignment="1" applyProtection="1">
      <alignment horizontal="center" vertical="center" wrapText="1"/>
      <protection locked="0"/>
    </xf>
    <xf numFmtId="0" fontId="80" fillId="0" borderId="116" xfId="0" applyFont="1" applyBorder="1" applyAlignment="1" applyProtection="1">
      <alignment horizontal="justify" vertical="center" wrapText="1"/>
      <protection locked="0"/>
    </xf>
    <xf numFmtId="0" fontId="80" fillId="0" borderId="90" xfId="0" applyFont="1" applyBorder="1" applyAlignment="1" applyProtection="1">
      <alignment horizontal="justify" vertical="center" wrapText="1"/>
      <protection locked="0"/>
    </xf>
    <xf numFmtId="0" fontId="80" fillId="0" borderId="118" xfId="0" applyFont="1" applyBorder="1" applyAlignment="1" applyProtection="1">
      <alignment horizontal="justify" vertical="center" wrapText="1"/>
      <protection locked="0"/>
    </xf>
    <xf numFmtId="0" fontId="80" fillId="0" borderId="91" xfId="0" applyFont="1" applyBorder="1" applyAlignment="1" applyProtection="1">
      <alignment horizontal="center" vertical="center" wrapText="1"/>
      <protection locked="0"/>
    </xf>
    <xf numFmtId="0" fontId="81" fillId="16" borderId="106" xfId="0" applyFont="1" applyFill="1" applyBorder="1" applyAlignment="1">
      <alignment horizontal="center" vertical="center" wrapText="1"/>
    </xf>
    <xf numFmtId="0" fontId="81" fillId="16" borderId="107" xfId="0" applyFont="1" applyFill="1" applyBorder="1" applyAlignment="1">
      <alignment horizontal="center" vertical="center" wrapText="1"/>
    </xf>
    <xf numFmtId="0" fontId="81" fillId="16" borderId="108" xfId="0" applyFont="1" applyFill="1" applyBorder="1" applyAlignment="1">
      <alignment horizontal="center" vertical="center" wrapText="1"/>
    </xf>
    <xf numFmtId="0" fontId="81" fillId="16" borderId="90" xfId="0" applyFont="1" applyFill="1" applyBorder="1" applyAlignment="1">
      <alignment horizontal="center" vertical="center"/>
    </xf>
    <xf numFmtId="0" fontId="81" fillId="16" borderId="91" xfId="0" applyFont="1" applyFill="1" applyBorder="1" applyAlignment="1">
      <alignment horizontal="center" vertical="center"/>
    </xf>
    <xf numFmtId="0" fontId="80" fillId="2" borderId="117" xfId="0" applyFont="1" applyFill="1" applyBorder="1" applyAlignment="1" applyProtection="1">
      <alignment horizontal="center" vertical="center" wrapText="1"/>
      <protection locked="0"/>
    </xf>
    <xf numFmtId="0" fontId="80" fillId="2" borderId="99" xfId="0" applyFont="1" applyFill="1" applyBorder="1" applyAlignment="1" applyProtection="1">
      <alignment horizontal="center" vertical="center" wrapText="1"/>
      <protection locked="0"/>
    </xf>
    <xf numFmtId="0" fontId="80" fillId="2" borderId="119" xfId="0" applyFont="1" applyFill="1" applyBorder="1" applyAlignment="1" applyProtection="1">
      <alignment horizontal="center" vertical="center" wrapText="1"/>
      <protection locked="0"/>
    </xf>
    <xf numFmtId="0" fontId="81" fillId="0" borderId="92" xfId="0" applyFont="1" applyBorder="1" applyAlignment="1" applyProtection="1">
      <alignment horizontal="center" vertical="center"/>
      <protection hidden="1"/>
    </xf>
    <xf numFmtId="0" fontId="80" fillId="0" borderId="101" xfId="0" applyFont="1" applyBorder="1" applyAlignment="1" applyProtection="1">
      <alignment horizontal="center" vertical="center" wrapText="1"/>
      <protection locked="0"/>
    </xf>
    <xf numFmtId="0" fontId="80" fillId="0" borderId="103" xfId="0" applyFont="1" applyBorder="1" applyAlignment="1" applyProtection="1">
      <alignment horizontal="center" vertical="center" wrapText="1"/>
      <protection locked="0"/>
    </xf>
    <xf numFmtId="0" fontId="80" fillId="0" borderId="105"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protection locked="0"/>
    </xf>
    <xf numFmtId="0" fontId="81" fillId="0" borderId="100" xfId="0" applyFont="1" applyBorder="1" applyAlignment="1">
      <alignment horizontal="center" vertical="center"/>
    </xf>
    <xf numFmtId="0" fontId="81" fillId="0" borderId="102" xfId="0" applyFont="1" applyBorder="1" applyAlignment="1">
      <alignment horizontal="center" vertical="center"/>
    </xf>
    <xf numFmtId="0" fontId="81" fillId="0" borderId="104" xfId="0" applyFont="1" applyBorder="1" applyAlignment="1">
      <alignment horizontal="center" vertical="center"/>
    </xf>
    <xf numFmtId="0" fontId="81" fillId="27" borderId="90" xfId="0" applyFont="1" applyFill="1" applyBorder="1" applyAlignment="1">
      <alignment horizontal="center" vertical="center" textRotation="90"/>
    </xf>
    <xf numFmtId="0" fontId="81" fillId="27" borderId="91" xfId="0" applyFont="1" applyFill="1" applyBorder="1" applyAlignment="1">
      <alignment horizontal="center" vertical="center" textRotation="90"/>
    </xf>
    <xf numFmtId="0" fontId="81" fillId="27" borderId="90" xfId="0" applyFont="1" applyFill="1" applyBorder="1" applyAlignment="1">
      <alignment horizontal="center" vertical="center"/>
    </xf>
    <xf numFmtId="0" fontId="81" fillId="27" borderId="91" xfId="0" applyFont="1" applyFill="1" applyBorder="1" applyAlignment="1">
      <alignment horizontal="center" vertical="center"/>
    </xf>
    <xf numFmtId="0" fontId="81" fillId="27" borderId="90" xfId="0" applyFont="1" applyFill="1" applyBorder="1" applyAlignment="1">
      <alignment horizontal="center" vertical="center" wrapText="1"/>
    </xf>
    <xf numFmtId="0" fontId="81" fillId="27" borderId="91" xfId="0" applyFont="1" applyFill="1" applyBorder="1" applyAlignment="1">
      <alignment horizontal="center" vertical="center" wrapText="1"/>
    </xf>
    <xf numFmtId="0" fontId="80" fillId="0" borderId="92" xfId="0" applyFont="1" applyBorder="1" applyAlignment="1" applyProtection="1">
      <alignment horizontal="justify" vertical="center" wrapText="1"/>
      <protection locked="0"/>
    </xf>
    <xf numFmtId="0" fontId="81" fillId="29" borderId="91" xfId="0" applyFont="1" applyFill="1" applyBorder="1" applyAlignment="1">
      <alignment horizontal="center" vertical="center" wrapText="1"/>
    </xf>
    <xf numFmtId="0" fontId="81" fillId="29" borderId="99" xfId="0" applyFont="1" applyFill="1" applyBorder="1" applyAlignment="1">
      <alignment horizontal="center" vertical="center" wrapText="1"/>
    </xf>
    <xf numFmtId="0" fontId="81" fillId="0" borderId="90" xfId="0" applyFont="1" applyBorder="1" applyAlignment="1">
      <alignment horizontal="center" vertical="center"/>
    </xf>
    <xf numFmtId="0" fontId="92" fillId="0" borderId="90" xfId="0" applyFont="1" applyBorder="1" applyAlignment="1" applyProtection="1">
      <alignment horizontal="center" vertical="top" wrapText="1"/>
      <protection locked="0"/>
    </xf>
    <xf numFmtId="0" fontId="80" fillId="0" borderId="90" xfId="0" applyFont="1" applyBorder="1" applyAlignment="1" applyProtection="1">
      <alignment horizontal="center" vertical="top" wrapText="1"/>
      <protection locked="0"/>
    </xf>
    <xf numFmtId="0" fontId="80" fillId="0" borderId="90" xfId="0" applyFont="1" applyBorder="1" applyAlignment="1" applyProtection="1">
      <alignment horizontal="left" vertical="center" wrapText="1"/>
      <protection locked="0"/>
    </xf>
    <xf numFmtId="0" fontId="80" fillId="0" borderId="2" xfId="0" applyFont="1" applyBorder="1" applyAlignment="1">
      <alignment horizontal="left" vertical="center" wrapText="1"/>
    </xf>
    <xf numFmtId="0" fontId="80" fillId="0" borderId="21" xfId="0" applyFont="1" applyBorder="1" applyAlignment="1">
      <alignment horizontal="left" vertical="center" wrapText="1"/>
    </xf>
    <xf numFmtId="0" fontId="80" fillId="3" borderId="0" xfId="0" applyFont="1" applyFill="1" applyAlignment="1">
      <alignment horizontal="left" wrapText="1"/>
    </xf>
    <xf numFmtId="0" fontId="79" fillId="0" borderId="0" xfId="0" applyFont="1" applyAlignment="1">
      <alignment horizontal="center" vertical="center"/>
    </xf>
    <xf numFmtId="0" fontId="79" fillId="0" borderId="0" xfId="0" applyFont="1" applyAlignment="1">
      <alignment horizontal="left" vertical="center"/>
    </xf>
    <xf numFmtId="0" fontId="81" fillId="21" borderId="100" xfId="0" applyFont="1" applyFill="1" applyBorder="1" applyAlignment="1">
      <alignment horizontal="left" vertical="center"/>
    </xf>
    <xf numFmtId="0" fontId="81" fillId="21" borderId="101" xfId="0" applyFont="1" applyFill="1" applyBorder="1" applyAlignment="1">
      <alignment horizontal="left" vertical="center"/>
    </xf>
    <xf numFmtId="0" fontId="81" fillId="21" borderId="102" xfId="0" applyFont="1" applyFill="1" applyBorder="1" applyAlignment="1">
      <alignment horizontal="left" vertical="center"/>
    </xf>
    <xf numFmtId="0" fontId="81" fillId="21" borderId="103" xfId="0" applyFont="1" applyFill="1" applyBorder="1" applyAlignment="1">
      <alignment horizontal="left" vertical="center"/>
    </xf>
    <xf numFmtId="0" fontId="81" fillId="21" borderId="104" xfId="0" applyFont="1" applyFill="1" applyBorder="1" applyAlignment="1">
      <alignment horizontal="left" vertical="center"/>
    </xf>
    <xf numFmtId="0" fontId="81" fillId="21" borderId="105" xfId="0" applyFont="1" applyFill="1" applyBorder="1" applyAlignment="1">
      <alignment horizontal="left" vertical="center"/>
    </xf>
    <xf numFmtId="0" fontId="81" fillId="3" borderId="0" xfId="0" applyFont="1" applyFill="1" applyAlignment="1">
      <alignment horizontal="left" vertical="center"/>
    </xf>
    <xf numFmtId="0" fontId="91" fillId="0" borderId="24" xfId="0" applyFont="1" applyBorder="1" applyAlignment="1" applyProtection="1">
      <alignment horizontal="center" vertical="center"/>
      <protection locked="0"/>
    </xf>
    <xf numFmtId="0" fontId="91" fillId="0" borderId="25" xfId="0" applyFont="1" applyBorder="1" applyAlignment="1" applyProtection="1">
      <alignment horizontal="center" vertical="center"/>
      <protection locked="0"/>
    </xf>
    <xf numFmtId="0" fontId="91" fillId="0" borderId="36" xfId="0" applyFont="1" applyBorder="1" applyAlignment="1" applyProtection="1">
      <alignment horizontal="center" vertical="center"/>
      <protection locked="0"/>
    </xf>
    <xf numFmtId="0" fontId="80" fillId="3" borderId="24" xfId="0" applyFont="1" applyFill="1" applyBorder="1" applyAlignment="1" applyProtection="1">
      <alignment horizontal="center" vertical="center" wrapText="1"/>
      <protection locked="0"/>
    </xf>
    <xf numFmtId="0" fontId="80" fillId="3" borderId="25" xfId="0" applyFont="1" applyFill="1" applyBorder="1" applyAlignment="1" applyProtection="1">
      <alignment horizontal="center" vertical="center" wrapText="1"/>
      <protection locked="0"/>
    </xf>
    <xf numFmtId="0" fontId="80" fillId="3" borderId="36" xfId="0" applyFont="1" applyFill="1" applyBorder="1" applyAlignment="1" applyProtection="1">
      <alignment horizontal="center" vertical="center" wrapText="1"/>
      <protection locked="0"/>
    </xf>
    <xf numFmtId="0" fontId="81" fillId="27" borderId="106" xfId="0" applyFont="1" applyFill="1" applyBorder="1" applyAlignment="1">
      <alignment horizontal="center" vertical="center"/>
    </xf>
    <xf numFmtId="0" fontId="81" fillId="27" borderId="107" xfId="0" applyFont="1" applyFill="1" applyBorder="1" applyAlignment="1">
      <alignment horizontal="center" vertical="center"/>
    </xf>
    <xf numFmtId="0" fontId="81" fillId="27" borderId="108" xfId="0" applyFont="1" applyFill="1" applyBorder="1" applyAlignment="1">
      <alignment horizontal="center" vertical="center"/>
    </xf>
    <xf numFmtId="0" fontId="79" fillId="0" borderId="5" xfId="0" applyFont="1" applyBorder="1" applyAlignment="1">
      <alignment horizontal="center" vertical="center"/>
    </xf>
    <xf numFmtId="0" fontId="79" fillId="0" borderId="12" xfId="0" applyFont="1" applyBorder="1" applyAlignment="1">
      <alignment horizontal="center" vertical="center"/>
    </xf>
    <xf numFmtId="0" fontId="79" fillId="0" borderId="6" xfId="0" applyFont="1" applyBorder="1" applyAlignment="1">
      <alignment horizontal="center" vertical="center"/>
    </xf>
    <xf numFmtId="0" fontId="79" fillId="0" borderId="9" xfId="0" applyFont="1" applyBorder="1" applyAlignment="1">
      <alignment horizontal="center" vertical="center"/>
    </xf>
    <xf numFmtId="0" fontId="79" fillId="0" borderId="11" xfId="0" applyFont="1" applyBorder="1" applyAlignment="1">
      <alignment horizontal="center" vertical="center"/>
    </xf>
    <xf numFmtId="0" fontId="79" fillId="0" borderId="10" xfId="0" applyFont="1" applyBorder="1" applyAlignment="1">
      <alignment horizontal="center" vertical="center"/>
    </xf>
    <xf numFmtId="0" fontId="79" fillId="0" borderId="24" xfId="0" applyFont="1" applyBorder="1" applyAlignment="1">
      <alignment horizontal="left" vertical="center"/>
    </xf>
    <xf numFmtId="0" fontId="79" fillId="0" borderId="25" xfId="0" applyFont="1" applyBorder="1" applyAlignment="1">
      <alignment horizontal="left" vertical="center"/>
    </xf>
    <xf numFmtId="0" fontId="79" fillId="0" borderId="36" xfId="0" applyFont="1" applyBorder="1" applyAlignment="1">
      <alignment horizontal="left" vertical="center"/>
    </xf>
    <xf numFmtId="0" fontId="81" fillId="0" borderId="92" xfId="0" applyFont="1" applyBorder="1" applyAlignment="1">
      <alignment horizontal="center" vertical="center"/>
    </xf>
    <xf numFmtId="0" fontId="85" fillId="0" borderId="94" xfId="0" applyFont="1" applyBorder="1" applyAlignment="1">
      <alignment horizontal="center" vertical="center"/>
    </xf>
    <xf numFmtId="0" fontId="85" fillId="0" borderId="95" xfId="0" applyFont="1" applyBorder="1" applyAlignment="1">
      <alignment horizontal="center" vertical="center"/>
    </xf>
    <xf numFmtId="0" fontId="85" fillId="0" borderId="113" xfId="0" applyFont="1" applyBorder="1" applyAlignment="1">
      <alignment horizontal="center" vertical="center"/>
    </xf>
    <xf numFmtId="0" fontId="85" fillId="0" borderId="96" xfId="0" applyFont="1" applyBorder="1" applyAlignment="1">
      <alignment horizontal="center" vertical="center"/>
    </xf>
    <xf numFmtId="0" fontId="85" fillId="0" borderId="90" xfId="0" applyFont="1" applyBorder="1" applyAlignment="1">
      <alignment horizontal="center" vertical="center"/>
    </xf>
    <xf numFmtId="0" fontId="85" fillId="0" borderId="115" xfId="0" applyFont="1" applyBorder="1" applyAlignment="1">
      <alignment horizontal="center" vertical="center"/>
    </xf>
    <xf numFmtId="0" fontId="85" fillId="0" borderId="97" xfId="0" applyFont="1" applyBorder="1" applyAlignment="1">
      <alignment horizontal="center" vertical="center"/>
    </xf>
    <xf numFmtId="0" fontId="85" fillId="0" borderId="98" xfId="0" applyFont="1" applyBorder="1" applyAlignment="1">
      <alignment horizontal="center" vertical="center"/>
    </xf>
    <xf numFmtId="0" fontId="85" fillId="0" borderId="114" xfId="0" applyFont="1" applyBorder="1" applyAlignment="1">
      <alignment horizontal="center" vertical="center"/>
    </xf>
    <xf numFmtId="0" fontId="22" fillId="26" borderId="0" xfId="0" applyFont="1" applyFill="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38" fillId="0" borderId="5" xfId="0" applyFont="1" applyBorder="1" applyAlignment="1">
      <alignment horizontal="center" vertical="center" wrapText="1"/>
    </xf>
    <xf numFmtId="0" fontId="38" fillId="0" borderId="12"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0" xfId="0" applyFont="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38" fillId="0" borderId="12" xfId="0" applyFont="1" applyBorder="1" applyAlignment="1">
      <alignment horizontal="center" vertical="center" wrapText="1"/>
    </xf>
    <xf numFmtId="0" fontId="37" fillId="11" borderId="13" xfId="0" applyFont="1" applyFill="1" applyBorder="1" applyAlignment="1">
      <alignment horizontal="center" vertical="center" wrapText="1" readingOrder="1"/>
    </xf>
    <xf numFmtId="0" fontId="37" fillId="11" borderId="14" xfId="0" applyFont="1" applyFill="1" applyBorder="1" applyAlignment="1">
      <alignment horizontal="center" vertical="center" wrapText="1" readingOrder="1"/>
    </xf>
    <xf numFmtId="0" fontId="37" fillId="11" borderId="15" xfId="0" applyFont="1" applyFill="1" applyBorder="1" applyAlignment="1">
      <alignment horizontal="center" vertical="center" wrapText="1" readingOrder="1"/>
    </xf>
    <xf numFmtId="0" fontId="37" fillId="11" borderId="16" xfId="0" applyFont="1" applyFill="1" applyBorder="1" applyAlignment="1">
      <alignment horizontal="center" vertical="center" wrapText="1" readingOrder="1"/>
    </xf>
    <xf numFmtId="0" fontId="37" fillId="11" borderId="0" xfId="0" applyFont="1" applyFill="1" applyAlignment="1">
      <alignment horizontal="center" vertical="center" wrapText="1" readingOrder="1"/>
    </xf>
    <xf numFmtId="0" fontId="37" fillId="11" borderId="17" xfId="0" applyFont="1" applyFill="1" applyBorder="1" applyAlignment="1">
      <alignment horizontal="center" vertical="center" wrapText="1" readingOrder="1"/>
    </xf>
    <xf numFmtId="0" fontId="37" fillId="11" borderId="18" xfId="0" applyFont="1" applyFill="1" applyBorder="1" applyAlignment="1">
      <alignment horizontal="center" vertical="center" wrapText="1" readingOrder="1"/>
    </xf>
    <xf numFmtId="0" fontId="37" fillId="11" borderId="19" xfId="0" applyFont="1" applyFill="1" applyBorder="1" applyAlignment="1">
      <alignment horizontal="center" vertical="center" wrapText="1" readingOrder="1"/>
    </xf>
    <xf numFmtId="0" fontId="37" fillId="11" borderId="20" xfId="0" applyFont="1" applyFill="1" applyBorder="1" applyAlignment="1">
      <alignment horizontal="center" vertical="center" wrapText="1" readingOrder="1"/>
    </xf>
    <xf numFmtId="0" fontId="38" fillId="0" borderId="7" xfId="0" applyFont="1" applyBorder="1" applyAlignment="1">
      <alignment horizontal="center" vertical="center" wrapText="1"/>
    </xf>
    <xf numFmtId="0" fontId="37" fillId="12" borderId="13" xfId="0" applyFont="1" applyFill="1" applyBorder="1" applyAlignment="1">
      <alignment horizontal="center" vertical="center" wrapText="1" readingOrder="1"/>
    </xf>
    <xf numFmtId="0" fontId="37" fillId="12" borderId="14" xfId="0" applyFont="1" applyFill="1" applyBorder="1" applyAlignment="1">
      <alignment horizontal="center" vertical="center" wrapText="1" readingOrder="1"/>
    </xf>
    <xf numFmtId="0" fontId="37" fillId="12" borderId="15" xfId="0" applyFont="1" applyFill="1" applyBorder="1" applyAlignment="1">
      <alignment horizontal="center" vertical="center" wrapText="1" readingOrder="1"/>
    </xf>
    <xf numFmtId="0" fontId="37" fillId="12" borderId="16" xfId="0" applyFont="1" applyFill="1" applyBorder="1" applyAlignment="1">
      <alignment horizontal="center" vertical="center" wrapText="1" readingOrder="1"/>
    </xf>
    <xf numFmtId="0" fontId="37" fillId="12" borderId="0" xfId="0" applyFont="1" applyFill="1" applyAlignment="1">
      <alignment horizontal="center" vertical="center" wrapText="1" readingOrder="1"/>
    </xf>
    <xf numFmtId="0" fontId="37" fillId="12" borderId="17" xfId="0" applyFont="1" applyFill="1" applyBorder="1" applyAlignment="1">
      <alignment horizontal="center" vertical="center" wrapText="1" readingOrder="1"/>
    </xf>
    <xf numFmtId="0" fontId="37" fillId="12" borderId="18" xfId="0" applyFont="1" applyFill="1" applyBorder="1" applyAlignment="1">
      <alignment horizontal="center" vertical="center" wrapText="1" readingOrder="1"/>
    </xf>
    <xf numFmtId="0" fontId="37" fillId="12" borderId="19" xfId="0" applyFont="1" applyFill="1" applyBorder="1" applyAlignment="1">
      <alignment horizontal="center" vertical="center" wrapText="1" readingOrder="1"/>
    </xf>
    <xf numFmtId="0" fontId="37" fillId="12" borderId="20" xfId="0" applyFont="1" applyFill="1" applyBorder="1" applyAlignment="1">
      <alignment horizontal="center" vertical="center" wrapText="1" readingOrder="1"/>
    </xf>
    <xf numFmtId="0" fontId="90" fillId="26" borderId="0" xfId="0" applyFont="1" applyFill="1" applyAlignment="1">
      <alignment horizontal="center" vertical="center" wrapText="1"/>
    </xf>
    <xf numFmtId="0" fontId="21" fillId="26" borderId="0" xfId="0" applyFont="1" applyFill="1" applyAlignment="1">
      <alignment horizontal="center" vertical="center" wrapText="1"/>
    </xf>
    <xf numFmtId="0" fontId="37" fillId="5" borderId="13" xfId="0" applyFont="1" applyFill="1" applyBorder="1" applyAlignment="1">
      <alignment horizontal="center" vertical="center" wrapText="1" readingOrder="1"/>
    </xf>
    <xf numFmtId="0" fontId="37" fillId="5" borderId="14" xfId="0" applyFont="1" applyFill="1" applyBorder="1" applyAlignment="1">
      <alignment horizontal="center" vertical="center" wrapText="1" readingOrder="1"/>
    </xf>
    <xf numFmtId="0" fontId="37" fillId="5" borderId="15" xfId="0" applyFont="1" applyFill="1" applyBorder="1" applyAlignment="1">
      <alignment horizontal="center" vertical="center" wrapText="1" readingOrder="1"/>
    </xf>
    <xf numFmtId="0" fontId="37" fillId="5" borderId="16" xfId="0" applyFont="1" applyFill="1" applyBorder="1" applyAlignment="1">
      <alignment horizontal="center" vertical="center" wrapText="1" readingOrder="1"/>
    </xf>
    <xf numFmtId="0" fontId="37" fillId="5" borderId="0" xfId="0" applyFont="1" applyFill="1" applyAlignment="1">
      <alignment horizontal="center" vertical="center" wrapText="1" readingOrder="1"/>
    </xf>
    <xf numFmtId="0" fontId="37" fillId="5" borderId="17" xfId="0" applyFont="1" applyFill="1" applyBorder="1" applyAlignment="1">
      <alignment horizontal="center" vertical="center" wrapText="1" readingOrder="1"/>
    </xf>
    <xf numFmtId="0" fontId="37" fillId="5" borderId="18" xfId="0" applyFont="1" applyFill="1" applyBorder="1" applyAlignment="1">
      <alignment horizontal="center" vertical="center" wrapText="1" readingOrder="1"/>
    </xf>
    <xf numFmtId="0" fontId="37" fillId="5" borderId="19" xfId="0" applyFont="1" applyFill="1" applyBorder="1" applyAlignment="1">
      <alignment horizontal="center" vertical="center" wrapText="1" readingOrder="1"/>
    </xf>
    <xf numFmtId="0" fontId="37" fillId="5" borderId="20" xfId="0" applyFont="1" applyFill="1" applyBorder="1" applyAlignment="1">
      <alignment horizontal="center" vertical="center" wrapText="1" readingOrder="1"/>
    </xf>
    <xf numFmtId="0" fontId="37" fillId="13" borderId="13" xfId="0" applyFont="1" applyFill="1" applyBorder="1" applyAlignment="1">
      <alignment horizontal="center" vertical="center" wrapText="1" readingOrder="1"/>
    </xf>
    <xf numFmtId="0" fontId="37" fillId="13" borderId="14" xfId="0" applyFont="1" applyFill="1" applyBorder="1" applyAlignment="1">
      <alignment horizontal="center" vertical="center" wrapText="1" readingOrder="1"/>
    </xf>
    <xf numFmtId="0" fontId="37" fillId="13" borderId="15" xfId="0" applyFont="1" applyFill="1" applyBorder="1" applyAlignment="1">
      <alignment horizontal="center" vertical="center" wrapText="1" readingOrder="1"/>
    </xf>
    <xf numFmtId="0" fontId="37" fillId="13" borderId="16" xfId="0" applyFont="1" applyFill="1" applyBorder="1" applyAlignment="1">
      <alignment horizontal="center" vertical="center" wrapText="1" readingOrder="1"/>
    </xf>
    <xf numFmtId="0" fontId="37" fillId="13" borderId="0" xfId="0" applyFont="1" applyFill="1" applyAlignment="1">
      <alignment horizontal="center" vertical="center" wrapText="1" readingOrder="1"/>
    </xf>
    <xf numFmtId="0" fontId="37" fillId="13" borderId="17" xfId="0" applyFont="1" applyFill="1" applyBorder="1" applyAlignment="1">
      <alignment horizontal="center" vertical="center" wrapText="1" readingOrder="1"/>
    </xf>
    <xf numFmtId="0" fontId="37" fillId="13" borderId="18" xfId="0" applyFont="1" applyFill="1" applyBorder="1" applyAlignment="1">
      <alignment horizontal="center" vertical="center" wrapText="1" readingOrder="1"/>
    </xf>
    <xf numFmtId="0" fontId="37" fillId="13" borderId="19" xfId="0" applyFont="1" applyFill="1" applyBorder="1" applyAlignment="1">
      <alignment horizontal="center" vertical="center" wrapText="1" readingOrder="1"/>
    </xf>
    <xf numFmtId="0" fontId="37" fillId="13" borderId="20" xfId="0" applyFont="1" applyFill="1" applyBorder="1" applyAlignment="1">
      <alignment horizontal="center" vertical="center" wrapText="1" readingOrder="1"/>
    </xf>
    <xf numFmtId="0" fontId="81" fillId="29" borderId="92" xfId="0" applyFont="1" applyFill="1" applyBorder="1" applyAlignment="1">
      <alignment horizontal="center" vertical="center" wrapText="1"/>
    </xf>
    <xf numFmtId="0" fontId="71" fillId="0" borderId="22" xfId="0" applyFont="1" applyBorder="1" applyAlignment="1">
      <alignment horizontal="left" vertical="center" wrapText="1"/>
    </xf>
    <xf numFmtId="0" fontId="72" fillId="16" borderId="24" xfId="0" applyFont="1" applyFill="1" applyBorder="1" applyAlignment="1">
      <alignment horizontal="center" vertical="center" wrapText="1"/>
    </xf>
    <xf numFmtId="0" fontId="72" fillId="16" borderId="25" xfId="0" applyFont="1" applyFill="1" applyBorder="1" applyAlignment="1">
      <alignment horizontal="center" vertical="center" wrapText="1"/>
    </xf>
    <xf numFmtId="0" fontId="72" fillId="16" borderId="36" xfId="0" applyFont="1" applyFill="1" applyBorder="1" applyAlignment="1">
      <alignment horizontal="center" vertical="center" wrapText="1"/>
    </xf>
    <xf numFmtId="0" fontId="73" fillId="16" borderId="73" xfId="0" applyFont="1" applyFill="1" applyBorder="1" applyAlignment="1">
      <alignment horizontal="center" vertical="center" wrapText="1"/>
    </xf>
    <xf numFmtId="0" fontId="73" fillId="16" borderId="28" xfId="0" applyFont="1" applyFill="1" applyBorder="1" applyAlignment="1">
      <alignment horizontal="center" vertical="center" wrapText="1"/>
    </xf>
    <xf numFmtId="0" fontId="73" fillId="16" borderId="74"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75" xfId="0" applyFont="1" applyFill="1" applyBorder="1" applyAlignment="1">
      <alignment horizontal="center" vertical="center" wrapText="1"/>
    </xf>
    <xf numFmtId="0" fontId="71" fillId="0" borderId="74" xfId="0" applyFont="1" applyBorder="1" applyAlignment="1">
      <alignment horizontal="left" vertical="center" wrapText="1"/>
    </xf>
    <xf numFmtId="0" fontId="74" fillId="21" borderId="34" xfId="0" applyFont="1" applyFill="1" applyBorder="1" applyAlignment="1">
      <alignment horizontal="center" vertical="center" wrapText="1"/>
    </xf>
    <xf numFmtId="0" fontId="74" fillId="21" borderId="35" xfId="0" applyFont="1" applyFill="1" applyBorder="1" applyAlignment="1">
      <alignment horizontal="center" vertical="center" wrapText="1"/>
    </xf>
    <xf numFmtId="0" fontId="71" fillId="0" borderId="0" xfId="0" applyFont="1" applyAlignment="1">
      <alignment horizontal="left" vertical="center" wrapText="1"/>
    </xf>
    <xf numFmtId="0" fontId="71" fillId="0" borderId="0" xfId="0" applyFont="1" applyAlignment="1">
      <alignment horizontal="center" vertical="center" wrapText="1"/>
    </xf>
    <xf numFmtId="0" fontId="71" fillId="0" borderId="76" xfId="0" applyFont="1" applyBorder="1" applyAlignment="1">
      <alignment horizontal="left" vertical="center" wrapText="1"/>
    </xf>
    <xf numFmtId="0" fontId="74" fillId="21" borderId="33" xfId="0" applyFont="1" applyFill="1" applyBorder="1" applyAlignment="1">
      <alignment horizontal="center" vertical="center" wrapText="1"/>
    </xf>
    <xf numFmtId="0" fontId="81" fillId="17" borderId="91" xfId="0" applyFont="1" applyFill="1" applyBorder="1" applyAlignment="1">
      <alignment horizontal="center" vertical="center" wrapText="1"/>
    </xf>
    <xf numFmtId="0" fontId="81" fillId="17" borderId="92" xfId="0" applyFont="1" applyFill="1" applyBorder="1" applyAlignment="1">
      <alignment horizontal="center" vertical="center" wrapText="1"/>
    </xf>
    <xf numFmtId="0" fontId="81" fillId="17" borderId="90" xfId="0" applyFont="1" applyFill="1" applyBorder="1" applyAlignment="1">
      <alignment horizontal="center" vertical="center" wrapText="1"/>
    </xf>
    <xf numFmtId="0" fontId="81" fillId="21" borderId="106" xfId="0" applyFont="1" applyFill="1" applyBorder="1" applyAlignment="1">
      <alignment horizontal="center" vertical="center" wrapText="1"/>
    </xf>
    <xf numFmtId="0" fontId="81" fillId="21" borderId="108" xfId="0" applyFont="1" applyFill="1" applyBorder="1" applyAlignment="1">
      <alignment horizontal="center" vertical="center" wrapText="1"/>
    </xf>
    <xf numFmtId="0" fontId="21" fillId="0" borderId="0" xfId="0" applyFont="1" applyAlignment="1">
      <alignment horizontal="center" vertical="center"/>
    </xf>
    <xf numFmtId="0" fontId="40" fillId="0" borderId="0" xfId="0" applyFont="1" applyAlignment="1">
      <alignment horizontal="center" vertical="center"/>
    </xf>
    <xf numFmtId="0" fontId="75" fillId="16" borderId="82" xfId="0" applyFont="1" applyFill="1" applyBorder="1" applyAlignment="1">
      <alignment horizontal="center" vertical="center" wrapText="1"/>
    </xf>
    <xf numFmtId="0" fontId="75" fillId="16" borderId="80" xfId="0" applyFont="1" applyFill="1" applyBorder="1" applyAlignment="1">
      <alignment horizontal="center" vertical="center" wrapText="1"/>
    </xf>
    <xf numFmtId="0" fontId="75" fillId="16" borderId="78" xfId="0" applyFont="1" applyFill="1" applyBorder="1" applyAlignment="1">
      <alignment horizontal="center" vertical="center" wrapText="1"/>
    </xf>
    <xf numFmtId="0" fontId="76" fillId="0" borderId="82" xfId="0" applyFont="1" applyBorder="1" applyAlignment="1">
      <alignment horizontal="justify" vertical="center" wrapText="1"/>
    </xf>
    <xf numFmtId="0" fontId="76" fillId="0" borderId="80" xfId="0" applyFont="1" applyBorder="1" applyAlignment="1">
      <alignment horizontal="justify" vertical="center" wrapText="1"/>
    </xf>
    <xf numFmtId="0" fontId="76" fillId="0" borderId="78" xfId="0" applyFont="1" applyBorder="1" applyAlignment="1">
      <alignment horizontal="justify" vertical="center" wrapText="1"/>
    </xf>
    <xf numFmtId="0" fontId="36" fillId="15" borderId="24" xfId="0" applyFont="1" applyFill="1" applyBorder="1" applyAlignment="1">
      <alignment horizontal="center" vertical="center" wrapText="1" readingOrder="1"/>
    </xf>
    <xf numFmtId="0" fontId="36" fillId="15" borderId="25" xfId="0" applyFont="1" applyFill="1" applyBorder="1" applyAlignment="1">
      <alignment horizontal="center" vertical="center" wrapText="1" readingOrder="1"/>
    </xf>
    <xf numFmtId="0" fontId="36" fillId="15" borderId="36" xfId="0" applyFont="1" applyFill="1" applyBorder="1" applyAlignment="1">
      <alignment horizontal="center" vertical="center" wrapText="1" readingOrder="1"/>
    </xf>
    <xf numFmtId="0" fontId="31" fillId="3" borderId="0" xfId="0" applyFont="1" applyFill="1" applyAlignment="1">
      <alignment horizontal="justify" vertical="center" wrapText="1"/>
    </xf>
    <xf numFmtId="0" fontId="33" fillId="15" borderId="33" xfId="0" applyFont="1" applyFill="1" applyBorder="1" applyAlignment="1">
      <alignment horizontal="center" vertical="center" wrapText="1" readingOrder="1"/>
    </xf>
    <xf numFmtId="0" fontId="33" fillId="15" borderId="34" xfId="0" applyFont="1" applyFill="1" applyBorder="1" applyAlignment="1">
      <alignment horizontal="center" vertical="center" wrapText="1" readingOrder="1"/>
    </xf>
    <xf numFmtId="0" fontId="33" fillId="3" borderId="31" xfId="0" applyFont="1" applyFill="1" applyBorder="1" applyAlignment="1">
      <alignment horizontal="center" vertical="center" wrapText="1" readingOrder="1"/>
    </xf>
    <xf numFmtId="0" fontId="33" fillId="3" borderId="26" xfId="0" applyFont="1" applyFill="1" applyBorder="1" applyAlignment="1">
      <alignment horizontal="center" vertical="center" wrapText="1" readingOrder="1"/>
    </xf>
    <xf numFmtId="0" fontId="33" fillId="3" borderId="23" xfId="0"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3" fillId="3" borderId="28"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cellXfs>
  <cellStyles count="7">
    <cellStyle name="Moneda" xfId="5" builtinId="4"/>
    <cellStyle name="Moneda 2" xfId="6" xr:uid="{00000000-0005-0000-0000-000001000000}"/>
    <cellStyle name="Normal" xfId="0" builtinId="0"/>
    <cellStyle name="Normal - Style1 2" xfId="2" xr:uid="{00000000-0005-0000-0000-000003000000}"/>
    <cellStyle name="Normal 2" xfId="4" xr:uid="{00000000-0005-0000-0000-000004000000}"/>
    <cellStyle name="Normal 2 2" xfId="3" xr:uid="{00000000-0005-0000-0000-000005000000}"/>
    <cellStyle name="Porcentaje" xfId="1" builtinId="5"/>
  </cellStyles>
  <dxfs count="701">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929" y="68036"/>
          <a:ext cx="1403803" cy="11239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CC31457F-ECBC-4BF6-A295-D24C77BD3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4B130650-B5A7-4455-A04D-93F040AFD7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topLeftCell="A39" zoomScale="110" zoomScaleNormal="110" workbookViewId="0">
      <selection activeCell="B52" sqref="B52"/>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301" t="s">
        <v>0</v>
      </c>
      <c r="C2" s="302"/>
      <c r="D2" s="302"/>
      <c r="E2" s="302"/>
      <c r="F2" s="302"/>
      <c r="G2" s="302"/>
      <c r="H2" s="303"/>
    </row>
    <row r="3" spans="2:8" x14ac:dyDescent="0.25">
      <c r="B3" s="67"/>
      <c r="C3" s="68"/>
      <c r="D3" s="68"/>
      <c r="E3" s="68"/>
      <c r="F3" s="68"/>
      <c r="G3" s="68"/>
      <c r="H3" s="69"/>
    </row>
    <row r="4" spans="2:8" ht="63" customHeight="1" x14ac:dyDescent="0.25">
      <c r="B4" s="304" t="s">
        <v>1</v>
      </c>
      <c r="C4" s="305"/>
      <c r="D4" s="305"/>
      <c r="E4" s="305"/>
      <c r="F4" s="305"/>
      <c r="G4" s="305"/>
      <c r="H4" s="306"/>
    </row>
    <row r="5" spans="2:8" ht="63" customHeight="1" x14ac:dyDescent="0.25">
      <c r="B5" s="307"/>
      <c r="C5" s="308"/>
      <c r="D5" s="308"/>
      <c r="E5" s="308"/>
      <c r="F5" s="308"/>
      <c r="G5" s="308"/>
      <c r="H5" s="309"/>
    </row>
    <row r="6" spans="2:8" ht="16.5" x14ac:dyDescent="0.25">
      <c r="B6" s="310" t="s">
        <v>2</v>
      </c>
      <c r="C6" s="311"/>
      <c r="D6" s="311"/>
      <c r="E6" s="311"/>
      <c r="F6" s="311"/>
      <c r="G6" s="311"/>
      <c r="H6" s="312"/>
    </row>
    <row r="7" spans="2:8" ht="95.25" customHeight="1" x14ac:dyDescent="0.25">
      <c r="B7" s="320" t="s">
        <v>3</v>
      </c>
      <c r="C7" s="321"/>
      <c r="D7" s="321"/>
      <c r="E7" s="321"/>
      <c r="F7" s="321"/>
      <c r="G7" s="321"/>
      <c r="H7" s="322"/>
    </row>
    <row r="8" spans="2:8" ht="16.5" x14ac:dyDescent="0.25">
      <c r="B8" s="101"/>
      <c r="C8" s="102"/>
      <c r="D8" s="102"/>
      <c r="E8" s="102"/>
      <c r="F8" s="102"/>
      <c r="G8" s="102"/>
      <c r="H8" s="103"/>
    </row>
    <row r="9" spans="2:8" ht="16.5" customHeight="1" x14ac:dyDescent="0.25">
      <c r="B9" s="313" t="s">
        <v>4</v>
      </c>
      <c r="C9" s="314"/>
      <c r="D9" s="314"/>
      <c r="E9" s="314"/>
      <c r="F9" s="314"/>
      <c r="G9" s="314"/>
      <c r="H9" s="315"/>
    </row>
    <row r="10" spans="2:8" ht="44.25" customHeight="1" x14ac:dyDescent="0.25">
      <c r="B10" s="313"/>
      <c r="C10" s="314"/>
      <c r="D10" s="314"/>
      <c r="E10" s="314"/>
      <c r="F10" s="314"/>
      <c r="G10" s="314"/>
      <c r="H10" s="315"/>
    </row>
    <row r="11" spans="2:8" ht="15.75" thickBot="1" x14ac:dyDescent="0.3">
      <c r="B11" s="90"/>
      <c r="C11" s="93"/>
      <c r="D11" s="98"/>
      <c r="E11" s="99"/>
      <c r="F11" s="99"/>
      <c r="G11" s="100"/>
      <c r="H11" s="94"/>
    </row>
    <row r="12" spans="2:8" ht="15.75" thickTop="1" x14ac:dyDescent="0.25">
      <c r="B12" s="90"/>
      <c r="C12" s="316" t="s">
        <v>5</v>
      </c>
      <c r="D12" s="317"/>
      <c r="E12" s="318" t="s">
        <v>6</v>
      </c>
      <c r="F12" s="319"/>
      <c r="G12" s="93"/>
      <c r="H12" s="94"/>
    </row>
    <row r="13" spans="2:8" ht="35.25" customHeight="1" x14ac:dyDescent="0.25">
      <c r="B13" s="90"/>
      <c r="C13" s="323" t="s">
        <v>7</v>
      </c>
      <c r="D13" s="324"/>
      <c r="E13" s="325" t="s">
        <v>8</v>
      </c>
      <c r="F13" s="326"/>
      <c r="G13" s="93"/>
      <c r="H13" s="94"/>
    </row>
    <row r="14" spans="2:8" ht="17.25" customHeight="1" x14ac:dyDescent="0.25">
      <c r="B14" s="90"/>
      <c r="C14" s="323" t="s">
        <v>9</v>
      </c>
      <c r="D14" s="324"/>
      <c r="E14" s="325" t="s">
        <v>10</v>
      </c>
      <c r="F14" s="326"/>
      <c r="G14" s="93"/>
      <c r="H14" s="94"/>
    </row>
    <row r="15" spans="2:8" ht="19.5" customHeight="1" x14ac:dyDescent="0.25">
      <c r="B15" s="90"/>
      <c r="C15" s="323" t="s">
        <v>11</v>
      </c>
      <c r="D15" s="324"/>
      <c r="E15" s="325" t="s">
        <v>12</v>
      </c>
      <c r="F15" s="326"/>
      <c r="G15" s="93"/>
      <c r="H15" s="94"/>
    </row>
    <row r="16" spans="2:8" ht="69.75" customHeight="1" x14ac:dyDescent="0.25">
      <c r="B16" s="90"/>
      <c r="C16" s="323" t="s">
        <v>13</v>
      </c>
      <c r="D16" s="324"/>
      <c r="E16" s="325" t="s">
        <v>14</v>
      </c>
      <c r="F16" s="326"/>
      <c r="G16" s="93"/>
      <c r="H16" s="94"/>
    </row>
    <row r="17" spans="2:8" ht="34.5" customHeight="1" x14ac:dyDescent="0.25">
      <c r="B17" s="90"/>
      <c r="C17" s="327" t="s">
        <v>15</v>
      </c>
      <c r="D17" s="328"/>
      <c r="E17" s="329" t="s">
        <v>16</v>
      </c>
      <c r="F17" s="330"/>
      <c r="G17" s="93"/>
      <c r="H17" s="94"/>
    </row>
    <row r="18" spans="2:8" ht="27.75" customHeight="1" x14ac:dyDescent="0.25">
      <c r="B18" s="90"/>
      <c r="C18" s="327" t="s">
        <v>17</v>
      </c>
      <c r="D18" s="328"/>
      <c r="E18" s="329" t="s">
        <v>18</v>
      </c>
      <c r="F18" s="330"/>
      <c r="G18" s="93"/>
      <c r="H18" s="94"/>
    </row>
    <row r="19" spans="2:8" ht="28.5" customHeight="1" x14ac:dyDescent="0.25">
      <c r="B19" s="90"/>
      <c r="C19" s="327" t="s">
        <v>19</v>
      </c>
      <c r="D19" s="328"/>
      <c r="E19" s="329" t="s">
        <v>20</v>
      </c>
      <c r="F19" s="330"/>
      <c r="G19" s="93"/>
      <c r="H19" s="94"/>
    </row>
    <row r="20" spans="2:8" ht="72.75" customHeight="1" x14ac:dyDescent="0.25">
      <c r="B20" s="90"/>
      <c r="C20" s="327" t="s">
        <v>21</v>
      </c>
      <c r="D20" s="328"/>
      <c r="E20" s="329" t="s">
        <v>22</v>
      </c>
      <c r="F20" s="330"/>
      <c r="G20" s="93"/>
      <c r="H20" s="94"/>
    </row>
    <row r="21" spans="2:8" ht="64.5" customHeight="1" x14ac:dyDescent="0.25">
      <c r="B21" s="90"/>
      <c r="C21" s="327" t="s">
        <v>23</v>
      </c>
      <c r="D21" s="328"/>
      <c r="E21" s="329" t="s">
        <v>24</v>
      </c>
      <c r="F21" s="330"/>
      <c r="G21" s="93"/>
      <c r="H21" s="94"/>
    </row>
    <row r="22" spans="2:8" ht="71.25" customHeight="1" x14ac:dyDescent="0.25">
      <c r="B22" s="90"/>
      <c r="C22" s="327" t="s">
        <v>25</v>
      </c>
      <c r="D22" s="328"/>
      <c r="E22" s="329" t="s">
        <v>26</v>
      </c>
      <c r="F22" s="330"/>
      <c r="G22" s="93"/>
      <c r="H22" s="94"/>
    </row>
    <row r="23" spans="2:8" ht="55.5" customHeight="1" x14ac:dyDescent="0.25">
      <c r="B23" s="90"/>
      <c r="C23" s="334" t="s">
        <v>27</v>
      </c>
      <c r="D23" s="335"/>
      <c r="E23" s="329" t="s">
        <v>28</v>
      </c>
      <c r="F23" s="330"/>
      <c r="G23" s="93"/>
      <c r="H23" s="94"/>
    </row>
    <row r="24" spans="2:8" ht="42" customHeight="1" x14ac:dyDescent="0.25">
      <c r="B24" s="90"/>
      <c r="C24" s="334" t="s">
        <v>29</v>
      </c>
      <c r="D24" s="335"/>
      <c r="E24" s="329" t="s">
        <v>30</v>
      </c>
      <c r="F24" s="330"/>
      <c r="G24" s="93"/>
      <c r="H24" s="94"/>
    </row>
    <row r="25" spans="2:8" ht="59.25" customHeight="1" x14ac:dyDescent="0.25">
      <c r="B25" s="90"/>
      <c r="C25" s="334" t="s">
        <v>31</v>
      </c>
      <c r="D25" s="335"/>
      <c r="E25" s="329" t="s">
        <v>32</v>
      </c>
      <c r="F25" s="330"/>
      <c r="G25" s="93"/>
      <c r="H25" s="94"/>
    </row>
    <row r="26" spans="2:8" ht="23.25" customHeight="1" x14ac:dyDescent="0.25">
      <c r="B26" s="90"/>
      <c r="C26" s="334" t="s">
        <v>33</v>
      </c>
      <c r="D26" s="335"/>
      <c r="E26" s="329" t="s">
        <v>34</v>
      </c>
      <c r="F26" s="330"/>
      <c r="G26" s="93"/>
      <c r="H26" s="94"/>
    </row>
    <row r="27" spans="2:8" ht="30.75" customHeight="1" x14ac:dyDescent="0.25">
      <c r="B27" s="90"/>
      <c r="C27" s="334" t="s">
        <v>35</v>
      </c>
      <c r="D27" s="335"/>
      <c r="E27" s="329" t="s">
        <v>36</v>
      </c>
      <c r="F27" s="330"/>
      <c r="G27" s="93"/>
      <c r="H27" s="94"/>
    </row>
    <row r="28" spans="2:8" ht="35.25" customHeight="1" x14ac:dyDescent="0.25">
      <c r="B28" s="90"/>
      <c r="C28" s="334" t="s">
        <v>37</v>
      </c>
      <c r="D28" s="335"/>
      <c r="E28" s="329" t="s">
        <v>38</v>
      </c>
      <c r="F28" s="330"/>
      <c r="G28" s="93"/>
      <c r="H28" s="94"/>
    </row>
    <row r="29" spans="2:8" ht="33" customHeight="1" x14ac:dyDescent="0.25">
      <c r="B29" s="90"/>
      <c r="C29" s="334" t="s">
        <v>37</v>
      </c>
      <c r="D29" s="335"/>
      <c r="E29" s="329" t="s">
        <v>38</v>
      </c>
      <c r="F29" s="330"/>
      <c r="G29" s="93"/>
      <c r="H29" s="94"/>
    </row>
    <row r="30" spans="2:8" ht="30" customHeight="1" x14ac:dyDescent="0.25">
      <c r="B30" s="90"/>
      <c r="C30" s="334" t="s">
        <v>39</v>
      </c>
      <c r="D30" s="335"/>
      <c r="E30" s="329" t="s">
        <v>40</v>
      </c>
      <c r="F30" s="330"/>
      <c r="G30" s="93"/>
      <c r="H30" s="94"/>
    </row>
    <row r="31" spans="2:8" ht="35.25" customHeight="1" x14ac:dyDescent="0.25">
      <c r="B31" s="90"/>
      <c r="C31" s="334" t="s">
        <v>41</v>
      </c>
      <c r="D31" s="335"/>
      <c r="E31" s="329" t="s">
        <v>42</v>
      </c>
      <c r="F31" s="330"/>
      <c r="G31" s="93"/>
      <c r="H31" s="94"/>
    </row>
    <row r="32" spans="2:8" ht="31.5" customHeight="1" x14ac:dyDescent="0.25">
      <c r="B32" s="90"/>
      <c r="C32" s="334" t="s">
        <v>43</v>
      </c>
      <c r="D32" s="335"/>
      <c r="E32" s="329" t="s">
        <v>44</v>
      </c>
      <c r="F32" s="330"/>
      <c r="G32" s="93"/>
      <c r="H32" s="94"/>
    </row>
    <row r="33" spans="2:8" ht="35.25" customHeight="1" x14ac:dyDescent="0.25">
      <c r="B33" s="90"/>
      <c r="C33" s="334" t="s">
        <v>45</v>
      </c>
      <c r="D33" s="335"/>
      <c r="E33" s="329" t="s">
        <v>46</v>
      </c>
      <c r="F33" s="330"/>
      <c r="G33" s="93"/>
      <c r="H33" s="94"/>
    </row>
    <row r="34" spans="2:8" ht="59.25" customHeight="1" x14ac:dyDescent="0.25">
      <c r="B34" s="90"/>
      <c r="C34" s="334" t="s">
        <v>47</v>
      </c>
      <c r="D34" s="335"/>
      <c r="E34" s="329" t="s">
        <v>48</v>
      </c>
      <c r="F34" s="330"/>
      <c r="G34" s="93"/>
      <c r="H34" s="94"/>
    </row>
    <row r="35" spans="2:8" ht="29.25" customHeight="1" x14ac:dyDescent="0.25">
      <c r="B35" s="90"/>
      <c r="C35" s="334" t="s">
        <v>49</v>
      </c>
      <c r="D35" s="335"/>
      <c r="E35" s="329" t="s">
        <v>50</v>
      </c>
      <c r="F35" s="330"/>
      <c r="G35" s="93"/>
      <c r="H35" s="94"/>
    </row>
    <row r="36" spans="2:8" ht="82.5" customHeight="1" x14ac:dyDescent="0.25">
      <c r="B36" s="90"/>
      <c r="C36" s="334" t="s">
        <v>51</v>
      </c>
      <c r="D36" s="335"/>
      <c r="E36" s="329" t="s">
        <v>52</v>
      </c>
      <c r="F36" s="330"/>
      <c r="G36" s="93"/>
      <c r="H36" s="94"/>
    </row>
    <row r="37" spans="2:8" ht="46.5" customHeight="1" x14ac:dyDescent="0.25">
      <c r="B37" s="90"/>
      <c r="C37" s="334" t="s">
        <v>53</v>
      </c>
      <c r="D37" s="335"/>
      <c r="E37" s="329" t="s">
        <v>54</v>
      </c>
      <c r="F37" s="330"/>
      <c r="G37" s="93"/>
      <c r="H37" s="94"/>
    </row>
    <row r="38" spans="2:8" ht="6.75" customHeight="1" thickBot="1" x14ac:dyDescent="0.3">
      <c r="B38" s="90"/>
      <c r="C38" s="336"/>
      <c r="D38" s="337"/>
      <c r="E38" s="338"/>
      <c r="F38" s="339"/>
      <c r="G38" s="93"/>
      <c r="H38" s="94"/>
    </row>
    <row r="39" spans="2:8" ht="15.75" thickTop="1" x14ac:dyDescent="0.25">
      <c r="B39" s="90"/>
      <c r="C39" s="91"/>
      <c r="D39" s="91"/>
      <c r="E39" s="92"/>
      <c r="F39" s="92"/>
      <c r="G39" s="93"/>
      <c r="H39" s="94"/>
    </row>
    <row r="40" spans="2:8" ht="21" customHeight="1" x14ac:dyDescent="0.25">
      <c r="B40" s="331" t="s">
        <v>55</v>
      </c>
      <c r="C40" s="332"/>
      <c r="D40" s="332"/>
      <c r="E40" s="332"/>
      <c r="F40" s="332"/>
      <c r="G40" s="332"/>
      <c r="H40" s="333"/>
    </row>
    <row r="41" spans="2:8" ht="20.25" customHeight="1" x14ac:dyDescent="0.25">
      <c r="B41" s="331" t="s">
        <v>56</v>
      </c>
      <c r="C41" s="332"/>
      <c r="D41" s="332"/>
      <c r="E41" s="332"/>
      <c r="F41" s="332"/>
      <c r="G41" s="332"/>
      <c r="H41" s="333"/>
    </row>
    <row r="42" spans="2:8" ht="20.25" customHeight="1" x14ac:dyDescent="0.25">
      <c r="B42" s="331" t="s">
        <v>57</v>
      </c>
      <c r="C42" s="332"/>
      <c r="D42" s="332"/>
      <c r="E42" s="332"/>
      <c r="F42" s="332"/>
      <c r="G42" s="332"/>
      <c r="H42" s="333"/>
    </row>
    <row r="43" spans="2:8" ht="20.25" customHeight="1" x14ac:dyDescent="0.25">
      <c r="B43" s="331" t="s">
        <v>58</v>
      </c>
      <c r="C43" s="332"/>
      <c r="D43" s="332"/>
      <c r="E43" s="332"/>
      <c r="F43" s="332"/>
      <c r="G43" s="332"/>
      <c r="H43" s="333"/>
    </row>
    <row r="44" spans="2:8" x14ac:dyDescent="0.25">
      <c r="B44" s="331" t="s">
        <v>59</v>
      </c>
      <c r="C44" s="332"/>
      <c r="D44" s="332"/>
      <c r="E44" s="332"/>
      <c r="F44" s="332"/>
      <c r="G44" s="332"/>
      <c r="H44" s="333"/>
    </row>
    <row r="45" spans="2:8" ht="15.75" thickBot="1" x14ac:dyDescent="0.3">
      <c r="B45" s="95"/>
      <c r="C45" s="96"/>
      <c r="D45" s="96"/>
      <c r="E45" s="96"/>
      <c r="F45" s="96"/>
      <c r="G45" s="96"/>
      <c r="H45" s="97"/>
    </row>
    <row r="47" spans="2:8" x14ac:dyDescent="0.25">
      <c r="B47" s="249" t="s">
        <v>60</v>
      </c>
    </row>
    <row r="48" spans="2:8" x14ac:dyDescent="0.25">
      <c r="B48" s="66" t="s">
        <v>61</v>
      </c>
    </row>
    <row r="49" spans="2:6" ht="25.5" x14ac:dyDescent="0.25">
      <c r="B49" s="241" t="s">
        <v>62</v>
      </c>
      <c r="C49" s="241" t="s">
        <v>63</v>
      </c>
      <c r="D49" s="241" t="s">
        <v>64</v>
      </c>
      <c r="E49" s="242" t="s">
        <v>65</v>
      </c>
      <c r="F49" s="243" t="s">
        <v>66</v>
      </c>
    </row>
    <row r="50" spans="2:6" x14ac:dyDescent="0.25">
      <c r="B50" s="244" t="s">
        <v>67</v>
      </c>
      <c r="C50" s="244" t="s">
        <v>68</v>
      </c>
      <c r="D50" s="245">
        <v>44957</v>
      </c>
      <c r="E50" s="244" t="s">
        <v>68</v>
      </c>
      <c r="F50" s="244" t="s">
        <v>68</v>
      </c>
    </row>
    <row r="51" spans="2:6" ht="30" x14ac:dyDescent="0.25">
      <c r="B51" s="244" t="s">
        <v>69</v>
      </c>
      <c r="C51" s="244" t="s">
        <v>70</v>
      </c>
      <c r="D51" s="245">
        <v>45016</v>
      </c>
      <c r="E51" s="244" t="s">
        <v>71</v>
      </c>
      <c r="F51" s="246" t="s">
        <v>72</v>
      </c>
    </row>
    <row r="300" spans="3:3" ht="31.5" x14ac:dyDescent="0.25">
      <c r="C300" s="170" t="s">
        <v>73</v>
      </c>
    </row>
    <row r="301" spans="3:3" ht="47.25" x14ac:dyDescent="0.25">
      <c r="C301" s="170" t="s">
        <v>74</v>
      </c>
    </row>
    <row r="302" spans="3:3" ht="31.5" x14ac:dyDescent="0.25">
      <c r="C302" s="171" t="s">
        <v>75</v>
      </c>
    </row>
    <row r="303" spans="3:3" ht="31.5" x14ac:dyDescent="0.25">
      <c r="C303" s="170" t="s">
        <v>76</v>
      </c>
    </row>
    <row r="304" spans="3:3" ht="47.25" x14ac:dyDescent="0.25">
      <c r="C304" s="170" t="s">
        <v>77</v>
      </c>
    </row>
    <row r="305" spans="3:3" ht="31.5" x14ac:dyDescent="0.25">
      <c r="C305" s="170" t="s">
        <v>78</v>
      </c>
    </row>
    <row r="306" spans="3:3" ht="47.25" x14ac:dyDescent="0.25">
      <c r="C306" s="171" t="s">
        <v>79</v>
      </c>
    </row>
    <row r="307" spans="3:3" ht="31.5" x14ac:dyDescent="0.25">
      <c r="C307" s="170" t="s">
        <v>80</v>
      </c>
    </row>
    <row r="308" spans="3:3" ht="15.75" x14ac:dyDescent="0.25">
      <c r="C308" s="170" t="s">
        <v>81</v>
      </c>
    </row>
    <row r="309" spans="3:3" ht="15.75" x14ac:dyDescent="0.25">
      <c r="C309" s="170" t="s">
        <v>82</v>
      </c>
    </row>
    <row r="310" spans="3:3" ht="31.5" x14ac:dyDescent="0.25">
      <c r="C310" s="170" t="s">
        <v>83</v>
      </c>
    </row>
    <row r="311" spans="3:3" ht="31.5" x14ac:dyDescent="0.25">
      <c r="C311" s="170" t="s">
        <v>84</v>
      </c>
    </row>
    <row r="312" spans="3:3" ht="15.75" x14ac:dyDescent="0.25">
      <c r="C312" s="170" t="s">
        <v>85</v>
      </c>
    </row>
    <row r="313" spans="3:3" ht="15.75" x14ac:dyDescent="0.25">
      <c r="C313" s="170" t="s">
        <v>86</v>
      </c>
    </row>
    <row r="314" spans="3:3" ht="15.75" x14ac:dyDescent="0.25">
      <c r="C314" s="170" t="s">
        <v>87</v>
      </c>
    </row>
    <row r="315" spans="3:3" ht="31.5" x14ac:dyDescent="0.25">
      <c r="C315" s="170" t="s">
        <v>88</v>
      </c>
    </row>
    <row r="316" spans="3:3" ht="31.5" x14ac:dyDescent="0.25">
      <c r="C316" s="170" t="s">
        <v>89</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honeticPr fontId="88"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619" t="s">
        <v>313</v>
      </c>
      <c r="C1" s="619"/>
      <c r="D1" s="619"/>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314</v>
      </c>
      <c r="D3" s="4" t="s">
        <v>264</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315</v>
      </c>
      <c r="C4" s="6" t="s">
        <v>316</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317</v>
      </c>
      <c r="C5" s="9" t="s">
        <v>318</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319</v>
      </c>
      <c r="C6" s="9" t="s">
        <v>320</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321</v>
      </c>
      <c r="C7" s="9" t="s">
        <v>322</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323</v>
      </c>
      <c r="C8" s="9" t="s">
        <v>324</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233"/>
  <sheetViews>
    <sheetView zoomScale="50" zoomScaleNormal="50" workbookViewId="0">
      <selection activeCell="F218" sqref="F218:F222"/>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4" customFormat="1" ht="45.75" customHeight="1" x14ac:dyDescent="0.25">
      <c r="A2" s="182"/>
      <c r="B2" s="620" t="s">
        <v>325</v>
      </c>
      <c r="C2" s="620"/>
      <c r="D2" s="620"/>
      <c r="E2" s="620"/>
      <c r="F2" s="183"/>
      <c r="G2" s="182"/>
      <c r="H2" s="182"/>
      <c r="I2" s="182"/>
      <c r="J2" s="182"/>
      <c r="K2" s="182"/>
      <c r="L2" s="182"/>
      <c r="M2" s="182"/>
      <c r="N2" s="182"/>
      <c r="O2" s="182"/>
      <c r="P2" s="182"/>
      <c r="Q2" s="182"/>
      <c r="R2" s="182"/>
      <c r="S2" s="182"/>
      <c r="T2" s="182"/>
      <c r="U2" s="182"/>
    </row>
    <row r="3" spans="1:21" s="184" customFormat="1" ht="18.75" customHeight="1" x14ac:dyDescent="0.25">
      <c r="A3" s="182"/>
      <c r="B3" s="185"/>
      <c r="C3" s="182"/>
      <c r="D3" s="182"/>
      <c r="E3" s="182"/>
      <c r="F3" s="183"/>
      <c r="G3" s="182"/>
      <c r="H3" s="182"/>
      <c r="I3" s="182"/>
      <c r="J3" s="182"/>
      <c r="K3" s="182"/>
      <c r="L3" s="182"/>
      <c r="M3" s="182"/>
      <c r="N3" s="182"/>
      <c r="O3" s="182"/>
      <c r="P3" s="182"/>
      <c r="Q3" s="182"/>
      <c r="R3" s="182"/>
      <c r="S3" s="182"/>
      <c r="T3" s="182"/>
      <c r="U3" s="182"/>
    </row>
    <row r="4" spans="1:21" ht="67.5" customHeight="1" x14ac:dyDescent="0.25">
      <c r="A4" s="66"/>
      <c r="B4" s="106"/>
      <c r="C4" s="21" t="s">
        <v>326</v>
      </c>
      <c r="D4" s="21" t="s">
        <v>327</v>
      </c>
      <c r="E4" s="21" t="s">
        <v>328</v>
      </c>
      <c r="F4" s="112"/>
      <c r="G4" s="66"/>
      <c r="H4" s="66"/>
      <c r="I4" s="66"/>
      <c r="J4" s="66"/>
      <c r="K4" s="66"/>
      <c r="L4" s="66"/>
      <c r="M4" s="66"/>
      <c r="N4" s="66"/>
      <c r="O4" s="66"/>
      <c r="P4" s="66"/>
      <c r="Q4" s="66"/>
      <c r="R4" s="66"/>
      <c r="S4" s="66"/>
      <c r="T4" s="66"/>
      <c r="U4" s="66"/>
    </row>
    <row r="5" spans="1:21" ht="67.5" customHeight="1" x14ac:dyDescent="0.25">
      <c r="A5" s="86" t="s">
        <v>329</v>
      </c>
      <c r="B5" s="22" t="s">
        <v>330</v>
      </c>
      <c r="C5" s="27" t="s">
        <v>331</v>
      </c>
      <c r="D5" s="104" t="s">
        <v>332</v>
      </c>
      <c r="E5" s="220">
        <f>908526*130</f>
        <v>118108380</v>
      </c>
      <c r="F5" s="66"/>
      <c r="G5" s="66"/>
      <c r="H5" s="66"/>
      <c r="I5" s="66"/>
      <c r="J5" s="66"/>
      <c r="K5" s="66"/>
      <c r="L5" s="66"/>
      <c r="M5" s="66"/>
      <c r="N5" s="66"/>
      <c r="O5" s="66"/>
      <c r="P5" s="66"/>
      <c r="Q5" s="66"/>
      <c r="R5" s="66"/>
      <c r="S5" s="66"/>
      <c r="T5" s="66"/>
      <c r="U5" s="66"/>
    </row>
    <row r="6" spans="1:21" ht="129" customHeight="1" x14ac:dyDescent="0.25">
      <c r="A6" s="86" t="s">
        <v>333</v>
      </c>
      <c r="B6" s="23" t="s">
        <v>334</v>
      </c>
      <c r="C6" s="28" t="s">
        <v>335</v>
      </c>
      <c r="D6" s="105" t="s">
        <v>336</v>
      </c>
      <c r="E6" s="220">
        <f>908526*650</f>
        <v>590541900</v>
      </c>
      <c r="F6" s="66"/>
      <c r="G6" s="66"/>
      <c r="H6" s="66"/>
      <c r="I6" s="66"/>
      <c r="J6" s="66"/>
      <c r="K6" s="66"/>
      <c r="L6" s="66"/>
      <c r="M6" s="66"/>
      <c r="N6" s="66"/>
      <c r="O6" s="66"/>
      <c r="P6" s="66"/>
      <c r="Q6" s="66"/>
      <c r="R6" s="66"/>
      <c r="S6" s="66"/>
      <c r="T6" s="66"/>
      <c r="U6" s="66"/>
    </row>
    <row r="7" spans="1:21" ht="101.25" x14ac:dyDescent="0.25">
      <c r="A7" s="86" t="s">
        <v>270</v>
      </c>
      <c r="B7" s="24" t="s">
        <v>337</v>
      </c>
      <c r="C7" s="28" t="s">
        <v>338</v>
      </c>
      <c r="D7" s="105" t="s">
        <v>339</v>
      </c>
      <c r="E7" s="220">
        <f>908526*1300</f>
        <v>1181083800</v>
      </c>
      <c r="F7" s="66"/>
      <c r="G7" s="66"/>
      <c r="H7" s="66"/>
      <c r="I7" s="66"/>
      <c r="J7" s="66"/>
      <c r="K7" s="66"/>
      <c r="L7" s="66"/>
      <c r="M7" s="66"/>
      <c r="N7" s="66"/>
      <c r="O7" s="66"/>
      <c r="P7" s="66"/>
      <c r="Q7" s="66"/>
      <c r="R7" s="66"/>
      <c r="S7" s="66"/>
      <c r="T7" s="66"/>
      <c r="U7" s="66"/>
    </row>
    <row r="8" spans="1:21" ht="135" x14ac:dyDescent="0.25">
      <c r="A8" s="86" t="s">
        <v>340</v>
      </c>
      <c r="B8" s="25" t="s">
        <v>341</v>
      </c>
      <c r="C8" s="28" t="s">
        <v>342</v>
      </c>
      <c r="D8" s="105" t="s">
        <v>343</v>
      </c>
      <c r="E8" s="220">
        <f>908526*6500</f>
        <v>5905419000</v>
      </c>
      <c r="F8" s="66"/>
      <c r="G8" s="66"/>
      <c r="H8" s="66"/>
      <c r="I8" s="66"/>
      <c r="J8" s="66"/>
      <c r="K8" s="66"/>
      <c r="L8" s="66"/>
      <c r="M8" s="66"/>
      <c r="N8" s="66"/>
      <c r="O8" s="66"/>
      <c r="P8" s="66"/>
      <c r="Q8" s="66"/>
      <c r="R8" s="66"/>
      <c r="S8" s="66"/>
      <c r="T8" s="66"/>
      <c r="U8" s="66"/>
    </row>
    <row r="9" spans="1:21" ht="101.25" x14ac:dyDescent="0.25">
      <c r="A9" s="86" t="s">
        <v>344</v>
      </c>
      <c r="B9" s="26" t="s">
        <v>345</v>
      </c>
      <c r="C9" s="28" t="s">
        <v>346</v>
      </c>
      <c r="D9" s="105" t="s">
        <v>347</v>
      </c>
      <c r="E9" s="220"/>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348</v>
      </c>
      <c r="C12" s="108" t="s">
        <v>349</v>
      </c>
      <c r="D12" s="108" t="s">
        <v>350</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351</v>
      </c>
      <c r="C13" s="108" t="s">
        <v>352</v>
      </c>
      <c r="D13" s="108" t="s">
        <v>353</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354</v>
      </c>
      <c r="D14" s="108" t="s">
        <v>253</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355</v>
      </c>
      <c r="D15" s="108" t="s">
        <v>356</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357</v>
      </c>
      <c r="D16" s="108" t="s">
        <v>358</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270</v>
      </c>
    </row>
    <row r="209" spans="1:8" x14ac:dyDescent="0.25">
      <c r="A209" s="66"/>
      <c r="B209" s="15"/>
      <c r="C209" s="15"/>
      <c r="D209" s="15"/>
      <c r="F209" s="114" t="s">
        <v>340</v>
      </c>
    </row>
    <row r="210" spans="1:8" ht="20.25" x14ac:dyDescent="0.25">
      <c r="A210" s="66"/>
      <c r="B210" s="16" t="s">
        <v>359</v>
      </c>
      <c r="C210" s="16" t="s">
        <v>360</v>
      </c>
      <c r="D210" s="19" t="s">
        <v>359</v>
      </c>
      <c r="E210" s="19" t="s">
        <v>360</v>
      </c>
      <c r="F210" s="114" t="s">
        <v>361</v>
      </c>
    </row>
    <row r="211" spans="1:8" ht="21" x14ac:dyDescent="0.35">
      <c r="A211" s="66"/>
      <c r="B211" s="17" t="s">
        <v>362</v>
      </c>
      <c r="C211" s="117" t="s">
        <v>363</v>
      </c>
      <c r="D211" s="116" t="s">
        <v>362</v>
      </c>
      <c r="F211" s="114" t="str">
        <f>IF(NOT(ISBLANK(D211)),D211,IF(NOT(ISBLANK(E211)),"     "&amp;E211,FALSE))</f>
        <v>Afectación Económica o presupuestal</v>
      </c>
      <c r="G211" t="s">
        <v>362</v>
      </c>
      <c r="H211" t="str">
        <f>IF(NOT(ISERROR(MATCH(G211,_xlfn.ANCHORARRAY(B222),0))),F224&amp;"Por favor no seleccionar los criterios de impacto",G211)</f>
        <v>❌Por favor no seleccionar los criterios de impacto</v>
      </c>
    </row>
    <row r="212" spans="1:8" ht="21" x14ac:dyDescent="0.35">
      <c r="A212" s="66"/>
      <c r="B212" s="17" t="s">
        <v>362</v>
      </c>
      <c r="C212" s="117" t="s">
        <v>335</v>
      </c>
      <c r="E212" t="s">
        <v>363</v>
      </c>
      <c r="F212" s="114" t="str">
        <f t="shared" ref="F212:F222" si="0">IF(NOT(ISBLANK(D212)),D212,IF(NOT(ISBLANK(E212)),"     "&amp;E212,FALSE))</f>
        <v xml:space="preserve">     Afectación menor a 130 SMLMV .</v>
      </c>
    </row>
    <row r="213" spans="1:8" ht="21" x14ac:dyDescent="0.35">
      <c r="A213" s="66"/>
      <c r="B213" s="17" t="s">
        <v>362</v>
      </c>
      <c r="C213" s="117" t="s">
        <v>338</v>
      </c>
      <c r="E213" t="s">
        <v>335</v>
      </c>
      <c r="F213" s="114" t="str">
        <f t="shared" si="0"/>
        <v xml:space="preserve">     Entre 130 y 650 SMLMV </v>
      </c>
    </row>
    <row r="214" spans="1:8" ht="21" x14ac:dyDescent="0.35">
      <c r="A214" s="66"/>
      <c r="B214" s="17" t="s">
        <v>362</v>
      </c>
      <c r="C214" s="117" t="s">
        <v>342</v>
      </c>
      <c r="E214" t="s">
        <v>338</v>
      </c>
      <c r="F214" s="114" t="str">
        <f t="shared" si="0"/>
        <v xml:space="preserve">     Entre 650 y 1300 SMLMV </v>
      </c>
    </row>
    <row r="215" spans="1:8" ht="21" x14ac:dyDescent="0.35">
      <c r="A215" s="66"/>
      <c r="B215" s="17" t="s">
        <v>362</v>
      </c>
      <c r="C215" s="117" t="s">
        <v>346</v>
      </c>
      <c r="E215" t="s">
        <v>342</v>
      </c>
      <c r="F215" s="114" t="str">
        <f t="shared" si="0"/>
        <v xml:space="preserve">     Entre 1300 y 6500 SMLMV </v>
      </c>
    </row>
    <row r="216" spans="1:8" ht="21" x14ac:dyDescent="0.35">
      <c r="A216" s="66"/>
      <c r="B216" s="17" t="s">
        <v>327</v>
      </c>
      <c r="C216" s="117" t="s">
        <v>332</v>
      </c>
      <c r="E216" t="s">
        <v>346</v>
      </c>
      <c r="F216" s="114" t="str">
        <f t="shared" si="0"/>
        <v xml:space="preserve">     Mayor a 6500 SMLMV </v>
      </c>
    </row>
    <row r="217" spans="1:8" ht="63" x14ac:dyDescent="0.35">
      <c r="A217" s="66"/>
      <c r="B217" s="17" t="s">
        <v>327</v>
      </c>
      <c r="C217" s="117" t="s">
        <v>336</v>
      </c>
      <c r="D217" s="116" t="s">
        <v>327</v>
      </c>
      <c r="F217" s="114" t="str">
        <f t="shared" si="0"/>
        <v>Pérdida Reputacional</v>
      </c>
    </row>
    <row r="218" spans="1:8" ht="42" x14ac:dyDescent="0.35">
      <c r="A218" s="66"/>
      <c r="B218" s="17" t="s">
        <v>327</v>
      </c>
      <c r="C218" s="117" t="s">
        <v>339</v>
      </c>
      <c r="D218" s="116"/>
      <c r="E218" s="118" t="s">
        <v>332</v>
      </c>
      <c r="F218" s="114" t="str">
        <f t="shared" si="0"/>
        <v xml:space="preserve">     El riesgo afecta la imagen de alguna área de la organización</v>
      </c>
    </row>
    <row r="219" spans="1:8" ht="63" x14ac:dyDescent="0.35">
      <c r="A219" s="66"/>
      <c r="B219" s="17" t="s">
        <v>327</v>
      </c>
      <c r="C219" s="117" t="s">
        <v>364</v>
      </c>
      <c r="D219" s="116"/>
      <c r="E219" s="118" t="s">
        <v>336</v>
      </c>
      <c r="F219" s="114" t="str">
        <f t="shared" si="0"/>
        <v xml:space="preserve">     El riesgo afecta la imagen de la entidad internamente, de conocimiento general, nivel interno, de junta dircetiva y accionistas y/o de provedores</v>
      </c>
    </row>
    <row r="220" spans="1:8" ht="45" x14ac:dyDescent="0.35">
      <c r="A220" s="66"/>
      <c r="B220" s="17" t="s">
        <v>327</v>
      </c>
      <c r="C220" s="117" t="s">
        <v>347</v>
      </c>
      <c r="D220" s="116"/>
      <c r="E220" s="118" t="s">
        <v>339</v>
      </c>
      <c r="F220" s="114" t="str">
        <f t="shared" si="0"/>
        <v xml:space="preserve">     El riesgo afecta la imagen de la entidad con algunos usuarios de relevancia frente al logro de los objetivos</v>
      </c>
    </row>
    <row r="221" spans="1:8" ht="45" x14ac:dyDescent="0.25">
      <c r="A221" s="66"/>
      <c r="B221" s="18"/>
      <c r="C221" s="18"/>
      <c r="D221" s="116"/>
      <c r="E221" s="118" t="s">
        <v>364</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347</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365</v>
      </c>
    </row>
    <row r="225" spans="2:6" x14ac:dyDescent="0.25">
      <c r="B225" s="14"/>
      <c r="C225" s="14"/>
      <c r="F225" s="115" t="s">
        <v>366</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A00-000000000000}">
      <formula1>$F$211:$F$222</formula1>
    </dataValidation>
  </dataValidations>
  <pageMargins left="0.7" right="0.7" top="0.75" bottom="0.75" header="0.3" footer="0.3"/>
  <pageSetup orientation="portrait"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621" t="s">
        <v>367</v>
      </c>
      <c r="C3" s="155" t="s">
        <v>368</v>
      </c>
      <c r="D3" s="153" t="s">
        <v>369</v>
      </c>
      <c r="AX3" t="s">
        <v>367</v>
      </c>
    </row>
    <row r="4" spans="2:50" ht="48.75" thickBot="1" x14ac:dyDescent="0.3">
      <c r="B4" s="622"/>
      <c r="C4" s="156" t="s">
        <v>370</v>
      </c>
      <c r="D4" s="154" t="s">
        <v>371</v>
      </c>
      <c r="AX4" t="s">
        <v>146</v>
      </c>
    </row>
    <row r="5" spans="2:50" ht="48.75" thickBot="1" x14ac:dyDescent="0.3">
      <c r="B5" s="622"/>
      <c r="C5" s="156" t="s">
        <v>372</v>
      </c>
      <c r="D5" s="154" t="s">
        <v>373</v>
      </c>
      <c r="AX5" t="s">
        <v>374</v>
      </c>
    </row>
    <row r="6" spans="2:50" ht="36.75" thickBot="1" x14ac:dyDescent="0.3">
      <c r="B6" s="623"/>
      <c r="C6" s="156" t="s">
        <v>375</v>
      </c>
      <c r="D6" s="154" t="s">
        <v>376</v>
      </c>
    </row>
    <row r="7" spans="2:50" ht="36.75" thickBot="1" x14ac:dyDescent="0.3">
      <c r="B7" s="621" t="s">
        <v>146</v>
      </c>
      <c r="C7" s="156" t="s">
        <v>377</v>
      </c>
      <c r="D7" s="154" t="s">
        <v>378</v>
      </c>
    </row>
    <row r="8" spans="2:50" ht="96.75" thickBot="1" x14ac:dyDescent="0.3">
      <c r="B8" s="622"/>
      <c r="C8" s="156" t="s">
        <v>379</v>
      </c>
      <c r="D8" s="154" t="s">
        <v>380</v>
      </c>
    </row>
    <row r="9" spans="2:50" ht="48.75" thickBot="1" x14ac:dyDescent="0.3">
      <c r="B9" s="623"/>
      <c r="C9" s="156" t="s">
        <v>150</v>
      </c>
      <c r="D9" s="154" t="s">
        <v>381</v>
      </c>
    </row>
    <row r="10" spans="2:50" x14ac:dyDescent="0.25">
      <c r="B10" s="621" t="s">
        <v>374</v>
      </c>
      <c r="C10" s="157"/>
      <c r="D10" s="624" t="s">
        <v>382</v>
      </c>
    </row>
    <row r="11" spans="2:50" x14ac:dyDescent="0.25">
      <c r="B11" s="622"/>
      <c r="C11" s="157" t="s">
        <v>153</v>
      </c>
      <c r="D11" s="625"/>
    </row>
    <row r="12" spans="2:50" ht="15.75" thickBot="1" x14ac:dyDescent="0.3">
      <c r="B12" s="622"/>
      <c r="C12" s="156"/>
      <c r="D12" s="626"/>
    </row>
    <row r="13" spans="2:50" ht="22.5" customHeight="1" x14ac:dyDescent="0.25">
      <c r="B13" s="622"/>
      <c r="C13" s="157"/>
      <c r="D13" s="624" t="s">
        <v>383</v>
      </c>
    </row>
    <row r="14" spans="2:50" ht="22.5" customHeight="1" x14ac:dyDescent="0.25">
      <c r="B14" s="622"/>
      <c r="C14" s="157" t="s">
        <v>152</v>
      </c>
      <c r="D14" s="625"/>
    </row>
    <row r="15" spans="2:50" ht="22.5" customHeight="1" thickBot="1" x14ac:dyDescent="0.3">
      <c r="B15" s="622"/>
      <c r="C15" s="156"/>
      <c r="D15" s="626"/>
    </row>
    <row r="16" spans="2:50" ht="25.5" customHeight="1" x14ac:dyDescent="0.25">
      <c r="B16" s="622"/>
      <c r="C16" s="157"/>
      <c r="D16" s="624" t="s">
        <v>384</v>
      </c>
    </row>
    <row r="17" spans="2:4" ht="25.5" customHeight="1" x14ac:dyDescent="0.25">
      <c r="B17" s="622"/>
      <c r="C17" s="157" t="s">
        <v>154</v>
      </c>
      <c r="D17" s="625"/>
    </row>
    <row r="18" spans="2:4" ht="25.5" customHeight="1" thickBot="1" x14ac:dyDescent="0.3">
      <c r="B18" s="623"/>
      <c r="C18" s="156"/>
      <c r="D18" s="626"/>
    </row>
  </sheetData>
  <mergeCells count="6">
    <mergeCell ref="B3:B6"/>
    <mergeCell ref="B7:B9"/>
    <mergeCell ref="B10:B18"/>
    <mergeCell ref="D10:D12"/>
    <mergeCell ref="D13:D15"/>
    <mergeCell ref="D16:D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1:F48"/>
  <sheetViews>
    <sheetView topLeftCell="A3" zoomScale="110" zoomScaleNormal="110" workbookViewId="0">
      <selection activeCell="C14" sqref="C14"/>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75" t="s">
        <v>385</v>
      </c>
    </row>
    <row r="2" spans="3:6" ht="15.75" thickBot="1" x14ac:dyDescent="0.3">
      <c r="C2" s="173" t="s">
        <v>386</v>
      </c>
      <c r="E2" s="176" t="s">
        <v>159</v>
      </c>
      <c r="F2" s="177" t="s">
        <v>160</v>
      </c>
    </row>
    <row r="3" spans="3:6" ht="15.75" thickBot="1" x14ac:dyDescent="0.3">
      <c r="C3" s="173" t="s">
        <v>387</v>
      </c>
      <c r="E3" s="350" t="s">
        <v>158</v>
      </c>
      <c r="F3" s="162" t="s">
        <v>162</v>
      </c>
    </row>
    <row r="4" spans="3:6" ht="15.75" thickBot="1" x14ac:dyDescent="0.3">
      <c r="C4" s="173" t="s">
        <v>388</v>
      </c>
      <c r="E4" s="348"/>
      <c r="F4" s="162" t="s">
        <v>164</v>
      </c>
    </row>
    <row r="5" spans="3:6" ht="15.75" thickBot="1" x14ac:dyDescent="0.3">
      <c r="C5" s="173" t="s">
        <v>389</v>
      </c>
      <c r="E5" s="348"/>
      <c r="F5" s="162" t="s">
        <v>166</v>
      </c>
    </row>
    <row r="6" spans="3:6" ht="15.75" thickBot="1" x14ac:dyDescent="0.3">
      <c r="C6" s="173" t="s">
        <v>390</v>
      </c>
      <c r="E6" s="348"/>
      <c r="F6" s="162" t="s">
        <v>168</v>
      </c>
    </row>
    <row r="7" spans="3:6" ht="15.75" thickBot="1" x14ac:dyDescent="0.3">
      <c r="C7" s="174" t="s">
        <v>391</v>
      </c>
      <c r="E7" s="348"/>
      <c r="F7" s="162" t="s">
        <v>169</v>
      </c>
    </row>
    <row r="8" spans="3:6" ht="15.75" thickBot="1" x14ac:dyDescent="0.3">
      <c r="C8" s="173" t="s">
        <v>392</v>
      </c>
      <c r="E8" s="349"/>
      <c r="F8" s="162" t="s">
        <v>170</v>
      </c>
    </row>
    <row r="9" spans="3:6" ht="15.75" thickBot="1" x14ac:dyDescent="0.3">
      <c r="C9" s="173" t="s">
        <v>393</v>
      </c>
      <c r="E9" s="347" t="s">
        <v>167</v>
      </c>
      <c r="F9" s="162" t="s">
        <v>171</v>
      </c>
    </row>
    <row r="10" spans="3:6" ht="15.75" thickBot="1" x14ac:dyDescent="0.3">
      <c r="C10" s="172" t="s">
        <v>394</v>
      </c>
      <c r="E10" s="348"/>
      <c r="F10" s="162" t="s">
        <v>172</v>
      </c>
    </row>
    <row r="11" spans="3:6" ht="15.75" thickBot="1" x14ac:dyDescent="0.3">
      <c r="C11" s="248" t="s">
        <v>395</v>
      </c>
      <c r="E11" s="348"/>
      <c r="F11" s="162" t="s">
        <v>173</v>
      </c>
    </row>
    <row r="12" spans="3:6" ht="15.75" thickBot="1" x14ac:dyDescent="0.3">
      <c r="E12" s="348"/>
      <c r="F12" s="162" t="s">
        <v>174</v>
      </c>
    </row>
    <row r="13" spans="3:6" ht="15.75" thickBot="1" x14ac:dyDescent="0.3">
      <c r="E13" s="349"/>
      <c r="F13" s="162" t="s">
        <v>175</v>
      </c>
    </row>
    <row r="14" spans="3:6" ht="24.75" thickBot="1" x14ac:dyDescent="0.3">
      <c r="E14" s="347" t="s">
        <v>163</v>
      </c>
      <c r="F14" s="162" t="s">
        <v>176</v>
      </c>
    </row>
    <row r="15" spans="3:6" ht="15.75" thickBot="1" x14ac:dyDescent="0.3">
      <c r="E15" s="348"/>
      <c r="F15" s="162" t="s">
        <v>177</v>
      </c>
    </row>
    <row r="16" spans="3:6" ht="15.75" thickBot="1" x14ac:dyDescent="0.3">
      <c r="E16" s="349"/>
      <c r="F16" s="162" t="s">
        <v>178</v>
      </c>
    </row>
    <row r="17" spans="5:6" ht="15.75" thickBot="1" x14ac:dyDescent="0.3">
      <c r="E17" s="347" t="s">
        <v>165</v>
      </c>
      <c r="F17" s="162" t="s">
        <v>179</v>
      </c>
    </row>
    <row r="18" spans="5:6" ht="15.75" thickBot="1" x14ac:dyDescent="0.3">
      <c r="E18" s="348"/>
      <c r="F18" s="162" t="s">
        <v>180</v>
      </c>
    </row>
    <row r="19" spans="5:6" ht="15.75" thickBot="1" x14ac:dyDescent="0.3">
      <c r="E19" s="349"/>
      <c r="F19" s="162" t="s">
        <v>181</v>
      </c>
    </row>
    <row r="20" spans="5:6" ht="24.75" thickBot="1" x14ac:dyDescent="0.3">
      <c r="E20" s="347" t="s">
        <v>156</v>
      </c>
      <c r="F20" s="162" t="s">
        <v>182</v>
      </c>
    </row>
    <row r="21" spans="5:6" ht="15.75" thickBot="1" x14ac:dyDescent="0.3">
      <c r="E21" s="348"/>
      <c r="F21" s="162" t="s">
        <v>183</v>
      </c>
    </row>
    <row r="22" spans="5:6" ht="15.75" thickBot="1" x14ac:dyDescent="0.3">
      <c r="E22" s="348"/>
      <c r="F22" s="162" t="s">
        <v>184</v>
      </c>
    </row>
    <row r="23" spans="5:6" ht="15.75" thickBot="1" x14ac:dyDescent="0.3">
      <c r="E23" s="348"/>
      <c r="F23" s="162" t="s">
        <v>185</v>
      </c>
    </row>
    <row r="24" spans="5:6" ht="15.75" thickBot="1" x14ac:dyDescent="0.3">
      <c r="E24" s="348"/>
      <c r="F24" s="162" t="s">
        <v>186</v>
      </c>
    </row>
    <row r="25" spans="5:6" ht="24.75" thickBot="1" x14ac:dyDescent="0.3">
      <c r="E25" s="348"/>
      <c r="F25" s="162" t="s">
        <v>187</v>
      </c>
    </row>
    <row r="26" spans="5:6" ht="15.75" thickBot="1" x14ac:dyDescent="0.3">
      <c r="E26" s="348"/>
      <c r="F26" s="162" t="s">
        <v>188</v>
      </c>
    </row>
    <row r="27" spans="5:6" ht="24.75" thickBot="1" x14ac:dyDescent="0.3">
      <c r="E27" s="348"/>
      <c r="F27" s="162" t="s">
        <v>189</v>
      </c>
    </row>
    <row r="28" spans="5:6" ht="15.75" thickBot="1" x14ac:dyDescent="0.3">
      <c r="E28" s="348"/>
      <c r="F28" s="162" t="s">
        <v>190</v>
      </c>
    </row>
    <row r="29" spans="5:6" ht="15.75" thickBot="1" x14ac:dyDescent="0.3">
      <c r="E29" s="348"/>
      <c r="F29" s="162" t="s">
        <v>191</v>
      </c>
    </row>
    <row r="30" spans="5:6" ht="15.75" thickBot="1" x14ac:dyDescent="0.3">
      <c r="E30" s="349"/>
      <c r="F30" s="162" t="s">
        <v>192</v>
      </c>
    </row>
    <row r="31" spans="5:6" ht="15.75" thickBot="1" x14ac:dyDescent="0.3">
      <c r="E31" s="347" t="s">
        <v>161</v>
      </c>
      <c r="F31" s="162" t="s">
        <v>193</v>
      </c>
    </row>
    <row r="32" spans="5:6" ht="15.75" thickBot="1" x14ac:dyDescent="0.3">
      <c r="E32" s="348"/>
      <c r="F32" s="162" t="s">
        <v>194</v>
      </c>
    </row>
    <row r="33" spans="5:6" ht="15.75" thickBot="1" x14ac:dyDescent="0.3">
      <c r="E33" s="348"/>
      <c r="F33" s="162" t="s">
        <v>195</v>
      </c>
    </row>
    <row r="34" spans="5:6" ht="15.75" thickBot="1" x14ac:dyDescent="0.3">
      <c r="E34" s="348"/>
      <c r="F34" s="162" t="s">
        <v>196</v>
      </c>
    </row>
    <row r="35" spans="5:6" ht="24.75" thickBot="1" x14ac:dyDescent="0.3">
      <c r="E35" s="349"/>
      <c r="F35" s="162" t="s">
        <v>197</v>
      </c>
    </row>
    <row r="36" spans="5:6" ht="15.75" thickBot="1" x14ac:dyDescent="0.3">
      <c r="E36" s="347" t="s">
        <v>155</v>
      </c>
      <c r="F36" s="162" t="s">
        <v>198</v>
      </c>
    </row>
    <row r="37" spans="5:6" ht="15.75" thickBot="1" x14ac:dyDescent="0.3">
      <c r="E37" s="348"/>
      <c r="F37" s="162" t="s">
        <v>199</v>
      </c>
    </row>
    <row r="38" spans="5:6" ht="15.75" thickBot="1" x14ac:dyDescent="0.3">
      <c r="E38" s="348"/>
      <c r="F38" s="162" t="s">
        <v>200</v>
      </c>
    </row>
    <row r="39" spans="5:6" ht="15.75" thickBot="1" x14ac:dyDescent="0.3">
      <c r="E39" s="348"/>
      <c r="F39" s="162" t="s">
        <v>201</v>
      </c>
    </row>
    <row r="40" spans="5:6" ht="15.75" thickBot="1" x14ac:dyDescent="0.3">
      <c r="E40" s="349"/>
      <c r="F40" s="162" t="s">
        <v>202</v>
      </c>
    </row>
    <row r="41" spans="5:6" ht="15.75" thickBot="1" x14ac:dyDescent="0.3">
      <c r="E41" s="347" t="s">
        <v>157</v>
      </c>
      <c r="F41" s="162" t="s">
        <v>203</v>
      </c>
    </row>
    <row r="42" spans="5:6" ht="15.75" thickBot="1" x14ac:dyDescent="0.3">
      <c r="E42" s="348"/>
      <c r="F42" s="162" t="s">
        <v>204</v>
      </c>
    </row>
    <row r="43" spans="5:6" ht="15.75" thickBot="1" x14ac:dyDescent="0.3">
      <c r="E43" s="348"/>
      <c r="F43" s="162" t="s">
        <v>205</v>
      </c>
    </row>
    <row r="44" spans="5:6" ht="15.75" thickBot="1" x14ac:dyDescent="0.3">
      <c r="E44" s="348"/>
      <c r="F44" s="162" t="s">
        <v>206</v>
      </c>
    </row>
    <row r="45" spans="5:6" ht="24.75" thickBot="1" x14ac:dyDescent="0.3">
      <c r="E45" s="349"/>
      <c r="F45" s="162" t="s">
        <v>207</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topLeftCell="A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627" t="s">
        <v>396</v>
      </c>
      <c r="C1" s="628"/>
      <c r="D1" s="628"/>
      <c r="E1" s="628"/>
      <c r="F1" s="629"/>
    </row>
    <row r="2" spans="2:6" ht="16.5" thickBot="1" x14ac:dyDescent="0.3">
      <c r="B2" s="72"/>
      <c r="C2" s="72"/>
      <c r="D2" s="72"/>
      <c r="E2" s="72"/>
      <c r="F2" s="72"/>
    </row>
    <row r="3" spans="2:6" ht="16.5" thickBot="1" x14ac:dyDescent="0.25">
      <c r="B3" s="631" t="s">
        <v>397</v>
      </c>
      <c r="C3" s="632"/>
      <c r="D3" s="632"/>
      <c r="E3" s="84" t="s">
        <v>398</v>
      </c>
      <c r="F3" s="85" t="s">
        <v>399</v>
      </c>
    </row>
    <row r="4" spans="2:6" ht="31.5" x14ac:dyDescent="0.2">
      <c r="B4" s="633" t="s">
        <v>400</v>
      </c>
      <c r="C4" s="635" t="s">
        <v>247</v>
      </c>
      <c r="D4" s="73" t="s">
        <v>254</v>
      </c>
      <c r="E4" s="74" t="s">
        <v>401</v>
      </c>
      <c r="F4" s="75">
        <v>0.25</v>
      </c>
    </row>
    <row r="5" spans="2:6" ht="47.25" x14ac:dyDescent="0.2">
      <c r="B5" s="634"/>
      <c r="C5" s="636"/>
      <c r="D5" s="76" t="s">
        <v>259</v>
      </c>
      <c r="E5" s="77" t="s">
        <v>402</v>
      </c>
      <c r="F5" s="78">
        <v>0.15</v>
      </c>
    </row>
    <row r="6" spans="2:6" ht="47.25" x14ac:dyDescent="0.2">
      <c r="B6" s="634"/>
      <c r="C6" s="636"/>
      <c r="D6" s="76" t="s">
        <v>281</v>
      </c>
      <c r="E6" s="77" t="s">
        <v>403</v>
      </c>
      <c r="F6" s="78">
        <v>0.1</v>
      </c>
    </row>
    <row r="7" spans="2:6" ht="63" x14ac:dyDescent="0.2">
      <c r="B7" s="634"/>
      <c r="C7" s="636" t="s">
        <v>248</v>
      </c>
      <c r="D7" s="76" t="s">
        <v>404</v>
      </c>
      <c r="E7" s="77" t="s">
        <v>405</v>
      </c>
      <c r="F7" s="78">
        <v>0.25</v>
      </c>
    </row>
    <row r="8" spans="2:6" ht="31.5" x14ac:dyDescent="0.2">
      <c r="B8" s="634"/>
      <c r="C8" s="636"/>
      <c r="D8" s="76" t="s">
        <v>255</v>
      </c>
      <c r="E8" s="77" t="s">
        <v>406</v>
      </c>
      <c r="F8" s="78">
        <v>0.15</v>
      </c>
    </row>
    <row r="9" spans="2:6" ht="47.25" x14ac:dyDescent="0.2">
      <c r="B9" s="634" t="s">
        <v>407</v>
      </c>
      <c r="C9" s="636" t="s">
        <v>250</v>
      </c>
      <c r="D9" s="76" t="s">
        <v>256</v>
      </c>
      <c r="E9" s="77" t="s">
        <v>408</v>
      </c>
      <c r="F9" s="79" t="s">
        <v>409</v>
      </c>
    </row>
    <row r="10" spans="2:6" ht="63" x14ac:dyDescent="0.2">
      <c r="B10" s="634"/>
      <c r="C10" s="636"/>
      <c r="D10" s="76" t="s">
        <v>260</v>
      </c>
      <c r="E10" s="77" t="s">
        <v>410</v>
      </c>
      <c r="F10" s="79" t="s">
        <v>409</v>
      </c>
    </row>
    <row r="11" spans="2:6" ht="47.25" x14ac:dyDescent="0.2">
      <c r="B11" s="634"/>
      <c r="C11" s="636" t="s">
        <v>251</v>
      </c>
      <c r="D11" s="76" t="s">
        <v>257</v>
      </c>
      <c r="E11" s="77" t="s">
        <v>411</v>
      </c>
      <c r="F11" s="79" t="s">
        <v>409</v>
      </c>
    </row>
    <row r="12" spans="2:6" ht="47.25" x14ac:dyDescent="0.2">
      <c r="B12" s="634"/>
      <c r="C12" s="636"/>
      <c r="D12" s="76" t="s">
        <v>412</v>
      </c>
      <c r="E12" s="77" t="s">
        <v>413</v>
      </c>
      <c r="F12" s="79" t="s">
        <v>409</v>
      </c>
    </row>
    <row r="13" spans="2:6" ht="31.5" x14ac:dyDescent="0.2">
      <c r="B13" s="634"/>
      <c r="C13" s="636" t="s">
        <v>252</v>
      </c>
      <c r="D13" s="76" t="s">
        <v>258</v>
      </c>
      <c r="E13" s="77" t="s">
        <v>414</v>
      </c>
      <c r="F13" s="79" t="s">
        <v>409</v>
      </c>
    </row>
    <row r="14" spans="2:6" ht="32.25" thickBot="1" x14ac:dyDescent="0.25">
      <c r="B14" s="637"/>
      <c r="C14" s="638"/>
      <c r="D14" s="80" t="s">
        <v>415</v>
      </c>
      <c r="E14" s="81" t="s">
        <v>416</v>
      </c>
      <c r="F14" s="82" t="s">
        <v>409</v>
      </c>
    </row>
    <row r="15" spans="2:6" ht="49.5" customHeight="1" x14ac:dyDescent="0.2">
      <c r="B15" s="630" t="s">
        <v>417</v>
      </c>
      <c r="C15" s="630"/>
      <c r="D15" s="630"/>
      <c r="E15" s="630"/>
      <c r="F15" s="630"/>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254</v>
      </c>
    </row>
    <row r="4" spans="1:1" x14ac:dyDescent="0.2">
      <c r="A4" s="2" t="s">
        <v>259</v>
      </c>
    </row>
    <row r="5" spans="1:1" x14ac:dyDescent="0.2">
      <c r="A5" s="2" t="s">
        <v>281</v>
      </c>
    </row>
    <row r="6" spans="1:1" x14ac:dyDescent="0.2">
      <c r="A6" s="2" t="s">
        <v>404</v>
      </c>
    </row>
    <row r="7" spans="1:1" x14ac:dyDescent="0.2">
      <c r="A7" s="2" t="s">
        <v>255</v>
      </c>
    </row>
    <row r="8" spans="1:1" x14ac:dyDescent="0.2">
      <c r="A8" s="2" t="s">
        <v>256</v>
      </c>
    </row>
    <row r="9" spans="1:1" x14ac:dyDescent="0.2">
      <c r="A9" s="2" t="s">
        <v>260</v>
      </c>
    </row>
    <row r="10" spans="1:1" x14ac:dyDescent="0.2">
      <c r="A10" s="2" t="s">
        <v>257</v>
      </c>
    </row>
    <row r="11" spans="1:1" x14ac:dyDescent="0.2">
      <c r="A11" s="2" t="s">
        <v>412</v>
      </c>
    </row>
    <row r="12" spans="1:1" x14ac:dyDescent="0.2">
      <c r="A12" s="2" t="s">
        <v>418</v>
      </c>
    </row>
    <row r="13" spans="1:1" x14ac:dyDescent="0.2">
      <c r="A13" s="2" t="s">
        <v>419</v>
      </c>
    </row>
    <row r="14" spans="1:1" x14ac:dyDescent="0.2">
      <c r="A14" s="2" t="s">
        <v>420</v>
      </c>
    </row>
    <row r="16" spans="1:1" x14ac:dyDescent="0.2">
      <c r="A16" s="2" t="s">
        <v>421</v>
      </c>
    </row>
    <row r="17" spans="1:1" x14ac:dyDescent="0.2">
      <c r="A17" s="2" t="s">
        <v>117</v>
      </c>
    </row>
    <row r="18" spans="1:1" x14ac:dyDescent="0.2">
      <c r="A18" s="2" t="s">
        <v>119</v>
      </c>
    </row>
    <row r="20" spans="1:1" x14ac:dyDescent="0.2">
      <c r="A20" s="2" t="s">
        <v>129</v>
      </c>
    </row>
    <row r="21" spans="1:1" x14ac:dyDescent="0.2">
      <c r="A21" s="2" t="s">
        <v>132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40" t="s">
        <v>90</v>
      </c>
      <c r="C2" s="340"/>
      <c r="D2" s="340"/>
      <c r="E2" s="341"/>
      <c r="F2" s="345" t="s">
        <v>91</v>
      </c>
    </row>
    <row r="3" spans="1:6" s="129" customFormat="1" ht="40.5" customHeight="1" thickBot="1" x14ac:dyDescent="0.4">
      <c r="A3" s="125"/>
      <c r="B3" s="342" t="s">
        <v>92</v>
      </c>
      <c r="C3" s="126" t="s">
        <v>93</v>
      </c>
      <c r="D3" s="127" t="s">
        <v>94</v>
      </c>
      <c r="E3" s="128" t="s">
        <v>95</v>
      </c>
      <c r="F3" s="346"/>
    </row>
    <row r="4" spans="1:6" s="129" customFormat="1" ht="228.75" customHeight="1" thickBot="1" x14ac:dyDescent="0.4">
      <c r="A4" s="125"/>
      <c r="B4" s="343"/>
      <c r="C4" s="130" t="s">
        <v>96</v>
      </c>
      <c r="D4" s="131" t="s">
        <v>97</v>
      </c>
      <c r="E4" s="163" t="s">
        <v>98</v>
      </c>
      <c r="F4" s="168" t="s">
        <v>99</v>
      </c>
    </row>
    <row r="5" spans="1:6" s="129" customFormat="1" ht="289.5" thickBot="1" x14ac:dyDescent="0.4">
      <c r="A5" s="125"/>
      <c r="B5" s="343"/>
      <c r="C5" s="132" t="s">
        <v>100</v>
      </c>
      <c r="D5" s="133" t="s">
        <v>101</v>
      </c>
      <c r="E5" s="164" t="s">
        <v>102</v>
      </c>
      <c r="F5" s="167" t="s">
        <v>103</v>
      </c>
    </row>
    <row r="6" spans="1:6" s="129" customFormat="1" ht="237" thickBot="1" x14ac:dyDescent="0.4">
      <c r="A6" s="125"/>
      <c r="B6" s="343"/>
      <c r="C6" s="134" t="s">
        <v>104</v>
      </c>
      <c r="D6" s="135" t="s">
        <v>105</v>
      </c>
      <c r="E6" s="165" t="s">
        <v>106</v>
      </c>
      <c r="F6" s="167"/>
    </row>
    <row r="7" spans="1:6" s="129" customFormat="1" ht="154.5" customHeight="1" thickBot="1" x14ac:dyDescent="0.4">
      <c r="A7" s="125"/>
      <c r="B7" s="343"/>
      <c r="C7" s="136" t="s">
        <v>107</v>
      </c>
      <c r="D7" s="137"/>
      <c r="E7" s="164"/>
      <c r="F7" s="167"/>
    </row>
    <row r="8" spans="1:6" s="129" customFormat="1" ht="186.75" thickBot="1" x14ac:dyDescent="0.4">
      <c r="A8" s="125"/>
      <c r="B8" s="343"/>
      <c r="C8" s="138" t="s">
        <v>108</v>
      </c>
      <c r="D8" s="135" t="s">
        <v>109</v>
      </c>
      <c r="E8" s="166" t="s">
        <v>110</v>
      </c>
      <c r="F8" s="167"/>
    </row>
    <row r="9" spans="1:6" s="129" customFormat="1" ht="182.25" thickBot="1" x14ac:dyDescent="0.4">
      <c r="A9" s="125"/>
      <c r="B9" s="343"/>
      <c r="C9" s="136" t="s">
        <v>111</v>
      </c>
      <c r="D9" s="133" t="s">
        <v>112</v>
      </c>
      <c r="E9" s="166" t="s">
        <v>113</v>
      </c>
      <c r="F9" s="167"/>
    </row>
    <row r="10" spans="1:6" s="141" customFormat="1" ht="263.25" thickBot="1" x14ac:dyDescent="0.4">
      <c r="A10" s="139"/>
      <c r="B10" s="343"/>
      <c r="C10" s="140" t="s">
        <v>114</v>
      </c>
      <c r="D10" s="133" t="s">
        <v>115</v>
      </c>
      <c r="E10" s="165" t="s">
        <v>116</v>
      </c>
      <c r="F10" s="169"/>
    </row>
    <row r="11" spans="1:6" s="141" customFormat="1" ht="28.5" thickBot="1" x14ac:dyDescent="0.4">
      <c r="A11" s="139"/>
      <c r="B11" s="344"/>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71"/>
  <sheetViews>
    <sheetView topLeftCell="A21" workbookViewId="0">
      <selection activeCell="B35" sqref="B35"/>
    </sheetView>
  </sheetViews>
  <sheetFormatPr baseColWidth="10" defaultColWidth="11.42578125" defaultRowHeight="15" x14ac:dyDescent="0.25"/>
  <cols>
    <col min="2" max="2" width="22.85546875" customWidth="1"/>
    <col min="6" max="6" width="17.140625" customWidth="1"/>
    <col min="7" max="7" width="29.28515625" customWidth="1"/>
  </cols>
  <sheetData>
    <row r="2" spans="1:8" x14ac:dyDescent="0.25">
      <c r="B2" t="s">
        <v>117</v>
      </c>
      <c r="E2" t="s">
        <v>118</v>
      </c>
    </row>
    <row r="3" spans="1:8" x14ac:dyDescent="0.25">
      <c r="B3" t="s">
        <v>119</v>
      </c>
      <c r="E3" t="s">
        <v>120</v>
      </c>
    </row>
    <row r="4" spans="1:8" x14ac:dyDescent="0.25">
      <c r="B4" t="s">
        <v>121</v>
      </c>
      <c r="E4" t="s">
        <v>122</v>
      </c>
    </row>
    <row r="5" spans="1:8" x14ac:dyDescent="0.25">
      <c r="B5" t="s">
        <v>123</v>
      </c>
    </row>
    <row r="7" spans="1:8" x14ac:dyDescent="0.25">
      <c r="F7" t="s">
        <v>124</v>
      </c>
      <c r="H7" t="s">
        <v>125</v>
      </c>
    </row>
    <row r="8" spans="1:8" x14ac:dyDescent="0.25">
      <c r="B8" t="s">
        <v>126</v>
      </c>
      <c r="F8" t="s">
        <v>127</v>
      </c>
      <c r="H8" t="s">
        <v>128</v>
      </c>
    </row>
    <row r="9" spans="1:8" x14ac:dyDescent="0.25">
      <c r="B9" t="s">
        <v>129</v>
      </c>
      <c r="F9" t="s">
        <v>130</v>
      </c>
      <c r="H9" t="s">
        <v>131</v>
      </c>
    </row>
    <row r="10" spans="1:8" ht="15.75" thickBot="1" x14ac:dyDescent="0.3">
      <c r="B10" t="s">
        <v>132</v>
      </c>
      <c r="H10" t="s">
        <v>133</v>
      </c>
    </row>
    <row r="11" spans="1:8" ht="15.75" thickBot="1" x14ac:dyDescent="0.3">
      <c r="A11" s="236" t="s">
        <v>23</v>
      </c>
      <c r="B11" s="237"/>
      <c r="C11" s="238"/>
      <c r="D11" s="239"/>
      <c r="H11" t="s">
        <v>134</v>
      </c>
    </row>
    <row r="12" spans="1:8" x14ac:dyDescent="0.25">
      <c r="A12" s="225" t="s">
        <v>135</v>
      </c>
      <c r="B12" s="226" t="s">
        <v>136</v>
      </c>
      <c r="D12" s="227"/>
      <c r="H12" t="s">
        <v>137</v>
      </c>
    </row>
    <row r="13" spans="1:8" x14ac:dyDescent="0.25">
      <c r="A13" s="225"/>
      <c r="B13" s="226" t="s">
        <v>138</v>
      </c>
      <c r="D13" s="227"/>
      <c r="H13" t="s">
        <v>139</v>
      </c>
    </row>
    <row r="14" spans="1:8" x14ac:dyDescent="0.25">
      <c r="A14" s="225"/>
      <c r="B14" s="226" t="s">
        <v>140</v>
      </c>
      <c r="D14" s="227"/>
      <c r="H14" t="s">
        <v>141</v>
      </c>
    </row>
    <row r="15" spans="1:8" x14ac:dyDescent="0.25">
      <c r="A15" s="225"/>
      <c r="B15" s="226" t="s">
        <v>142</v>
      </c>
      <c r="D15" s="227"/>
      <c r="H15" t="s">
        <v>143</v>
      </c>
    </row>
    <row r="16" spans="1:8" x14ac:dyDescent="0.25">
      <c r="A16" s="225"/>
      <c r="B16" s="226" t="s">
        <v>144</v>
      </c>
      <c r="D16" s="227"/>
      <c r="H16" t="s">
        <v>145</v>
      </c>
    </row>
    <row r="17" spans="1:8" x14ac:dyDescent="0.25">
      <c r="A17" s="228" t="s">
        <v>146</v>
      </c>
      <c r="B17" s="229" t="s">
        <v>147</v>
      </c>
      <c r="D17" s="227"/>
      <c r="H17" t="s">
        <v>148</v>
      </c>
    </row>
    <row r="18" spans="1:8" x14ac:dyDescent="0.25">
      <c r="A18" s="228"/>
      <c r="B18" s="229" t="s">
        <v>149</v>
      </c>
      <c r="D18" s="227"/>
      <c r="H18" t="s">
        <v>137</v>
      </c>
    </row>
    <row r="19" spans="1:8" x14ac:dyDescent="0.25">
      <c r="A19" s="228"/>
      <c r="B19" s="229" t="s">
        <v>150</v>
      </c>
      <c r="D19" s="227"/>
    </row>
    <row r="20" spans="1:8" x14ac:dyDescent="0.25">
      <c r="A20" s="230" t="s">
        <v>151</v>
      </c>
      <c r="B20" s="231" t="s">
        <v>152</v>
      </c>
      <c r="D20" s="227"/>
    </row>
    <row r="21" spans="1:8" x14ac:dyDescent="0.25">
      <c r="A21" s="230"/>
      <c r="B21" s="231" t="s">
        <v>153</v>
      </c>
      <c r="D21" s="227"/>
    </row>
    <row r="22" spans="1:8" ht="15.75" thickBot="1" x14ac:dyDescent="0.3">
      <c r="A22" s="232"/>
      <c r="B22" s="233" t="s">
        <v>154</v>
      </c>
      <c r="C22" s="234"/>
      <c r="D22" s="235"/>
    </row>
    <row r="25" spans="1:8" x14ac:dyDescent="0.25">
      <c r="B25" t="s">
        <v>155</v>
      </c>
    </row>
    <row r="26" spans="1:8" x14ac:dyDescent="0.25">
      <c r="B26" t="s">
        <v>156</v>
      </c>
    </row>
    <row r="27" spans="1:8" ht="15.75" thickBot="1" x14ac:dyDescent="0.3">
      <c r="B27" t="s">
        <v>157</v>
      </c>
    </row>
    <row r="28" spans="1:8" ht="15.75" thickBot="1" x14ac:dyDescent="0.3">
      <c r="B28" t="s">
        <v>158</v>
      </c>
      <c r="F28" s="160" t="s">
        <v>159</v>
      </c>
      <c r="G28" s="161" t="s">
        <v>160</v>
      </c>
    </row>
    <row r="29" spans="1:8" ht="15.75" thickBot="1" x14ac:dyDescent="0.3">
      <c r="B29" t="s">
        <v>161</v>
      </c>
      <c r="F29" s="350" t="s">
        <v>158</v>
      </c>
      <c r="G29" s="162" t="s">
        <v>162</v>
      </c>
    </row>
    <row r="30" spans="1:8" ht="15.75" thickBot="1" x14ac:dyDescent="0.3">
      <c r="B30" t="s">
        <v>163</v>
      </c>
      <c r="F30" s="348"/>
      <c r="G30" s="162" t="s">
        <v>164</v>
      </c>
    </row>
    <row r="31" spans="1:8" ht="15.75" thickBot="1" x14ac:dyDescent="0.3">
      <c r="B31" t="s">
        <v>165</v>
      </c>
      <c r="F31" s="348"/>
      <c r="G31" s="162" t="s">
        <v>166</v>
      </c>
    </row>
    <row r="32" spans="1:8" ht="15.75" thickBot="1" x14ac:dyDescent="0.3">
      <c r="B32" t="s">
        <v>167</v>
      </c>
      <c r="F32" s="348"/>
      <c r="G32" s="162" t="s">
        <v>168</v>
      </c>
    </row>
    <row r="33" spans="6:7" ht="15.75" thickBot="1" x14ac:dyDescent="0.3">
      <c r="F33" s="348"/>
      <c r="G33" s="162" t="s">
        <v>169</v>
      </c>
    </row>
    <row r="34" spans="6:7" ht="15.75" thickBot="1" x14ac:dyDescent="0.3">
      <c r="F34" s="349"/>
      <c r="G34" s="162" t="s">
        <v>170</v>
      </c>
    </row>
    <row r="35" spans="6:7" ht="15.75" thickBot="1" x14ac:dyDescent="0.3">
      <c r="F35" s="347" t="s">
        <v>167</v>
      </c>
      <c r="G35" s="162" t="s">
        <v>171</v>
      </c>
    </row>
    <row r="36" spans="6:7" ht="15.75" thickBot="1" x14ac:dyDescent="0.3">
      <c r="F36" s="348"/>
      <c r="G36" s="162" t="s">
        <v>172</v>
      </c>
    </row>
    <row r="37" spans="6:7" ht="15.75" thickBot="1" x14ac:dyDescent="0.3">
      <c r="F37" s="348"/>
      <c r="G37" s="162" t="s">
        <v>173</v>
      </c>
    </row>
    <row r="38" spans="6:7" ht="21.75" customHeight="1" thickBot="1" x14ac:dyDescent="0.3">
      <c r="F38" s="348"/>
      <c r="G38" s="162" t="s">
        <v>174</v>
      </c>
    </row>
    <row r="39" spans="6:7" ht="15.75" thickBot="1" x14ac:dyDescent="0.3">
      <c r="F39" s="349"/>
      <c r="G39" s="162" t="s">
        <v>175</v>
      </c>
    </row>
    <row r="40" spans="6:7" ht="45.75" customHeight="1" thickBot="1" x14ac:dyDescent="0.3">
      <c r="F40" s="347" t="s">
        <v>163</v>
      </c>
      <c r="G40" s="162" t="s">
        <v>176</v>
      </c>
    </row>
    <row r="41" spans="6:7" ht="15.75" thickBot="1" x14ac:dyDescent="0.3">
      <c r="F41" s="348"/>
      <c r="G41" s="162" t="s">
        <v>177</v>
      </c>
    </row>
    <row r="42" spans="6:7" ht="30" customHeight="1" thickBot="1" x14ac:dyDescent="0.3">
      <c r="F42" s="349"/>
      <c r="G42" s="162" t="s">
        <v>178</v>
      </c>
    </row>
    <row r="43" spans="6:7" ht="15.75" thickBot="1" x14ac:dyDescent="0.3">
      <c r="F43" s="347" t="s">
        <v>165</v>
      </c>
      <c r="G43" s="162" t="s">
        <v>179</v>
      </c>
    </row>
    <row r="44" spans="6:7" ht="15.75" thickBot="1" x14ac:dyDescent="0.3">
      <c r="F44" s="348"/>
      <c r="G44" s="162" t="s">
        <v>180</v>
      </c>
    </row>
    <row r="45" spans="6:7" ht="15.75" thickBot="1" x14ac:dyDescent="0.3">
      <c r="F45" s="349"/>
      <c r="G45" s="162" t="s">
        <v>181</v>
      </c>
    </row>
    <row r="46" spans="6:7" ht="24.75" thickBot="1" x14ac:dyDescent="0.3">
      <c r="F46" s="347" t="s">
        <v>156</v>
      </c>
      <c r="G46" s="162" t="s">
        <v>182</v>
      </c>
    </row>
    <row r="47" spans="6:7" ht="15.75" thickBot="1" x14ac:dyDescent="0.3">
      <c r="F47" s="348"/>
      <c r="G47" s="162" t="s">
        <v>183</v>
      </c>
    </row>
    <row r="48" spans="6:7" ht="15.75" thickBot="1" x14ac:dyDescent="0.3">
      <c r="F48" s="348"/>
      <c r="G48" s="162" t="s">
        <v>184</v>
      </c>
    </row>
    <row r="49" spans="6:7" ht="15.75" thickBot="1" x14ac:dyDescent="0.3">
      <c r="F49" s="348"/>
      <c r="G49" s="162" t="s">
        <v>185</v>
      </c>
    </row>
    <row r="50" spans="6:7" ht="15.75" thickBot="1" x14ac:dyDescent="0.3">
      <c r="F50" s="348"/>
      <c r="G50" s="162" t="s">
        <v>186</v>
      </c>
    </row>
    <row r="51" spans="6:7" ht="24.75" thickBot="1" x14ac:dyDescent="0.3">
      <c r="F51" s="348"/>
      <c r="G51" s="162" t="s">
        <v>187</v>
      </c>
    </row>
    <row r="52" spans="6:7" ht="15.75" thickBot="1" x14ac:dyDescent="0.3">
      <c r="F52" s="348"/>
      <c r="G52" s="162" t="s">
        <v>188</v>
      </c>
    </row>
    <row r="53" spans="6:7" ht="24.75" thickBot="1" x14ac:dyDescent="0.3">
      <c r="F53" s="348"/>
      <c r="G53" s="162" t="s">
        <v>189</v>
      </c>
    </row>
    <row r="54" spans="6:7" ht="15.75" thickBot="1" x14ac:dyDescent="0.3">
      <c r="F54" s="348"/>
      <c r="G54" s="162" t="s">
        <v>190</v>
      </c>
    </row>
    <row r="55" spans="6:7" ht="15.75" thickBot="1" x14ac:dyDescent="0.3">
      <c r="F55" s="348"/>
      <c r="G55" s="162" t="s">
        <v>191</v>
      </c>
    </row>
    <row r="56" spans="6:7" ht="15.75" thickBot="1" x14ac:dyDescent="0.3">
      <c r="F56" s="349"/>
      <c r="G56" s="162" t="s">
        <v>192</v>
      </c>
    </row>
    <row r="57" spans="6:7" ht="15.75" thickBot="1" x14ac:dyDescent="0.3">
      <c r="F57" s="347" t="s">
        <v>161</v>
      </c>
      <c r="G57" s="162" t="s">
        <v>193</v>
      </c>
    </row>
    <row r="58" spans="6:7" ht="15.75" thickBot="1" x14ac:dyDescent="0.3">
      <c r="F58" s="348"/>
      <c r="G58" s="162" t="s">
        <v>194</v>
      </c>
    </row>
    <row r="59" spans="6:7" ht="24.75" thickBot="1" x14ac:dyDescent="0.3">
      <c r="F59" s="348"/>
      <c r="G59" s="162" t="s">
        <v>195</v>
      </c>
    </row>
    <row r="60" spans="6:7" ht="15.75" thickBot="1" x14ac:dyDescent="0.3">
      <c r="F60" s="348"/>
      <c r="G60" s="162" t="s">
        <v>196</v>
      </c>
    </row>
    <row r="61" spans="6:7" ht="36.75" thickBot="1" x14ac:dyDescent="0.3">
      <c r="F61" s="349"/>
      <c r="G61" s="162" t="s">
        <v>197</v>
      </c>
    </row>
    <row r="62" spans="6:7" ht="15.75" thickBot="1" x14ac:dyDescent="0.3">
      <c r="F62" s="347" t="s">
        <v>155</v>
      </c>
      <c r="G62" s="162" t="s">
        <v>198</v>
      </c>
    </row>
    <row r="63" spans="6:7" ht="15.75" thickBot="1" x14ac:dyDescent="0.3">
      <c r="F63" s="348"/>
      <c r="G63" s="162" t="s">
        <v>199</v>
      </c>
    </row>
    <row r="64" spans="6:7" ht="15.75" thickBot="1" x14ac:dyDescent="0.3">
      <c r="F64" s="348"/>
      <c r="G64" s="162" t="s">
        <v>200</v>
      </c>
    </row>
    <row r="65" spans="6:7" ht="15.75" thickBot="1" x14ac:dyDescent="0.3">
      <c r="F65" s="348"/>
      <c r="G65" s="162" t="s">
        <v>201</v>
      </c>
    </row>
    <row r="66" spans="6:7" ht="15.75" thickBot="1" x14ac:dyDescent="0.3">
      <c r="F66" s="349"/>
      <c r="G66" s="162" t="s">
        <v>202</v>
      </c>
    </row>
    <row r="67" spans="6:7" ht="15.75" thickBot="1" x14ac:dyDescent="0.3">
      <c r="F67" s="347" t="s">
        <v>157</v>
      </c>
      <c r="G67" s="162" t="s">
        <v>203</v>
      </c>
    </row>
    <row r="68" spans="6:7" ht="15.75" thickBot="1" x14ac:dyDescent="0.3">
      <c r="F68" s="348"/>
      <c r="G68" s="162" t="s">
        <v>204</v>
      </c>
    </row>
    <row r="69" spans="6:7" ht="15.75" thickBot="1" x14ac:dyDescent="0.3">
      <c r="F69" s="348"/>
      <c r="G69" s="162" t="s">
        <v>205</v>
      </c>
    </row>
    <row r="70" spans="6:7" ht="15.75" thickBot="1" x14ac:dyDescent="0.3">
      <c r="F70" s="348"/>
      <c r="G70" s="162" t="s">
        <v>206</v>
      </c>
    </row>
    <row r="71" spans="6:7" ht="24.75" thickBot="1" x14ac:dyDescent="0.3">
      <c r="F71" s="349"/>
      <c r="G71" s="162" t="s">
        <v>207</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L76"/>
  <sheetViews>
    <sheetView tabSelected="1" topLeftCell="K12" zoomScale="50" zoomScaleNormal="50" zoomScaleSheetLayoutView="50" zoomScalePageLayoutView="60" workbookViewId="0">
      <selection activeCell="W20" sqref="W20"/>
    </sheetView>
  </sheetViews>
  <sheetFormatPr baseColWidth="10" defaultColWidth="11.42578125" defaultRowHeight="15" x14ac:dyDescent="0.2"/>
  <cols>
    <col min="1" max="1" width="6.5703125" style="218" customWidth="1"/>
    <col min="2" max="2" width="16" style="218" customWidth="1"/>
    <col min="3" max="3" width="19.140625" style="218" customWidth="1"/>
    <col min="4" max="4" width="25.28515625" style="218" customWidth="1"/>
    <col min="5" max="5" width="51.140625" style="218" customWidth="1"/>
    <col min="6" max="6" width="21" style="198" customWidth="1"/>
    <col min="7" max="7" width="17.7109375" style="198" customWidth="1"/>
    <col min="8" max="8" width="24.28515625" style="198" customWidth="1"/>
    <col min="9" max="11" width="25.140625" style="198" customWidth="1"/>
    <col min="12" max="12" width="19.42578125" style="198" customWidth="1"/>
    <col min="13" max="13" width="16.28515625" style="198" customWidth="1"/>
    <col min="14" max="14" width="16.7109375" style="219" customWidth="1"/>
    <col min="15" max="15" width="16.7109375" style="198" customWidth="1"/>
    <col min="16" max="16" width="20.42578125" style="198" hidden="1" customWidth="1"/>
    <col min="17" max="17" width="19.140625" style="198" customWidth="1"/>
    <col min="18" max="18" width="35.85546875" style="198" hidden="1" customWidth="1"/>
    <col min="19" max="19" width="19" style="198" customWidth="1"/>
    <col min="20" max="20" width="17.5703125" style="198" hidden="1" customWidth="1"/>
    <col min="21" max="21" width="15" style="198" customWidth="1"/>
    <col min="22" max="22" width="16" style="198" customWidth="1"/>
    <col min="23" max="23" width="51.85546875" style="198" customWidth="1"/>
    <col min="24" max="24" width="26.85546875" style="198" customWidth="1"/>
    <col min="25" max="25" width="5.85546875" style="198" customWidth="1"/>
    <col min="26" max="26" width="6.85546875" style="198" customWidth="1"/>
    <col min="27" max="27" width="5" style="198" customWidth="1"/>
    <col min="28" max="28" width="5.5703125" style="198" customWidth="1"/>
    <col min="29" max="29" width="7.140625" style="198" customWidth="1"/>
    <col min="30" max="30" width="6.7109375" style="198" customWidth="1"/>
    <col min="31" max="31" width="7.5703125" style="198" hidden="1" customWidth="1"/>
    <col min="32" max="32" width="8.5703125" style="198" customWidth="1"/>
    <col min="33" max="37" width="10.85546875" style="198" customWidth="1"/>
    <col min="38" max="38" width="27" style="217" customWidth="1"/>
    <col min="39" max="39" width="23" style="198" customWidth="1"/>
    <col min="40" max="40" width="18.85546875" style="198" customWidth="1"/>
    <col min="41" max="41" width="23.7109375" style="198" customWidth="1"/>
    <col min="42" max="42" width="22.42578125" style="198" customWidth="1"/>
    <col min="43" max="43" width="16.42578125" style="198" customWidth="1"/>
    <col min="44" max="44" width="20.5703125" style="198" customWidth="1"/>
    <col min="45" max="16384" width="11.42578125" style="198"/>
  </cols>
  <sheetData>
    <row r="1" spans="1:272" s="201" customFormat="1" ht="20.25" x14ac:dyDescent="0.3">
      <c r="A1" s="453"/>
      <c r="B1" s="454"/>
      <c r="C1" s="455"/>
      <c r="D1" s="443" t="s">
        <v>208</v>
      </c>
      <c r="E1" s="444"/>
      <c r="F1" s="444"/>
      <c r="G1" s="444"/>
      <c r="H1" s="444"/>
      <c r="I1" s="444"/>
      <c r="J1" s="444"/>
      <c r="K1" s="444"/>
      <c r="L1" s="444"/>
      <c r="M1" s="444"/>
      <c r="N1" s="444"/>
      <c r="O1" s="444"/>
      <c r="P1" s="444"/>
      <c r="Q1" s="444"/>
      <c r="R1" s="444"/>
      <c r="S1" s="444"/>
      <c r="T1" s="445"/>
      <c r="U1" s="252"/>
      <c r="V1" s="252"/>
      <c r="W1" s="252"/>
      <c r="X1" s="425"/>
      <c r="Y1" s="425"/>
      <c r="Z1" s="425"/>
      <c r="AA1" s="425"/>
      <c r="AB1" s="425"/>
      <c r="AC1" s="425"/>
      <c r="AD1" s="425"/>
      <c r="AE1" s="425"/>
      <c r="AF1" s="425"/>
      <c r="AG1" s="425"/>
      <c r="AH1" s="425"/>
      <c r="AI1" s="425"/>
      <c r="AJ1" s="425"/>
      <c r="AK1" s="425"/>
      <c r="AL1" s="425"/>
      <c r="AM1" s="425"/>
      <c r="AN1" s="425"/>
      <c r="AO1" s="425"/>
      <c r="AP1" s="425"/>
      <c r="AQ1" s="425"/>
      <c r="AR1" s="425"/>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2" s="201" customFormat="1" ht="21" thickBot="1" x14ac:dyDescent="0.35">
      <c r="A2" s="456"/>
      <c r="B2" s="457"/>
      <c r="C2" s="458"/>
      <c r="D2" s="446"/>
      <c r="E2" s="447"/>
      <c r="F2" s="447"/>
      <c r="G2" s="447"/>
      <c r="H2" s="447"/>
      <c r="I2" s="447"/>
      <c r="J2" s="447"/>
      <c r="K2" s="447"/>
      <c r="L2" s="447"/>
      <c r="M2" s="447"/>
      <c r="N2" s="447"/>
      <c r="O2" s="447"/>
      <c r="P2" s="447"/>
      <c r="Q2" s="447"/>
      <c r="R2" s="447"/>
      <c r="S2" s="447"/>
      <c r="T2" s="448"/>
      <c r="U2" s="252"/>
      <c r="V2" s="252"/>
      <c r="W2" s="252"/>
      <c r="X2" s="425"/>
      <c r="Y2" s="425"/>
      <c r="Z2" s="425"/>
      <c r="AA2" s="425"/>
      <c r="AB2" s="425"/>
      <c r="AC2" s="425"/>
      <c r="AD2" s="425"/>
      <c r="AE2" s="425"/>
      <c r="AF2" s="425"/>
      <c r="AG2" s="425"/>
      <c r="AH2" s="425"/>
      <c r="AI2" s="425"/>
      <c r="AJ2" s="425"/>
      <c r="AK2" s="425"/>
      <c r="AL2" s="425"/>
      <c r="AM2" s="425"/>
      <c r="AN2" s="425"/>
      <c r="AO2" s="425"/>
      <c r="AP2" s="425"/>
      <c r="AQ2" s="425"/>
      <c r="AR2" s="425"/>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2" s="201" customFormat="1" ht="27.75" customHeight="1" thickBot="1" x14ac:dyDescent="0.35">
      <c r="A3" s="456"/>
      <c r="B3" s="457"/>
      <c r="C3" s="458"/>
      <c r="D3" s="449" t="s">
        <v>209</v>
      </c>
      <c r="E3" s="450"/>
      <c r="F3" s="450"/>
      <c r="G3" s="450"/>
      <c r="H3" s="450"/>
      <c r="I3" s="451"/>
      <c r="J3" s="449" t="s">
        <v>210</v>
      </c>
      <c r="K3" s="450"/>
      <c r="L3" s="450"/>
      <c r="M3" s="450"/>
      <c r="N3" s="450"/>
      <c r="O3" s="450"/>
      <c r="P3" s="450"/>
      <c r="Q3" s="450"/>
      <c r="R3" s="450"/>
      <c r="S3" s="450"/>
      <c r="T3" s="451"/>
      <c r="U3" s="253"/>
      <c r="V3" s="253"/>
      <c r="W3" s="252"/>
      <c r="X3" s="426"/>
      <c r="Y3" s="426"/>
      <c r="Z3" s="426"/>
      <c r="AA3" s="426"/>
      <c r="AB3" s="426"/>
      <c r="AC3" s="426"/>
      <c r="AD3" s="426"/>
      <c r="AE3" s="426"/>
      <c r="AF3" s="426"/>
      <c r="AG3" s="426"/>
      <c r="AH3" s="426"/>
      <c r="AI3" s="426"/>
      <c r="AJ3" s="426"/>
      <c r="AK3" s="426"/>
      <c r="AL3" s="426"/>
      <c r="AM3" s="426"/>
      <c r="AN3" s="426"/>
      <c r="AO3" s="426"/>
      <c r="AP3" s="426"/>
      <c r="AQ3" s="426"/>
      <c r="AR3" s="426"/>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2" s="201" customFormat="1" ht="27.75" customHeight="1" thickBot="1" x14ac:dyDescent="0.35">
      <c r="A4" s="459"/>
      <c r="B4" s="460"/>
      <c r="C4" s="461"/>
      <c r="D4" s="449" t="s">
        <v>422</v>
      </c>
      <c r="E4" s="450"/>
      <c r="F4" s="450"/>
      <c r="G4" s="450"/>
      <c r="H4" s="450"/>
      <c r="I4" s="450"/>
      <c r="J4" s="450"/>
      <c r="K4" s="450"/>
      <c r="L4" s="450"/>
      <c r="M4" s="450"/>
      <c r="N4" s="450"/>
      <c r="O4" s="450"/>
      <c r="P4" s="450"/>
      <c r="Q4" s="450"/>
      <c r="R4" s="450"/>
      <c r="S4" s="450"/>
      <c r="T4" s="451"/>
      <c r="U4" s="252"/>
      <c r="V4" s="252"/>
      <c r="W4" s="252"/>
      <c r="X4" s="426"/>
      <c r="Y4" s="426"/>
      <c r="Z4" s="426"/>
      <c r="AA4" s="426"/>
      <c r="AB4" s="426"/>
      <c r="AC4" s="426"/>
      <c r="AD4" s="426"/>
      <c r="AE4" s="426"/>
      <c r="AF4" s="426"/>
      <c r="AG4" s="426"/>
      <c r="AH4" s="426"/>
      <c r="AI4" s="426"/>
      <c r="AJ4" s="426"/>
      <c r="AK4" s="426"/>
      <c r="AL4" s="426"/>
      <c r="AM4" s="426"/>
      <c r="AN4" s="426"/>
      <c r="AO4" s="426"/>
      <c r="AP4" s="426"/>
      <c r="AQ4" s="426"/>
      <c r="AR4" s="426"/>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2" ht="15.75" thickBot="1" x14ac:dyDescent="0.25">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2" ht="27" customHeight="1" thickBot="1" x14ac:dyDescent="0.25">
      <c r="A6" s="427" t="s">
        <v>211</v>
      </c>
      <c r="B6" s="428"/>
      <c r="C6" s="434" t="s">
        <v>85</v>
      </c>
      <c r="D6" s="435"/>
      <c r="E6" s="435"/>
      <c r="F6" s="435"/>
      <c r="G6" s="435"/>
      <c r="H6" s="435"/>
      <c r="I6" s="435"/>
      <c r="J6" s="435"/>
      <c r="K6" s="435"/>
      <c r="L6" s="435"/>
      <c r="M6" s="435"/>
      <c r="N6" s="435"/>
      <c r="O6" s="435"/>
      <c r="P6" s="435"/>
      <c r="Q6" s="435"/>
      <c r="R6" s="435"/>
      <c r="S6" s="435"/>
      <c r="T6" s="436"/>
      <c r="U6" s="255"/>
      <c r="V6" s="255"/>
      <c r="W6" s="433"/>
      <c r="X6" s="433"/>
      <c r="Y6" s="433"/>
      <c r="Z6" s="424"/>
      <c r="AA6" s="424"/>
      <c r="AB6" s="424"/>
      <c r="AC6" s="424"/>
      <c r="AD6" s="424"/>
      <c r="AE6" s="424"/>
      <c r="AF6" s="424"/>
      <c r="AG6" s="424"/>
      <c r="AH6" s="424"/>
      <c r="AI6" s="424"/>
      <c r="AJ6" s="424"/>
      <c r="AK6" s="424"/>
      <c r="AL6" s="424"/>
      <c r="AM6" s="424"/>
      <c r="AN6" s="424"/>
      <c r="AO6" s="424"/>
      <c r="AP6" s="424"/>
      <c r="AQ6" s="424"/>
      <c r="AR6" s="42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2" ht="27" customHeight="1" thickBot="1" x14ac:dyDescent="0.3">
      <c r="A7" s="429" t="s">
        <v>212</v>
      </c>
      <c r="B7" s="430"/>
      <c r="C7" s="437" t="s">
        <v>429</v>
      </c>
      <c r="D7" s="438"/>
      <c r="E7" s="438"/>
      <c r="F7" s="438"/>
      <c r="G7" s="438"/>
      <c r="H7" s="438"/>
      <c r="I7" s="438"/>
      <c r="J7" s="438"/>
      <c r="K7" s="438"/>
      <c r="L7" s="438"/>
      <c r="M7" s="438"/>
      <c r="N7" s="438"/>
      <c r="O7" s="438"/>
      <c r="P7" s="438"/>
      <c r="Q7" s="438"/>
      <c r="R7" s="438"/>
      <c r="S7" s="438"/>
      <c r="T7" s="439"/>
      <c r="U7" s="256"/>
      <c r="V7" s="256"/>
      <c r="W7" s="257"/>
      <c r="X7" s="257"/>
      <c r="Y7" s="257"/>
      <c r="Z7" s="424"/>
      <c r="AA7" s="424"/>
      <c r="AB7" s="424"/>
      <c r="AC7" s="424"/>
      <c r="AD7" s="424"/>
      <c r="AE7" s="424"/>
      <c r="AF7" s="424"/>
      <c r="AG7" s="424"/>
      <c r="AH7" s="424"/>
      <c r="AI7" s="424"/>
      <c r="AJ7" s="424"/>
      <c r="AK7" s="424"/>
      <c r="AL7" s="424"/>
      <c r="AM7" s="424"/>
      <c r="AN7" s="424"/>
      <c r="AO7" s="424"/>
      <c r="AP7" s="424"/>
      <c r="AQ7" s="424"/>
      <c r="AR7" s="42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2" ht="41.25" customHeight="1" thickBot="1" x14ac:dyDescent="0.3">
      <c r="A8" s="431" t="s">
        <v>213</v>
      </c>
      <c r="B8" s="432"/>
      <c r="C8" s="437" t="s">
        <v>430</v>
      </c>
      <c r="D8" s="438"/>
      <c r="E8" s="438"/>
      <c r="F8" s="438"/>
      <c r="G8" s="438"/>
      <c r="H8" s="438"/>
      <c r="I8" s="438"/>
      <c r="J8" s="438"/>
      <c r="K8" s="438"/>
      <c r="L8" s="438"/>
      <c r="M8" s="438"/>
      <c r="N8" s="438"/>
      <c r="O8" s="438"/>
      <c r="P8" s="438"/>
      <c r="Q8" s="438"/>
      <c r="R8" s="438"/>
      <c r="S8" s="438"/>
      <c r="T8" s="439"/>
      <c r="U8" s="256"/>
      <c r="V8" s="256"/>
      <c r="W8" s="257"/>
      <c r="X8" s="257"/>
      <c r="Y8" s="257"/>
      <c r="Z8" s="424"/>
      <c r="AA8" s="424"/>
      <c r="AB8" s="424"/>
      <c r="AC8" s="424"/>
      <c r="AD8" s="424"/>
      <c r="AE8" s="424"/>
      <c r="AF8" s="424"/>
      <c r="AG8" s="424"/>
      <c r="AH8" s="424"/>
      <c r="AI8" s="424"/>
      <c r="AJ8" s="424"/>
      <c r="AK8" s="424"/>
      <c r="AL8" s="424"/>
      <c r="AM8" s="424"/>
      <c r="AN8" s="424"/>
      <c r="AO8" s="424"/>
      <c r="AP8" s="424"/>
      <c r="AQ8" s="424"/>
      <c r="AR8" s="42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2" ht="15.75" x14ac:dyDescent="0.25">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2" ht="27.75" customHeight="1" x14ac:dyDescent="0.2">
      <c r="A10" s="440" t="s">
        <v>214</v>
      </c>
      <c r="B10" s="441"/>
      <c r="C10" s="441"/>
      <c r="D10" s="441"/>
      <c r="E10" s="441"/>
      <c r="F10" s="442"/>
      <c r="G10" s="383" t="s">
        <v>215</v>
      </c>
      <c r="H10" s="384"/>
      <c r="I10" s="384"/>
      <c r="J10" s="384"/>
      <c r="K10" s="385"/>
      <c r="L10" s="354" t="s">
        <v>216</v>
      </c>
      <c r="M10" s="355"/>
      <c r="N10" s="356" t="s">
        <v>217</v>
      </c>
      <c r="O10" s="357"/>
      <c r="P10" s="357"/>
      <c r="Q10" s="357"/>
      <c r="R10" s="357"/>
      <c r="S10" s="357"/>
      <c r="T10" s="357"/>
      <c r="U10" s="357"/>
      <c r="V10" s="358"/>
      <c r="W10" s="376" t="s">
        <v>218</v>
      </c>
      <c r="X10" s="376"/>
      <c r="Y10" s="376"/>
      <c r="Z10" s="376"/>
      <c r="AA10" s="376"/>
      <c r="AB10" s="376"/>
      <c r="AC10" s="376"/>
      <c r="AD10" s="376"/>
      <c r="AE10" s="376"/>
      <c r="AF10" s="393" t="s">
        <v>219</v>
      </c>
      <c r="AG10" s="394"/>
      <c r="AH10" s="394"/>
      <c r="AI10" s="394"/>
      <c r="AJ10" s="395"/>
      <c r="AK10" s="356" t="s">
        <v>423</v>
      </c>
      <c r="AL10" s="357"/>
      <c r="AM10" s="357"/>
      <c r="AN10" s="357"/>
      <c r="AO10" s="358"/>
      <c r="AP10" s="356" t="s">
        <v>424</v>
      </c>
      <c r="AQ10" s="357"/>
      <c r="AR10" s="358"/>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row>
    <row r="11" spans="1:272" ht="15.75" x14ac:dyDescent="0.2">
      <c r="A11" s="409" t="s">
        <v>222</v>
      </c>
      <c r="B11" s="411" t="s">
        <v>15</v>
      </c>
      <c r="C11" s="413" t="s">
        <v>17</v>
      </c>
      <c r="D11" s="413" t="s">
        <v>19</v>
      </c>
      <c r="E11" s="411" t="s">
        <v>21</v>
      </c>
      <c r="F11" s="413" t="s">
        <v>23</v>
      </c>
      <c r="G11" s="416" t="s">
        <v>124</v>
      </c>
      <c r="H11" s="416" t="s">
        <v>223</v>
      </c>
      <c r="I11" s="416" t="s">
        <v>224</v>
      </c>
      <c r="J11" s="416" t="s">
        <v>225</v>
      </c>
      <c r="K11" s="416" t="s">
        <v>226</v>
      </c>
      <c r="L11" s="354"/>
      <c r="M11" s="355"/>
      <c r="N11" s="351" t="s">
        <v>227</v>
      </c>
      <c r="O11" s="351" t="s">
        <v>228</v>
      </c>
      <c r="P11" s="396" t="s">
        <v>229</v>
      </c>
      <c r="Q11" s="351" t="s">
        <v>230</v>
      </c>
      <c r="R11" s="351" t="s">
        <v>231</v>
      </c>
      <c r="S11" s="351" t="s">
        <v>232</v>
      </c>
      <c r="T11" s="396" t="s">
        <v>229</v>
      </c>
      <c r="U11" s="351" t="s">
        <v>29</v>
      </c>
      <c r="V11" s="371" t="s">
        <v>233</v>
      </c>
      <c r="W11" s="351" t="s">
        <v>31</v>
      </c>
      <c r="X11" s="351" t="s">
        <v>33</v>
      </c>
      <c r="Y11" s="351" t="s">
        <v>234</v>
      </c>
      <c r="Z11" s="351"/>
      <c r="AA11" s="351"/>
      <c r="AB11" s="351"/>
      <c r="AC11" s="351"/>
      <c r="AD11" s="351"/>
      <c r="AE11" s="371" t="s">
        <v>235</v>
      </c>
      <c r="AF11" s="371" t="s">
        <v>236</v>
      </c>
      <c r="AG11" s="371" t="s">
        <v>229</v>
      </c>
      <c r="AH11" s="371" t="s">
        <v>237</v>
      </c>
      <c r="AI11" s="371" t="s">
        <v>229</v>
      </c>
      <c r="AJ11" s="371" t="s">
        <v>238</v>
      </c>
      <c r="AK11" s="371" t="s">
        <v>49</v>
      </c>
      <c r="AL11" s="351" t="s">
        <v>239</v>
      </c>
      <c r="AM11" s="351" t="s">
        <v>240</v>
      </c>
      <c r="AN11" s="351" t="s">
        <v>241</v>
      </c>
      <c r="AO11" s="351" t="s">
        <v>242</v>
      </c>
      <c r="AP11" s="351" t="s">
        <v>239</v>
      </c>
      <c r="AQ11" s="351" t="s">
        <v>241</v>
      </c>
      <c r="AR11" s="351" t="s">
        <v>240</v>
      </c>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row>
    <row r="12" spans="1:272" s="213" customFormat="1" ht="87.75" customHeight="1" thickBot="1" x14ac:dyDescent="0.3">
      <c r="A12" s="410"/>
      <c r="B12" s="412"/>
      <c r="C12" s="414"/>
      <c r="D12" s="414"/>
      <c r="E12" s="412"/>
      <c r="F12" s="414"/>
      <c r="G12" s="417"/>
      <c r="H12" s="417"/>
      <c r="I12" s="417"/>
      <c r="J12" s="417"/>
      <c r="K12" s="417"/>
      <c r="L12" s="262" t="s">
        <v>425</v>
      </c>
      <c r="M12" s="262" t="s">
        <v>246</v>
      </c>
      <c r="N12" s="352"/>
      <c r="O12" s="352"/>
      <c r="P12" s="397"/>
      <c r="Q12" s="352"/>
      <c r="R12" s="352"/>
      <c r="S12" s="397"/>
      <c r="T12" s="397"/>
      <c r="U12" s="352"/>
      <c r="V12" s="372"/>
      <c r="W12" s="352"/>
      <c r="X12" s="352"/>
      <c r="Y12" s="263" t="s">
        <v>247</v>
      </c>
      <c r="Z12" s="263" t="s">
        <v>248</v>
      </c>
      <c r="AA12" s="263" t="s">
        <v>249</v>
      </c>
      <c r="AB12" s="263" t="s">
        <v>250</v>
      </c>
      <c r="AC12" s="263" t="s">
        <v>251</v>
      </c>
      <c r="AD12" s="263" t="s">
        <v>252</v>
      </c>
      <c r="AE12" s="372"/>
      <c r="AF12" s="372"/>
      <c r="AG12" s="372"/>
      <c r="AH12" s="372"/>
      <c r="AI12" s="372"/>
      <c r="AJ12" s="372"/>
      <c r="AK12" s="372"/>
      <c r="AL12" s="352"/>
      <c r="AM12" s="352"/>
      <c r="AN12" s="352"/>
      <c r="AO12" s="352"/>
      <c r="AP12" s="352"/>
      <c r="AQ12" s="352"/>
      <c r="AR12" s="352"/>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row>
    <row r="13" spans="1:272" s="215" customFormat="1" ht="119.25" customHeight="1" x14ac:dyDescent="0.25">
      <c r="A13" s="406">
        <v>1</v>
      </c>
      <c r="B13" s="386" t="s">
        <v>122</v>
      </c>
      <c r="C13" s="386" t="s">
        <v>426</v>
      </c>
      <c r="D13" s="386" t="s">
        <v>427</v>
      </c>
      <c r="E13" s="389" t="s">
        <v>428</v>
      </c>
      <c r="F13" s="386" t="s">
        <v>140</v>
      </c>
      <c r="G13" s="359" t="s">
        <v>127</v>
      </c>
      <c r="H13" s="359" t="s">
        <v>431</v>
      </c>
      <c r="I13" s="359" t="s">
        <v>432</v>
      </c>
      <c r="J13" s="359" t="s">
        <v>433</v>
      </c>
      <c r="K13" s="398" t="s">
        <v>456</v>
      </c>
      <c r="L13" s="359" t="s">
        <v>131</v>
      </c>
      <c r="M13" s="359" t="s">
        <v>143</v>
      </c>
      <c r="N13" s="380">
        <v>96</v>
      </c>
      <c r="O13" s="366" t="str">
        <f>IF(N13&lt;=0,"",IF(N13&lt;=2,"Muy Baja",IF(N13&lt;=24,"Baja",IF(N13&lt;=500,"Media",IF(N13&lt;=5000,"Alta","Muy Alta")))))</f>
        <v>Media</v>
      </c>
      <c r="P13" s="363">
        <f>IF(O13="","",IF(O13="Muy Baja",0.2,IF(O13="Baja",0.4,IF(O13="Media",0.6,IF(O13="Alta",0.8,IF(O13="Muy Alta",1,))))))</f>
        <v>0.6</v>
      </c>
      <c r="Q13" s="374" t="s">
        <v>253</v>
      </c>
      <c r="R13" s="363" t="str">
        <f>IF(NOT(ISERROR(MATCH(Q13,'Tabla Impacto'!$B$222:$B$224,0))),'Tabla Impacto'!$F$224&amp;"Por favor no seleccionar los criterios de impacto(Afectación Económica o presupuestal y Pérdida Reputacional)",Q13)</f>
        <v xml:space="preserve">     El riesgo afecta la imagen de la entidad con algunos usuarios de relevancia frente al logro de los objetivos</v>
      </c>
      <c r="S13" s="366" t="str">
        <f>IF(OR(R13='Tabla Impacto'!$C$12,R13='Tabla Impacto'!$D$12),"Leve",IF(OR(R13='Tabla Impacto'!$C$13,R13='Tabla Impacto'!$D$13),"Menor",IF(OR(R13='Tabla Impacto'!$C$14,R13='Tabla Impacto'!$D$14),"Moderado",IF(OR(R13='Tabla Impacto'!$C$15,R13='Tabla Impacto'!$D$15),"Mayor",IF(OR(R13='Tabla Impacto'!$C$16,R13='Tabla Impacto'!$D$16),"Catastrófico","")))))</f>
        <v>Moderado</v>
      </c>
      <c r="T13" s="363">
        <f>IF(S13="","",IF(S13="Leve",0.2,IF(S13="Menor",0.4,IF(S13="Moderado",0.6,IF(S13="Mayor",0.8,IF(S13="Catastrófico",1,))))))</f>
        <v>0.6</v>
      </c>
      <c r="U13" s="369"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276">
        <v>1</v>
      </c>
      <c r="W13" s="277" t="s">
        <v>434</v>
      </c>
      <c r="X13" s="278" t="str">
        <f t="shared" ref="X13:X16" si="0">IF(OR(Y13="Preventivo",Y13="Detectivo"),"Probabilidad",IF(Y13="Correctivo","Impacto",""))</f>
        <v>Probabilidad</v>
      </c>
      <c r="Y13" s="279" t="s">
        <v>254</v>
      </c>
      <c r="Z13" s="279" t="s">
        <v>255</v>
      </c>
      <c r="AA13" s="280" t="str">
        <f>IF(AND(Y13="Preventivo",Z13="Automático"),"50%",IF(AND(Y13="Preventivo",Z13="Manual"),"40%",IF(AND(Y13="Detectivo",Z13="Automático"),"40%",IF(AND(Y13="Detectivo",Z13="Manual"),"30%",IF(AND(Y13="Correctivo",Z13="Automático"),"35%",IF(AND(Y13="Correctivo",Z13="Manual"),"25%",""))))))</f>
        <v>40%</v>
      </c>
      <c r="AB13" s="279" t="s">
        <v>256</v>
      </c>
      <c r="AC13" s="279" t="s">
        <v>257</v>
      </c>
      <c r="AD13" s="279" t="s">
        <v>258</v>
      </c>
      <c r="AE13" s="281">
        <f>IFERROR(IF(X13="Probabilidad",(P13-(+P13*AA13)),IF(X13="Impacto",P13,"")),"")</f>
        <v>0.36</v>
      </c>
      <c r="AF13" s="282" t="str">
        <f>IFERROR(IF(AE13="","",IF(AE13&lt;=0.2,"Muy Baja",IF(AE13&lt;=0.4,"Baja",IF(AE13&lt;=0.6,"Media",IF(AE13&lt;=0.8,"Alta","Muy Alta"))))),"")</f>
        <v>Baja</v>
      </c>
      <c r="AG13" s="280">
        <f>+AE13</f>
        <v>0.36</v>
      </c>
      <c r="AH13" s="282" t="str">
        <f>IFERROR(IF(AI13="","",IF(AI13&lt;=0.2,"Leve",IF(AI13&lt;=0.4,"Menor",IF(AI13&lt;=0.6,"Moderado",IF(AI13&lt;=0.8,"Mayor","Catastrófico"))))),"")</f>
        <v>Moderado</v>
      </c>
      <c r="AI13" s="280">
        <f>IFERROR(IF(X13="Impacto",(T13-(+T13*AA13)),IF(X13="Probabilidad",T13,"")),"")</f>
        <v>0.6</v>
      </c>
      <c r="AJ13" s="283"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Moderado</v>
      </c>
      <c r="AK13" s="284"/>
      <c r="AL13" s="275" t="s">
        <v>437</v>
      </c>
      <c r="AM13" s="275" t="s">
        <v>438</v>
      </c>
      <c r="AN13" s="285" t="s">
        <v>439</v>
      </c>
      <c r="AO13" s="300" t="s">
        <v>450</v>
      </c>
      <c r="AP13" s="386" t="s">
        <v>440</v>
      </c>
      <c r="AQ13" s="386" t="s">
        <v>441</v>
      </c>
      <c r="AR13" s="402" t="s">
        <v>442</v>
      </c>
    </row>
    <row r="14" spans="1:272" ht="119.25" customHeight="1" x14ac:dyDescent="0.2">
      <c r="A14" s="407"/>
      <c r="B14" s="387"/>
      <c r="C14" s="387"/>
      <c r="D14" s="387"/>
      <c r="E14" s="390"/>
      <c r="F14" s="387"/>
      <c r="G14" s="360"/>
      <c r="H14" s="360"/>
      <c r="I14" s="360"/>
      <c r="J14" s="360"/>
      <c r="K14" s="399"/>
      <c r="L14" s="360"/>
      <c r="M14" s="360"/>
      <c r="N14" s="381"/>
      <c r="O14" s="367"/>
      <c r="P14" s="364"/>
      <c r="Q14" s="353"/>
      <c r="R14" s="364">
        <f>IF(NOT(ISERROR(MATCH(Q14,_xlfn.ANCHORARRAY(E25),0))),P27&amp;"Por favor no seleccionar los criterios de impacto",Q14)</f>
        <v>0</v>
      </c>
      <c r="S14" s="367"/>
      <c r="T14" s="364"/>
      <c r="U14" s="362"/>
      <c r="V14" s="214">
        <v>2</v>
      </c>
      <c r="W14" s="240" t="s">
        <v>435</v>
      </c>
      <c r="X14" s="189" t="str">
        <f t="shared" si="0"/>
        <v>Probabilidad</v>
      </c>
      <c r="Y14" s="190" t="s">
        <v>259</v>
      </c>
      <c r="Z14" s="190" t="s">
        <v>255</v>
      </c>
      <c r="AA14" s="191" t="str">
        <f t="shared" ref="AA14:AA18" si="1">IF(AND(Y14="Preventivo",Z14="Automático"),"50%",IF(AND(Y14="Preventivo",Z14="Manual"),"40%",IF(AND(Y14="Detectivo",Z14="Automático"),"40%",IF(AND(Y14="Detectivo",Z14="Manual"),"30%",IF(AND(Y14="Correctivo",Z14="Automático"),"35%",IF(AND(Y14="Correctivo",Z14="Manual"),"25%",""))))))</f>
        <v>30%</v>
      </c>
      <c r="AB14" s="190" t="s">
        <v>256</v>
      </c>
      <c r="AC14" s="190" t="s">
        <v>257</v>
      </c>
      <c r="AD14" s="190" t="s">
        <v>258</v>
      </c>
      <c r="AE14" s="192">
        <f>IFERROR(IF(AND(X13="Probabilidad",X14="Probabilidad"),(AG13-(+AG13*AA14)),IF(X14="Probabilidad",(P13-(+P13*AA14)),IF(X14="Impacto",AG13,""))),"")</f>
        <v>0.252</v>
      </c>
      <c r="AF14" s="193" t="str">
        <f t="shared" ref="AF14:AF72" si="2">IFERROR(IF(AE14="","",IF(AE14&lt;=0.2,"Muy Baja",IF(AE14&lt;=0.4,"Baja",IF(AE14&lt;=0.6,"Media",IF(AE14&lt;=0.8,"Alta","Muy Alta"))))),"")</f>
        <v>Baja</v>
      </c>
      <c r="AG14" s="191">
        <f t="shared" ref="AG14:AG18" si="3">+AE14</f>
        <v>0.252</v>
      </c>
      <c r="AH14" s="193" t="str">
        <f t="shared" ref="AH14:AH72" si="4">IFERROR(IF(AI14="","",IF(AI14&lt;=0.2,"Leve",IF(AI14&lt;=0.4,"Menor",IF(AI14&lt;=0.6,"Moderado",IF(AI14&lt;=0.8,"Mayor","Catastrófico"))))),"")</f>
        <v>Moderado</v>
      </c>
      <c r="AI14" s="191">
        <f>IFERROR(IF(AND(X13="Impacto",X14="Impacto"),(AI13-(+AI13*AA14)),IF(X14="Impacto",($T$13-(+$T$13*AA14)),IF(X14="Probabilidad",AI13,""))),"")</f>
        <v>0.6</v>
      </c>
      <c r="AJ14" s="194"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Moderado</v>
      </c>
      <c r="AK14" s="195"/>
      <c r="AL14" s="186"/>
      <c r="AM14" s="196"/>
      <c r="AN14" s="186"/>
      <c r="AO14" s="197"/>
      <c r="AP14" s="387"/>
      <c r="AQ14" s="387"/>
      <c r="AR14" s="403"/>
    </row>
    <row r="15" spans="1:272" ht="119.25" customHeight="1" x14ac:dyDescent="0.2">
      <c r="A15" s="407"/>
      <c r="B15" s="387"/>
      <c r="C15" s="387"/>
      <c r="D15" s="387"/>
      <c r="E15" s="390"/>
      <c r="F15" s="387"/>
      <c r="G15" s="360"/>
      <c r="H15" s="360"/>
      <c r="I15" s="360"/>
      <c r="J15" s="360"/>
      <c r="K15" s="399"/>
      <c r="L15" s="360"/>
      <c r="M15" s="360"/>
      <c r="N15" s="381"/>
      <c r="O15" s="367"/>
      <c r="P15" s="364"/>
      <c r="Q15" s="353"/>
      <c r="R15" s="364">
        <f>IF(NOT(ISERROR(MATCH(Q15,_xlfn.ANCHORARRAY(E26),0))),P28&amp;"Por favor no seleccionar los criterios de impacto",Q15)</f>
        <v>0</v>
      </c>
      <c r="S15" s="367"/>
      <c r="T15" s="364"/>
      <c r="U15" s="362"/>
      <c r="V15" s="214">
        <v>3</v>
      </c>
      <c r="W15" s="240" t="s">
        <v>436</v>
      </c>
      <c r="X15" s="189" t="str">
        <f t="shared" si="0"/>
        <v>Probabilidad</v>
      </c>
      <c r="Y15" s="190" t="s">
        <v>259</v>
      </c>
      <c r="Z15" s="190" t="s">
        <v>255</v>
      </c>
      <c r="AA15" s="191" t="str">
        <f t="shared" si="1"/>
        <v>30%</v>
      </c>
      <c r="AB15" s="190" t="s">
        <v>256</v>
      </c>
      <c r="AC15" s="190" t="s">
        <v>257</v>
      </c>
      <c r="AD15" s="190" t="s">
        <v>258</v>
      </c>
      <c r="AE15" s="192">
        <f>IFERROR(IF(AND(X14="Probabilidad",X15="Probabilidad"),(AG14-(+AG14*AA15)),IF(AND(X14="Impacto",X15="Probabilidad"),(AG13-(+AG13*AA15)),IF(X15="Impacto",AG14,""))),"")</f>
        <v>0.1764</v>
      </c>
      <c r="AF15" s="193" t="str">
        <f t="shared" si="2"/>
        <v>Muy Baja</v>
      </c>
      <c r="AG15" s="191">
        <f t="shared" si="3"/>
        <v>0.1764</v>
      </c>
      <c r="AH15" s="193" t="str">
        <f t="shared" si="4"/>
        <v>Moderado</v>
      </c>
      <c r="AI15" s="191">
        <f>IFERROR(IF(AND(X14="Impacto",X15="Impacto"),(AI14-(+AI14*AA15)),IF(AND(X14="Probabilidad",X15="Impacto"),(AI13-(+AI13*AA15)),IF(X15="Probabilidad",AI14,""))),"")</f>
        <v>0.6</v>
      </c>
      <c r="AJ15" s="194" t="str">
        <f t="shared" si="5"/>
        <v>Moderado</v>
      </c>
      <c r="AK15" s="195" t="s">
        <v>123</v>
      </c>
      <c r="AL15" s="186"/>
      <c r="AM15" s="196"/>
      <c r="AN15" s="196"/>
      <c r="AO15" s="197"/>
      <c r="AP15" s="387"/>
      <c r="AQ15" s="387"/>
      <c r="AR15" s="403"/>
    </row>
    <row r="16" spans="1:272" x14ac:dyDescent="0.2">
      <c r="A16" s="407"/>
      <c r="B16" s="387"/>
      <c r="C16" s="387"/>
      <c r="D16" s="387"/>
      <c r="E16" s="390"/>
      <c r="F16" s="387"/>
      <c r="G16" s="360"/>
      <c r="H16" s="360"/>
      <c r="I16" s="360"/>
      <c r="J16" s="360"/>
      <c r="K16" s="399"/>
      <c r="L16" s="360"/>
      <c r="M16" s="360"/>
      <c r="N16" s="381"/>
      <c r="O16" s="367"/>
      <c r="P16" s="364"/>
      <c r="Q16" s="353"/>
      <c r="R16" s="364">
        <f>IF(NOT(ISERROR(MATCH(Q16,_xlfn.ANCHORARRAY(E27),0))),P29&amp;"Por favor no seleccionar los criterios de impacto",Q16)</f>
        <v>0</v>
      </c>
      <c r="S16" s="367"/>
      <c r="T16" s="364"/>
      <c r="U16" s="362"/>
      <c r="V16" s="214">
        <v>4</v>
      </c>
      <c r="W16" s="187"/>
      <c r="X16" s="189" t="str">
        <f t="shared" si="0"/>
        <v/>
      </c>
      <c r="Y16" s="190"/>
      <c r="Z16" s="190"/>
      <c r="AA16" s="191" t="str">
        <f t="shared" si="1"/>
        <v/>
      </c>
      <c r="AB16" s="190"/>
      <c r="AC16" s="190"/>
      <c r="AD16" s="190"/>
      <c r="AE16" s="192" t="str">
        <f t="shared" ref="AE16:AE18" si="6">IFERROR(IF(AND(X15="Probabilidad",X16="Probabilidad"),(AG15-(+AG15*AA16)),IF(AND(X15="Impacto",X16="Probabilidad"),(AG14-(+AG14*AA16)),IF(X16="Impacto",AG15,""))),"")</f>
        <v/>
      </c>
      <c r="AF16" s="193" t="str">
        <f t="shared" si="2"/>
        <v/>
      </c>
      <c r="AG16" s="191" t="str">
        <f t="shared" si="3"/>
        <v/>
      </c>
      <c r="AH16" s="193" t="str">
        <f t="shared" si="4"/>
        <v/>
      </c>
      <c r="AI16" s="191" t="str">
        <f t="shared" ref="AI16:AI18" si="7">IFERROR(IF(AND(X15="Impacto",X16="Impacto"),(AI15-(+AI15*AA16)),IF(AND(X15="Probabilidad",X16="Impacto"),(AI14-(+AI14*AA16)),IF(X16="Probabilidad",AI15,""))),"")</f>
        <v/>
      </c>
      <c r="AJ16" s="194"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95"/>
      <c r="AL16" s="186"/>
      <c r="AM16" s="196"/>
      <c r="AN16" s="196"/>
      <c r="AO16" s="197"/>
      <c r="AP16" s="387"/>
      <c r="AQ16" s="387"/>
      <c r="AR16" s="403"/>
    </row>
    <row r="17" spans="1:44" x14ac:dyDescent="0.2">
      <c r="A17" s="407"/>
      <c r="B17" s="387"/>
      <c r="C17" s="387"/>
      <c r="D17" s="387"/>
      <c r="E17" s="390"/>
      <c r="F17" s="387"/>
      <c r="G17" s="360"/>
      <c r="H17" s="360"/>
      <c r="I17" s="360"/>
      <c r="J17" s="360"/>
      <c r="K17" s="399"/>
      <c r="L17" s="360"/>
      <c r="M17" s="360"/>
      <c r="N17" s="381"/>
      <c r="O17" s="367"/>
      <c r="P17" s="364"/>
      <c r="Q17" s="353"/>
      <c r="R17" s="364">
        <f>IF(NOT(ISERROR(MATCH(Q17,_xlfn.ANCHORARRAY(E28),0))),P30&amp;"Por favor no seleccionar los criterios de impacto",Q17)</f>
        <v>0</v>
      </c>
      <c r="S17" s="367"/>
      <c r="T17" s="364"/>
      <c r="U17" s="362"/>
      <c r="V17" s="214">
        <v>5</v>
      </c>
      <c r="W17" s="187"/>
      <c r="X17" s="189" t="str">
        <f t="shared" ref="X17:X18" si="8">IF(OR(Y17="Preventivo",Y17="Detectivo"),"Probabilidad",IF(Y17="Correctivo","Impacto",""))</f>
        <v/>
      </c>
      <c r="Y17" s="190"/>
      <c r="Z17" s="190"/>
      <c r="AA17" s="191" t="str">
        <f t="shared" si="1"/>
        <v/>
      </c>
      <c r="AB17" s="190"/>
      <c r="AC17" s="190"/>
      <c r="AD17" s="190"/>
      <c r="AE17" s="192" t="str">
        <f t="shared" si="6"/>
        <v/>
      </c>
      <c r="AF17" s="193" t="str">
        <f t="shared" si="2"/>
        <v/>
      </c>
      <c r="AG17" s="191" t="str">
        <f t="shared" si="3"/>
        <v/>
      </c>
      <c r="AH17" s="193" t="str">
        <f t="shared" si="4"/>
        <v/>
      </c>
      <c r="AI17" s="191" t="str">
        <f t="shared" si="7"/>
        <v/>
      </c>
      <c r="AJ17" s="194" t="str">
        <f t="shared" si="5"/>
        <v/>
      </c>
      <c r="AK17" s="195"/>
      <c r="AL17" s="186"/>
      <c r="AM17" s="196"/>
      <c r="AN17" s="196"/>
      <c r="AO17" s="197"/>
      <c r="AP17" s="387"/>
      <c r="AQ17" s="387"/>
      <c r="AR17" s="403"/>
    </row>
    <row r="18" spans="1:44" ht="15.75" thickBot="1" x14ac:dyDescent="0.25">
      <c r="A18" s="408"/>
      <c r="B18" s="388"/>
      <c r="C18" s="388"/>
      <c r="D18" s="388"/>
      <c r="E18" s="391"/>
      <c r="F18" s="388"/>
      <c r="G18" s="361"/>
      <c r="H18" s="361"/>
      <c r="I18" s="361"/>
      <c r="J18" s="361"/>
      <c r="K18" s="400"/>
      <c r="L18" s="361"/>
      <c r="M18" s="361"/>
      <c r="N18" s="382"/>
      <c r="O18" s="368"/>
      <c r="P18" s="365"/>
      <c r="Q18" s="375"/>
      <c r="R18" s="365">
        <f>IF(NOT(ISERROR(MATCH(Q18,_xlfn.ANCHORARRAY(E29),0))),P31&amp;"Por favor no seleccionar los criterios de impacto",Q18)</f>
        <v>0</v>
      </c>
      <c r="S18" s="368"/>
      <c r="T18" s="365"/>
      <c r="U18" s="370"/>
      <c r="V18" s="289">
        <v>6</v>
      </c>
      <c r="W18" s="287"/>
      <c r="X18" s="290" t="str">
        <f t="shared" si="8"/>
        <v/>
      </c>
      <c r="Y18" s="291"/>
      <c r="Z18" s="291"/>
      <c r="AA18" s="292" t="str">
        <f t="shared" si="1"/>
        <v/>
      </c>
      <c r="AB18" s="291"/>
      <c r="AC18" s="291"/>
      <c r="AD18" s="291"/>
      <c r="AE18" s="293" t="str">
        <f t="shared" si="6"/>
        <v/>
      </c>
      <c r="AF18" s="294" t="str">
        <f t="shared" si="2"/>
        <v/>
      </c>
      <c r="AG18" s="292" t="str">
        <f t="shared" si="3"/>
        <v/>
      </c>
      <c r="AH18" s="294" t="str">
        <f t="shared" si="4"/>
        <v/>
      </c>
      <c r="AI18" s="292" t="str">
        <f t="shared" si="7"/>
        <v/>
      </c>
      <c r="AJ18" s="295" t="str">
        <f t="shared" si="5"/>
        <v/>
      </c>
      <c r="AK18" s="296"/>
      <c r="AL18" s="286"/>
      <c r="AM18" s="288"/>
      <c r="AN18" s="288"/>
      <c r="AO18" s="297"/>
      <c r="AP18" s="388"/>
      <c r="AQ18" s="388"/>
      <c r="AR18" s="404"/>
    </row>
    <row r="19" spans="1:44" ht="125.25" customHeight="1" x14ac:dyDescent="0.2">
      <c r="A19" s="406">
        <v>2</v>
      </c>
      <c r="B19" s="386" t="s">
        <v>122</v>
      </c>
      <c r="C19" s="386" t="s">
        <v>443</v>
      </c>
      <c r="D19" s="386" t="s">
        <v>444</v>
      </c>
      <c r="E19" s="389" t="s">
        <v>445</v>
      </c>
      <c r="F19" s="386" t="s">
        <v>140</v>
      </c>
      <c r="G19" s="359" t="s">
        <v>127</v>
      </c>
      <c r="H19" s="359" t="s">
        <v>446</v>
      </c>
      <c r="I19" s="359" t="s">
        <v>447</v>
      </c>
      <c r="J19" s="359" t="s">
        <v>455</v>
      </c>
      <c r="K19" s="398" t="s">
        <v>457</v>
      </c>
      <c r="L19" s="359" t="s">
        <v>131</v>
      </c>
      <c r="M19" s="359" t="s">
        <v>143</v>
      </c>
      <c r="N19" s="380">
        <v>54</v>
      </c>
      <c r="O19" s="366" t="str">
        <f>IF(N19&lt;=0,"",IF(N19&lt;=2,"Muy Baja",IF(N19&lt;=24,"Baja",IF(N19&lt;=500,"Media",IF(N19&lt;=5000,"Alta","Muy Alta")))))</f>
        <v>Media</v>
      </c>
      <c r="P19" s="363">
        <f>IF(O19="","",IF(O19="Muy Baja",0.2,IF(O19="Baja",0.4,IF(O19="Media",0.6,IF(O19="Alta",0.8,IF(O19="Muy Alta",1,))))))</f>
        <v>0.6</v>
      </c>
      <c r="Q19" s="374" t="s">
        <v>253</v>
      </c>
      <c r="R19" s="363" t="str">
        <f>IF(NOT(ISERROR(MATCH(Q19,'Tabla Impacto'!$B$222:$B$224,0))),'Tabla Impacto'!$F$224&amp;"Por favor no seleccionar los criterios de impacto(Afectación Económica o presupuestal y Pérdida Reputacional)",Q19)</f>
        <v xml:space="preserve">     El riesgo afecta la imagen de la entidad con algunos usuarios de relevancia frente al logro de los objetivos</v>
      </c>
      <c r="S19" s="366" t="str">
        <f>IF(OR(R19='Tabla Impacto'!$C$12,R19='Tabla Impacto'!$D$12),"Leve",IF(OR(R19='Tabla Impacto'!$C$13,R19='Tabla Impacto'!$D$13),"Menor",IF(OR(R19='Tabla Impacto'!$C$14,R19='Tabla Impacto'!$D$14),"Moderado",IF(OR(R19='Tabla Impacto'!$C$15,R19='Tabla Impacto'!$D$15),"Mayor",IF(OR(R19='Tabla Impacto'!$C$16,R19='Tabla Impacto'!$D$16),"Catastrófico","")))))</f>
        <v>Moderado</v>
      </c>
      <c r="T19" s="363">
        <f>IF(S19="","",IF(S19="Leve",0.2,IF(S19="Menor",0.4,IF(S19="Moderado",0.6,IF(S19="Mayor",0.8,IF(S19="Catastrófico",1,))))))</f>
        <v>0.6</v>
      </c>
      <c r="U19" s="369"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Moderado</v>
      </c>
      <c r="V19" s="276">
        <v>1</v>
      </c>
      <c r="W19" s="299" t="s">
        <v>448</v>
      </c>
      <c r="X19" s="278" t="str">
        <f>IF(OR(Y19="Preventivo",Y19="Detectivo"),"Probabilidad",IF(Y19="Correctivo","Impacto",""))</f>
        <v>Probabilidad</v>
      </c>
      <c r="Y19" s="279" t="s">
        <v>254</v>
      </c>
      <c r="Z19" s="279" t="s">
        <v>255</v>
      </c>
      <c r="AA19" s="280" t="str">
        <f>IF(AND(Y19="Preventivo",Z19="Automático"),"50%",IF(AND(Y19="Preventivo",Z19="Manual"),"40%",IF(AND(Y19="Detectivo",Z19="Automático"),"40%",IF(AND(Y19="Detectivo",Z19="Manual"),"30%",IF(AND(Y19="Correctivo",Z19="Automático"),"35%",IF(AND(Y19="Correctivo",Z19="Manual"),"25%",""))))))</f>
        <v>40%</v>
      </c>
      <c r="AB19" s="279" t="s">
        <v>256</v>
      </c>
      <c r="AC19" s="279" t="s">
        <v>257</v>
      </c>
      <c r="AD19" s="279" t="s">
        <v>415</v>
      </c>
      <c r="AE19" s="281">
        <f>IFERROR(IF(X19="Probabilidad",(P19-(+P19*AA19)),IF(X19="Impacto",P19,"")),"")</f>
        <v>0.36</v>
      </c>
      <c r="AF19" s="282" t="str">
        <f>IFERROR(IF(AE19="","",IF(AE19&lt;=0.2,"Muy Baja",IF(AE19&lt;=0.4,"Baja",IF(AE19&lt;=0.6,"Media",IF(AE19&lt;=0.8,"Alta","Muy Alta"))))),"")</f>
        <v>Baja</v>
      </c>
      <c r="AG19" s="280">
        <f>+AE19</f>
        <v>0.36</v>
      </c>
      <c r="AH19" s="282" t="str">
        <f>IFERROR(IF(AI19="","",IF(AI19&lt;=0.2,"Leve",IF(AI19&lt;=0.4,"Menor",IF(AI19&lt;=0.6,"Moderado",IF(AI19&lt;=0.8,"Mayor","Catastrófico"))))),"")</f>
        <v>Moderado</v>
      </c>
      <c r="AI19" s="280">
        <f t="shared" ref="AI19" si="9">IFERROR(IF(X19="Impacto",(T19-(+T19*AA19)),IF(X19="Probabilidad",T19,"")),"")</f>
        <v>0.6</v>
      </c>
      <c r="AJ19" s="283"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Moderado</v>
      </c>
      <c r="AK19" s="284"/>
      <c r="AL19" s="275" t="s">
        <v>451</v>
      </c>
      <c r="AM19" s="275" t="s">
        <v>452</v>
      </c>
      <c r="AN19" s="275" t="s">
        <v>453</v>
      </c>
      <c r="AO19" s="285" t="s">
        <v>454</v>
      </c>
      <c r="AP19" s="386" t="s">
        <v>440</v>
      </c>
      <c r="AQ19" s="386" t="s">
        <v>441</v>
      </c>
      <c r="AR19" s="402" t="s">
        <v>442</v>
      </c>
    </row>
    <row r="20" spans="1:44" ht="125.25" customHeight="1" x14ac:dyDescent="0.2">
      <c r="A20" s="407"/>
      <c r="B20" s="387"/>
      <c r="C20" s="387"/>
      <c r="D20" s="387"/>
      <c r="E20" s="390"/>
      <c r="F20" s="387"/>
      <c r="G20" s="360"/>
      <c r="H20" s="360"/>
      <c r="I20" s="360"/>
      <c r="J20" s="360"/>
      <c r="K20" s="399"/>
      <c r="L20" s="360"/>
      <c r="M20" s="360"/>
      <c r="N20" s="381"/>
      <c r="O20" s="367"/>
      <c r="P20" s="364"/>
      <c r="Q20" s="353"/>
      <c r="R20" s="364">
        <f>IF(NOT(ISERROR(MATCH(Q20,_xlfn.ANCHORARRAY(E31),0))),P33&amp;"Por favor no seleccionar los criterios de impacto",Q20)</f>
        <v>0</v>
      </c>
      <c r="S20" s="367"/>
      <c r="T20" s="364"/>
      <c r="U20" s="362"/>
      <c r="V20" s="214">
        <v>2</v>
      </c>
      <c r="W20" s="298" t="s">
        <v>449</v>
      </c>
      <c r="X20" s="189" t="str">
        <f>IF(OR(Y20="Preventivo",Y20="Detectivo"),"Probabilidad",IF(Y20="Correctivo","Impacto",""))</f>
        <v>Probabilidad</v>
      </c>
      <c r="Y20" s="190" t="s">
        <v>259</v>
      </c>
      <c r="Z20" s="190" t="s">
        <v>255</v>
      </c>
      <c r="AA20" s="191" t="str">
        <f t="shared" ref="AA20:AA24" si="10">IF(AND(Y20="Preventivo",Z20="Automático"),"50%",IF(AND(Y20="Preventivo",Z20="Manual"),"40%",IF(AND(Y20="Detectivo",Z20="Automático"),"40%",IF(AND(Y20="Detectivo",Z20="Manual"),"30%",IF(AND(Y20="Correctivo",Z20="Automático"),"35%",IF(AND(Y20="Correctivo",Z20="Manual"),"25%",""))))))</f>
        <v>30%</v>
      </c>
      <c r="AB20" s="190" t="s">
        <v>256</v>
      </c>
      <c r="AC20" s="190" t="s">
        <v>257</v>
      </c>
      <c r="AD20" s="190" t="s">
        <v>415</v>
      </c>
      <c r="AE20" s="192">
        <f>IFERROR(IF(AND(X19="Probabilidad",X20="Probabilidad"),(AG19-(+AG19*AA20)),IF(X20="Probabilidad",(P19-(+P19*AA20)),IF(X20="Impacto",AG19,""))),"")</f>
        <v>0.252</v>
      </c>
      <c r="AF20" s="193" t="str">
        <f t="shared" si="2"/>
        <v>Baja</v>
      </c>
      <c r="AG20" s="191">
        <f t="shared" ref="AG20:AG24" si="11">+AE20</f>
        <v>0.252</v>
      </c>
      <c r="AH20" s="193" t="str">
        <f t="shared" si="4"/>
        <v>Moderado</v>
      </c>
      <c r="AI20" s="191">
        <f t="shared" ref="AI20" si="12">IFERROR(IF(AND(X19="Impacto",X20="Impacto"),(AI19-(+AI19*AA20)),IF(X20="Impacto",($T$13-(+$T$13*AA20)),IF(X20="Probabilidad",AI19,""))),"")</f>
        <v>0.6</v>
      </c>
      <c r="AJ20" s="194" t="str">
        <f t="shared" ref="AJ20:AJ21" si="13">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Moderado</v>
      </c>
      <c r="AK20" s="195" t="s">
        <v>123</v>
      </c>
      <c r="AL20" s="186"/>
      <c r="AM20" s="196"/>
      <c r="AN20" s="186"/>
      <c r="AO20" s="197"/>
      <c r="AP20" s="387"/>
      <c r="AQ20" s="387"/>
      <c r="AR20" s="403"/>
    </row>
    <row r="21" spans="1:44" x14ac:dyDescent="0.2">
      <c r="A21" s="407"/>
      <c r="B21" s="387"/>
      <c r="C21" s="387"/>
      <c r="D21" s="387"/>
      <c r="E21" s="390"/>
      <c r="F21" s="387"/>
      <c r="G21" s="360"/>
      <c r="H21" s="360"/>
      <c r="I21" s="360"/>
      <c r="J21" s="360"/>
      <c r="K21" s="399"/>
      <c r="L21" s="360"/>
      <c r="M21" s="360"/>
      <c r="N21" s="381"/>
      <c r="O21" s="367"/>
      <c r="P21" s="364"/>
      <c r="Q21" s="353"/>
      <c r="R21" s="364">
        <f>IF(NOT(ISERROR(MATCH(Q21,_xlfn.ANCHORARRAY(E32),0))),P34&amp;"Por favor no seleccionar los criterios de impacto",Q21)</f>
        <v>0</v>
      </c>
      <c r="S21" s="367"/>
      <c r="T21" s="364"/>
      <c r="U21" s="362"/>
      <c r="V21" s="214">
        <v>3</v>
      </c>
      <c r="W21" s="188"/>
      <c r="X21" s="189" t="str">
        <f>IF(OR(Y21="Preventivo",Y21="Detectivo"),"Probabilidad",IF(Y21="Correctivo","Impacto",""))</f>
        <v/>
      </c>
      <c r="Y21" s="190"/>
      <c r="Z21" s="190"/>
      <c r="AA21" s="191" t="str">
        <f t="shared" si="10"/>
        <v/>
      </c>
      <c r="AB21" s="190"/>
      <c r="AC21" s="190"/>
      <c r="AD21" s="190"/>
      <c r="AE21" s="192" t="str">
        <f>IFERROR(IF(AND(X20="Probabilidad",X21="Probabilidad"),(AG20-(+AG20*AA21)),IF(AND(X20="Impacto",X21="Probabilidad"),(AG19-(+AG19*AA21)),IF(X21="Impacto",AG20,""))),"")</f>
        <v/>
      </c>
      <c r="AF21" s="193" t="str">
        <f t="shared" si="2"/>
        <v/>
      </c>
      <c r="AG21" s="191" t="str">
        <f t="shared" si="11"/>
        <v/>
      </c>
      <c r="AH21" s="193" t="str">
        <f t="shared" si="4"/>
        <v/>
      </c>
      <c r="AI21" s="191" t="str">
        <f t="shared" ref="AI21:AI72" si="14">IFERROR(IF(AND(X20="Impacto",X21="Impacto"),(AI20-(+AI20*AA21)),IF(AND(X20="Probabilidad",X21="Impacto"),(AI19-(+AI19*AA21)),IF(X21="Probabilidad",AI20,""))),"")</f>
        <v/>
      </c>
      <c r="AJ21" s="194" t="str">
        <f t="shared" si="13"/>
        <v/>
      </c>
      <c r="AK21" s="195"/>
      <c r="AL21" s="186"/>
      <c r="AM21" s="196"/>
      <c r="AN21" s="196"/>
      <c r="AO21" s="197"/>
      <c r="AP21" s="387"/>
      <c r="AQ21" s="387"/>
      <c r="AR21" s="403"/>
    </row>
    <row r="22" spans="1:44" x14ac:dyDescent="0.2">
      <c r="A22" s="407"/>
      <c r="B22" s="387"/>
      <c r="C22" s="387"/>
      <c r="D22" s="387"/>
      <c r="E22" s="390"/>
      <c r="F22" s="387"/>
      <c r="G22" s="360"/>
      <c r="H22" s="360"/>
      <c r="I22" s="360"/>
      <c r="J22" s="360"/>
      <c r="K22" s="399"/>
      <c r="L22" s="360"/>
      <c r="M22" s="360"/>
      <c r="N22" s="381"/>
      <c r="O22" s="367"/>
      <c r="P22" s="364"/>
      <c r="Q22" s="353"/>
      <c r="R22" s="364">
        <f>IF(NOT(ISERROR(MATCH(Q22,_xlfn.ANCHORARRAY(E33),0))),P35&amp;"Por favor no seleccionar los criterios de impacto",Q22)</f>
        <v>0</v>
      </c>
      <c r="S22" s="367"/>
      <c r="T22" s="364"/>
      <c r="U22" s="362"/>
      <c r="V22" s="214">
        <v>4</v>
      </c>
      <c r="W22" s="187"/>
      <c r="X22" s="189" t="str">
        <f t="shared" ref="X22:X24" si="15">IF(OR(Y22="Preventivo",Y22="Detectivo"),"Probabilidad",IF(Y22="Correctivo","Impacto",""))</f>
        <v/>
      </c>
      <c r="Y22" s="190"/>
      <c r="Z22" s="190"/>
      <c r="AA22" s="191" t="str">
        <f t="shared" si="10"/>
        <v/>
      </c>
      <c r="AB22" s="190"/>
      <c r="AC22" s="190"/>
      <c r="AD22" s="190"/>
      <c r="AE22" s="192" t="str">
        <f t="shared" ref="AE22:AE24" si="16">IFERROR(IF(AND(X21="Probabilidad",X22="Probabilidad"),(AG21-(+AG21*AA22)),IF(AND(X21="Impacto",X22="Probabilidad"),(AG20-(+AG20*AA22)),IF(X22="Impacto",AG21,""))),"")</f>
        <v/>
      </c>
      <c r="AF22" s="193" t="str">
        <f t="shared" si="2"/>
        <v/>
      </c>
      <c r="AG22" s="191" t="str">
        <f t="shared" si="11"/>
        <v/>
      </c>
      <c r="AH22" s="193" t="str">
        <f t="shared" si="4"/>
        <v/>
      </c>
      <c r="AI22" s="191" t="str">
        <f t="shared" si="14"/>
        <v/>
      </c>
      <c r="AJ22" s="194"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95"/>
      <c r="AL22" s="186"/>
      <c r="AM22" s="196"/>
      <c r="AN22" s="196"/>
      <c r="AO22" s="197"/>
      <c r="AP22" s="387"/>
      <c r="AQ22" s="387"/>
      <c r="AR22" s="403"/>
    </row>
    <row r="23" spans="1:44" x14ac:dyDescent="0.2">
      <c r="A23" s="407"/>
      <c r="B23" s="387"/>
      <c r="C23" s="387"/>
      <c r="D23" s="387"/>
      <c r="E23" s="390"/>
      <c r="F23" s="387"/>
      <c r="G23" s="360"/>
      <c r="H23" s="360"/>
      <c r="I23" s="360"/>
      <c r="J23" s="360"/>
      <c r="K23" s="399"/>
      <c r="L23" s="360"/>
      <c r="M23" s="360"/>
      <c r="N23" s="381"/>
      <c r="O23" s="367"/>
      <c r="P23" s="364"/>
      <c r="Q23" s="353"/>
      <c r="R23" s="364">
        <f>IF(NOT(ISERROR(MATCH(Q23,_xlfn.ANCHORARRAY(E34),0))),P36&amp;"Por favor no seleccionar los criterios de impacto",Q23)</f>
        <v>0</v>
      </c>
      <c r="S23" s="367"/>
      <c r="T23" s="364"/>
      <c r="U23" s="362"/>
      <c r="V23" s="214">
        <v>5</v>
      </c>
      <c r="W23" s="187"/>
      <c r="X23" s="189" t="str">
        <f t="shared" si="15"/>
        <v/>
      </c>
      <c r="Y23" s="190"/>
      <c r="Z23" s="190"/>
      <c r="AA23" s="191" t="str">
        <f t="shared" si="10"/>
        <v/>
      </c>
      <c r="AB23" s="190"/>
      <c r="AC23" s="190"/>
      <c r="AD23" s="190"/>
      <c r="AE23" s="192" t="str">
        <f t="shared" si="16"/>
        <v/>
      </c>
      <c r="AF23" s="193" t="str">
        <f t="shared" si="2"/>
        <v/>
      </c>
      <c r="AG23" s="191" t="str">
        <f t="shared" si="11"/>
        <v/>
      </c>
      <c r="AH23" s="193" t="str">
        <f t="shared" si="4"/>
        <v/>
      </c>
      <c r="AI23" s="191" t="str">
        <f t="shared" si="14"/>
        <v/>
      </c>
      <c r="AJ23" s="194" t="str">
        <f t="shared" ref="AJ23:AJ24" si="17">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95"/>
      <c r="AL23" s="186"/>
      <c r="AM23" s="196"/>
      <c r="AN23" s="196"/>
      <c r="AO23" s="197"/>
      <c r="AP23" s="387"/>
      <c r="AQ23" s="387"/>
      <c r="AR23" s="403"/>
    </row>
    <row r="24" spans="1:44" ht="15.75" thickBot="1" x14ac:dyDescent="0.25">
      <c r="A24" s="408"/>
      <c r="B24" s="388"/>
      <c r="C24" s="388"/>
      <c r="D24" s="388"/>
      <c r="E24" s="391"/>
      <c r="F24" s="388"/>
      <c r="G24" s="361"/>
      <c r="H24" s="361"/>
      <c r="I24" s="361"/>
      <c r="J24" s="361"/>
      <c r="K24" s="400"/>
      <c r="L24" s="361"/>
      <c r="M24" s="361"/>
      <c r="N24" s="382"/>
      <c r="O24" s="368"/>
      <c r="P24" s="365"/>
      <c r="Q24" s="375"/>
      <c r="R24" s="365">
        <f>IF(NOT(ISERROR(MATCH(Q24,_xlfn.ANCHORARRAY(E35),0))),P37&amp;"Por favor no seleccionar los criterios de impacto",Q24)</f>
        <v>0</v>
      </c>
      <c r="S24" s="368"/>
      <c r="T24" s="365"/>
      <c r="U24" s="370"/>
      <c r="V24" s="289">
        <v>6</v>
      </c>
      <c r="W24" s="287"/>
      <c r="X24" s="290" t="str">
        <f t="shared" si="15"/>
        <v/>
      </c>
      <c r="Y24" s="291"/>
      <c r="Z24" s="291"/>
      <c r="AA24" s="292" t="str">
        <f t="shared" si="10"/>
        <v/>
      </c>
      <c r="AB24" s="291"/>
      <c r="AC24" s="291"/>
      <c r="AD24" s="291"/>
      <c r="AE24" s="293" t="str">
        <f t="shared" si="16"/>
        <v/>
      </c>
      <c r="AF24" s="294" t="str">
        <f t="shared" si="2"/>
        <v/>
      </c>
      <c r="AG24" s="292" t="str">
        <f t="shared" si="11"/>
        <v/>
      </c>
      <c r="AH24" s="294" t="str">
        <f t="shared" si="4"/>
        <v/>
      </c>
      <c r="AI24" s="292" t="str">
        <f t="shared" si="14"/>
        <v/>
      </c>
      <c r="AJ24" s="295" t="str">
        <f t="shared" si="17"/>
        <v/>
      </c>
      <c r="AK24" s="296"/>
      <c r="AL24" s="286"/>
      <c r="AM24" s="288"/>
      <c r="AN24" s="288"/>
      <c r="AO24" s="297"/>
      <c r="AP24" s="388"/>
      <c r="AQ24" s="388"/>
      <c r="AR24" s="404"/>
    </row>
    <row r="25" spans="1:44" x14ac:dyDescent="0.2">
      <c r="A25" s="452">
        <v>3</v>
      </c>
      <c r="B25" s="373"/>
      <c r="C25" s="373"/>
      <c r="D25" s="373"/>
      <c r="E25" s="415"/>
      <c r="F25" s="373"/>
      <c r="G25" s="360"/>
      <c r="H25" s="360"/>
      <c r="I25" s="360"/>
      <c r="J25" s="360"/>
      <c r="K25" s="360"/>
      <c r="L25" s="360"/>
      <c r="M25" s="360"/>
      <c r="N25" s="405"/>
      <c r="O25" s="379" t="str">
        <f>IF(N25&lt;=0,"",IF(N25&lt;=2,"Muy Baja",IF(N25&lt;=24,"Baja",IF(N25&lt;=500,"Media",IF(N25&lt;=5000,"Alta","Muy Alta")))))</f>
        <v/>
      </c>
      <c r="P25" s="378" t="str">
        <f>IF(O25="","",IF(O25="Muy Baja",0.2,IF(O25="Baja",0.4,IF(O25="Media",0.6,IF(O25="Alta",0.8,IF(O25="Muy Alta",1,))))))</f>
        <v/>
      </c>
      <c r="Q25" s="377"/>
      <c r="R25" s="378">
        <f>IF(NOT(ISERROR(MATCH(Q25,'Tabla Impacto'!$B$222:$B$224,0))),'Tabla Impacto'!$F$224&amp;"Por favor no seleccionar los criterios de impacto(Afectación Económica o presupuestal y Pérdida Reputacional)",Q25)</f>
        <v>0</v>
      </c>
      <c r="S25" s="379" t="str">
        <f>IF(OR(R25='Tabla Impacto'!$C$12,R25='Tabla Impacto'!$D$12),"Leve",IF(OR(R25='Tabla Impacto'!$C$13,R25='Tabla Impacto'!$D$13),"Menor",IF(OR(R25='Tabla Impacto'!$C$14,R25='Tabla Impacto'!$D$14),"Moderado",IF(OR(R25='Tabla Impacto'!$C$15,R25='Tabla Impacto'!$D$15),"Mayor",IF(OR(R25='Tabla Impacto'!$C$16,R25='Tabla Impacto'!$D$16),"Catastrófico","")))))</f>
        <v/>
      </c>
      <c r="T25" s="378" t="str">
        <f>IF(S25="","",IF(S25="Leve",0.2,IF(S25="Menor",0.4,IF(S25="Moderado",0.6,IF(S25="Mayor",0.8,IF(S25="Catastrófico",1,))))))</f>
        <v/>
      </c>
      <c r="U25" s="401"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66">
        <v>1</v>
      </c>
      <c r="W25" s="264"/>
      <c r="X25" s="267" t="str">
        <f>IF(OR(Y25="Preventivo",Y25="Detectivo"),"Probabilidad",IF(Y25="Correctivo","Impacto",""))</f>
        <v/>
      </c>
      <c r="Y25" s="268"/>
      <c r="Z25" s="268"/>
      <c r="AA25" s="269" t="str">
        <f>IF(AND(Y25="Preventivo",Z25="Automático"),"50%",IF(AND(Y25="Preventivo",Z25="Manual"),"40%",IF(AND(Y25="Detectivo",Z25="Automático"),"40%",IF(AND(Y25="Detectivo",Z25="Manual"),"30%",IF(AND(Y25="Correctivo",Z25="Automático"),"35%",IF(AND(Y25="Correctivo",Z25="Manual"),"25%",""))))))</f>
        <v/>
      </c>
      <c r="AB25" s="268"/>
      <c r="AC25" s="268"/>
      <c r="AD25" s="268"/>
      <c r="AE25" s="270" t="str">
        <f>IFERROR(IF(X25="Probabilidad",(P25-(+P25*AA25)),IF(X25="Impacto",P25,"")),"")</f>
        <v/>
      </c>
      <c r="AF25" s="271" t="str">
        <f>IFERROR(IF(AE25="","",IF(AE25&lt;=0.2,"Muy Baja",IF(AE25&lt;=0.4,"Baja",IF(AE25&lt;=0.6,"Media",IF(AE25&lt;=0.8,"Alta","Muy Alta"))))),"")</f>
        <v/>
      </c>
      <c r="AG25" s="269" t="str">
        <f>+AE25</f>
        <v/>
      </c>
      <c r="AH25" s="271" t="str">
        <f>IFERROR(IF(AI25="","",IF(AI25&lt;=0.2,"Leve",IF(AI25&lt;=0.4,"Menor",IF(AI25&lt;=0.6,"Moderado",IF(AI25&lt;=0.8,"Mayor","Catastrófico"))))),"")</f>
        <v/>
      </c>
      <c r="AI25" s="269" t="str">
        <f t="shared" ref="AI25" si="18">IFERROR(IF(X25="Impacto",(T25-(+T25*AA25)),IF(X25="Probabilidad",T25,"")),"")</f>
        <v/>
      </c>
      <c r="AJ25" s="272"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273"/>
      <c r="AL25" s="223"/>
      <c r="AM25" s="265"/>
      <c r="AN25" s="265"/>
      <c r="AO25" s="274"/>
      <c r="AP25" s="405"/>
      <c r="AQ25" s="405"/>
      <c r="AR25" s="405"/>
    </row>
    <row r="26" spans="1:44" x14ac:dyDescent="0.2">
      <c r="A26" s="418"/>
      <c r="B26" s="387"/>
      <c r="C26" s="387"/>
      <c r="D26" s="387"/>
      <c r="E26" s="390"/>
      <c r="F26" s="387"/>
      <c r="G26" s="360"/>
      <c r="H26" s="360"/>
      <c r="I26" s="360"/>
      <c r="J26" s="360"/>
      <c r="K26" s="360"/>
      <c r="L26" s="360"/>
      <c r="M26" s="360"/>
      <c r="N26" s="381"/>
      <c r="O26" s="367"/>
      <c r="P26" s="364"/>
      <c r="Q26" s="353"/>
      <c r="R26" s="364">
        <f>IF(NOT(ISERROR(MATCH(Q26,_xlfn.ANCHORARRAY(E37),0))),P39&amp;"Por favor no seleccionar los criterios de impacto",Q26)</f>
        <v>0</v>
      </c>
      <c r="S26" s="367"/>
      <c r="T26" s="364"/>
      <c r="U26" s="362"/>
      <c r="V26" s="214">
        <v>2</v>
      </c>
      <c r="W26" s="187"/>
      <c r="X26" s="189" t="str">
        <f>IF(OR(Y26="Preventivo",Y26="Detectivo"),"Probabilidad",IF(Y26="Correctivo","Impacto",""))</f>
        <v/>
      </c>
      <c r="Y26" s="190"/>
      <c r="Z26" s="190"/>
      <c r="AA26" s="191" t="str">
        <f t="shared" ref="AA26:AA30" si="19">IF(AND(Y26="Preventivo",Z26="Automático"),"50%",IF(AND(Y26="Preventivo",Z26="Manual"),"40%",IF(AND(Y26="Detectivo",Z26="Automático"),"40%",IF(AND(Y26="Detectivo",Z26="Manual"),"30%",IF(AND(Y26="Correctivo",Z26="Automático"),"35%",IF(AND(Y26="Correctivo",Z26="Manual"),"25%",""))))))</f>
        <v/>
      </c>
      <c r="AB26" s="190"/>
      <c r="AC26" s="190"/>
      <c r="AD26" s="190"/>
      <c r="AE26" s="192" t="str">
        <f>IFERROR(IF(AND(X25="Probabilidad",X26="Probabilidad"),(AG25-(+AG25*AA26)),IF(X26="Probabilidad",(P25-(+P25*AA26)),IF(X26="Impacto",AG25,""))),"")</f>
        <v/>
      </c>
      <c r="AF26" s="193" t="str">
        <f t="shared" si="2"/>
        <v/>
      </c>
      <c r="AG26" s="191" t="str">
        <f t="shared" ref="AG26:AG30" si="20">+AE26</f>
        <v/>
      </c>
      <c r="AH26" s="193" t="str">
        <f t="shared" si="4"/>
        <v/>
      </c>
      <c r="AI26" s="191" t="str">
        <f t="shared" ref="AI26" si="21">IFERROR(IF(AND(X25="Impacto",X26="Impacto"),(AI25-(+AI25*AA26)),IF(X26="Impacto",($T$13-(+$T$13*AA26)),IF(X26="Probabilidad",AI25,""))),"")</f>
        <v/>
      </c>
      <c r="AJ26" s="194" t="str">
        <f t="shared" ref="AJ26:AJ27" si="22">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95"/>
      <c r="AL26" s="186"/>
      <c r="AM26" s="196"/>
      <c r="AN26" s="196"/>
      <c r="AO26" s="197"/>
      <c r="AP26" s="381"/>
      <c r="AQ26" s="381"/>
      <c r="AR26" s="381"/>
    </row>
    <row r="27" spans="1:44" x14ac:dyDescent="0.2">
      <c r="A27" s="418"/>
      <c r="B27" s="387"/>
      <c r="C27" s="387"/>
      <c r="D27" s="387"/>
      <c r="E27" s="390"/>
      <c r="F27" s="387"/>
      <c r="G27" s="360"/>
      <c r="H27" s="360"/>
      <c r="I27" s="360"/>
      <c r="J27" s="360"/>
      <c r="K27" s="360"/>
      <c r="L27" s="360"/>
      <c r="M27" s="360"/>
      <c r="N27" s="381"/>
      <c r="O27" s="367"/>
      <c r="P27" s="364"/>
      <c r="Q27" s="353"/>
      <c r="R27" s="364">
        <f>IF(NOT(ISERROR(MATCH(Q27,_xlfn.ANCHORARRAY(E38),0))),P40&amp;"Por favor no seleccionar los criterios de impacto",Q27)</f>
        <v>0</v>
      </c>
      <c r="S27" s="367"/>
      <c r="T27" s="364"/>
      <c r="U27" s="362"/>
      <c r="V27" s="214">
        <v>3</v>
      </c>
      <c r="W27" s="187"/>
      <c r="X27" s="189" t="str">
        <f>IF(OR(Y27="Preventivo",Y27="Detectivo"),"Probabilidad",IF(Y27="Correctivo","Impacto",""))</f>
        <v/>
      </c>
      <c r="Y27" s="190"/>
      <c r="Z27" s="190"/>
      <c r="AA27" s="191" t="str">
        <f t="shared" si="19"/>
        <v/>
      </c>
      <c r="AB27" s="190"/>
      <c r="AC27" s="190"/>
      <c r="AD27" s="190"/>
      <c r="AE27" s="192" t="str">
        <f>IFERROR(IF(AND(X26="Probabilidad",X27="Probabilidad"),(AG26-(+AG26*AA27)),IF(AND(X26="Impacto",X27="Probabilidad"),(AG25-(+AG25*AA27)),IF(X27="Impacto",AG26,""))),"")</f>
        <v/>
      </c>
      <c r="AF27" s="193" t="str">
        <f t="shared" si="2"/>
        <v/>
      </c>
      <c r="AG27" s="191" t="str">
        <f t="shared" si="20"/>
        <v/>
      </c>
      <c r="AH27" s="193" t="str">
        <f t="shared" si="4"/>
        <v/>
      </c>
      <c r="AI27" s="191" t="str">
        <f t="shared" ref="AI27" si="23">IFERROR(IF(AND(X26="Impacto",X27="Impacto"),(AI26-(+AI26*AA27)),IF(AND(X26="Probabilidad",X27="Impacto"),(AI25-(+AI25*AA27)),IF(X27="Probabilidad",AI26,""))),"")</f>
        <v/>
      </c>
      <c r="AJ27" s="194" t="str">
        <f t="shared" si="22"/>
        <v/>
      </c>
      <c r="AK27" s="195"/>
      <c r="AL27" s="186"/>
      <c r="AM27" s="196"/>
      <c r="AN27" s="196"/>
      <c r="AO27" s="197"/>
      <c r="AP27" s="381"/>
      <c r="AQ27" s="381"/>
      <c r="AR27" s="381"/>
    </row>
    <row r="28" spans="1:44" x14ac:dyDescent="0.2">
      <c r="A28" s="418"/>
      <c r="B28" s="387"/>
      <c r="C28" s="387"/>
      <c r="D28" s="387"/>
      <c r="E28" s="390"/>
      <c r="F28" s="387"/>
      <c r="G28" s="360"/>
      <c r="H28" s="360"/>
      <c r="I28" s="360"/>
      <c r="J28" s="360"/>
      <c r="K28" s="360"/>
      <c r="L28" s="360"/>
      <c r="M28" s="360"/>
      <c r="N28" s="381"/>
      <c r="O28" s="367"/>
      <c r="P28" s="364"/>
      <c r="Q28" s="353"/>
      <c r="R28" s="364">
        <f>IF(NOT(ISERROR(MATCH(Q28,_xlfn.ANCHORARRAY(E39),0))),P41&amp;"Por favor no seleccionar los criterios de impacto",Q28)</f>
        <v>0</v>
      </c>
      <c r="S28" s="367"/>
      <c r="T28" s="364"/>
      <c r="U28" s="362"/>
      <c r="V28" s="214">
        <v>4</v>
      </c>
      <c r="W28" s="187"/>
      <c r="X28" s="189" t="str">
        <f t="shared" ref="X28:X30" si="24">IF(OR(Y28="Preventivo",Y28="Detectivo"),"Probabilidad",IF(Y28="Correctivo","Impacto",""))</f>
        <v/>
      </c>
      <c r="Y28" s="190"/>
      <c r="Z28" s="190"/>
      <c r="AA28" s="191" t="str">
        <f t="shared" si="19"/>
        <v/>
      </c>
      <c r="AB28" s="190"/>
      <c r="AC28" s="190"/>
      <c r="AD28" s="190"/>
      <c r="AE28" s="192" t="str">
        <f t="shared" ref="AE28:AE30" si="25">IFERROR(IF(AND(X27="Probabilidad",X28="Probabilidad"),(AG27-(+AG27*AA28)),IF(AND(X27="Impacto",X28="Probabilidad"),(AG26-(+AG26*AA28)),IF(X28="Impacto",AG27,""))),"")</f>
        <v/>
      </c>
      <c r="AF28" s="193" t="str">
        <f t="shared" si="2"/>
        <v/>
      </c>
      <c r="AG28" s="191" t="str">
        <f t="shared" si="20"/>
        <v/>
      </c>
      <c r="AH28" s="193" t="str">
        <f t="shared" si="4"/>
        <v/>
      </c>
      <c r="AI28" s="191" t="str">
        <f t="shared" si="14"/>
        <v/>
      </c>
      <c r="AJ28" s="194"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5"/>
      <c r="AL28" s="186"/>
      <c r="AM28" s="196"/>
      <c r="AN28" s="196"/>
      <c r="AO28" s="197"/>
      <c r="AP28" s="381"/>
      <c r="AQ28" s="381"/>
      <c r="AR28" s="381"/>
    </row>
    <row r="29" spans="1:44" x14ac:dyDescent="0.2">
      <c r="A29" s="418"/>
      <c r="B29" s="387"/>
      <c r="C29" s="387"/>
      <c r="D29" s="387"/>
      <c r="E29" s="390"/>
      <c r="F29" s="387"/>
      <c r="G29" s="360"/>
      <c r="H29" s="360"/>
      <c r="I29" s="360"/>
      <c r="J29" s="360"/>
      <c r="K29" s="360"/>
      <c r="L29" s="360"/>
      <c r="M29" s="360"/>
      <c r="N29" s="381"/>
      <c r="O29" s="367"/>
      <c r="P29" s="364"/>
      <c r="Q29" s="353"/>
      <c r="R29" s="364">
        <f>IF(NOT(ISERROR(MATCH(Q29,_xlfn.ANCHORARRAY(E40),0))),P42&amp;"Por favor no seleccionar los criterios de impacto",Q29)</f>
        <v>0</v>
      </c>
      <c r="S29" s="367"/>
      <c r="T29" s="364"/>
      <c r="U29" s="362"/>
      <c r="V29" s="214">
        <v>5</v>
      </c>
      <c r="W29" s="187"/>
      <c r="X29" s="189" t="str">
        <f t="shared" si="24"/>
        <v/>
      </c>
      <c r="Y29" s="190"/>
      <c r="Z29" s="190"/>
      <c r="AA29" s="191" t="str">
        <f t="shared" si="19"/>
        <v/>
      </c>
      <c r="AB29" s="190"/>
      <c r="AC29" s="190"/>
      <c r="AD29" s="190"/>
      <c r="AE29" s="192" t="str">
        <f t="shared" si="25"/>
        <v/>
      </c>
      <c r="AF29" s="193" t="str">
        <f t="shared" si="2"/>
        <v/>
      </c>
      <c r="AG29" s="191" t="str">
        <f t="shared" si="20"/>
        <v/>
      </c>
      <c r="AH29" s="193" t="str">
        <f t="shared" si="4"/>
        <v/>
      </c>
      <c r="AI29" s="191" t="str">
        <f t="shared" si="14"/>
        <v/>
      </c>
      <c r="AJ29" s="194" t="str">
        <f t="shared" ref="AJ29:AJ30" si="26">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95"/>
      <c r="AL29" s="186"/>
      <c r="AM29" s="196"/>
      <c r="AN29" s="196"/>
      <c r="AO29" s="197"/>
      <c r="AP29" s="381"/>
      <c r="AQ29" s="381"/>
      <c r="AR29" s="381"/>
    </row>
    <row r="30" spans="1:44" x14ac:dyDescent="0.2">
      <c r="A30" s="418"/>
      <c r="B30" s="387"/>
      <c r="C30" s="387"/>
      <c r="D30" s="387"/>
      <c r="E30" s="390"/>
      <c r="F30" s="387"/>
      <c r="G30" s="373"/>
      <c r="H30" s="373"/>
      <c r="I30" s="373"/>
      <c r="J30" s="373"/>
      <c r="K30" s="373"/>
      <c r="L30" s="373"/>
      <c r="M30" s="373"/>
      <c r="N30" s="381"/>
      <c r="O30" s="367"/>
      <c r="P30" s="364"/>
      <c r="Q30" s="353"/>
      <c r="R30" s="364">
        <f>IF(NOT(ISERROR(MATCH(Q30,_xlfn.ANCHORARRAY(E41),0))),P43&amp;"Por favor no seleccionar los criterios de impacto",Q30)</f>
        <v>0</v>
      </c>
      <c r="S30" s="367"/>
      <c r="T30" s="364"/>
      <c r="U30" s="362"/>
      <c r="V30" s="214">
        <v>6</v>
      </c>
      <c r="W30" s="187"/>
      <c r="X30" s="189" t="str">
        <f t="shared" si="24"/>
        <v/>
      </c>
      <c r="Y30" s="190"/>
      <c r="Z30" s="190"/>
      <c r="AA30" s="191" t="str">
        <f t="shared" si="19"/>
        <v/>
      </c>
      <c r="AB30" s="190"/>
      <c r="AC30" s="190"/>
      <c r="AD30" s="190"/>
      <c r="AE30" s="192" t="str">
        <f t="shared" si="25"/>
        <v/>
      </c>
      <c r="AF30" s="193" t="str">
        <f t="shared" si="2"/>
        <v/>
      </c>
      <c r="AG30" s="191" t="str">
        <f t="shared" si="20"/>
        <v/>
      </c>
      <c r="AH30" s="193" t="str">
        <f t="shared" si="4"/>
        <v/>
      </c>
      <c r="AI30" s="191" t="str">
        <f t="shared" si="14"/>
        <v/>
      </c>
      <c r="AJ30" s="194" t="str">
        <f t="shared" si="26"/>
        <v/>
      </c>
      <c r="AK30" s="195"/>
      <c r="AL30" s="186"/>
      <c r="AM30" s="196"/>
      <c r="AN30" s="196"/>
      <c r="AO30" s="197"/>
      <c r="AP30" s="381"/>
      <c r="AQ30" s="381"/>
      <c r="AR30" s="381"/>
    </row>
    <row r="31" spans="1:44" x14ac:dyDescent="0.2">
      <c r="A31" s="418">
        <v>4</v>
      </c>
      <c r="B31" s="387"/>
      <c r="C31" s="387"/>
      <c r="D31" s="387"/>
      <c r="E31" s="419"/>
      <c r="F31" s="387"/>
      <c r="G31" s="392"/>
      <c r="H31" s="392"/>
      <c r="I31" s="392"/>
      <c r="J31" s="392"/>
      <c r="K31" s="392"/>
      <c r="L31" s="392"/>
      <c r="M31" s="392"/>
      <c r="N31" s="381"/>
      <c r="O31" s="367" t="str">
        <f>IF(N31&lt;=0,"",IF(N31&lt;=2,"Muy Baja",IF(N31&lt;=24,"Baja",IF(N31&lt;=500,"Media",IF(N31&lt;=5000,"Alta","Muy Alta")))))</f>
        <v/>
      </c>
      <c r="P31" s="364" t="str">
        <f>IF(O31="","",IF(O31="Muy Baja",0.2,IF(O31="Baja",0.4,IF(O31="Media",0.6,IF(O31="Alta",0.8,IF(O31="Muy Alta",1,))))))</f>
        <v/>
      </c>
      <c r="Q31" s="353"/>
      <c r="R31" s="364">
        <f>IF(NOT(ISERROR(MATCH(Q31,'Tabla Impacto'!$B$222:$B$224,0))),'Tabla Impacto'!$F$224&amp;"Por favor no seleccionar los criterios de impacto(Afectación Económica o presupuestal y Pérdida Reputacional)",Q31)</f>
        <v>0</v>
      </c>
      <c r="S31" s="367" t="str">
        <f>IF(OR(R31='Tabla Impacto'!$C$12,R31='Tabla Impacto'!$D$12),"Leve",IF(OR(R31='Tabla Impacto'!$C$13,R31='Tabla Impacto'!$D$13),"Menor",IF(OR(R31='Tabla Impacto'!$C$14,R31='Tabla Impacto'!$D$14),"Moderado",IF(OR(R31='Tabla Impacto'!$C$15,R31='Tabla Impacto'!$D$15),"Mayor",IF(OR(R31='Tabla Impacto'!$C$16,R31='Tabla Impacto'!$D$16),"Catastrófico","")))))</f>
        <v/>
      </c>
      <c r="T31" s="364" t="str">
        <f>IF(S31="","",IF(S31="Leve",0.2,IF(S31="Menor",0.4,IF(S31="Moderado",0.6,IF(S31="Mayor",0.8,IF(S31="Catastrófico",1,))))))</f>
        <v/>
      </c>
      <c r="U31" s="362"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14">
        <v>1</v>
      </c>
      <c r="W31" s="187"/>
      <c r="X31" s="189" t="str">
        <f>IF(OR(Y31="Preventivo",Y31="Detectivo"),"Probabilidad",IF(Y31="Correctivo","Impacto",""))</f>
        <v/>
      </c>
      <c r="Y31" s="190"/>
      <c r="Z31" s="190"/>
      <c r="AA31" s="191" t="str">
        <f>IF(AND(Y31="Preventivo",Z31="Automático"),"50%",IF(AND(Y31="Preventivo",Z31="Manual"),"40%",IF(AND(Y31="Detectivo",Z31="Automático"),"40%",IF(AND(Y31="Detectivo",Z31="Manual"),"30%",IF(AND(Y31="Correctivo",Z31="Automático"),"35%",IF(AND(Y31="Correctivo",Z31="Manual"),"25%",""))))))</f>
        <v/>
      </c>
      <c r="AB31" s="190"/>
      <c r="AC31" s="190"/>
      <c r="AD31" s="190"/>
      <c r="AE31" s="192" t="str">
        <f>IFERROR(IF(X31="Probabilidad",(P31-(+P31*AA31)),IF(X31="Impacto",P31,"")),"")</f>
        <v/>
      </c>
      <c r="AF31" s="193" t="str">
        <f>IFERROR(IF(AE31="","",IF(AE31&lt;=0.2,"Muy Baja",IF(AE31&lt;=0.4,"Baja",IF(AE31&lt;=0.6,"Media",IF(AE31&lt;=0.8,"Alta","Muy Alta"))))),"")</f>
        <v/>
      </c>
      <c r="AG31" s="191" t="str">
        <f>+AE31</f>
        <v/>
      </c>
      <c r="AH31" s="193" t="str">
        <f>IFERROR(IF(AI31="","",IF(AI31&lt;=0.2,"Leve",IF(AI31&lt;=0.4,"Menor",IF(AI31&lt;=0.6,"Moderado",IF(AI31&lt;=0.8,"Mayor","Catastrófico"))))),"")</f>
        <v/>
      </c>
      <c r="AI31" s="191" t="str">
        <f t="shared" ref="AI31" si="27">IFERROR(IF(X31="Impacto",(T31-(+T31*AA31)),IF(X31="Probabilidad",T31,"")),"")</f>
        <v/>
      </c>
      <c r="AJ31" s="194"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5"/>
      <c r="AL31" s="186"/>
      <c r="AM31" s="196"/>
      <c r="AN31" s="196"/>
      <c r="AO31" s="197"/>
      <c r="AP31" s="381"/>
      <c r="AQ31" s="381"/>
      <c r="AR31" s="381"/>
    </row>
    <row r="32" spans="1:44" x14ac:dyDescent="0.2">
      <c r="A32" s="418"/>
      <c r="B32" s="387"/>
      <c r="C32" s="387"/>
      <c r="D32" s="387"/>
      <c r="E32" s="420"/>
      <c r="F32" s="387"/>
      <c r="G32" s="360"/>
      <c r="H32" s="360"/>
      <c r="I32" s="360"/>
      <c r="J32" s="360"/>
      <c r="K32" s="360"/>
      <c r="L32" s="360"/>
      <c r="M32" s="360"/>
      <c r="N32" s="381"/>
      <c r="O32" s="367"/>
      <c r="P32" s="364"/>
      <c r="Q32" s="353"/>
      <c r="R32" s="364">
        <f>IF(NOT(ISERROR(MATCH(Q32,_xlfn.ANCHORARRAY(E43),0))),P45&amp;"Por favor no seleccionar los criterios de impacto",Q32)</f>
        <v>0</v>
      </c>
      <c r="S32" s="367"/>
      <c r="T32" s="364"/>
      <c r="U32" s="362"/>
      <c r="V32" s="214">
        <v>2</v>
      </c>
      <c r="W32" s="187"/>
      <c r="X32" s="189" t="str">
        <f>IF(OR(Y32="Preventivo",Y32="Detectivo"),"Probabilidad",IF(Y32="Correctivo","Impacto",""))</f>
        <v/>
      </c>
      <c r="Y32" s="190"/>
      <c r="Z32" s="190"/>
      <c r="AA32" s="191" t="str">
        <f t="shared" ref="AA32:AA36" si="28">IF(AND(Y32="Preventivo",Z32="Automático"),"50%",IF(AND(Y32="Preventivo",Z32="Manual"),"40%",IF(AND(Y32="Detectivo",Z32="Automático"),"40%",IF(AND(Y32="Detectivo",Z32="Manual"),"30%",IF(AND(Y32="Correctivo",Z32="Automático"),"35%",IF(AND(Y32="Correctivo",Z32="Manual"),"25%",""))))))</f>
        <v/>
      </c>
      <c r="AB32" s="190"/>
      <c r="AC32" s="190"/>
      <c r="AD32" s="190"/>
      <c r="AE32" s="192" t="str">
        <f>IFERROR(IF(AND(X31="Probabilidad",X32="Probabilidad"),(AG31-(+AG31*AA32)),IF(X32="Probabilidad",(P31-(+P31*AA32)),IF(X32="Impacto",AG31,""))),"")</f>
        <v/>
      </c>
      <c r="AF32" s="193" t="str">
        <f t="shared" si="2"/>
        <v/>
      </c>
      <c r="AG32" s="191" t="str">
        <f t="shared" ref="AG32:AG36" si="29">+AE32</f>
        <v/>
      </c>
      <c r="AH32" s="193" t="str">
        <f t="shared" si="4"/>
        <v/>
      </c>
      <c r="AI32" s="191" t="str">
        <f t="shared" ref="AI32" si="30">IFERROR(IF(AND(X31="Impacto",X32="Impacto"),(AI31-(+AI31*AA32)),IF(X32="Impacto",($T$13-(+$T$13*AA32)),IF(X32="Probabilidad",AI31,""))),"")</f>
        <v/>
      </c>
      <c r="AJ32" s="194" t="str">
        <f t="shared" ref="AJ32:AJ33" si="31">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95"/>
      <c r="AL32" s="186"/>
      <c r="AM32" s="196"/>
      <c r="AN32" s="196"/>
      <c r="AO32" s="197"/>
      <c r="AP32" s="381"/>
      <c r="AQ32" s="381"/>
      <c r="AR32" s="381"/>
    </row>
    <row r="33" spans="1:44" x14ac:dyDescent="0.2">
      <c r="A33" s="418"/>
      <c r="B33" s="387"/>
      <c r="C33" s="387"/>
      <c r="D33" s="387"/>
      <c r="E33" s="420"/>
      <c r="F33" s="387"/>
      <c r="G33" s="360"/>
      <c r="H33" s="360"/>
      <c r="I33" s="360"/>
      <c r="J33" s="360"/>
      <c r="K33" s="360"/>
      <c r="L33" s="360"/>
      <c r="M33" s="360"/>
      <c r="N33" s="381"/>
      <c r="O33" s="367"/>
      <c r="P33" s="364"/>
      <c r="Q33" s="353"/>
      <c r="R33" s="364">
        <f>IF(NOT(ISERROR(MATCH(Q33,_xlfn.ANCHORARRAY(E44),0))),P46&amp;"Por favor no seleccionar los criterios de impacto",Q33)</f>
        <v>0</v>
      </c>
      <c r="S33" s="367"/>
      <c r="T33" s="364"/>
      <c r="U33" s="362"/>
      <c r="V33" s="214">
        <v>3</v>
      </c>
      <c r="W33" s="188"/>
      <c r="X33" s="189" t="str">
        <f>IF(OR(Y33="Preventivo",Y33="Detectivo"),"Probabilidad",IF(Y33="Correctivo","Impacto",""))</f>
        <v/>
      </c>
      <c r="Y33" s="190"/>
      <c r="Z33" s="190"/>
      <c r="AA33" s="191" t="str">
        <f t="shared" si="28"/>
        <v/>
      </c>
      <c r="AB33" s="190"/>
      <c r="AC33" s="190"/>
      <c r="AD33" s="190"/>
      <c r="AE33" s="192" t="str">
        <f>IFERROR(IF(AND(X32="Probabilidad",X33="Probabilidad"),(AG32-(+AG32*AA33)),IF(AND(X32="Impacto",X33="Probabilidad"),(AG31-(+AG31*AA33)),IF(X33="Impacto",AG32,""))),"")</f>
        <v/>
      </c>
      <c r="AF33" s="193" t="str">
        <f t="shared" si="2"/>
        <v/>
      </c>
      <c r="AG33" s="191" t="str">
        <f t="shared" si="29"/>
        <v/>
      </c>
      <c r="AH33" s="193" t="str">
        <f t="shared" si="4"/>
        <v/>
      </c>
      <c r="AI33" s="191" t="str">
        <f t="shared" ref="AI33" si="32">IFERROR(IF(AND(X32="Impacto",X33="Impacto"),(AI32-(+AI32*AA33)),IF(AND(X32="Probabilidad",X33="Impacto"),(AI31-(+AI31*AA33)),IF(X33="Probabilidad",AI32,""))),"")</f>
        <v/>
      </c>
      <c r="AJ33" s="194" t="str">
        <f t="shared" si="31"/>
        <v/>
      </c>
      <c r="AK33" s="195"/>
      <c r="AL33" s="186"/>
      <c r="AM33" s="196"/>
      <c r="AN33" s="196"/>
      <c r="AO33" s="197"/>
      <c r="AP33" s="381"/>
      <c r="AQ33" s="381"/>
      <c r="AR33" s="381"/>
    </row>
    <row r="34" spans="1:44" x14ac:dyDescent="0.2">
      <c r="A34" s="418"/>
      <c r="B34" s="387"/>
      <c r="C34" s="387"/>
      <c r="D34" s="387"/>
      <c r="E34" s="420"/>
      <c r="F34" s="387"/>
      <c r="G34" s="360"/>
      <c r="H34" s="360"/>
      <c r="I34" s="360"/>
      <c r="J34" s="360"/>
      <c r="K34" s="360"/>
      <c r="L34" s="360"/>
      <c r="M34" s="360"/>
      <c r="N34" s="381"/>
      <c r="O34" s="367"/>
      <c r="P34" s="364"/>
      <c r="Q34" s="353"/>
      <c r="R34" s="364">
        <f>IF(NOT(ISERROR(MATCH(Q34,_xlfn.ANCHORARRAY(E45),0))),P47&amp;"Por favor no seleccionar los criterios de impacto",Q34)</f>
        <v>0</v>
      </c>
      <c r="S34" s="367"/>
      <c r="T34" s="364"/>
      <c r="U34" s="362"/>
      <c r="V34" s="214">
        <v>4</v>
      </c>
      <c r="W34" s="187"/>
      <c r="X34" s="189" t="str">
        <f t="shared" ref="X34:X36" si="33">IF(OR(Y34="Preventivo",Y34="Detectivo"),"Probabilidad",IF(Y34="Correctivo","Impacto",""))</f>
        <v/>
      </c>
      <c r="Y34" s="190"/>
      <c r="Z34" s="190"/>
      <c r="AA34" s="191" t="str">
        <f t="shared" si="28"/>
        <v/>
      </c>
      <c r="AB34" s="190"/>
      <c r="AC34" s="190"/>
      <c r="AD34" s="190"/>
      <c r="AE34" s="192" t="str">
        <f t="shared" ref="AE34:AE36" si="34">IFERROR(IF(AND(X33="Probabilidad",X34="Probabilidad"),(AG33-(+AG33*AA34)),IF(AND(X33="Impacto",X34="Probabilidad"),(AG32-(+AG32*AA34)),IF(X34="Impacto",AG33,""))),"")</f>
        <v/>
      </c>
      <c r="AF34" s="193" t="str">
        <f t="shared" si="2"/>
        <v/>
      </c>
      <c r="AG34" s="191" t="str">
        <f t="shared" si="29"/>
        <v/>
      </c>
      <c r="AH34" s="193" t="str">
        <f t="shared" si="4"/>
        <v/>
      </c>
      <c r="AI34" s="191" t="str">
        <f t="shared" si="14"/>
        <v/>
      </c>
      <c r="AJ34" s="194"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5"/>
      <c r="AL34" s="186"/>
      <c r="AM34" s="196"/>
      <c r="AN34" s="196"/>
      <c r="AO34" s="197"/>
      <c r="AP34" s="381"/>
      <c r="AQ34" s="381"/>
      <c r="AR34" s="381"/>
    </row>
    <row r="35" spans="1:44" x14ac:dyDescent="0.2">
      <c r="A35" s="418"/>
      <c r="B35" s="387"/>
      <c r="C35" s="387"/>
      <c r="D35" s="387"/>
      <c r="E35" s="420"/>
      <c r="F35" s="387"/>
      <c r="G35" s="360"/>
      <c r="H35" s="360"/>
      <c r="I35" s="360"/>
      <c r="J35" s="360"/>
      <c r="K35" s="360"/>
      <c r="L35" s="360"/>
      <c r="M35" s="360"/>
      <c r="N35" s="381"/>
      <c r="O35" s="367"/>
      <c r="P35" s="364"/>
      <c r="Q35" s="353"/>
      <c r="R35" s="364">
        <f>IF(NOT(ISERROR(MATCH(Q35,_xlfn.ANCHORARRAY(E46),0))),P48&amp;"Por favor no seleccionar los criterios de impacto",Q35)</f>
        <v>0</v>
      </c>
      <c r="S35" s="367"/>
      <c r="T35" s="364"/>
      <c r="U35" s="362"/>
      <c r="V35" s="214">
        <v>5</v>
      </c>
      <c r="W35" s="187"/>
      <c r="X35" s="189" t="str">
        <f t="shared" si="33"/>
        <v/>
      </c>
      <c r="Y35" s="190"/>
      <c r="Z35" s="190"/>
      <c r="AA35" s="191" t="str">
        <f t="shared" si="28"/>
        <v/>
      </c>
      <c r="AB35" s="190"/>
      <c r="AC35" s="190"/>
      <c r="AD35" s="190"/>
      <c r="AE35" s="192" t="str">
        <f t="shared" si="34"/>
        <v/>
      </c>
      <c r="AF35" s="193" t="str">
        <f>IFERROR(IF(AE35="","",IF(AE35&lt;=0.2,"Muy Baja",IF(AE35&lt;=0.4,"Baja",IF(AE35&lt;=0.6,"Media",IF(AE35&lt;=0.8,"Alta","Muy Alta"))))),"")</f>
        <v/>
      </c>
      <c r="AG35" s="191" t="str">
        <f t="shared" si="29"/>
        <v/>
      </c>
      <c r="AH35" s="193" t="str">
        <f t="shared" si="4"/>
        <v/>
      </c>
      <c r="AI35" s="191" t="str">
        <f t="shared" si="14"/>
        <v/>
      </c>
      <c r="AJ35" s="194" t="str">
        <f t="shared" ref="AJ35:AJ36" si="35">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95"/>
      <c r="AL35" s="186"/>
      <c r="AM35" s="196"/>
      <c r="AN35" s="196"/>
      <c r="AO35" s="197"/>
      <c r="AP35" s="381"/>
      <c r="AQ35" s="381"/>
      <c r="AR35" s="381"/>
    </row>
    <row r="36" spans="1:44" x14ac:dyDescent="0.2">
      <c r="A36" s="418"/>
      <c r="B36" s="387"/>
      <c r="C36" s="387"/>
      <c r="D36" s="387"/>
      <c r="E36" s="420"/>
      <c r="F36" s="387"/>
      <c r="G36" s="373"/>
      <c r="H36" s="373"/>
      <c r="I36" s="373"/>
      <c r="J36" s="373"/>
      <c r="K36" s="373"/>
      <c r="L36" s="373"/>
      <c r="M36" s="373"/>
      <c r="N36" s="381"/>
      <c r="O36" s="367"/>
      <c r="P36" s="364"/>
      <c r="Q36" s="353"/>
      <c r="R36" s="364">
        <f>IF(NOT(ISERROR(MATCH(Q36,_xlfn.ANCHORARRAY(E47),0))),P49&amp;"Por favor no seleccionar los criterios de impacto",Q36)</f>
        <v>0</v>
      </c>
      <c r="S36" s="367"/>
      <c r="T36" s="364"/>
      <c r="U36" s="362"/>
      <c r="V36" s="214">
        <v>6</v>
      </c>
      <c r="W36" s="187"/>
      <c r="X36" s="189" t="str">
        <f t="shared" si="33"/>
        <v/>
      </c>
      <c r="Y36" s="190"/>
      <c r="Z36" s="190"/>
      <c r="AA36" s="191" t="str">
        <f t="shared" si="28"/>
        <v/>
      </c>
      <c r="AB36" s="190"/>
      <c r="AC36" s="190"/>
      <c r="AD36" s="190"/>
      <c r="AE36" s="192" t="str">
        <f t="shared" si="34"/>
        <v/>
      </c>
      <c r="AF36" s="193" t="str">
        <f t="shared" si="2"/>
        <v/>
      </c>
      <c r="AG36" s="191" t="str">
        <f t="shared" si="29"/>
        <v/>
      </c>
      <c r="AH36" s="193" t="str">
        <f t="shared" si="4"/>
        <v/>
      </c>
      <c r="AI36" s="191" t="str">
        <f t="shared" si="14"/>
        <v/>
      </c>
      <c r="AJ36" s="194" t="str">
        <f t="shared" si="35"/>
        <v/>
      </c>
      <c r="AK36" s="195"/>
      <c r="AL36" s="186"/>
      <c r="AM36" s="196"/>
      <c r="AN36" s="196"/>
      <c r="AO36" s="197"/>
      <c r="AP36" s="381"/>
      <c r="AQ36" s="381"/>
      <c r="AR36" s="381"/>
    </row>
    <row r="37" spans="1:44" x14ac:dyDescent="0.2">
      <c r="A37" s="418">
        <v>5</v>
      </c>
      <c r="B37" s="387"/>
      <c r="C37" s="387"/>
      <c r="D37" s="387"/>
      <c r="E37" s="387"/>
      <c r="F37" s="387"/>
      <c r="G37" s="392"/>
      <c r="H37" s="392"/>
      <c r="I37" s="392"/>
      <c r="J37" s="392"/>
      <c r="K37" s="392"/>
      <c r="L37" s="392"/>
      <c r="M37" s="392"/>
      <c r="N37" s="381"/>
      <c r="O37" s="367" t="str">
        <f>IF(N37&lt;=0,"",IF(N37&lt;=2,"Muy Baja",IF(N37&lt;=24,"Baja",IF(N37&lt;=500,"Media",IF(N37&lt;=5000,"Alta","Muy Alta")))))</f>
        <v/>
      </c>
      <c r="P37" s="364" t="str">
        <f>IF(O37="","",IF(O37="Muy Baja",0.2,IF(O37="Baja",0.4,IF(O37="Media",0.6,IF(O37="Alta",0.8,IF(O37="Muy Alta",1,))))))</f>
        <v/>
      </c>
      <c r="Q37" s="353"/>
      <c r="R37" s="364">
        <f>IF(NOT(ISERROR(MATCH(Q37,'Tabla Impacto'!$B$222:$B$224,0))),'Tabla Impacto'!$F$224&amp;"Por favor no seleccionar los criterios de impacto(Afectación Económica o presupuestal y Pérdida Reputacional)",Q37)</f>
        <v>0</v>
      </c>
      <c r="S37" s="367" t="str">
        <f>IF(OR(R37='Tabla Impacto'!$C$12,R37='Tabla Impacto'!$D$12),"Leve",IF(OR(R37='Tabla Impacto'!$C$13,R37='Tabla Impacto'!$D$13),"Menor",IF(OR(R37='Tabla Impacto'!$C$14,R37='Tabla Impacto'!$D$14),"Moderado",IF(OR(R37='Tabla Impacto'!$C$15,R37='Tabla Impacto'!$D$15),"Mayor",IF(OR(R37='Tabla Impacto'!$C$16,R37='Tabla Impacto'!$D$16),"Catastrófico","")))))</f>
        <v/>
      </c>
      <c r="T37" s="364" t="str">
        <f>IF(S37="","",IF(S37="Leve",0.2,IF(S37="Menor",0.4,IF(S37="Moderado",0.6,IF(S37="Mayor",0.8,IF(S37="Catastrófico",1,))))))</f>
        <v/>
      </c>
      <c r="U37" s="362"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14">
        <v>1</v>
      </c>
      <c r="W37" s="187"/>
      <c r="X37" s="189" t="str">
        <f>IF(OR(Y37="Preventivo",Y37="Detectivo"),"Probabilidad",IF(Y37="Correctivo","Impacto",""))</f>
        <v/>
      </c>
      <c r="Y37" s="190"/>
      <c r="Z37" s="190"/>
      <c r="AA37" s="191" t="str">
        <f>IF(AND(Y37="Preventivo",Z37="Automático"),"50%",IF(AND(Y37="Preventivo",Z37="Manual"),"40%",IF(AND(Y37="Detectivo",Z37="Automático"),"40%",IF(AND(Y37="Detectivo",Z37="Manual"),"30%",IF(AND(Y37="Correctivo",Z37="Automático"),"35%",IF(AND(Y37="Correctivo",Z37="Manual"),"25%",""))))))</f>
        <v/>
      </c>
      <c r="AB37" s="190"/>
      <c r="AC37" s="190"/>
      <c r="AD37" s="190"/>
      <c r="AE37" s="192" t="str">
        <f>IFERROR(IF(X37="Probabilidad",(P37-(+P37*AA37)),IF(X37="Impacto",P37,"")),"")</f>
        <v/>
      </c>
      <c r="AF37" s="193" t="str">
        <f>IFERROR(IF(AE37="","",IF(AE37&lt;=0.2,"Muy Baja",IF(AE37&lt;=0.4,"Baja",IF(AE37&lt;=0.6,"Media",IF(AE37&lt;=0.8,"Alta","Muy Alta"))))),"")</f>
        <v/>
      </c>
      <c r="AG37" s="191" t="str">
        <f>+AE37</f>
        <v/>
      </c>
      <c r="AH37" s="193" t="str">
        <f>IFERROR(IF(AI37="","",IF(AI37&lt;=0.2,"Leve",IF(AI37&lt;=0.4,"Menor",IF(AI37&lt;=0.6,"Moderado",IF(AI37&lt;=0.8,"Mayor","Catastrófico"))))),"")</f>
        <v/>
      </c>
      <c r="AI37" s="191" t="str">
        <f t="shared" ref="AI37" si="36">IFERROR(IF(X37="Impacto",(T37-(+T37*AA37)),IF(X37="Probabilidad",T37,"")),"")</f>
        <v/>
      </c>
      <c r="AJ37" s="194"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95"/>
      <c r="AL37" s="186"/>
      <c r="AM37" s="196"/>
      <c r="AN37" s="196"/>
      <c r="AO37" s="197"/>
      <c r="AP37" s="381"/>
      <c r="AQ37" s="381"/>
      <c r="AR37" s="381"/>
    </row>
    <row r="38" spans="1:44" x14ac:dyDescent="0.2">
      <c r="A38" s="418"/>
      <c r="B38" s="387"/>
      <c r="C38" s="387"/>
      <c r="D38" s="387"/>
      <c r="E38" s="387"/>
      <c r="F38" s="387"/>
      <c r="G38" s="360"/>
      <c r="H38" s="360"/>
      <c r="I38" s="360"/>
      <c r="J38" s="360"/>
      <c r="K38" s="360"/>
      <c r="L38" s="360"/>
      <c r="M38" s="360"/>
      <c r="N38" s="381"/>
      <c r="O38" s="367"/>
      <c r="P38" s="364"/>
      <c r="Q38" s="353"/>
      <c r="R38" s="364">
        <f>IF(NOT(ISERROR(MATCH(Q38,_xlfn.ANCHORARRAY(E49),0))),P51&amp;"Por favor no seleccionar los criterios de impacto",Q38)</f>
        <v>0</v>
      </c>
      <c r="S38" s="367"/>
      <c r="T38" s="364"/>
      <c r="U38" s="362"/>
      <c r="V38" s="214">
        <v>2</v>
      </c>
      <c r="W38" s="187"/>
      <c r="X38" s="189" t="str">
        <f>IF(OR(Y38="Preventivo",Y38="Detectivo"),"Probabilidad",IF(Y38="Correctivo","Impacto",""))</f>
        <v/>
      </c>
      <c r="Y38" s="190"/>
      <c r="Z38" s="190"/>
      <c r="AA38" s="191" t="str">
        <f t="shared" ref="AA38:AA42" si="37">IF(AND(Y38="Preventivo",Z38="Automático"),"50%",IF(AND(Y38="Preventivo",Z38="Manual"),"40%",IF(AND(Y38="Detectivo",Z38="Automático"),"40%",IF(AND(Y38="Detectivo",Z38="Manual"),"30%",IF(AND(Y38="Correctivo",Z38="Automático"),"35%",IF(AND(Y38="Correctivo",Z38="Manual"),"25%",""))))))</f>
        <v/>
      </c>
      <c r="AB38" s="190"/>
      <c r="AC38" s="190"/>
      <c r="AD38" s="190"/>
      <c r="AE38" s="192" t="str">
        <f>IFERROR(IF(AND(X37="Probabilidad",X38="Probabilidad"),(AG37-(+AG37*AA38)),IF(X38="Probabilidad",(P37-(+P37*AA38)),IF(X38="Impacto",AG37,""))),"")</f>
        <v/>
      </c>
      <c r="AF38" s="193" t="str">
        <f t="shared" si="2"/>
        <v/>
      </c>
      <c r="AG38" s="191" t="str">
        <f t="shared" ref="AG38:AG42" si="38">+AE38</f>
        <v/>
      </c>
      <c r="AH38" s="193" t="str">
        <f t="shared" si="4"/>
        <v/>
      </c>
      <c r="AI38" s="191" t="str">
        <f t="shared" ref="AI38" si="39">IFERROR(IF(AND(X37="Impacto",X38="Impacto"),(AI37-(+AI37*AA38)),IF(X38="Impacto",($T$13-(+$T$13*AA38)),IF(X38="Probabilidad",AI37,""))),"")</f>
        <v/>
      </c>
      <c r="AJ38" s="194" t="str">
        <f t="shared" ref="AJ38:AJ39" si="40">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95"/>
      <c r="AL38" s="186"/>
      <c r="AM38" s="196"/>
      <c r="AN38" s="196"/>
      <c r="AO38" s="197"/>
      <c r="AP38" s="381"/>
      <c r="AQ38" s="381"/>
      <c r="AR38" s="381"/>
    </row>
    <row r="39" spans="1:44" x14ac:dyDescent="0.2">
      <c r="A39" s="418"/>
      <c r="B39" s="387"/>
      <c r="C39" s="387"/>
      <c r="D39" s="387"/>
      <c r="E39" s="387"/>
      <c r="F39" s="387"/>
      <c r="G39" s="360"/>
      <c r="H39" s="360"/>
      <c r="I39" s="360"/>
      <c r="J39" s="360"/>
      <c r="K39" s="360"/>
      <c r="L39" s="360"/>
      <c r="M39" s="360"/>
      <c r="N39" s="381"/>
      <c r="O39" s="367"/>
      <c r="P39" s="364"/>
      <c r="Q39" s="353"/>
      <c r="R39" s="364">
        <f>IF(NOT(ISERROR(MATCH(Q39,_xlfn.ANCHORARRAY(E50),0))),P52&amp;"Por favor no seleccionar los criterios de impacto",Q39)</f>
        <v>0</v>
      </c>
      <c r="S39" s="367"/>
      <c r="T39" s="364"/>
      <c r="U39" s="362"/>
      <c r="V39" s="214">
        <v>3</v>
      </c>
      <c r="W39" s="188"/>
      <c r="X39" s="189" t="str">
        <f>IF(OR(Y39="Preventivo",Y39="Detectivo"),"Probabilidad",IF(Y39="Correctivo","Impacto",""))</f>
        <v/>
      </c>
      <c r="Y39" s="190"/>
      <c r="Z39" s="190"/>
      <c r="AA39" s="191" t="str">
        <f t="shared" si="37"/>
        <v/>
      </c>
      <c r="AB39" s="190"/>
      <c r="AC39" s="190"/>
      <c r="AD39" s="190"/>
      <c r="AE39" s="192" t="str">
        <f>IFERROR(IF(AND(X38="Probabilidad",X39="Probabilidad"),(AG38-(+AG38*AA39)),IF(AND(X38="Impacto",X39="Probabilidad"),(AG37-(+AG37*AA39)),IF(X39="Impacto",AG38,""))),"")</f>
        <v/>
      </c>
      <c r="AF39" s="193" t="str">
        <f t="shared" si="2"/>
        <v/>
      </c>
      <c r="AG39" s="191" t="str">
        <f t="shared" si="38"/>
        <v/>
      </c>
      <c r="AH39" s="193" t="str">
        <f t="shared" si="4"/>
        <v/>
      </c>
      <c r="AI39" s="191" t="str">
        <f t="shared" ref="AI39" si="41">IFERROR(IF(AND(X38="Impacto",X39="Impacto"),(AI38-(+AI38*AA39)),IF(AND(X38="Probabilidad",X39="Impacto"),(AI37-(+AI37*AA39)),IF(X39="Probabilidad",AI38,""))),"")</f>
        <v/>
      </c>
      <c r="AJ39" s="194" t="str">
        <f t="shared" si="40"/>
        <v/>
      </c>
      <c r="AK39" s="195"/>
      <c r="AL39" s="186"/>
      <c r="AM39" s="196"/>
      <c r="AN39" s="196"/>
      <c r="AO39" s="197"/>
      <c r="AP39" s="381"/>
      <c r="AQ39" s="381"/>
      <c r="AR39" s="381"/>
    </row>
    <row r="40" spans="1:44" x14ac:dyDescent="0.2">
      <c r="A40" s="418"/>
      <c r="B40" s="387"/>
      <c r="C40" s="387"/>
      <c r="D40" s="387"/>
      <c r="E40" s="387"/>
      <c r="F40" s="387"/>
      <c r="G40" s="360"/>
      <c r="H40" s="360"/>
      <c r="I40" s="360"/>
      <c r="J40" s="360"/>
      <c r="K40" s="360"/>
      <c r="L40" s="360"/>
      <c r="M40" s="360"/>
      <c r="N40" s="381"/>
      <c r="O40" s="367"/>
      <c r="P40" s="364"/>
      <c r="Q40" s="353"/>
      <c r="R40" s="364">
        <f>IF(NOT(ISERROR(MATCH(Q40,_xlfn.ANCHORARRAY(E51),0))),P53&amp;"Por favor no seleccionar los criterios de impacto",Q40)</f>
        <v>0</v>
      </c>
      <c r="S40" s="367"/>
      <c r="T40" s="364"/>
      <c r="U40" s="362"/>
      <c r="V40" s="214">
        <v>4</v>
      </c>
      <c r="W40" s="187"/>
      <c r="X40" s="189" t="str">
        <f t="shared" ref="X40:X42" si="42">IF(OR(Y40="Preventivo",Y40="Detectivo"),"Probabilidad",IF(Y40="Correctivo","Impacto",""))</f>
        <v/>
      </c>
      <c r="Y40" s="190"/>
      <c r="Z40" s="190"/>
      <c r="AA40" s="191" t="str">
        <f t="shared" si="37"/>
        <v/>
      </c>
      <c r="AB40" s="190"/>
      <c r="AC40" s="190"/>
      <c r="AD40" s="190"/>
      <c r="AE40" s="192" t="str">
        <f t="shared" ref="AE40:AE42" si="43">IFERROR(IF(AND(X39="Probabilidad",X40="Probabilidad"),(AG39-(+AG39*AA40)),IF(AND(X39="Impacto",X40="Probabilidad"),(AG38-(+AG38*AA40)),IF(X40="Impacto",AG39,""))),"")</f>
        <v/>
      </c>
      <c r="AF40" s="193" t="str">
        <f t="shared" si="2"/>
        <v/>
      </c>
      <c r="AG40" s="191" t="str">
        <f t="shared" si="38"/>
        <v/>
      </c>
      <c r="AH40" s="193" t="str">
        <f t="shared" si="4"/>
        <v/>
      </c>
      <c r="AI40" s="191" t="str">
        <f t="shared" si="14"/>
        <v/>
      </c>
      <c r="AJ40" s="194"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5"/>
      <c r="AL40" s="186"/>
      <c r="AM40" s="196"/>
      <c r="AN40" s="196"/>
      <c r="AO40" s="197"/>
      <c r="AP40" s="381"/>
      <c r="AQ40" s="381"/>
      <c r="AR40" s="381"/>
    </row>
    <row r="41" spans="1:44" x14ac:dyDescent="0.2">
      <c r="A41" s="418"/>
      <c r="B41" s="387"/>
      <c r="C41" s="387"/>
      <c r="D41" s="387"/>
      <c r="E41" s="387"/>
      <c r="F41" s="387"/>
      <c r="G41" s="360"/>
      <c r="H41" s="360"/>
      <c r="I41" s="360"/>
      <c r="J41" s="360"/>
      <c r="K41" s="360"/>
      <c r="L41" s="360"/>
      <c r="M41" s="360"/>
      <c r="N41" s="381"/>
      <c r="O41" s="367"/>
      <c r="P41" s="364"/>
      <c r="Q41" s="353"/>
      <c r="R41" s="364">
        <f>IF(NOT(ISERROR(MATCH(Q41,_xlfn.ANCHORARRAY(E52),0))),P54&amp;"Por favor no seleccionar los criterios de impacto",Q41)</f>
        <v>0</v>
      </c>
      <c r="S41" s="367"/>
      <c r="T41" s="364"/>
      <c r="U41" s="362"/>
      <c r="V41" s="214">
        <v>5</v>
      </c>
      <c r="W41" s="187"/>
      <c r="X41" s="189" t="str">
        <f t="shared" si="42"/>
        <v/>
      </c>
      <c r="Y41" s="190"/>
      <c r="Z41" s="190"/>
      <c r="AA41" s="191" t="str">
        <f t="shared" si="37"/>
        <v/>
      </c>
      <c r="AB41" s="190"/>
      <c r="AC41" s="190"/>
      <c r="AD41" s="190"/>
      <c r="AE41" s="192" t="str">
        <f t="shared" si="43"/>
        <v/>
      </c>
      <c r="AF41" s="193" t="str">
        <f t="shared" si="2"/>
        <v/>
      </c>
      <c r="AG41" s="191" t="str">
        <f t="shared" si="38"/>
        <v/>
      </c>
      <c r="AH41" s="193" t="str">
        <f t="shared" si="4"/>
        <v/>
      </c>
      <c r="AI41" s="191" t="str">
        <f t="shared" si="14"/>
        <v/>
      </c>
      <c r="AJ41" s="194" t="str">
        <f t="shared" ref="AJ41:AJ42" si="44">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95"/>
      <c r="AL41" s="186"/>
      <c r="AM41" s="196"/>
      <c r="AN41" s="196"/>
      <c r="AO41" s="197"/>
      <c r="AP41" s="381"/>
      <c r="AQ41" s="381"/>
      <c r="AR41" s="381"/>
    </row>
    <row r="42" spans="1:44" x14ac:dyDescent="0.2">
      <c r="A42" s="418"/>
      <c r="B42" s="387"/>
      <c r="C42" s="387"/>
      <c r="D42" s="387"/>
      <c r="E42" s="387"/>
      <c r="F42" s="387"/>
      <c r="G42" s="373"/>
      <c r="H42" s="373"/>
      <c r="I42" s="373"/>
      <c r="J42" s="373"/>
      <c r="K42" s="373"/>
      <c r="L42" s="373"/>
      <c r="M42" s="373"/>
      <c r="N42" s="381"/>
      <c r="O42" s="367"/>
      <c r="P42" s="364"/>
      <c r="Q42" s="353"/>
      <c r="R42" s="364">
        <f>IF(NOT(ISERROR(MATCH(Q42,_xlfn.ANCHORARRAY(E53),0))),P55&amp;"Por favor no seleccionar los criterios de impacto",Q42)</f>
        <v>0</v>
      </c>
      <c r="S42" s="367"/>
      <c r="T42" s="364"/>
      <c r="U42" s="362"/>
      <c r="V42" s="214">
        <v>6</v>
      </c>
      <c r="W42" s="187"/>
      <c r="X42" s="189" t="str">
        <f t="shared" si="42"/>
        <v/>
      </c>
      <c r="Y42" s="190"/>
      <c r="Z42" s="190"/>
      <c r="AA42" s="191" t="str">
        <f t="shared" si="37"/>
        <v/>
      </c>
      <c r="AB42" s="190"/>
      <c r="AC42" s="190"/>
      <c r="AD42" s="190"/>
      <c r="AE42" s="192" t="str">
        <f t="shared" si="43"/>
        <v/>
      </c>
      <c r="AF42" s="193" t="str">
        <f t="shared" si="2"/>
        <v/>
      </c>
      <c r="AG42" s="191" t="str">
        <f t="shared" si="38"/>
        <v/>
      </c>
      <c r="AH42" s="193" t="str">
        <f t="shared" si="4"/>
        <v/>
      </c>
      <c r="AI42" s="191" t="str">
        <f t="shared" si="14"/>
        <v/>
      </c>
      <c r="AJ42" s="194" t="str">
        <f t="shared" si="44"/>
        <v/>
      </c>
      <c r="AK42" s="195"/>
      <c r="AL42" s="186"/>
      <c r="AM42" s="196"/>
      <c r="AN42" s="196"/>
      <c r="AO42" s="197"/>
      <c r="AP42" s="381"/>
      <c r="AQ42" s="381"/>
      <c r="AR42" s="381"/>
    </row>
    <row r="43" spans="1:44" x14ac:dyDescent="0.2">
      <c r="A43" s="418">
        <v>6</v>
      </c>
      <c r="B43" s="387"/>
      <c r="C43" s="387"/>
      <c r="D43" s="387"/>
      <c r="E43" s="392"/>
      <c r="F43" s="387"/>
      <c r="G43" s="392"/>
      <c r="H43" s="392"/>
      <c r="I43" s="392"/>
      <c r="J43" s="392"/>
      <c r="K43" s="392"/>
      <c r="L43" s="392"/>
      <c r="M43" s="392"/>
      <c r="N43" s="381"/>
      <c r="O43" s="367" t="str">
        <f>IF(N43&lt;=0,"",IF(N43&lt;=2,"Muy Baja",IF(N43&lt;=24,"Baja",IF(N43&lt;=500,"Media",IF(N43&lt;=5000,"Alta","Muy Alta")))))</f>
        <v/>
      </c>
      <c r="P43" s="364" t="str">
        <f>IF(O43="","",IF(O43="Muy Baja",0.2,IF(O43="Baja",0.4,IF(O43="Media",0.6,IF(O43="Alta",0.8,IF(O43="Muy Alta",1,))))))</f>
        <v/>
      </c>
      <c r="Q43" s="353"/>
      <c r="R43" s="364">
        <f>IF(NOT(ISERROR(MATCH(Q43,'Tabla Impacto'!$B$222:$B$224,0))),'Tabla Impacto'!$F$224&amp;"Por favor no seleccionar los criterios de impacto(Afectación Económica o presupuestal y Pérdida Reputacional)",Q43)</f>
        <v>0</v>
      </c>
      <c r="S43" s="367" t="str">
        <f>IF(OR(R43='Tabla Impacto'!$C$12,R43='Tabla Impacto'!$D$12),"Leve",IF(OR(R43='Tabla Impacto'!$C$13,R43='Tabla Impacto'!$D$13),"Menor",IF(OR(R43='Tabla Impacto'!$C$14,R43='Tabla Impacto'!$D$14),"Moderado",IF(OR(R43='Tabla Impacto'!$C$15,R43='Tabla Impacto'!$D$15),"Mayor",IF(OR(R43='Tabla Impacto'!$C$16,R43='Tabla Impacto'!$D$16),"Catastrófico","")))))</f>
        <v/>
      </c>
      <c r="T43" s="364" t="str">
        <f>IF(S43="","",IF(S43="Leve",0.2,IF(S43="Menor",0.4,IF(S43="Moderado",0.6,IF(S43="Mayor",0.8,IF(S43="Catastrófico",1,))))))</f>
        <v/>
      </c>
      <c r="U43" s="362"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14">
        <v>1</v>
      </c>
      <c r="W43" s="187"/>
      <c r="X43" s="189" t="str">
        <f>IF(OR(Y43="Preventivo",Y43="Detectivo"),"Probabilidad",IF(Y43="Correctivo","Impacto",""))</f>
        <v/>
      </c>
      <c r="Y43" s="190"/>
      <c r="Z43" s="190"/>
      <c r="AA43" s="191" t="str">
        <f>IF(AND(Y43="Preventivo",Z43="Automático"),"50%",IF(AND(Y43="Preventivo",Z43="Manual"),"40%",IF(AND(Y43="Detectivo",Z43="Automático"),"40%",IF(AND(Y43="Detectivo",Z43="Manual"),"30%",IF(AND(Y43="Correctivo",Z43="Automático"),"35%",IF(AND(Y43="Correctivo",Z43="Manual"),"25%",""))))))</f>
        <v/>
      </c>
      <c r="AB43" s="190"/>
      <c r="AC43" s="190"/>
      <c r="AD43" s="190"/>
      <c r="AE43" s="192" t="str">
        <f>IFERROR(IF(X43="Probabilidad",(P43-(+P43*AA43)),IF(X43="Impacto",P43,"")),"")</f>
        <v/>
      </c>
      <c r="AF43" s="193" t="str">
        <f>IFERROR(IF(AE43="","",IF(AE43&lt;=0.2,"Muy Baja",IF(AE43&lt;=0.4,"Baja",IF(AE43&lt;=0.6,"Media",IF(AE43&lt;=0.8,"Alta","Muy Alta"))))),"")</f>
        <v/>
      </c>
      <c r="AG43" s="191" t="str">
        <f>+AE43</f>
        <v/>
      </c>
      <c r="AH43" s="193" t="str">
        <f>IFERROR(IF(AI43="","",IF(AI43&lt;=0.2,"Leve",IF(AI43&lt;=0.4,"Menor",IF(AI43&lt;=0.6,"Moderado",IF(AI43&lt;=0.8,"Mayor","Catastrófico"))))),"")</f>
        <v/>
      </c>
      <c r="AI43" s="191" t="str">
        <f t="shared" ref="AI43" si="45">IFERROR(IF(X43="Impacto",(T43-(+T43*AA43)),IF(X43="Probabilidad",T43,"")),"")</f>
        <v/>
      </c>
      <c r="AJ43" s="194"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90"/>
      <c r="AL43" s="186"/>
      <c r="AM43" s="196"/>
      <c r="AN43" s="196"/>
      <c r="AO43" s="197"/>
      <c r="AP43" s="381"/>
      <c r="AQ43" s="381"/>
      <c r="AR43" s="381"/>
    </row>
    <row r="44" spans="1:44" x14ac:dyDescent="0.2">
      <c r="A44" s="418"/>
      <c r="B44" s="387"/>
      <c r="C44" s="387"/>
      <c r="D44" s="387"/>
      <c r="E44" s="360"/>
      <c r="F44" s="387"/>
      <c r="G44" s="360"/>
      <c r="H44" s="360"/>
      <c r="I44" s="360"/>
      <c r="J44" s="360"/>
      <c r="K44" s="360"/>
      <c r="L44" s="360"/>
      <c r="M44" s="360"/>
      <c r="N44" s="381"/>
      <c r="O44" s="367"/>
      <c r="P44" s="364"/>
      <c r="Q44" s="353"/>
      <c r="R44" s="364">
        <f>IF(NOT(ISERROR(MATCH(Q44,_xlfn.ANCHORARRAY(E55),0))),P57&amp;"Por favor no seleccionar los criterios de impacto",Q44)</f>
        <v>0</v>
      </c>
      <c r="S44" s="367"/>
      <c r="T44" s="364"/>
      <c r="U44" s="362"/>
      <c r="V44" s="214">
        <v>2</v>
      </c>
      <c r="W44" s="187"/>
      <c r="X44" s="189" t="str">
        <f>IF(OR(Y44="Preventivo",Y44="Detectivo"),"Probabilidad",IF(Y44="Correctivo","Impacto",""))</f>
        <v/>
      </c>
      <c r="Y44" s="190"/>
      <c r="Z44" s="190"/>
      <c r="AA44" s="191" t="str">
        <f t="shared" ref="AA44:AA48" si="46">IF(AND(Y44="Preventivo",Z44="Automático"),"50%",IF(AND(Y44="Preventivo",Z44="Manual"),"40%",IF(AND(Y44="Detectivo",Z44="Automático"),"40%",IF(AND(Y44="Detectivo",Z44="Manual"),"30%",IF(AND(Y44="Correctivo",Z44="Automático"),"35%",IF(AND(Y44="Correctivo",Z44="Manual"),"25%",""))))))</f>
        <v/>
      </c>
      <c r="AB44" s="190"/>
      <c r="AC44" s="190"/>
      <c r="AD44" s="190"/>
      <c r="AE44" s="192" t="str">
        <f>IFERROR(IF(AND(X43="Probabilidad",X44="Probabilidad"),(AG43-(+AG43*AA44)),IF(X44="Probabilidad",(P43-(+P43*AA44)),IF(X44="Impacto",AG43,""))),"")</f>
        <v/>
      </c>
      <c r="AF44" s="193" t="str">
        <f t="shared" si="2"/>
        <v/>
      </c>
      <c r="AG44" s="191" t="str">
        <f t="shared" ref="AG44:AG48" si="47">+AE44</f>
        <v/>
      </c>
      <c r="AH44" s="193" t="str">
        <f t="shared" si="4"/>
        <v/>
      </c>
      <c r="AI44" s="191" t="str">
        <f t="shared" ref="AI44" si="48">IFERROR(IF(AND(X43="Impacto",X44="Impacto"),(AI43-(+AI43*AA44)),IF(X44="Impacto",($T$13-(+$T$13*AA44)),IF(X44="Probabilidad",AI43,""))),"")</f>
        <v/>
      </c>
      <c r="AJ44" s="194" t="str">
        <f t="shared" ref="AJ44:AJ45" si="49">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95"/>
      <c r="AL44" s="186"/>
      <c r="AM44" s="196"/>
      <c r="AN44" s="196"/>
      <c r="AO44" s="197"/>
      <c r="AP44" s="381"/>
      <c r="AQ44" s="381"/>
      <c r="AR44" s="381"/>
    </row>
    <row r="45" spans="1:44" x14ac:dyDescent="0.2">
      <c r="A45" s="418"/>
      <c r="B45" s="387"/>
      <c r="C45" s="387"/>
      <c r="D45" s="387"/>
      <c r="E45" s="360"/>
      <c r="F45" s="387"/>
      <c r="G45" s="360"/>
      <c r="H45" s="360"/>
      <c r="I45" s="360"/>
      <c r="J45" s="360"/>
      <c r="K45" s="360"/>
      <c r="L45" s="360"/>
      <c r="M45" s="360"/>
      <c r="N45" s="381"/>
      <c r="O45" s="367"/>
      <c r="P45" s="364"/>
      <c r="Q45" s="353"/>
      <c r="R45" s="364">
        <f>IF(NOT(ISERROR(MATCH(Q45,_xlfn.ANCHORARRAY(E56),0))),P58&amp;"Por favor no seleccionar los criterios de impacto",Q45)</f>
        <v>0</v>
      </c>
      <c r="S45" s="367"/>
      <c r="T45" s="364"/>
      <c r="U45" s="362"/>
      <c r="V45" s="214">
        <v>3</v>
      </c>
      <c r="W45" s="188"/>
      <c r="X45" s="189" t="str">
        <f>IF(OR(Y45="Preventivo",Y45="Detectivo"),"Probabilidad",IF(Y45="Correctivo","Impacto",""))</f>
        <v/>
      </c>
      <c r="Y45" s="190"/>
      <c r="Z45" s="190"/>
      <c r="AA45" s="191" t="str">
        <f t="shared" si="46"/>
        <v/>
      </c>
      <c r="AB45" s="190"/>
      <c r="AC45" s="190"/>
      <c r="AD45" s="190"/>
      <c r="AE45" s="192" t="str">
        <f>IFERROR(IF(AND(X44="Probabilidad",X45="Probabilidad"),(AG44-(+AG44*AA45)),IF(AND(X44="Impacto",X45="Probabilidad"),(AG43-(+AG43*AA45)),IF(X45="Impacto",AG44,""))),"")</f>
        <v/>
      </c>
      <c r="AF45" s="193" t="str">
        <f t="shared" si="2"/>
        <v/>
      </c>
      <c r="AG45" s="191" t="str">
        <f t="shared" si="47"/>
        <v/>
      </c>
      <c r="AH45" s="193" t="str">
        <f t="shared" si="4"/>
        <v/>
      </c>
      <c r="AI45" s="191" t="str">
        <f t="shared" ref="AI45" si="50">IFERROR(IF(AND(X44="Impacto",X45="Impacto"),(AI44-(+AI44*AA45)),IF(AND(X44="Probabilidad",X45="Impacto"),(AI43-(+AI43*AA45)),IF(X45="Probabilidad",AI44,""))),"")</f>
        <v/>
      </c>
      <c r="AJ45" s="194" t="str">
        <f t="shared" si="49"/>
        <v/>
      </c>
      <c r="AK45" s="195"/>
      <c r="AL45" s="186"/>
      <c r="AM45" s="196"/>
      <c r="AN45" s="196"/>
      <c r="AO45" s="197"/>
      <c r="AP45" s="381"/>
      <c r="AQ45" s="381"/>
      <c r="AR45" s="381"/>
    </row>
    <row r="46" spans="1:44" x14ac:dyDescent="0.2">
      <c r="A46" s="418"/>
      <c r="B46" s="387"/>
      <c r="C46" s="387"/>
      <c r="D46" s="387"/>
      <c r="E46" s="360"/>
      <c r="F46" s="387"/>
      <c r="G46" s="360"/>
      <c r="H46" s="360"/>
      <c r="I46" s="360"/>
      <c r="J46" s="360"/>
      <c r="K46" s="360"/>
      <c r="L46" s="360"/>
      <c r="M46" s="360"/>
      <c r="N46" s="381"/>
      <c r="O46" s="367"/>
      <c r="P46" s="364"/>
      <c r="Q46" s="353"/>
      <c r="R46" s="364">
        <f>IF(NOT(ISERROR(MATCH(Q46,_xlfn.ANCHORARRAY(E57),0))),P59&amp;"Por favor no seleccionar los criterios de impacto",Q46)</f>
        <v>0</v>
      </c>
      <c r="S46" s="367"/>
      <c r="T46" s="364"/>
      <c r="U46" s="362"/>
      <c r="V46" s="214">
        <v>4</v>
      </c>
      <c r="W46" s="187"/>
      <c r="X46" s="189" t="str">
        <f t="shared" ref="X46:X48" si="51">IF(OR(Y46="Preventivo",Y46="Detectivo"),"Probabilidad",IF(Y46="Correctivo","Impacto",""))</f>
        <v/>
      </c>
      <c r="Y46" s="190"/>
      <c r="Z46" s="190"/>
      <c r="AA46" s="191" t="str">
        <f t="shared" si="46"/>
        <v/>
      </c>
      <c r="AB46" s="190"/>
      <c r="AC46" s="190"/>
      <c r="AD46" s="190"/>
      <c r="AE46" s="192" t="str">
        <f t="shared" ref="AE46:AE48" si="52">IFERROR(IF(AND(X45="Probabilidad",X46="Probabilidad"),(AG45-(+AG45*AA46)),IF(AND(X45="Impacto",X46="Probabilidad"),(AG44-(+AG44*AA46)),IF(X46="Impacto",AG45,""))),"")</f>
        <v/>
      </c>
      <c r="AF46" s="193" t="str">
        <f t="shared" si="2"/>
        <v/>
      </c>
      <c r="AG46" s="191" t="str">
        <f t="shared" si="47"/>
        <v/>
      </c>
      <c r="AH46" s="193" t="str">
        <f t="shared" si="4"/>
        <v/>
      </c>
      <c r="AI46" s="191" t="str">
        <f t="shared" si="14"/>
        <v/>
      </c>
      <c r="AJ46" s="194"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5"/>
      <c r="AL46" s="186"/>
      <c r="AM46" s="196"/>
      <c r="AN46" s="196"/>
      <c r="AO46" s="197"/>
      <c r="AP46" s="381"/>
      <c r="AQ46" s="381"/>
      <c r="AR46" s="381"/>
    </row>
    <row r="47" spans="1:44" x14ac:dyDescent="0.2">
      <c r="A47" s="418"/>
      <c r="B47" s="387"/>
      <c r="C47" s="387"/>
      <c r="D47" s="387"/>
      <c r="E47" s="360"/>
      <c r="F47" s="387"/>
      <c r="G47" s="360"/>
      <c r="H47" s="360"/>
      <c r="I47" s="360"/>
      <c r="J47" s="360"/>
      <c r="K47" s="360"/>
      <c r="L47" s="360"/>
      <c r="M47" s="360"/>
      <c r="N47" s="381"/>
      <c r="O47" s="367"/>
      <c r="P47" s="364"/>
      <c r="Q47" s="353"/>
      <c r="R47" s="364">
        <f>IF(NOT(ISERROR(MATCH(Q47,_xlfn.ANCHORARRAY(E58),0))),P60&amp;"Por favor no seleccionar los criterios de impacto",Q47)</f>
        <v>0</v>
      </c>
      <c r="S47" s="367"/>
      <c r="T47" s="364"/>
      <c r="U47" s="362"/>
      <c r="V47" s="214">
        <v>5</v>
      </c>
      <c r="W47" s="187"/>
      <c r="X47" s="189" t="str">
        <f t="shared" si="51"/>
        <v/>
      </c>
      <c r="Y47" s="190"/>
      <c r="Z47" s="190"/>
      <c r="AA47" s="191" t="str">
        <f t="shared" si="46"/>
        <v/>
      </c>
      <c r="AB47" s="190"/>
      <c r="AC47" s="190"/>
      <c r="AD47" s="190"/>
      <c r="AE47" s="192" t="str">
        <f t="shared" si="52"/>
        <v/>
      </c>
      <c r="AF47" s="193" t="str">
        <f t="shared" si="2"/>
        <v/>
      </c>
      <c r="AG47" s="191" t="str">
        <f t="shared" si="47"/>
        <v/>
      </c>
      <c r="AH47" s="193" t="str">
        <f t="shared" si="4"/>
        <v/>
      </c>
      <c r="AI47" s="191" t="str">
        <f t="shared" si="14"/>
        <v/>
      </c>
      <c r="AJ47" s="194" t="str">
        <f t="shared" ref="AJ47" si="53">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95"/>
      <c r="AL47" s="186"/>
      <c r="AM47" s="196"/>
      <c r="AN47" s="196"/>
      <c r="AO47" s="197"/>
      <c r="AP47" s="381"/>
      <c r="AQ47" s="381"/>
      <c r="AR47" s="381"/>
    </row>
    <row r="48" spans="1:44" x14ac:dyDescent="0.2">
      <c r="A48" s="418"/>
      <c r="B48" s="387"/>
      <c r="C48" s="387"/>
      <c r="D48" s="387"/>
      <c r="E48" s="373"/>
      <c r="F48" s="387"/>
      <c r="G48" s="373"/>
      <c r="H48" s="373"/>
      <c r="I48" s="373"/>
      <c r="J48" s="373"/>
      <c r="K48" s="373"/>
      <c r="L48" s="373"/>
      <c r="M48" s="373"/>
      <c r="N48" s="381"/>
      <c r="O48" s="367"/>
      <c r="P48" s="364"/>
      <c r="Q48" s="353"/>
      <c r="R48" s="364">
        <f>IF(NOT(ISERROR(MATCH(Q48,_xlfn.ANCHORARRAY(E59),0))),P61&amp;"Por favor no seleccionar los criterios de impacto",Q48)</f>
        <v>0</v>
      </c>
      <c r="S48" s="367"/>
      <c r="T48" s="364"/>
      <c r="U48" s="362"/>
      <c r="V48" s="214">
        <v>6</v>
      </c>
      <c r="W48" s="187"/>
      <c r="X48" s="189" t="str">
        <f t="shared" si="51"/>
        <v/>
      </c>
      <c r="Y48" s="190"/>
      <c r="Z48" s="190"/>
      <c r="AA48" s="191" t="str">
        <f t="shared" si="46"/>
        <v/>
      </c>
      <c r="AB48" s="190"/>
      <c r="AC48" s="190"/>
      <c r="AD48" s="190"/>
      <c r="AE48" s="192" t="str">
        <f t="shared" si="52"/>
        <v/>
      </c>
      <c r="AF48" s="193" t="str">
        <f t="shared" si="2"/>
        <v/>
      </c>
      <c r="AG48" s="191" t="str">
        <f t="shared" si="47"/>
        <v/>
      </c>
      <c r="AH48" s="193" t="str">
        <f>IFERROR(IF(AI48="","",IF(AI48&lt;=0.2,"Leve",IF(AI48&lt;=0.4,"Menor",IF(AI48&lt;=0.6,"Moderado",IF(AI48&lt;=0.8,"Mayor","Catastrófico"))))),"")</f>
        <v/>
      </c>
      <c r="AI48" s="191" t="str">
        <f t="shared" si="14"/>
        <v/>
      </c>
      <c r="AJ48" s="194"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95"/>
      <c r="AL48" s="186"/>
      <c r="AM48" s="196"/>
      <c r="AN48" s="196"/>
      <c r="AO48" s="197"/>
      <c r="AP48" s="381"/>
      <c r="AQ48" s="381"/>
      <c r="AR48" s="381"/>
    </row>
    <row r="49" spans="1:44" x14ac:dyDescent="0.2">
      <c r="A49" s="418">
        <v>7</v>
      </c>
      <c r="B49" s="387"/>
      <c r="C49" s="387"/>
      <c r="D49" s="421"/>
      <c r="E49" s="387"/>
      <c r="F49" s="387"/>
      <c r="G49" s="392"/>
      <c r="H49" s="392"/>
      <c r="I49" s="392"/>
      <c r="J49" s="392"/>
      <c r="K49" s="392"/>
      <c r="L49" s="392"/>
      <c r="M49" s="392"/>
      <c r="N49" s="381"/>
      <c r="O49" s="367" t="str">
        <f>IF(N49&lt;=0,"",IF(N49&lt;=2,"Muy Baja",IF(N49&lt;=24,"Baja",IF(N49&lt;=500,"Media",IF(N49&lt;=5000,"Alta","Muy Alta")))))</f>
        <v/>
      </c>
      <c r="P49" s="364" t="str">
        <f>IF(O49="","",IF(O49="Muy Baja",0.2,IF(O49="Baja",0.4,IF(O49="Media",0.6,IF(O49="Alta",0.8,IF(O49="Muy Alta",1,))))))</f>
        <v/>
      </c>
      <c r="Q49" s="353"/>
      <c r="R49" s="364">
        <f>IF(NOT(ISERROR(MATCH(Q49,'Tabla Impacto'!$B$222:$B$224,0))),'Tabla Impacto'!$F$224&amp;"Por favor no seleccionar los criterios de impacto(Afectación Económica o presupuestal y Pérdida Reputacional)",Q49)</f>
        <v>0</v>
      </c>
      <c r="S49" s="367" t="str">
        <f>IF(OR(R49='Tabla Impacto'!$C$12,R49='Tabla Impacto'!$D$12),"Leve",IF(OR(R49='Tabla Impacto'!$C$13,R49='Tabla Impacto'!$D$13),"Menor",IF(OR(R49='Tabla Impacto'!$C$14,R49='Tabla Impacto'!$D$14),"Moderado",IF(OR(R49='Tabla Impacto'!$C$15,R49='Tabla Impacto'!$D$15),"Mayor",IF(OR(R49='Tabla Impacto'!$C$16,R49='Tabla Impacto'!$D$16),"Catastrófico","")))))</f>
        <v/>
      </c>
      <c r="T49" s="364" t="str">
        <f>IF(S49="","",IF(S49="Leve",0.2,IF(S49="Menor",0.4,IF(S49="Moderado",0.6,IF(S49="Mayor",0.8,IF(S49="Catastrófico",1,))))))</f>
        <v/>
      </c>
      <c r="U49" s="362"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14">
        <v>1</v>
      </c>
      <c r="W49" s="199"/>
      <c r="X49" s="189" t="str">
        <f>IF(OR(Y49="Preventivo",Y49="Detectivo"),"Probabilidad",IF(Y49="Correctivo","Impacto",""))</f>
        <v/>
      </c>
      <c r="Y49" s="190"/>
      <c r="Z49" s="190"/>
      <c r="AA49" s="191" t="str">
        <f>IF(AND(Y49="Preventivo",Z49="Automático"),"50%",IF(AND(Y49="Preventivo",Z49="Manual"),"40%",IF(AND(Y49="Detectivo",Z49="Automático"),"40%",IF(AND(Y49="Detectivo",Z49="Manual"),"30%",IF(AND(Y49="Correctivo",Z49="Automático"),"35%",IF(AND(Y49="Correctivo",Z49="Manual"),"25%",""))))))</f>
        <v/>
      </c>
      <c r="AB49" s="190"/>
      <c r="AC49" s="190"/>
      <c r="AD49" s="190"/>
      <c r="AE49" s="192" t="str">
        <f>IFERROR(IF(X49="Probabilidad",(P49-(+P49*AA49)),IF(X49="Impacto",P49,"")),"")</f>
        <v/>
      </c>
      <c r="AF49" s="193" t="str">
        <f>IFERROR(IF(AE49="","",IF(AE49&lt;=0.2,"Muy Baja",IF(AE49&lt;=0.4,"Baja",IF(AE49&lt;=0.6,"Media",IF(AE49&lt;=0.8,"Alta","Muy Alta"))))),"")</f>
        <v/>
      </c>
      <c r="AG49" s="191" t="str">
        <f>+AE49</f>
        <v/>
      </c>
      <c r="AH49" s="193" t="str">
        <f>IFERROR(IF(AI49="","",IF(AI49&lt;=0.2,"Leve",IF(AI49&lt;=0.4,"Menor",IF(AI49&lt;=0.6,"Moderado",IF(AI49&lt;=0.8,"Mayor","Catastrófico"))))),"")</f>
        <v/>
      </c>
      <c r="AI49" s="191" t="str">
        <f t="shared" ref="AI49" si="54">IFERROR(IF(X49="Impacto",(T49-(+T49*AA49)),IF(X49="Probabilidad",T49,"")),"")</f>
        <v/>
      </c>
      <c r="AJ49" s="194"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5"/>
      <c r="AL49" s="186"/>
      <c r="AM49" s="196"/>
      <c r="AN49" s="196"/>
      <c r="AO49" s="197"/>
      <c r="AP49" s="381"/>
      <c r="AQ49" s="381"/>
      <c r="AR49" s="381"/>
    </row>
    <row r="50" spans="1:44" x14ac:dyDescent="0.2">
      <c r="A50" s="418"/>
      <c r="B50" s="387"/>
      <c r="C50" s="387"/>
      <c r="D50" s="421"/>
      <c r="E50" s="387"/>
      <c r="F50" s="387"/>
      <c r="G50" s="360"/>
      <c r="H50" s="360"/>
      <c r="I50" s="360"/>
      <c r="J50" s="360"/>
      <c r="K50" s="360"/>
      <c r="L50" s="360"/>
      <c r="M50" s="360"/>
      <c r="N50" s="381"/>
      <c r="O50" s="367"/>
      <c r="P50" s="364"/>
      <c r="Q50" s="353"/>
      <c r="R50" s="364">
        <f>IF(NOT(ISERROR(MATCH(Q50,_xlfn.ANCHORARRAY(E61),0))),P63&amp;"Por favor no seleccionar los criterios de impacto",Q50)</f>
        <v>0</v>
      </c>
      <c r="S50" s="367"/>
      <c r="T50" s="364"/>
      <c r="U50" s="362"/>
      <c r="V50" s="214">
        <v>2</v>
      </c>
      <c r="W50" s="187"/>
      <c r="X50" s="189" t="str">
        <f>IF(OR(Y50="Preventivo",Y50="Detectivo"),"Probabilidad",IF(Y50="Correctivo","Impacto",""))</f>
        <v/>
      </c>
      <c r="Y50" s="190"/>
      <c r="Z50" s="190"/>
      <c r="AA50" s="191" t="str">
        <f t="shared" ref="AA50:AA54" si="55">IF(AND(Y50="Preventivo",Z50="Automático"),"50%",IF(AND(Y50="Preventivo",Z50="Manual"),"40%",IF(AND(Y50="Detectivo",Z50="Automático"),"40%",IF(AND(Y50="Detectivo",Z50="Manual"),"30%",IF(AND(Y50="Correctivo",Z50="Automático"),"35%",IF(AND(Y50="Correctivo",Z50="Manual"),"25%",""))))))</f>
        <v/>
      </c>
      <c r="AB50" s="190"/>
      <c r="AC50" s="190"/>
      <c r="AD50" s="190"/>
      <c r="AE50" s="192" t="str">
        <f>IFERROR(IF(AND(X49="Probabilidad",X50="Probabilidad"),(AG49-(+AG49*AA50)),IF(X50="Probabilidad",(P49-(+P49*AA50)),IF(X50="Impacto",AG49,""))),"")</f>
        <v/>
      </c>
      <c r="AF50" s="193" t="str">
        <f t="shared" si="2"/>
        <v/>
      </c>
      <c r="AG50" s="191" t="str">
        <f t="shared" ref="AG50:AG54" si="56">+AE50</f>
        <v/>
      </c>
      <c r="AH50" s="193" t="str">
        <f t="shared" si="4"/>
        <v/>
      </c>
      <c r="AI50" s="191" t="str">
        <f t="shared" ref="AI50" si="57">IFERROR(IF(AND(X49="Impacto",X50="Impacto"),(AI49-(+AI49*AA50)),IF(X50="Impacto",($T$13-(+$T$13*AA50)),IF(X50="Probabilidad",AI49,""))),"")</f>
        <v/>
      </c>
      <c r="AJ50" s="194" t="str">
        <f t="shared" ref="AJ50:AJ51" si="58">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95"/>
      <c r="AL50" s="186"/>
      <c r="AM50" s="196"/>
      <c r="AN50" s="196"/>
      <c r="AO50" s="197"/>
      <c r="AP50" s="381"/>
      <c r="AQ50" s="381"/>
      <c r="AR50" s="381"/>
    </row>
    <row r="51" spans="1:44" x14ac:dyDescent="0.2">
      <c r="A51" s="418"/>
      <c r="B51" s="387"/>
      <c r="C51" s="387"/>
      <c r="D51" s="421"/>
      <c r="E51" s="387"/>
      <c r="F51" s="387"/>
      <c r="G51" s="360"/>
      <c r="H51" s="360"/>
      <c r="I51" s="360"/>
      <c r="J51" s="360"/>
      <c r="K51" s="360"/>
      <c r="L51" s="360"/>
      <c r="M51" s="360"/>
      <c r="N51" s="381"/>
      <c r="O51" s="367"/>
      <c r="P51" s="364"/>
      <c r="Q51" s="353"/>
      <c r="R51" s="364">
        <f>IF(NOT(ISERROR(MATCH(Q51,_xlfn.ANCHORARRAY(E62),0))),P64&amp;"Por favor no seleccionar los criterios de impacto",Q51)</f>
        <v>0</v>
      </c>
      <c r="S51" s="367"/>
      <c r="T51" s="364"/>
      <c r="U51" s="362"/>
      <c r="V51" s="214">
        <v>3</v>
      </c>
      <c r="W51" s="188"/>
      <c r="X51" s="189" t="str">
        <f>IF(OR(Y51="Preventivo",Y51="Detectivo"),"Probabilidad",IF(Y51="Correctivo","Impacto",""))</f>
        <v/>
      </c>
      <c r="Y51" s="190"/>
      <c r="Z51" s="190"/>
      <c r="AA51" s="191" t="str">
        <f t="shared" si="55"/>
        <v/>
      </c>
      <c r="AB51" s="190"/>
      <c r="AC51" s="190"/>
      <c r="AD51" s="190"/>
      <c r="AE51" s="192" t="str">
        <f>IFERROR(IF(AND(X50="Probabilidad",X51="Probabilidad"),(AG50-(+AG50*AA51)),IF(AND(X50="Impacto",X51="Probabilidad"),(AG49-(+AG49*AA51)),IF(X51="Impacto",AG50,""))),"")</f>
        <v/>
      </c>
      <c r="AF51" s="193" t="str">
        <f t="shared" si="2"/>
        <v/>
      </c>
      <c r="AG51" s="191" t="str">
        <f t="shared" si="56"/>
        <v/>
      </c>
      <c r="AH51" s="193" t="str">
        <f t="shared" si="4"/>
        <v/>
      </c>
      <c r="AI51" s="191" t="str">
        <f t="shared" ref="AI51" si="59">IFERROR(IF(AND(X50="Impacto",X51="Impacto"),(AI50-(+AI50*AA51)),IF(AND(X50="Probabilidad",X51="Impacto"),(AI49-(+AI49*AA51)),IF(X51="Probabilidad",AI50,""))),"")</f>
        <v/>
      </c>
      <c r="AJ51" s="194" t="str">
        <f t="shared" si="58"/>
        <v/>
      </c>
      <c r="AK51" s="195"/>
      <c r="AL51" s="186"/>
      <c r="AM51" s="196"/>
      <c r="AN51" s="196"/>
      <c r="AO51" s="197"/>
      <c r="AP51" s="381"/>
      <c r="AQ51" s="381"/>
      <c r="AR51" s="381"/>
    </row>
    <row r="52" spans="1:44" x14ac:dyDescent="0.2">
      <c r="A52" s="418"/>
      <c r="B52" s="387"/>
      <c r="C52" s="387"/>
      <c r="D52" s="421"/>
      <c r="E52" s="387"/>
      <c r="F52" s="387"/>
      <c r="G52" s="360"/>
      <c r="H52" s="360"/>
      <c r="I52" s="360"/>
      <c r="J52" s="360"/>
      <c r="K52" s="360"/>
      <c r="L52" s="360"/>
      <c r="M52" s="360"/>
      <c r="N52" s="381"/>
      <c r="O52" s="367"/>
      <c r="P52" s="364"/>
      <c r="Q52" s="353"/>
      <c r="R52" s="364">
        <f>IF(NOT(ISERROR(MATCH(Q52,_xlfn.ANCHORARRAY(E63),0))),P65&amp;"Por favor no seleccionar los criterios de impacto",Q52)</f>
        <v>0</v>
      </c>
      <c r="S52" s="367"/>
      <c r="T52" s="364"/>
      <c r="U52" s="362"/>
      <c r="V52" s="214">
        <v>4</v>
      </c>
      <c r="W52" s="187"/>
      <c r="X52" s="189" t="str">
        <f t="shared" ref="X52:X54" si="60">IF(OR(Y52="Preventivo",Y52="Detectivo"),"Probabilidad",IF(Y52="Correctivo","Impacto",""))</f>
        <v/>
      </c>
      <c r="Y52" s="190"/>
      <c r="Z52" s="190"/>
      <c r="AA52" s="191" t="str">
        <f t="shared" si="55"/>
        <v/>
      </c>
      <c r="AB52" s="190"/>
      <c r="AC52" s="190"/>
      <c r="AD52" s="190"/>
      <c r="AE52" s="192" t="str">
        <f t="shared" ref="AE52:AE54" si="61">IFERROR(IF(AND(X51="Probabilidad",X52="Probabilidad"),(AG51-(+AG51*AA52)),IF(AND(X51="Impacto",X52="Probabilidad"),(AG50-(+AG50*AA52)),IF(X52="Impacto",AG51,""))),"")</f>
        <v/>
      </c>
      <c r="AF52" s="193" t="str">
        <f t="shared" si="2"/>
        <v/>
      </c>
      <c r="AG52" s="191" t="str">
        <f t="shared" si="56"/>
        <v/>
      </c>
      <c r="AH52" s="193" t="str">
        <f t="shared" si="4"/>
        <v/>
      </c>
      <c r="AI52" s="191" t="str">
        <f t="shared" si="14"/>
        <v/>
      </c>
      <c r="AJ52" s="194"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5"/>
      <c r="AL52" s="186"/>
      <c r="AM52" s="196"/>
      <c r="AN52" s="196"/>
      <c r="AO52" s="197"/>
      <c r="AP52" s="381"/>
      <c r="AQ52" s="381"/>
      <c r="AR52" s="381"/>
    </row>
    <row r="53" spans="1:44" x14ac:dyDescent="0.2">
      <c r="A53" s="418"/>
      <c r="B53" s="387"/>
      <c r="C53" s="387"/>
      <c r="D53" s="421"/>
      <c r="E53" s="387"/>
      <c r="F53" s="387"/>
      <c r="G53" s="360"/>
      <c r="H53" s="360"/>
      <c r="I53" s="360"/>
      <c r="J53" s="360"/>
      <c r="K53" s="360"/>
      <c r="L53" s="360"/>
      <c r="M53" s="360"/>
      <c r="N53" s="381"/>
      <c r="O53" s="367"/>
      <c r="P53" s="364"/>
      <c r="Q53" s="353"/>
      <c r="R53" s="364">
        <f>IF(NOT(ISERROR(MATCH(Q53,_xlfn.ANCHORARRAY(E64),0))),P66&amp;"Por favor no seleccionar los criterios de impacto",Q53)</f>
        <v>0</v>
      </c>
      <c r="S53" s="367"/>
      <c r="T53" s="364"/>
      <c r="U53" s="362"/>
      <c r="V53" s="214">
        <v>5</v>
      </c>
      <c r="W53" s="187"/>
      <c r="X53" s="189" t="str">
        <f t="shared" si="60"/>
        <v/>
      </c>
      <c r="Y53" s="190"/>
      <c r="Z53" s="190"/>
      <c r="AA53" s="191" t="str">
        <f t="shared" si="55"/>
        <v/>
      </c>
      <c r="AB53" s="190"/>
      <c r="AC53" s="190"/>
      <c r="AD53" s="190"/>
      <c r="AE53" s="192" t="str">
        <f t="shared" si="61"/>
        <v/>
      </c>
      <c r="AF53" s="193" t="str">
        <f t="shared" si="2"/>
        <v/>
      </c>
      <c r="AG53" s="191" t="str">
        <f t="shared" si="56"/>
        <v/>
      </c>
      <c r="AH53" s="193" t="str">
        <f t="shared" si="4"/>
        <v/>
      </c>
      <c r="AI53" s="191" t="str">
        <f t="shared" si="14"/>
        <v/>
      </c>
      <c r="AJ53" s="194" t="str">
        <f t="shared" ref="AJ53:AJ54" si="62">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95"/>
      <c r="AL53" s="186"/>
      <c r="AM53" s="196"/>
      <c r="AN53" s="196"/>
      <c r="AO53" s="197"/>
      <c r="AP53" s="381"/>
      <c r="AQ53" s="381"/>
      <c r="AR53" s="381"/>
    </row>
    <row r="54" spans="1:44" x14ac:dyDescent="0.2">
      <c r="A54" s="418"/>
      <c r="B54" s="387"/>
      <c r="C54" s="387"/>
      <c r="D54" s="421"/>
      <c r="E54" s="387"/>
      <c r="F54" s="387"/>
      <c r="G54" s="373"/>
      <c r="H54" s="373"/>
      <c r="I54" s="373"/>
      <c r="J54" s="373"/>
      <c r="K54" s="373"/>
      <c r="L54" s="373"/>
      <c r="M54" s="373"/>
      <c r="N54" s="381"/>
      <c r="O54" s="367"/>
      <c r="P54" s="364"/>
      <c r="Q54" s="353"/>
      <c r="R54" s="364">
        <f>IF(NOT(ISERROR(MATCH(Q54,_xlfn.ANCHORARRAY(E65),0))),P67&amp;"Por favor no seleccionar los criterios de impacto",Q54)</f>
        <v>0</v>
      </c>
      <c r="S54" s="367"/>
      <c r="T54" s="364"/>
      <c r="U54" s="362"/>
      <c r="V54" s="214">
        <v>6</v>
      </c>
      <c r="W54" s="187"/>
      <c r="X54" s="189" t="str">
        <f t="shared" si="60"/>
        <v/>
      </c>
      <c r="Y54" s="190"/>
      <c r="Z54" s="190"/>
      <c r="AA54" s="191" t="str">
        <f t="shared" si="55"/>
        <v/>
      </c>
      <c r="AB54" s="190"/>
      <c r="AC54" s="190"/>
      <c r="AD54" s="190"/>
      <c r="AE54" s="192" t="str">
        <f t="shared" si="61"/>
        <v/>
      </c>
      <c r="AF54" s="193" t="str">
        <f t="shared" si="2"/>
        <v/>
      </c>
      <c r="AG54" s="191" t="str">
        <f t="shared" si="56"/>
        <v/>
      </c>
      <c r="AH54" s="193" t="str">
        <f t="shared" si="4"/>
        <v/>
      </c>
      <c r="AI54" s="191" t="str">
        <f t="shared" si="14"/>
        <v/>
      </c>
      <c r="AJ54" s="194" t="str">
        <f t="shared" si="62"/>
        <v/>
      </c>
      <c r="AK54" s="195"/>
      <c r="AL54" s="186"/>
      <c r="AM54" s="196"/>
      <c r="AN54" s="196"/>
      <c r="AO54" s="197"/>
      <c r="AP54" s="381"/>
      <c r="AQ54" s="381"/>
      <c r="AR54" s="381"/>
    </row>
    <row r="55" spans="1:44" x14ac:dyDescent="0.2">
      <c r="A55" s="418">
        <v>8</v>
      </c>
      <c r="B55" s="387"/>
      <c r="C55" s="387"/>
      <c r="D55" s="387"/>
      <c r="E55" s="387"/>
      <c r="F55" s="387"/>
      <c r="G55" s="392"/>
      <c r="H55" s="392"/>
      <c r="I55" s="392"/>
      <c r="J55" s="392"/>
      <c r="K55" s="392"/>
      <c r="L55" s="392"/>
      <c r="M55" s="392"/>
      <c r="N55" s="381"/>
      <c r="O55" s="367" t="str">
        <f>IF(N55&lt;=0,"",IF(N55&lt;=2,"Muy Baja",IF(N55&lt;=24,"Baja",IF(N55&lt;=500,"Media",IF(N55&lt;=5000,"Alta","Muy Alta")))))</f>
        <v/>
      </c>
      <c r="P55" s="364" t="str">
        <f>IF(O55="","",IF(O55="Muy Baja",0.2,IF(O55="Baja",0.4,IF(O55="Media",0.6,IF(O55="Alta",0.8,IF(O55="Muy Alta",1,))))))</f>
        <v/>
      </c>
      <c r="Q55" s="353"/>
      <c r="R55" s="364">
        <f>IF(NOT(ISERROR(MATCH(Q55,'Tabla Impacto'!$B$222:$B$224,0))),'Tabla Impacto'!$F$224&amp;"Por favor no seleccionar los criterios de impacto(Afectación Económica o presupuestal y Pérdida Reputacional)",Q55)</f>
        <v>0</v>
      </c>
      <c r="S55" s="367" t="str">
        <f>IF(OR(R55='Tabla Impacto'!$C$12,R55='Tabla Impacto'!$D$12),"Leve",IF(OR(R55='Tabla Impacto'!$C$13,R55='Tabla Impacto'!$D$13),"Menor",IF(OR(R55='Tabla Impacto'!$C$14,R55='Tabla Impacto'!$D$14),"Moderado",IF(OR(R55='Tabla Impacto'!$C$15,R55='Tabla Impacto'!$D$15),"Mayor",IF(OR(R55='Tabla Impacto'!$C$16,R55='Tabla Impacto'!$D$16),"Catastrófico","")))))</f>
        <v/>
      </c>
      <c r="T55" s="364" t="str">
        <f>IF(S55="","",IF(S55="Leve",0.2,IF(S55="Menor",0.4,IF(S55="Moderado",0.6,IF(S55="Mayor",0.8,IF(S55="Catastrófico",1,))))))</f>
        <v/>
      </c>
      <c r="U55" s="362"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14">
        <v>1</v>
      </c>
      <c r="W55" s="187"/>
      <c r="X55" s="189" t="str">
        <f>IF(OR(Y55="Preventivo",Y55="Detectivo"),"Probabilidad",IF(Y55="Correctivo","Impacto",""))</f>
        <v/>
      </c>
      <c r="Y55" s="190"/>
      <c r="Z55" s="190"/>
      <c r="AA55" s="191" t="str">
        <f>IF(AND(Y55="Preventivo",Z55="Automático"),"50%",IF(AND(Y55="Preventivo",Z55="Manual"),"40%",IF(AND(Y55="Detectivo",Z55="Automático"),"40%",IF(AND(Y55="Detectivo",Z55="Manual"),"30%",IF(AND(Y55="Correctivo",Z55="Automático"),"35%",IF(AND(Y55="Correctivo",Z55="Manual"),"25%",""))))))</f>
        <v/>
      </c>
      <c r="AB55" s="190"/>
      <c r="AC55" s="190"/>
      <c r="AD55" s="190"/>
      <c r="AE55" s="192" t="str">
        <f>IFERROR(IF(X55="Probabilidad",(P55-(+P55*AA55)),IF(X55="Impacto",P55,"")),"")</f>
        <v/>
      </c>
      <c r="AF55" s="193" t="str">
        <f>IFERROR(IF(AE55="","",IF(AE55&lt;=0.2,"Muy Baja",IF(AE55&lt;=0.4,"Baja",IF(AE55&lt;=0.6,"Media",IF(AE55&lt;=0.8,"Alta","Muy Alta"))))),"")</f>
        <v/>
      </c>
      <c r="AG55" s="191" t="str">
        <f>+AE55</f>
        <v/>
      </c>
      <c r="AH55" s="193" t="str">
        <f>IFERROR(IF(AI55="","",IF(AI55&lt;=0.2,"Leve",IF(AI55&lt;=0.4,"Menor",IF(AI55&lt;=0.6,"Moderado",IF(AI55&lt;=0.8,"Mayor","Catastrófico"))))),"")</f>
        <v/>
      </c>
      <c r="AI55" s="191" t="str">
        <f t="shared" ref="AI55" si="63">IFERROR(IF(X55="Impacto",(T55-(+T55*AA55)),IF(X55="Probabilidad",T55,"")),"")</f>
        <v/>
      </c>
      <c r="AJ55" s="194"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5"/>
      <c r="AL55" s="186"/>
      <c r="AM55" s="196"/>
      <c r="AN55" s="196"/>
      <c r="AO55" s="197"/>
      <c r="AP55" s="381"/>
      <c r="AQ55" s="381"/>
      <c r="AR55" s="381"/>
    </row>
    <row r="56" spans="1:44" x14ac:dyDescent="0.2">
      <c r="A56" s="418"/>
      <c r="B56" s="387"/>
      <c r="C56" s="387"/>
      <c r="D56" s="387"/>
      <c r="E56" s="387"/>
      <c r="F56" s="387"/>
      <c r="G56" s="360"/>
      <c r="H56" s="360"/>
      <c r="I56" s="360"/>
      <c r="J56" s="360"/>
      <c r="K56" s="360"/>
      <c r="L56" s="360"/>
      <c r="M56" s="360"/>
      <c r="N56" s="381"/>
      <c r="O56" s="367"/>
      <c r="P56" s="364"/>
      <c r="Q56" s="353"/>
      <c r="R56" s="364">
        <f>IF(NOT(ISERROR(MATCH(Q56,_xlfn.ANCHORARRAY(E67),0))),P69&amp;"Por favor no seleccionar los criterios de impacto",Q56)</f>
        <v>0</v>
      </c>
      <c r="S56" s="367"/>
      <c r="T56" s="364"/>
      <c r="U56" s="362"/>
      <c r="V56" s="214">
        <v>2</v>
      </c>
      <c r="W56" s="187"/>
      <c r="X56" s="189" t="str">
        <f>IF(OR(Y56="Preventivo",Y56="Detectivo"),"Probabilidad",IF(Y56="Correctivo","Impacto",""))</f>
        <v/>
      </c>
      <c r="Y56" s="190"/>
      <c r="Z56" s="190"/>
      <c r="AA56" s="191" t="str">
        <f t="shared" ref="AA56:AA60" si="64">IF(AND(Y56="Preventivo",Z56="Automático"),"50%",IF(AND(Y56="Preventivo",Z56="Manual"),"40%",IF(AND(Y56="Detectivo",Z56="Automático"),"40%",IF(AND(Y56="Detectivo",Z56="Manual"),"30%",IF(AND(Y56="Correctivo",Z56="Automático"),"35%",IF(AND(Y56="Correctivo",Z56="Manual"),"25%",""))))))</f>
        <v/>
      </c>
      <c r="AB56" s="190"/>
      <c r="AC56" s="190"/>
      <c r="AD56" s="190"/>
      <c r="AE56" s="192" t="str">
        <f>IFERROR(IF(AND(X55="Probabilidad",X56="Probabilidad"),(AG55-(+AG55*AA56)),IF(X56="Probabilidad",(P55-(+P55*AA56)),IF(X56="Impacto",AG55,""))),"")</f>
        <v/>
      </c>
      <c r="AF56" s="193" t="str">
        <f t="shared" si="2"/>
        <v/>
      </c>
      <c r="AG56" s="191" t="str">
        <f t="shared" ref="AG56:AG60" si="65">+AE56</f>
        <v/>
      </c>
      <c r="AH56" s="193" t="str">
        <f t="shared" si="4"/>
        <v/>
      </c>
      <c r="AI56" s="191" t="str">
        <f t="shared" ref="AI56" si="66">IFERROR(IF(AND(X55="Impacto",X56="Impacto"),(AI55-(+AI55*AA56)),IF(X56="Impacto",($T$13-(+$T$13*AA56)),IF(X56="Probabilidad",AI55,""))),"")</f>
        <v/>
      </c>
      <c r="AJ56" s="194" t="str">
        <f t="shared" ref="AJ56:AJ57" si="67">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95"/>
      <c r="AL56" s="186"/>
      <c r="AM56" s="196"/>
      <c r="AN56" s="196"/>
      <c r="AO56" s="197"/>
      <c r="AP56" s="381"/>
      <c r="AQ56" s="381"/>
      <c r="AR56" s="381"/>
    </row>
    <row r="57" spans="1:44" x14ac:dyDescent="0.2">
      <c r="A57" s="418"/>
      <c r="B57" s="387"/>
      <c r="C57" s="387"/>
      <c r="D57" s="387"/>
      <c r="E57" s="387"/>
      <c r="F57" s="387"/>
      <c r="G57" s="360"/>
      <c r="H57" s="360"/>
      <c r="I57" s="360"/>
      <c r="J57" s="360"/>
      <c r="K57" s="360"/>
      <c r="L57" s="360"/>
      <c r="M57" s="360"/>
      <c r="N57" s="381"/>
      <c r="O57" s="367"/>
      <c r="P57" s="364"/>
      <c r="Q57" s="353"/>
      <c r="R57" s="364">
        <f>IF(NOT(ISERROR(MATCH(Q57,_xlfn.ANCHORARRAY(E68),0))),P70&amp;"Por favor no seleccionar los criterios de impacto",Q57)</f>
        <v>0</v>
      </c>
      <c r="S57" s="367"/>
      <c r="T57" s="364"/>
      <c r="U57" s="362"/>
      <c r="V57" s="214">
        <v>3</v>
      </c>
      <c r="W57" s="188"/>
      <c r="X57" s="189" t="str">
        <f>IF(OR(Y57="Preventivo",Y57="Detectivo"),"Probabilidad",IF(Y57="Correctivo","Impacto",""))</f>
        <v/>
      </c>
      <c r="Y57" s="190"/>
      <c r="Z57" s="190"/>
      <c r="AA57" s="191" t="str">
        <f t="shared" si="64"/>
        <v/>
      </c>
      <c r="AB57" s="190"/>
      <c r="AC57" s="190"/>
      <c r="AD57" s="190"/>
      <c r="AE57" s="192" t="str">
        <f>IFERROR(IF(AND(X56="Probabilidad",X57="Probabilidad"),(AG56-(+AG56*AA57)),IF(AND(X56="Impacto",X57="Probabilidad"),(AG55-(+AG55*AA57)),IF(X57="Impacto",AG56,""))),"")</f>
        <v/>
      </c>
      <c r="AF57" s="193" t="str">
        <f t="shared" si="2"/>
        <v/>
      </c>
      <c r="AG57" s="191" t="str">
        <f t="shared" si="65"/>
        <v/>
      </c>
      <c r="AH57" s="193" t="str">
        <f t="shared" si="4"/>
        <v/>
      </c>
      <c r="AI57" s="191" t="str">
        <f t="shared" ref="AI57" si="68">IFERROR(IF(AND(X56="Impacto",X57="Impacto"),(AI56-(+AI56*AA57)),IF(AND(X56="Probabilidad",X57="Impacto"),(AI55-(+AI55*AA57)),IF(X57="Probabilidad",AI56,""))),"")</f>
        <v/>
      </c>
      <c r="AJ57" s="194" t="str">
        <f t="shared" si="67"/>
        <v/>
      </c>
      <c r="AK57" s="195"/>
      <c r="AL57" s="186"/>
      <c r="AM57" s="196"/>
      <c r="AN57" s="196"/>
      <c r="AO57" s="197"/>
      <c r="AP57" s="381"/>
      <c r="AQ57" s="381"/>
      <c r="AR57" s="381"/>
    </row>
    <row r="58" spans="1:44" x14ac:dyDescent="0.2">
      <c r="A58" s="418"/>
      <c r="B58" s="387"/>
      <c r="C58" s="387"/>
      <c r="D58" s="387"/>
      <c r="E58" s="387"/>
      <c r="F58" s="387"/>
      <c r="G58" s="360"/>
      <c r="H58" s="360"/>
      <c r="I58" s="360"/>
      <c r="J58" s="360"/>
      <c r="K58" s="360"/>
      <c r="L58" s="360"/>
      <c r="M58" s="360"/>
      <c r="N58" s="381"/>
      <c r="O58" s="367"/>
      <c r="P58" s="364"/>
      <c r="Q58" s="353"/>
      <c r="R58" s="364">
        <f>IF(NOT(ISERROR(MATCH(Q58,_xlfn.ANCHORARRAY(E69),0))),P71&amp;"Por favor no seleccionar los criterios de impacto",Q58)</f>
        <v>0</v>
      </c>
      <c r="S58" s="367"/>
      <c r="T58" s="364"/>
      <c r="U58" s="362"/>
      <c r="V58" s="214">
        <v>4</v>
      </c>
      <c r="W58" s="187"/>
      <c r="X58" s="189" t="str">
        <f t="shared" ref="X58:X60" si="69">IF(OR(Y58="Preventivo",Y58="Detectivo"),"Probabilidad",IF(Y58="Correctivo","Impacto",""))</f>
        <v/>
      </c>
      <c r="Y58" s="190"/>
      <c r="Z58" s="190"/>
      <c r="AA58" s="191" t="str">
        <f t="shared" si="64"/>
        <v/>
      </c>
      <c r="AB58" s="190"/>
      <c r="AC58" s="190"/>
      <c r="AD58" s="190"/>
      <c r="AE58" s="192" t="str">
        <f t="shared" ref="AE58:AE60" si="70">IFERROR(IF(AND(X57="Probabilidad",X58="Probabilidad"),(AG57-(+AG57*AA58)),IF(AND(X57="Impacto",X58="Probabilidad"),(AG56-(+AG56*AA58)),IF(X58="Impacto",AG57,""))),"")</f>
        <v/>
      </c>
      <c r="AF58" s="193" t="str">
        <f t="shared" si="2"/>
        <v/>
      </c>
      <c r="AG58" s="191" t="str">
        <f t="shared" si="65"/>
        <v/>
      </c>
      <c r="AH58" s="193" t="str">
        <f t="shared" si="4"/>
        <v/>
      </c>
      <c r="AI58" s="191" t="str">
        <f t="shared" si="14"/>
        <v/>
      </c>
      <c r="AJ58" s="194"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5"/>
      <c r="AL58" s="186"/>
      <c r="AM58" s="196"/>
      <c r="AN58" s="196"/>
      <c r="AO58" s="197"/>
      <c r="AP58" s="381"/>
      <c r="AQ58" s="381"/>
      <c r="AR58" s="381"/>
    </row>
    <row r="59" spans="1:44" x14ac:dyDescent="0.2">
      <c r="A59" s="418"/>
      <c r="B59" s="387"/>
      <c r="C59" s="387"/>
      <c r="D59" s="387"/>
      <c r="E59" s="387"/>
      <c r="F59" s="387"/>
      <c r="G59" s="360"/>
      <c r="H59" s="360"/>
      <c r="I59" s="360"/>
      <c r="J59" s="360"/>
      <c r="K59" s="360"/>
      <c r="L59" s="360"/>
      <c r="M59" s="360"/>
      <c r="N59" s="381"/>
      <c r="O59" s="367"/>
      <c r="P59" s="364"/>
      <c r="Q59" s="353"/>
      <c r="R59" s="364">
        <f>IF(NOT(ISERROR(MATCH(Q59,_xlfn.ANCHORARRAY(E70),0))),P72&amp;"Por favor no seleccionar los criterios de impacto",Q59)</f>
        <v>0</v>
      </c>
      <c r="S59" s="367"/>
      <c r="T59" s="364"/>
      <c r="U59" s="362"/>
      <c r="V59" s="214">
        <v>5</v>
      </c>
      <c r="W59" s="187"/>
      <c r="X59" s="189" t="str">
        <f t="shared" si="69"/>
        <v/>
      </c>
      <c r="Y59" s="190"/>
      <c r="Z59" s="190"/>
      <c r="AA59" s="191" t="str">
        <f t="shared" si="64"/>
        <v/>
      </c>
      <c r="AB59" s="190"/>
      <c r="AC59" s="190"/>
      <c r="AD59" s="190"/>
      <c r="AE59" s="192" t="str">
        <f t="shared" si="70"/>
        <v/>
      </c>
      <c r="AF59" s="193" t="str">
        <f t="shared" si="2"/>
        <v/>
      </c>
      <c r="AG59" s="191" t="str">
        <f t="shared" si="65"/>
        <v/>
      </c>
      <c r="AH59" s="193" t="str">
        <f t="shared" si="4"/>
        <v/>
      </c>
      <c r="AI59" s="191" t="str">
        <f t="shared" si="14"/>
        <v/>
      </c>
      <c r="AJ59" s="194" t="str">
        <f t="shared" ref="AJ59:AJ60" si="71">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95"/>
      <c r="AL59" s="186"/>
      <c r="AM59" s="196"/>
      <c r="AN59" s="196"/>
      <c r="AO59" s="197"/>
      <c r="AP59" s="381"/>
      <c r="AQ59" s="381"/>
      <c r="AR59" s="381"/>
    </row>
    <row r="60" spans="1:44" x14ac:dyDescent="0.2">
      <c r="A60" s="418"/>
      <c r="B60" s="387"/>
      <c r="C60" s="387"/>
      <c r="D60" s="387"/>
      <c r="E60" s="387"/>
      <c r="F60" s="387"/>
      <c r="G60" s="373"/>
      <c r="H60" s="373"/>
      <c r="I60" s="373"/>
      <c r="J60" s="373"/>
      <c r="K60" s="373"/>
      <c r="L60" s="373"/>
      <c r="M60" s="373"/>
      <c r="N60" s="381"/>
      <c r="O60" s="367"/>
      <c r="P60" s="364"/>
      <c r="Q60" s="353"/>
      <c r="R60" s="364">
        <f>IF(NOT(ISERROR(MATCH(Q60,_xlfn.ANCHORARRAY(E71),0))),Q73&amp;"Por favor no seleccionar los criterios de impacto",Q60)</f>
        <v>0</v>
      </c>
      <c r="S60" s="367"/>
      <c r="T60" s="364"/>
      <c r="U60" s="362"/>
      <c r="V60" s="214">
        <v>6</v>
      </c>
      <c r="W60" s="187"/>
      <c r="X60" s="189" t="str">
        <f t="shared" si="69"/>
        <v/>
      </c>
      <c r="Y60" s="190"/>
      <c r="Z60" s="190"/>
      <c r="AA60" s="191" t="str">
        <f t="shared" si="64"/>
        <v/>
      </c>
      <c r="AB60" s="190"/>
      <c r="AC60" s="190"/>
      <c r="AD60" s="190"/>
      <c r="AE60" s="192" t="str">
        <f t="shared" si="70"/>
        <v/>
      </c>
      <c r="AF60" s="193" t="str">
        <f t="shared" si="2"/>
        <v/>
      </c>
      <c r="AG60" s="191" t="str">
        <f t="shared" si="65"/>
        <v/>
      </c>
      <c r="AH60" s="193" t="str">
        <f t="shared" si="4"/>
        <v/>
      </c>
      <c r="AI60" s="191" t="str">
        <f t="shared" si="14"/>
        <v/>
      </c>
      <c r="AJ60" s="194" t="str">
        <f t="shared" si="71"/>
        <v/>
      </c>
      <c r="AK60" s="195"/>
      <c r="AL60" s="186"/>
      <c r="AM60" s="196"/>
      <c r="AN60" s="196"/>
      <c r="AO60" s="197"/>
      <c r="AP60" s="381"/>
      <c r="AQ60" s="381"/>
      <c r="AR60" s="381"/>
    </row>
    <row r="61" spans="1:44" x14ac:dyDescent="0.2">
      <c r="A61" s="418">
        <v>9</v>
      </c>
      <c r="B61" s="387"/>
      <c r="C61" s="387"/>
      <c r="D61" s="387"/>
      <c r="E61" s="387"/>
      <c r="F61" s="387"/>
      <c r="G61" s="392"/>
      <c r="H61" s="392"/>
      <c r="I61" s="221"/>
      <c r="J61" s="221"/>
      <c r="K61" s="221"/>
      <c r="L61" s="392"/>
      <c r="M61" s="392"/>
      <c r="N61" s="381"/>
      <c r="O61" s="367" t="str">
        <f>IF(N61&lt;=0,"",IF(N61&lt;=2,"Muy Baja",IF(N61&lt;=24,"Baja",IF(N61&lt;=500,"Media",IF(N61&lt;=5000,"Alta","Muy Alta")))))</f>
        <v/>
      </c>
      <c r="P61" s="364" t="str">
        <f>IF(O61="","",IF(O61="Muy Baja",0.2,IF(O61="Baja",0.4,IF(O61="Media",0.6,IF(O61="Alta",0.8,IF(O61="Muy Alta",1,))))))</f>
        <v/>
      </c>
      <c r="Q61" s="353"/>
      <c r="R61" s="364">
        <f>IF(NOT(ISERROR(MATCH(Q61,'Tabla Impacto'!$B$222:$B$224,0))),'Tabla Impacto'!$F$224&amp;"Por favor no seleccionar los criterios de impacto(Afectación Económica o presupuestal y Pérdida Reputacional)",Q61)</f>
        <v>0</v>
      </c>
      <c r="S61" s="367" t="str">
        <f>IF(OR(R61='Tabla Impacto'!$C$12,R61='Tabla Impacto'!$D$12),"Leve",IF(OR(R61='Tabla Impacto'!$C$13,R61='Tabla Impacto'!$D$13),"Menor",IF(OR(R61='Tabla Impacto'!$C$14,R61='Tabla Impacto'!$D$14),"Moderado",IF(OR(R61='Tabla Impacto'!$C$15,R61='Tabla Impacto'!$D$15),"Mayor",IF(OR(R61='Tabla Impacto'!$C$16,R61='Tabla Impacto'!$D$16),"Catastrófico","")))))</f>
        <v/>
      </c>
      <c r="T61" s="364" t="str">
        <f>IF(S61="","",IF(S61="Leve",0.2,IF(S61="Menor",0.4,IF(S61="Moderado",0.6,IF(S61="Mayor",0.8,IF(S61="Catastrófico",1,))))))</f>
        <v/>
      </c>
      <c r="U61" s="362"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14">
        <v>1</v>
      </c>
      <c r="W61" s="187"/>
      <c r="X61" s="189" t="str">
        <f>IF(OR(Y61="Preventivo",Y61="Detectivo"),"Probabilidad",IF(Y61="Correctivo","Impacto",""))</f>
        <v/>
      </c>
      <c r="Y61" s="190"/>
      <c r="Z61" s="190"/>
      <c r="AA61" s="191" t="str">
        <f>IF(AND(Y61="Preventivo",Z61="Automático"),"50%",IF(AND(Y61="Preventivo",Z61="Manual"),"40%",IF(AND(Y61="Detectivo",Z61="Automático"),"40%",IF(AND(Y61="Detectivo",Z61="Manual"),"30%",IF(AND(Y61="Correctivo",Z61="Automático"),"35%",IF(AND(Y61="Correctivo",Z61="Manual"),"25%",""))))))</f>
        <v/>
      </c>
      <c r="AB61" s="190"/>
      <c r="AC61" s="190"/>
      <c r="AD61" s="190"/>
      <c r="AE61" s="192" t="str">
        <f>IFERROR(IF(X61="Probabilidad",(P61-(+P61*AA61)),IF(X61="Impacto",P61,"")),"")</f>
        <v/>
      </c>
      <c r="AF61" s="193" t="str">
        <f>IFERROR(IF(AE61="","",IF(AE61&lt;=0.2,"Muy Baja",IF(AE61&lt;=0.4,"Baja",IF(AE61&lt;=0.6,"Media",IF(AE61&lt;=0.8,"Alta","Muy Alta"))))),"")</f>
        <v/>
      </c>
      <c r="AG61" s="191" t="str">
        <f>+AE61</f>
        <v/>
      </c>
      <c r="AH61" s="193" t="str">
        <f>IFERROR(IF(AI61="","",IF(AI61&lt;=0.2,"Leve",IF(AI61&lt;=0.4,"Menor",IF(AI61&lt;=0.6,"Moderado",IF(AI61&lt;=0.8,"Mayor","Catastrófico"))))),"")</f>
        <v/>
      </c>
      <c r="AI61" s="191" t="str">
        <f t="shared" ref="AI61" si="72">IFERROR(IF(X61="Impacto",(T61-(+T61*AA61)),IF(X61="Probabilidad",T61,"")),"")</f>
        <v/>
      </c>
      <c r="AJ61" s="194"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5"/>
      <c r="AL61" s="186"/>
      <c r="AM61" s="196"/>
      <c r="AN61" s="196"/>
      <c r="AO61" s="197"/>
      <c r="AP61" s="381"/>
      <c r="AQ61" s="381"/>
      <c r="AR61" s="381"/>
    </row>
    <row r="62" spans="1:44" x14ac:dyDescent="0.2">
      <c r="A62" s="418"/>
      <c r="B62" s="387"/>
      <c r="C62" s="387"/>
      <c r="D62" s="387"/>
      <c r="E62" s="387"/>
      <c r="F62" s="387"/>
      <c r="G62" s="360"/>
      <c r="H62" s="360"/>
      <c r="I62" s="222"/>
      <c r="J62" s="222"/>
      <c r="K62" s="222"/>
      <c r="L62" s="360"/>
      <c r="M62" s="360"/>
      <c r="N62" s="381"/>
      <c r="O62" s="367"/>
      <c r="P62" s="364"/>
      <c r="Q62" s="353"/>
      <c r="R62" s="364">
        <f>IF(NOT(ISERROR(MATCH(Q62,_xlfn.ANCHORARRAY(F73),0))),Q75&amp;"Por favor no seleccionar los criterios de impacto",Q62)</f>
        <v>0</v>
      </c>
      <c r="S62" s="367"/>
      <c r="T62" s="364"/>
      <c r="U62" s="362"/>
      <c r="V62" s="214">
        <v>2</v>
      </c>
      <c r="W62" s="187"/>
      <c r="X62" s="189" t="str">
        <f>IF(OR(Y62="Preventivo",Y62="Detectivo"),"Probabilidad",IF(Y62="Correctivo","Impacto",""))</f>
        <v/>
      </c>
      <c r="Y62" s="190"/>
      <c r="Z62" s="190"/>
      <c r="AA62" s="191" t="str">
        <f t="shared" ref="AA62:AA66" si="73">IF(AND(Y62="Preventivo",Z62="Automático"),"50%",IF(AND(Y62="Preventivo",Z62="Manual"),"40%",IF(AND(Y62="Detectivo",Z62="Automático"),"40%",IF(AND(Y62="Detectivo",Z62="Manual"),"30%",IF(AND(Y62="Correctivo",Z62="Automático"),"35%",IF(AND(Y62="Correctivo",Z62="Manual"),"25%",""))))))</f>
        <v/>
      </c>
      <c r="AB62" s="190"/>
      <c r="AC62" s="190"/>
      <c r="AD62" s="190"/>
      <c r="AE62" s="192" t="str">
        <f>IFERROR(IF(AND(X61="Probabilidad",X62="Probabilidad"),(AG61-(+AG61*AA62)),IF(X62="Probabilidad",(P61-(+P61*AA62)),IF(X62="Impacto",AG61,""))),"")</f>
        <v/>
      </c>
      <c r="AF62" s="193" t="str">
        <f t="shared" si="2"/>
        <v/>
      </c>
      <c r="AG62" s="191" t="str">
        <f t="shared" ref="AG62:AG66" si="74">+AE62</f>
        <v/>
      </c>
      <c r="AH62" s="193" t="str">
        <f t="shared" si="4"/>
        <v/>
      </c>
      <c r="AI62" s="191" t="str">
        <f t="shared" ref="AI62" si="75">IFERROR(IF(AND(X61="Impacto",X62="Impacto"),(AI61-(+AI61*AA62)),IF(X62="Impacto",($T$13-(+$T$13*AA62)),IF(X62="Probabilidad",AI61,""))),"")</f>
        <v/>
      </c>
      <c r="AJ62" s="194" t="str">
        <f t="shared" ref="AJ62:AJ63" si="76">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95"/>
      <c r="AL62" s="186"/>
      <c r="AM62" s="196"/>
      <c r="AN62" s="196"/>
      <c r="AO62" s="197"/>
      <c r="AP62" s="381"/>
      <c r="AQ62" s="381"/>
      <c r="AR62" s="381"/>
    </row>
    <row r="63" spans="1:44" x14ac:dyDescent="0.2">
      <c r="A63" s="418"/>
      <c r="B63" s="387"/>
      <c r="C63" s="387"/>
      <c r="D63" s="387"/>
      <c r="E63" s="387"/>
      <c r="F63" s="387"/>
      <c r="G63" s="360"/>
      <c r="H63" s="360"/>
      <c r="I63" s="222"/>
      <c r="J63" s="222"/>
      <c r="K63" s="222"/>
      <c r="L63" s="360"/>
      <c r="M63" s="360"/>
      <c r="N63" s="381"/>
      <c r="O63" s="367"/>
      <c r="P63" s="364"/>
      <c r="Q63" s="353"/>
      <c r="R63" s="364">
        <f>IF(NOT(ISERROR(MATCH(Q63,_xlfn.ANCHORARRAY(F74),0))),Q76&amp;"Por favor no seleccionar los criterios de impacto",Q63)</f>
        <v>0</v>
      </c>
      <c r="S63" s="367"/>
      <c r="T63" s="364"/>
      <c r="U63" s="362"/>
      <c r="V63" s="214">
        <v>3</v>
      </c>
      <c r="W63" s="187"/>
      <c r="X63" s="189" t="str">
        <f>IF(OR(Y63="Preventivo",Y63="Detectivo"),"Probabilidad",IF(Y63="Correctivo","Impacto",""))</f>
        <v/>
      </c>
      <c r="Y63" s="190"/>
      <c r="Z63" s="190"/>
      <c r="AA63" s="191" t="str">
        <f t="shared" si="73"/>
        <v/>
      </c>
      <c r="AB63" s="190"/>
      <c r="AC63" s="190"/>
      <c r="AD63" s="190"/>
      <c r="AE63" s="192" t="str">
        <f>IFERROR(IF(AND(X62="Probabilidad",X63="Probabilidad"),(AG62-(+AG62*AA63)),IF(AND(X62="Impacto",X63="Probabilidad"),(AG61-(+AG61*AA63)),IF(X63="Impacto",AG62,""))),"")</f>
        <v/>
      </c>
      <c r="AF63" s="193" t="str">
        <f t="shared" si="2"/>
        <v/>
      </c>
      <c r="AG63" s="191" t="str">
        <f t="shared" si="74"/>
        <v/>
      </c>
      <c r="AH63" s="193" t="str">
        <f t="shared" si="4"/>
        <v/>
      </c>
      <c r="AI63" s="191" t="str">
        <f t="shared" ref="AI63" si="77">IFERROR(IF(AND(X62="Impacto",X63="Impacto"),(AI62-(+AI62*AA63)),IF(AND(X62="Probabilidad",X63="Impacto"),(AI61-(+AI61*AA63)),IF(X63="Probabilidad",AI62,""))),"")</f>
        <v/>
      </c>
      <c r="AJ63" s="194" t="str">
        <f t="shared" si="76"/>
        <v/>
      </c>
      <c r="AK63" s="195"/>
      <c r="AL63" s="186"/>
      <c r="AM63" s="196"/>
      <c r="AN63" s="196"/>
      <c r="AO63" s="197"/>
      <c r="AP63" s="381"/>
      <c r="AQ63" s="381"/>
      <c r="AR63" s="381"/>
    </row>
    <row r="64" spans="1:44" x14ac:dyDescent="0.2">
      <c r="A64" s="418"/>
      <c r="B64" s="387"/>
      <c r="C64" s="387"/>
      <c r="D64" s="387"/>
      <c r="E64" s="387"/>
      <c r="F64" s="387"/>
      <c r="G64" s="360"/>
      <c r="H64" s="360"/>
      <c r="I64" s="222"/>
      <c r="J64" s="222"/>
      <c r="K64" s="222"/>
      <c r="L64" s="360"/>
      <c r="M64" s="360"/>
      <c r="N64" s="381"/>
      <c r="O64" s="367"/>
      <c r="P64" s="364"/>
      <c r="Q64" s="353"/>
      <c r="R64" s="364">
        <f>IF(NOT(ISERROR(MATCH(Q64,_xlfn.ANCHORARRAY(F75),0))),Q77&amp;"Por favor no seleccionar los criterios de impacto",Q64)</f>
        <v>0</v>
      </c>
      <c r="S64" s="367"/>
      <c r="T64" s="364"/>
      <c r="U64" s="362"/>
      <c r="V64" s="214">
        <v>4</v>
      </c>
      <c r="W64" s="187"/>
      <c r="X64" s="189" t="str">
        <f t="shared" ref="X64:X66" si="78">IF(OR(Y64="Preventivo",Y64="Detectivo"),"Probabilidad",IF(Y64="Correctivo","Impacto",""))</f>
        <v/>
      </c>
      <c r="Y64" s="190"/>
      <c r="Z64" s="190"/>
      <c r="AA64" s="191" t="str">
        <f t="shared" si="73"/>
        <v/>
      </c>
      <c r="AB64" s="190"/>
      <c r="AC64" s="190"/>
      <c r="AD64" s="190"/>
      <c r="AE64" s="192" t="str">
        <f t="shared" ref="AE64:AE66" si="79">IFERROR(IF(AND(X63="Probabilidad",X64="Probabilidad"),(AG63-(+AG63*AA64)),IF(AND(X63="Impacto",X64="Probabilidad"),(AG62-(+AG62*AA64)),IF(X64="Impacto",AG63,""))),"")</f>
        <v/>
      </c>
      <c r="AF64" s="193" t="str">
        <f t="shared" si="2"/>
        <v/>
      </c>
      <c r="AG64" s="191" t="str">
        <f t="shared" si="74"/>
        <v/>
      </c>
      <c r="AH64" s="193" t="str">
        <f t="shared" si="4"/>
        <v/>
      </c>
      <c r="AI64" s="191" t="str">
        <f t="shared" si="14"/>
        <v/>
      </c>
      <c r="AJ64" s="194"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5"/>
      <c r="AL64" s="186"/>
      <c r="AM64" s="196"/>
      <c r="AN64" s="196"/>
      <c r="AO64" s="197"/>
      <c r="AP64" s="381"/>
      <c r="AQ64" s="381"/>
      <c r="AR64" s="381"/>
    </row>
    <row r="65" spans="1:44" x14ac:dyDescent="0.2">
      <c r="A65" s="418"/>
      <c r="B65" s="387"/>
      <c r="C65" s="387"/>
      <c r="D65" s="387"/>
      <c r="E65" s="387"/>
      <c r="F65" s="387"/>
      <c r="G65" s="360"/>
      <c r="H65" s="360"/>
      <c r="I65" s="222"/>
      <c r="J65" s="222"/>
      <c r="K65" s="222"/>
      <c r="L65" s="360"/>
      <c r="M65" s="360"/>
      <c r="N65" s="381"/>
      <c r="O65" s="367"/>
      <c r="P65" s="364"/>
      <c r="Q65" s="353"/>
      <c r="R65" s="364">
        <f>IF(NOT(ISERROR(MATCH(Q65,_xlfn.ANCHORARRAY(F76),0))),Q78&amp;"Por favor no seleccionar los criterios de impacto",Q65)</f>
        <v>0</v>
      </c>
      <c r="S65" s="367"/>
      <c r="T65" s="364"/>
      <c r="U65" s="362"/>
      <c r="V65" s="214">
        <v>5</v>
      </c>
      <c r="W65" s="187"/>
      <c r="X65" s="189" t="str">
        <f t="shared" si="78"/>
        <v/>
      </c>
      <c r="Y65" s="190"/>
      <c r="Z65" s="190"/>
      <c r="AA65" s="191" t="str">
        <f t="shared" si="73"/>
        <v/>
      </c>
      <c r="AB65" s="190"/>
      <c r="AC65" s="190"/>
      <c r="AD65" s="190"/>
      <c r="AE65" s="192" t="str">
        <f t="shared" si="79"/>
        <v/>
      </c>
      <c r="AF65" s="193" t="str">
        <f t="shared" si="2"/>
        <v/>
      </c>
      <c r="AG65" s="191" t="str">
        <f t="shared" si="74"/>
        <v/>
      </c>
      <c r="AH65" s="193" t="str">
        <f t="shared" si="4"/>
        <v/>
      </c>
      <c r="AI65" s="191" t="str">
        <f t="shared" si="14"/>
        <v/>
      </c>
      <c r="AJ65" s="194" t="str">
        <f t="shared" ref="AJ65:AJ66" si="80">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95"/>
      <c r="AL65" s="186"/>
      <c r="AM65" s="196"/>
      <c r="AN65" s="196"/>
      <c r="AO65" s="197"/>
      <c r="AP65" s="381"/>
      <c r="AQ65" s="381"/>
      <c r="AR65" s="381"/>
    </row>
    <row r="66" spans="1:44" x14ac:dyDescent="0.2">
      <c r="A66" s="418"/>
      <c r="B66" s="387"/>
      <c r="C66" s="387"/>
      <c r="D66" s="387"/>
      <c r="E66" s="387"/>
      <c r="F66" s="387"/>
      <c r="G66" s="373"/>
      <c r="H66" s="373"/>
      <c r="I66" s="223"/>
      <c r="J66" s="223"/>
      <c r="K66" s="223"/>
      <c r="L66" s="373"/>
      <c r="M66" s="373"/>
      <c r="N66" s="381"/>
      <c r="O66" s="367"/>
      <c r="P66" s="364"/>
      <c r="Q66" s="353"/>
      <c r="R66" s="364">
        <f>IF(NOT(ISERROR(MATCH(Q66,_xlfn.ANCHORARRAY(F77),0))),Q79&amp;"Por favor no seleccionar los criterios de impacto",Q66)</f>
        <v>0</v>
      </c>
      <c r="S66" s="367"/>
      <c r="T66" s="364"/>
      <c r="U66" s="362"/>
      <c r="V66" s="214">
        <v>6</v>
      </c>
      <c r="W66" s="187"/>
      <c r="X66" s="189" t="str">
        <f t="shared" si="78"/>
        <v/>
      </c>
      <c r="Y66" s="190"/>
      <c r="Z66" s="190"/>
      <c r="AA66" s="191" t="str">
        <f t="shared" si="73"/>
        <v/>
      </c>
      <c r="AB66" s="190"/>
      <c r="AC66" s="190"/>
      <c r="AD66" s="190"/>
      <c r="AE66" s="192" t="str">
        <f t="shared" si="79"/>
        <v/>
      </c>
      <c r="AF66" s="193" t="str">
        <f t="shared" si="2"/>
        <v/>
      </c>
      <c r="AG66" s="191" t="str">
        <f t="shared" si="74"/>
        <v/>
      </c>
      <c r="AH66" s="193" t="str">
        <f t="shared" si="4"/>
        <v/>
      </c>
      <c r="AI66" s="191" t="str">
        <f t="shared" si="14"/>
        <v/>
      </c>
      <c r="AJ66" s="194" t="str">
        <f t="shared" si="80"/>
        <v/>
      </c>
      <c r="AK66" s="195"/>
      <c r="AL66" s="186"/>
      <c r="AM66" s="196"/>
      <c r="AN66" s="196"/>
      <c r="AO66" s="197"/>
      <c r="AP66" s="381"/>
      <c r="AQ66" s="381"/>
      <c r="AR66" s="381"/>
    </row>
    <row r="67" spans="1:44" x14ac:dyDescent="0.2">
      <c r="A67" s="418">
        <v>10</v>
      </c>
      <c r="B67" s="387"/>
      <c r="C67" s="387"/>
      <c r="D67" s="387"/>
      <c r="E67" s="387"/>
      <c r="F67" s="387"/>
      <c r="G67" s="392"/>
      <c r="H67" s="392"/>
      <c r="I67" s="221"/>
      <c r="J67" s="221"/>
      <c r="K67" s="221"/>
      <c r="L67" s="392"/>
      <c r="M67" s="392"/>
      <c r="N67" s="381"/>
      <c r="O67" s="367" t="str">
        <f>IF(N67&lt;=0,"",IF(N67&lt;=2,"Muy Baja",IF(N67&lt;=24,"Baja",IF(N67&lt;=500,"Media",IF(N67&lt;=5000,"Alta","Muy Alta")))))</f>
        <v/>
      </c>
      <c r="P67" s="364" t="str">
        <f>IF(O67="","",IF(O67="Muy Baja",0.2,IF(O67="Baja",0.4,IF(O67="Media",0.6,IF(O67="Alta",0.8,IF(O67="Muy Alta",1,))))))</f>
        <v/>
      </c>
      <c r="Q67" s="353"/>
      <c r="R67" s="364">
        <f>IF(NOT(ISERROR(MATCH(Q67,'Tabla Impacto'!$B$222:$B$224,0))),'Tabla Impacto'!$F$224&amp;"Por favor no seleccionar los criterios de impacto(Afectación Económica o presupuestal y Pérdida Reputacional)",Q67)</f>
        <v>0</v>
      </c>
      <c r="S67" s="367" t="str">
        <f>IF(OR(R67='Tabla Impacto'!$C$12,R67='Tabla Impacto'!$D$12),"Leve",IF(OR(R67='Tabla Impacto'!$C$13,R67='Tabla Impacto'!$D$13),"Menor",IF(OR(R67='Tabla Impacto'!$C$14,R67='Tabla Impacto'!$D$14),"Moderado",IF(OR(R67='Tabla Impacto'!$C$15,R67='Tabla Impacto'!$D$15),"Mayor",IF(OR(R67='Tabla Impacto'!$C$16,R67='Tabla Impacto'!$D$16),"Catastrófico","")))))</f>
        <v/>
      </c>
      <c r="T67" s="364" t="str">
        <f>IF(S67="","",IF(S67="Leve",0.2,IF(S67="Menor",0.4,IF(S67="Moderado",0.6,IF(S67="Mayor",0.8,IF(S67="Catastrófico",1,))))))</f>
        <v/>
      </c>
      <c r="U67" s="362"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14">
        <v>1</v>
      </c>
      <c r="W67" s="187"/>
      <c r="X67" s="189" t="str">
        <f>IF(OR(Y67="Preventivo",Y67="Detectivo"),"Probabilidad",IF(Y67="Correctivo","Impacto",""))</f>
        <v/>
      </c>
      <c r="Y67" s="190"/>
      <c r="Z67" s="190"/>
      <c r="AA67" s="191" t="str">
        <f>IF(AND(Y67="Preventivo",Z67="Automático"),"50%",IF(AND(Y67="Preventivo",Z67="Manual"),"40%",IF(AND(Y67="Detectivo",Z67="Automático"),"40%",IF(AND(Y67="Detectivo",Z67="Manual"),"30%",IF(AND(Y67="Correctivo",Z67="Automático"),"35%",IF(AND(Y67="Correctivo",Z67="Manual"),"25%",""))))))</f>
        <v/>
      </c>
      <c r="AB67" s="190"/>
      <c r="AC67" s="190"/>
      <c r="AD67" s="190"/>
      <c r="AE67" s="192" t="str">
        <f>IFERROR(IF(X67="Probabilidad",(P67-(+P67*AA67)),IF(X67="Impacto",P67,"")),"")</f>
        <v/>
      </c>
      <c r="AF67" s="193" t="str">
        <f>IFERROR(IF(AE67="","",IF(AE67&lt;=0.2,"Muy Baja",IF(AE67&lt;=0.4,"Baja",IF(AE67&lt;=0.6,"Media",IF(AE67&lt;=0.8,"Alta","Muy Alta"))))),"")</f>
        <v/>
      </c>
      <c r="AG67" s="191" t="str">
        <f>+AE67</f>
        <v/>
      </c>
      <c r="AH67" s="193" t="str">
        <f>IFERROR(IF(AI67="","",IF(AI67&lt;=0.2,"Leve",IF(AI67&lt;=0.4,"Menor",IF(AI67&lt;=0.6,"Moderado",IF(AI67&lt;=0.8,"Mayor","Catastrófico"))))),"")</f>
        <v/>
      </c>
      <c r="AI67" s="191" t="str">
        <f t="shared" ref="AI67" si="81">IFERROR(IF(X67="Impacto",(T67-(+T67*AA67)),IF(X67="Probabilidad",T67,"")),"")</f>
        <v/>
      </c>
      <c r="AJ67" s="194"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95"/>
      <c r="AL67" s="186"/>
      <c r="AM67" s="196"/>
      <c r="AN67" s="196"/>
      <c r="AO67" s="197"/>
      <c r="AP67" s="381"/>
      <c r="AQ67" s="381"/>
      <c r="AR67" s="381"/>
    </row>
    <row r="68" spans="1:44" x14ac:dyDescent="0.2">
      <c r="A68" s="418"/>
      <c r="B68" s="387"/>
      <c r="C68" s="387"/>
      <c r="D68" s="387"/>
      <c r="E68" s="387"/>
      <c r="F68" s="387"/>
      <c r="G68" s="360"/>
      <c r="H68" s="360"/>
      <c r="I68" s="222"/>
      <c r="J68" s="222"/>
      <c r="K68" s="222"/>
      <c r="L68" s="360"/>
      <c r="M68" s="360"/>
      <c r="N68" s="381"/>
      <c r="O68" s="367"/>
      <c r="P68" s="364"/>
      <c r="Q68" s="353"/>
      <c r="R68" s="364">
        <f>IF(NOT(ISERROR(MATCH(Q68,_xlfn.ANCHORARRAY(F79),0))),Q81&amp;"Por favor no seleccionar los criterios de impacto",Q68)</f>
        <v>0</v>
      </c>
      <c r="S68" s="367"/>
      <c r="T68" s="364"/>
      <c r="U68" s="362"/>
      <c r="V68" s="214">
        <v>2</v>
      </c>
      <c r="W68" s="187"/>
      <c r="X68" s="189" t="str">
        <f>IF(OR(Y68="Preventivo",Y68="Detectivo"),"Probabilidad",IF(Y68="Correctivo","Impacto",""))</f>
        <v/>
      </c>
      <c r="Y68" s="190"/>
      <c r="Z68" s="190"/>
      <c r="AA68" s="191" t="str">
        <f t="shared" ref="AA68:AA72" si="82">IF(AND(Y68="Preventivo",Z68="Automático"),"50%",IF(AND(Y68="Preventivo",Z68="Manual"),"40%",IF(AND(Y68="Detectivo",Z68="Automático"),"40%",IF(AND(Y68="Detectivo",Z68="Manual"),"30%",IF(AND(Y68="Correctivo",Z68="Automático"),"35%",IF(AND(Y68="Correctivo",Z68="Manual"),"25%",""))))))</f>
        <v/>
      </c>
      <c r="AB68" s="190"/>
      <c r="AC68" s="190"/>
      <c r="AD68" s="190"/>
      <c r="AE68" s="192" t="str">
        <f>IFERROR(IF(AND(X67="Probabilidad",X68="Probabilidad"),(AG67-(+AG67*AA68)),IF(X68="Probabilidad",(P67-(+P67*AA68)),IF(X68="Impacto",AG67,""))),"")</f>
        <v/>
      </c>
      <c r="AF68" s="193" t="str">
        <f t="shared" si="2"/>
        <v/>
      </c>
      <c r="AG68" s="191" t="str">
        <f t="shared" ref="AG68:AG72" si="83">+AE68</f>
        <v/>
      </c>
      <c r="AH68" s="193" t="str">
        <f t="shared" si="4"/>
        <v/>
      </c>
      <c r="AI68" s="191" t="str">
        <f t="shared" ref="AI68" si="84">IFERROR(IF(AND(X67="Impacto",X68="Impacto"),(AI67-(+AI67*AA68)),IF(X68="Impacto",($T$13-(+$T$13*AA68)),IF(X68="Probabilidad",AI67,""))),"")</f>
        <v/>
      </c>
      <c r="AJ68" s="194" t="str">
        <f t="shared" ref="AJ68:AJ69" si="85">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95"/>
      <c r="AL68" s="186"/>
      <c r="AM68" s="196"/>
      <c r="AN68" s="196"/>
      <c r="AO68" s="197"/>
      <c r="AP68" s="381"/>
      <c r="AQ68" s="381"/>
      <c r="AR68" s="381"/>
    </row>
    <row r="69" spans="1:44" x14ac:dyDescent="0.2">
      <c r="A69" s="418"/>
      <c r="B69" s="387"/>
      <c r="C69" s="387"/>
      <c r="D69" s="387"/>
      <c r="E69" s="387"/>
      <c r="F69" s="387"/>
      <c r="G69" s="360"/>
      <c r="H69" s="360"/>
      <c r="I69" s="222"/>
      <c r="J69" s="222"/>
      <c r="K69" s="222"/>
      <c r="L69" s="360"/>
      <c r="M69" s="360"/>
      <c r="N69" s="381"/>
      <c r="O69" s="367"/>
      <c r="P69" s="364"/>
      <c r="Q69" s="353"/>
      <c r="R69" s="364">
        <f>IF(NOT(ISERROR(MATCH(Q69,_xlfn.ANCHORARRAY(F80),0))),Q82&amp;"Por favor no seleccionar los criterios de impacto",Q69)</f>
        <v>0</v>
      </c>
      <c r="S69" s="367"/>
      <c r="T69" s="364"/>
      <c r="U69" s="362"/>
      <c r="V69" s="214">
        <v>3</v>
      </c>
      <c r="W69" s="187"/>
      <c r="X69" s="189" t="str">
        <f>IF(OR(Y69="Preventivo",Y69="Detectivo"),"Probabilidad",IF(Y69="Correctivo","Impacto",""))</f>
        <v/>
      </c>
      <c r="Y69" s="190"/>
      <c r="Z69" s="190"/>
      <c r="AA69" s="191" t="str">
        <f t="shared" si="82"/>
        <v/>
      </c>
      <c r="AB69" s="190"/>
      <c r="AC69" s="190"/>
      <c r="AD69" s="190"/>
      <c r="AE69" s="192" t="str">
        <f>IFERROR(IF(AND(X68="Probabilidad",X69="Probabilidad"),(AG68-(+AG68*AA69)),IF(AND(X68="Impacto",X69="Probabilidad"),(AG67-(+AG67*AA69)),IF(X69="Impacto",AG68,""))),"")</f>
        <v/>
      </c>
      <c r="AF69" s="193" t="str">
        <f t="shared" si="2"/>
        <v/>
      </c>
      <c r="AG69" s="191" t="str">
        <f t="shared" si="83"/>
        <v/>
      </c>
      <c r="AH69" s="193" t="str">
        <f t="shared" si="4"/>
        <v/>
      </c>
      <c r="AI69" s="191" t="str">
        <f t="shared" ref="AI69" si="86">IFERROR(IF(AND(X68="Impacto",X69="Impacto"),(AI68-(+AI68*AA69)),IF(AND(X68="Probabilidad",X69="Impacto"),(AI67-(+AI67*AA69)),IF(X69="Probabilidad",AI68,""))),"")</f>
        <v/>
      </c>
      <c r="AJ69" s="194" t="str">
        <f t="shared" si="85"/>
        <v/>
      </c>
      <c r="AK69" s="195"/>
      <c r="AL69" s="186"/>
      <c r="AM69" s="196"/>
      <c r="AN69" s="196"/>
      <c r="AO69" s="197"/>
      <c r="AP69" s="381"/>
      <c r="AQ69" s="381"/>
      <c r="AR69" s="381"/>
    </row>
    <row r="70" spans="1:44" x14ac:dyDescent="0.2">
      <c r="A70" s="418"/>
      <c r="B70" s="387"/>
      <c r="C70" s="387"/>
      <c r="D70" s="387"/>
      <c r="E70" s="387"/>
      <c r="F70" s="387"/>
      <c r="G70" s="360"/>
      <c r="H70" s="360"/>
      <c r="I70" s="222"/>
      <c r="J70" s="222"/>
      <c r="K70" s="222"/>
      <c r="L70" s="360"/>
      <c r="M70" s="360"/>
      <c r="N70" s="381"/>
      <c r="O70" s="367"/>
      <c r="P70" s="364"/>
      <c r="Q70" s="353"/>
      <c r="R70" s="364">
        <f>IF(NOT(ISERROR(MATCH(Q70,_xlfn.ANCHORARRAY(F81),0))),Q83&amp;"Por favor no seleccionar los criterios de impacto",Q70)</f>
        <v>0</v>
      </c>
      <c r="S70" s="367"/>
      <c r="T70" s="364"/>
      <c r="U70" s="362"/>
      <c r="V70" s="214">
        <v>4</v>
      </c>
      <c r="W70" s="187"/>
      <c r="X70" s="189" t="str">
        <f t="shared" ref="X70:X72" si="87">IF(OR(Y70="Preventivo",Y70="Detectivo"),"Probabilidad",IF(Y70="Correctivo","Impacto",""))</f>
        <v/>
      </c>
      <c r="Y70" s="190"/>
      <c r="Z70" s="190"/>
      <c r="AA70" s="191" t="str">
        <f t="shared" si="82"/>
        <v/>
      </c>
      <c r="AB70" s="190"/>
      <c r="AC70" s="190"/>
      <c r="AD70" s="190"/>
      <c r="AE70" s="192" t="str">
        <f t="shared" ref="AE70:AE72" si="88">IFERROR(IF(AND(X69="Probabilidad",X70="Probabilidad"),(AG69-(+AG69*AA70)),IF(AND(X69="Impacto",X70="Probabilidad"),(AG68-(+AG68*AA70)),IF(X70="Impacto",AG69,""))),"")</f>
        <v/>
      </c>
      <c r="AF70" s="193" t="str">
        <f t="shared" si="2"/>
        <v/>
      </c>
      <c r="AG70" s="191" t="str">
        <f t="shared" si="83"/>
        <v/>
      </c>
      <c r="AH70" s="193" t="str">
        <f t="shared" si="4"/>
        <v/>
      </c>
      <c r="AI70" s="191" t="str">
        <f t="shared" si="14"/>
        <v/>
      </c>
      <c r="AJ70" s="194"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95"/>
      <c r="AL70" s="186"/>
      <c r="AM70" s="196"/>
      <c r="AN70" s="196"/>
      <c r="AO70" s="197"/>
      <c r="AP70" s="381"/>
      <c r="AQ70" s="381"/>
      <c r="AR70" s="381"/>
    </row>
    <row r="71" spans="1:44" x14ac:dyDescent="0.2">
      <c r="A71" s="418"/>
      <c r="B71" s="387"/>
      <c r="C71" s="387"/>
      <c r="D71" s="387"/>
      <c r="E71" s="387"/>
      <c r="F71" s="387"/>
      <c r="G71" s="360"/>
      <c r="H71" s="360"/>
      <c r="I71" s="222"/>
      <c r="J71" s="222"/>
      <c r="K71" s="222"/>
      <c r="L71" s="360"/>
      <c r="M71" s="360"/>
      <c r="N71" s="381"/>
      <c r="O71" s="367"/>
      <c r="P71" s="364"/>
      <c r="Q71" s="353"/>
      <c r="R71" s="364">
        <f>IF(NOT(ISERROR(MATCH(Q71,_xlfn.ANCHORARRAY(F82),0))),Q84&amp;"Por favor no seleccionar los criterios de impacto",Q71)</f>
        <v>0</v>
      </c>
      <c r="S71" s="367"/>
      <c r="T71" s="364"/>
      <c r="U71" s="362"/>
      <c r="V71" s="214">
        <v>5</v>
      </c>
      <c r="W71" s="187"/>
      <c r="X71" s="189" t="str">
        <f t="shared" si="87"/>
        <v/>
      </c>
      <c r="Y71" s="190"/>
      <c r="Z71" s="190"/>
      <c r="AA71" s="191" t="str">
        <f t="shared" si="82"/>
        <v/>
      </c>
      <c r="AB71" s="190"/>
      <c r="AC71" s="190"/>
      <c r="AD71" s="190"/>
      <c r="AE71" s="192" t="str">
        <f t="shared" si="88"/>
        <v/>
      </c>
      <c r="AF71" s="193" t="str">
        <f t="shared" si="2"/>
        <v/>
      </c>
      <c r="AG71" s="191" t="str">
        <f t="shared" si="83"/>
        <v/>
      </c>
      <c r="AH71" s="193" t="str">
        <f t="shared" si="4"/>
        <v/>
      </c>
      <c r="AI71" s="191" t="str">
        <f t="shared" si="14"/>
        <v/>
      </c>
      <c r="AJ71" s="194" t="str">
        <f t="shared" ref="AJ71:AJ72" si="89">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95"/>
      <c r="AL71" s="186"/>
      <c r="AM71" s="196"/>
      <c r="AN71" s="196"/>
      <c r="AO71" s="197"/>
      <c r="AP71" s="381"/>
      <c r="AQ71" s="381"/>
      <c r="AR71" s="381"/>
    </row>
    <row r="72" spans="1:44" x14ac:dyDescent="0.2">
      <c r="A72" s="418"/>
      <c r="B72" s="387"/>
      <c r="C72" s="387"/>
      <c r="D72" s="387"/>
      <c r="E72" s="387"/>
      <c r="F72" s="387"/>
      <c r="G72" s="373"/>
      <c r="H72" s="373"/>
      <c r="I72" s="223"/>
      <c r="J72" s="223"/>
      <c r="K72" s="223"/>
      <c r="L72" s="373"/>
      <c r="M72" s="373"/>
      <c r="N72" s="381"/>
      <c r="O72" s="367"/>
      <c r="P72" s="364"/>
      <c r="Q72" s="353"/>
      <c r="R72" s="364">
        <f>IF(NOT(ISERROR(MATCH(Q72,_xlfn.ANCHORARRAY(F83),0))),Q85&amp;"Por favor no seleccionar los criterios de impacto",Q72)</f>
        <v>0</v>
      </c>
      <c r="S72" s="367"/>
      <c r="T72" s="364"/>
      <c r="U72" s="362"/>
      <c r="V72" s="214">
        <v>6</v>
      </c>
      <c r="W72" s="187"/>
      <c r="X72" s="189" t="str">
        <f t="shared" si="87"/>
        <v/>
      </c>
      <c r="Y72" s="190"/>
      <c r="Z72" s="190"/>
      <c r="AA72" s="191" t="str">
        <f t="shared" si="82"/>
        <v/>
      </c>
      <c r="AB72" s="190"/>
      <c r="AC72" s="190"/>
      <c r="AD72" s="190"/>
      <c r="AE72" s="192" t="str">
        <f t="shared" si="88"/>
        <v/>
      </c>
      <c r="AF72" s="193" t="str">
        <f t="shared" si="2"/>
        <v/>
      </c>
      <c r="AG72" s="191" t="str">
        <f t="shared" si="83"/>
        <v/>
      </c>
      <c r="AH72" s="193" t="str">
        <f t="shared" si="4"/>
        <v/>
      </c>
      <c r="AI72" s="191" t="str">
        <f t="shared" si="14"/>
        <v/>
      </c>
      <c r="AJ72" s="194" t="str">
        <f t="shared" si="89"/>
        <v/>
      </c>
      <c r="AK72" s="195"/>
      <c r="AL72" s="186"/>
      <c r="AM72" s="196"/>
      <c r="AN72" s="196"/>
      <c r="AO72" s="197"/>
      <c r="AP72" s="381"/>
      <c r="AQ72" s="381"/>
      <c r="AR72" s="381"/>
    </row>
    <row r="73" spans="1:44" x14ac:dyDescent="0.2">
      <c r="A73" s="216"/>
      <c r="B73" s="422" t="s">
        <v>261</v>
      </c>
      <c r="C73" s="423"/>
      <c r="D73" s="423"/>
      <c r="E73" s="423"/>
      <c r="F73" s="423"/>
      <c r="G73" s="423"/>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3"/>
      <c r="AL73" s="423"/>
      <c r="AM73" s="423"/>
      <c r="AN73" s="423"/>
      <c r="AO73" s="423"/>
      <c r="AP73" s="423"/>
    </row>
    <row r="75" spans="1:44" ht="15.75" x14ac:dyDescent="0.2">
      <c r="A75" s="198"/>
      <c r="B75" s="206" t="s">
        <v>262</v>
      </c>
      <c r="C75" s="198"/>
      <c r="D75" s="198"/>
      <c r="E75" s="198"/>
      <c r="N75" s="198"/>
    </row>
    <row r="76" spans="1:44" s="259" customFormat="1" x14ac:dyDescent="0.2">
      <c r="A76" s="258"/>
      <c r="B76" s="258"/>
      <c r="C76" s="258"/>
      <c r="D76" s="258"/>
      <c r="E76" s="258"/>
      <c r="N76" s="260"/>
      <c r="AL76" s="261"/>
    </row>
  </sheetData>
  <dataConsolidate/>
  <mergeCells count="299">
    <mergeCell ref="C8:T8"/>
    <mergeCell ref="D1:T2"/>
    <mergeCell ref="D4:T4"/>
    <mergeCell ref="J3:T3"/>
    <mergeCell ref="D3:I3"/>
    <mergeCell ref="A25:A30"/>
    <mergeCell ref="B25:B30"/>
    <mergeCell ref="C25:C30"/>
    <mergeCell ref="D25:D30"/>
    <mergeCell ref="A1:C4"/>
    <mergeCell ref="N25:N30"/>
    <mergeCell ref="O25:O30"/>
    <mergeCell ref="P25:P30"/>
    <mergeCell ref="F25:F30"/>
    <mergeCell ref="N19:N24"/>
    <mergeCell ref="O19:O24"/>
    <mergeCell ref="P19:P24"/>
    <mergeCell ref="G19:G24"/>
    <mergeCell ref="G25:G30"/>
    <mergeCell ref="L19:L24"/>
    <mergeCell ref="M19:M24"/>
    <mergeCell ref="A19:A24"/>
    <mergeCell ref="B19:B24"/>
    <mergeCell ref="C19:C24"/>
    <mergeCell ref="D19:D24"/>
    <mergeCell ref="Z6:AR6"/>
    <mergeCell ref="Z7:AR7"/>
    <mergeCell ref="Z8:AR8"/>
    <mergeCell ref="X1:AR2"/>
    <mergeCell ref="X3:AL3"/>
    <mergeCell ref="X4:AR4"/>
    <mergeCell ref="AM3:AR3"/>
    <mergeCell ref="A6:B6"/>
    <mergeCell ref="A7:B7"/>
    <mergeCell ref="A8:B8"/>
    <mergeCell ref="W6:Y6"/>
    <mergeCell ref="C6:T6"/>
    <mergeCell ref="C7:T7"/>
    <mergeCell ref="U13:U18"/>
    <mergeCell ref="P13:P18"/>
    <mergeCell ref="Q13:Q18"/>
    <mergeCell ref="R13:R18"/>
    <mergeCell ref="S13:S18"/>
    <mergeCell ref="G13:G18"/>
    <mergeCell ref="A10:F10"/>
    <mergeCell ref="I13:I18"/>
    <mergeCell ref="T11:T12"/>
    <mergeCell ref="F11:F12"/>
    <mergeCell ref="U37:U42"/>
    <mergeCell ref="T43:T48"/>
    <mergeCell ref="U43:U48"/>
    <mergeCell ref="Q49:Q54"/>
    <mergeCell ref="R49:R54"/>
    <mergeCell ref="S49:S54"/>
    <mergeCell ref="F37:F42"/>
    <mergeCell ref="F43:F48"/>
    <mergeCell ref="G37:G42"/>
    <mergeCell ref="Q43:Q48"/>
    <mergeCell ref="R43:R48"/>
    <mergeCell ref="S43:S48"/>
    <mergeCell ref="N37:N42"/>
    <mergeCell ref="O37:O42"/>
    <mergeCell ref="G49:G54"/>
    <mergeCell ref="I49:I54"/>
    <mergeCell ref="J49:J54"/>
    <mergeCell ref="K49:K54"/>
    <mergeCell ref="L37:L42"/>
    <mergeCell ref="G43:G48"/>
    <mergeCell ref="I37:I42"/>
    <mergeCell ref="J37:J42"/>
    <mergeCell ref="K37:K42"/>
    <mergeCell ref="I43:I48"/>
    <mergeCell ref="E61:E66"/>
    <mergeCell ref="N61:N66"/>
    <mergeCell ref="O61:O66"/>
    <mergeCell ref="P61:P66"/>
    <mergeCell ref="P37:P42"/>
    <mergeCell ref="Q37:Q42"/>
    <mergeCell ref="N43:N48"/>
    <mergeCell ref="O43:O48"/>
    <mergeCell ref="P43:P48"/>
    <mergeCell ref="F49:F54"/>
    <mergeCell ref="F55:F60"/>
    <mergeCell ref="G55:G60"/>
    <mergeCell ref="I55:I60"/>
    <mergeCell ref="J55:J60"/>
    <mergeCell ref="K55:K60"/>
    <mergeCell ref="J43:J48"/>
    <mergeCell ref="K43:K48"/>
    <mergeCell ref="H37:H42"/>
    <mergeCell ref="H43:H48"/>
    <mergeCell ref="B73:AP73"/>
    <mergeCell ref="T61:T66"/>
    <mergeCell ref="U61:U66"/>
    <mergeCell ref="A67:A72"/>
    <mergeCell ref="B67:B72"/>
    <mergeCell ref="C67:C72"/>
    <mergeCell ref="D67:D72"/>
    <mergeCell ref="E67:E72"/>
    <mergeCell ref="N67:N72"/>
    <mergeCell ref="O67:O72"/>
    <mergeCell ref="P67:P72"/>
    <mergeCell ref="Q67:Q72"/>
    <mergeCell ref="R67:R72"/>
    <mergeCell ref="S67:S72"/>
    <mergeCell ref="T67:T72"/>
    <mergeCell ref="U67:U72"/>
    <mergeCell ref="Q61:Q66"/>
    <mergeCell ref="R61:R66"/>
    <mergeCell ref="S61:S66"/>
    <mergeCell ref="A61:A66"/>
    <mergeCell ref="B61:B66"/>
    <mergeCell ref="C61:C66"/>
    <mergeCell ref="D61:D66"/>
    <mergeCell ref="F61:F66"/>
    <mergeCell ref="F67:F72"/>
    <mergeCell ref="T49:T54"/>
    <mergeCell ref="U49:U54"/>
    <mergeCell ref="N55:N60"/>
    <mergeCell ref="O55:O60"/>
    <mergeCell ref="P55:P60"/>
    <mergeCell ref="Q55:Q60"/>
    <mergeCell ref="N49:N54"/>
    <mergeCell ref="O49:O54"/>
    <mergeCell ref="P49:P54"/>
    <mergeCell ref="R55:R60"/>
    <mergeCell ref="S55:S60"/>
    <mergeCell ref="T55:T60"/>
    <mergeCell ref="U55:U60"/>
    <mergeCell ref="G61:G66"/>
    <mergeCell ref="G67:G72"/>
    <mergeCell ref="H67:H72"/>
    <mergeCell ref="H49:H54"/>
    <mergeCell ref="H55:H60"/>
    <mergeCell ref="H61:H66"/>
    <mergeCell ref="B55:B60"/>
    <mergeCell ref="C55:C60"/>
    <mergeCell ref="D55:D60"/>
    <mergeCell ref="E55:E60"/>
    <mergeCell ref="A49:A54"/>
    <mergeCell ref="B49:B54"/>
    <mergeCell ref="C49:C54"/>
    <mergeCell ref="D49:D54"/>
    <mergeCell ref="E49:E54"/>
    <mergeCell ref="A55:A60"/>
    <mergeCell ref="A37:A42"/>
    <mergeCell ref="B37:B42"/>
    <mergeCell ref="C37:C42"/>
    <mergeCell ref="A43:A48"/>
    <mergeCell ref="B43:B48"/>
    <mergeCell ref="C43:C48"/>
    <mergeCell ref="D43:D48"/>
    <mergeCell ref="E43:E48"/>
    <mergeCell ref="D37:D42"/>
    <mergeCell ref="E37:E42"/>
    <mergeCell ref="C31:C36"/>
    <mergeCell ref="D31:D36"/>
    <mergeCell ref="E31:E36"/>
    <mergeCell ref="N31:N36"/>
    <mergeCell ref="O31:O36"/>
    <mergeCell ref="P31:P36"/>
    <mergeCell ref="F31:F36"/>
    <mergeCell ref="G31:G36"/>
    <mergeCell ref="I31:I36"/>
    <mergeCell ref="J31:J36"/>
    <mergeCell ref="K31:K36"/>
    <mergeCell ref="L31:L36"/>
    <mergeCell ref="M31:M36"/>
    <mergeCell ref="H31:H36"/>
    <mergeCell ref="A13:A18"/>
    <mergeCell ref="B13:B18"/>
    <mergeCell ref="A11:A12"/>
    <mergeCell ref="E11:E12"/>
    <mergeCell ref="D11:D12"/>
    <mergeCell ref="C11:C12"/>
    <mergeCell ref="AP37:AP42"/>
    <mergeCell ref="T31:T36"/>
    <mergeCell ref="R37:R42"/>
    <mergeCell ref="S37:S42"/>
    <mergeCell ref="T37:T42"/>
    <mergeCell ref="E19:E24"/>
    <mergeCell ref="E25:E30"/>
    <mergeCell ref="B11:B12"/>
    <mergeCell ref="F13:F18"/>
    <mergeCell ref="G11:G12"/>
    <mergeCell ref="H11:H12"/>
    <mergeCell ref="I11:I12"/>
    <mergeCell ref="J11:J12"/>
    <mergeCell ref="K11:K12"/>
    <mergeCell ref="H13:H18"/>
    <mergeCell ref="H19:H24"/>
    <mergeCell ref="A31:A36"/>
    <mergeCell ref="B31:B36"/>
    <mergeCell ref="AQ37:AQ42"/>
    <mergeCell ref="AR37:AR42"/>
    <mergeCell ref="T13:T18"/>
    <mergeCell ref="N11:N12"/>
    <mergeCell ref="O11:O12"/>
    <mergeCell ref="U11:U12"/>
    <mergeCell ref="Q11:Q12"/>
    <mergeCell ref="R11:R12"/>
    <mergeCell ref="AP11:AP12"/>
    <mergeCell ref="AQ11:AQ12"/>
    <mergeCell ref="AR11:AR12"/>
    <mergeCell ref="AP13:AP18"/>
    <mergeCell ref="AQ13:AQ18"/>
    <mergeCell ref="AR13:AR18"/>
    <mergeCell ref="AK11:AK12"/>
    <mergeCell ref="AN11:AN12"/>
    <mergeCell ref="V11:V12"/>
    <mergeCell ref="AJ11:AJ12"/>
    <mergeCell ref="AI11:AI12"/>
    <mergeCell ref="AE11:AE12"/>
    <mergeCell ref="W11:W12"/>
    <mergeCell ref="AH11:AH12"/>
    <mergeCell ref="AF11:AF12"/>
    <mergeCell ref="S31:S36"/>
    <mergeCell ref="AR61:AR66"/>
    <mergeCell ref="T25:T30"/>
    <mergeCell ref="U25:U30"/>
    <mergeCell ref="AP67:AP72"/>
    <mergeCell ref="AQ67:AQ72"/>
    <mergeCell ref="AR67:AR72"/>
    <mergeCell ref="AP43:AP48"/>
    <mergeCell ref="AQ43:AQ48"/>
    <mergeCell ref="AP19:AP24"/>
    <mergeCell ref="AQ19:AQ24"/>
    <mergeCell ref="AR19:AR24"/>
    <mergeCell ref="AR43:AR48"/>
    <mergeCell ref="AP49:AP54"/>
    <mergeCell ref="AQ49:AQ54"/>
    <mergeCell ref="AR49:AR54"/>
    <mergeCell ref="AP55:AP60"/>
    <mergeCell ref="AQ55:AQ60"/>
    <mergeCell ref="AR55:AR60"/>
    <mergeCell ref="AP25:AP30"/>
    <mergeCell ref="AQ25:AQ30"/>
    <mergeCell ref="AR25:AR30"/>
    <mergeCell ref="AP31:AP36"/>
    <mergeCell ref="AQ31:AQ36"/>
    <mergeCell ref="AR31:AR36"/>
    <mergeCell ref="H25:H30"/>
    <mergeCell ref="J13:J18"/>
    <mergeCell ref="K13:K18"/>
    <mergeCell ref="I19:I24"/>
    <mergeCell ref="J19:J24"/>
    <mergeCell ref="K19:K24"/>
    <mergeCell ref="I25:I30"/>
    <mergeCell ref="F19:F24"/>
    <mergeCell ref="J25:J30"/>
    <mergeCell ref="K25:K30"/>
    <mergeCell ref="G10:K10"/>
    <mergeCell ref="C13:C18"/>
    <mergeCell ref="D13:D18"/>
    <mergeCell ref="E13:E18"/>
    <mergeCell ref="L67:L72"/>
    <mergeCell ref="M67:M72"/>
    <mergeCell ref="AP10:AR10"/>
    <mergeCell ref="AF10:AJ10"/>
    <mergeCell ref="AK10:AO10"/>
    <mergeCell ref="M37:M42"/>
    <mergeCell ref="L43:L48"/>
    <mergeCell ref="M43:M48"/>
    <mergeCell ref="L49:L54"/>
    <mergeCell ref="M49:M54"/>
    <mergeCell ref="L55:L60"/>
    <mergeCell ref="M55:M60"/>
    <mergeCell ref="L61:L66"/>
    <mergeCell ref="M61:M66"/>
    <mergeCell ref="AP61:AP66"/>
    <mergeCell ref="AQ61:AQ66"/>
    <mergeCell ref="P11:P12"/>
    <mergeCell ref="S11:S12"/>
    <mergeCell ref="AL11:AL12"/>
    <mergeCell ref="AO11:AO12"/>
    <mergeCell ref="AM11:AM12"/>
    <mergeCell ref="Q31:Q36"/>
    <mergeCell ref="L10:M11"/>
    <mergeCell ref="N10:V10"/>
    <mergeCell ref="L13:L18"/>
    <mergeCell ref="M13:M18"/>
    <mergeCell ref="U31:U36"/>
    <mergeCell ref="R19:R24"/>
    <mergeCell ref="S19:S24"/>
    <mergeCell ref="T19:T24"/>
    <mergeCell ref="U19:U24"/>
    <mergeCell ref="AG11:AG12"/>
    <mergeCell ref="X11:X12"/>
    <mergeCell ref="Y11:AD11"/>
    <mergeCell ref="L25:L30"/>
    <mergeCell ref="M25:M30"/>
    <mergeCell ref="Q19:Q24"/>
    <mergeCell ref="W10:AE10"/>
    <mergeCell ref="Q25:Q30"/>
    <mergeCell ref="R25:R30"/>
    <mergeCell ref="S25:S30"/>
    <mergeCell ref="R31:R36"/>
    <mergeCell ref="N13:N18"/>
    <mergeCell ref="O13:O18"/>
  </mergeCells>
  <conditionalFormatting sqref="O13 O19">
    <cfRule type="cellIs" dxfId="700" priority="324" operator="equal">
      <formula>"Muy Alta"</formula>
    </cfRule>
    <cfRule type="cellIs" dxfId="699" priority="325" operator="equal">
      <formula>"Alta"</formula>
    </cfRule>
    <cfRule type="cellIs" dxfId="698" priority="326" operator="equal">
      <formula>"Media"</formula>
    </cfRule>
    <cfRule type="cellIs" dxfId="697" priority="327" operator="equal">
      <formula>"Baja"</formula>
    </cfRule>
    <cfRule type="cellIs" dxfId="696" priority="328" operator="equal">
      <formula>"Muy Baja"</formula>
    </cfRule>
  </conditionalFormatting>
  <conditionalFormatting sqref="S13 S19 S25 S31 S37 S43 S49 S55 S61 S67">
    <cfRule type="cellIs" dxfId="695" priority="319" operator="equal">
      <formula>"Catastrófico"</formula>
    </cfRule>
    <cfRule type="cellIs" dxfId="694" priority="320" operator="equal">
      <formula>"Mayor"</formula>
    </cfRule>
    <cfRule type="cellIs" dxfId="693" priority="321" operator="equal">
      <formula>"Moderado"</formula>
    </cfRule>
    <cfRule type="cellIs" dxfId="692" priority="322" operator="equal">
      <formula>"Menor"</formula>
    </cfRule>
    <cfRule type="cellIs" dxfId="691" priority="323" operator="equal">
      <formula>"Leve"</formula>
    </cfRule>
  </conditionalFormatting>
  <conditionalFormatting sqref="U13">
    <cfRule type="cellIs" dxfId="690" priority="315" operator="equal">
      <formula>"Extremo"</formula>
    </cfRule>
    <cfRule type="cellIs" dxfId="689" priority="316" operator="equal">
      <formula>"Alto"</formula>
    </cfRule>
    <cfRule type="cellIs" dxfId="688" priority="317" operator="equal">
      <formula>"Moderado"</formula>
    </cfRule>
    <cfRule type="cellIs" dxfId="687" priority="318" operator="equal">
      <formula>"Bajo"</formula>
    </cfRule>
  </conditionalFormatting>
  <conditionalFormatting sqref="AF13:AF18">
    <cfRule type="cellIs" dxfId="686" priority="310" operator="equal">
      <formula>"Muy Alta"</formula>
    </cfRule>
    <cfRule type="cellIs" dxfId="685" priority="311" operator="equal">
      <formula>"Alta"</formula>
    </cfRule>
    <cfRule type="cellIs" dxfId="684" priority="312" operator="equal">
      <formula>"Media"</formula>
    </cfRule>
    <cfRule type="cellIs" dxfId="683" priority="313" operator="equal">
      <formula>"Baja"</formula>
    </cfRule>
    <cfRule type="cellIs" dxfId="682" priority="314" operator="equal">
      <formula>"Muy Baja"</formula>
    </cfRule>
  </conditionalFormatting>
  <conditionalFormatting sqref="AH13:AH18">
    <cfRule type="cellIs" dxfId="681" priority="305" operator="equal">
      <formula>"Catastrófico"</formula>
    </cfRule>
    <cfRule type="cellIs" dxfId="680" priority="306" operator="equal">
      <formula>"Mayor"</formula>
    </cfRule>
    <cfRule type="cellIs" dxfId="679" priority="307" operator="equal">
      <formula>"Moderado"</formula>
    </cfRule>
    <cfRule type="cellIs" dxfId="678" priority="308" operator="equal">
      <formula>"Menor"</formula>
    </cfRule>
    <cfRule type="cellIs" dxfId="677" priority="309" operator="equal">
      <formula>"Leve"</formula>
    </cfRule>
  </conditionalFormatting>
  <conditionalFormatting sqref="AJ13:AJ18">
    <cfRule type="cellIs" dxfId="676" priority="301" operator="equal">
      <formula>"Extremo"</formula>
    </cfRule>
    <cfRule type="cellIs" dxfId="675" priority="302" operator="equal">
      <formula>"Alto"</formula>
    </cfRule>
    <cfRule type="cellIs" dxfId="674" priority="303" operator="equal">
      <formula>"Moderado"</formula>
    </cfRule>
    <cfRule type="cellIs" dxfId="673" priority="304" operator="equal">
      <formula>"Bajo"</formula>
    </cfRule>
  </conditionalFormatting>
  <conditionalFormatting sqref="O61">
    <cfRule type="cellIs" dxfId="672" priority="58" operator="equal">
      <formula>"Muy Alta"</formula>
    </cfRule>
    <cfRule type="cellIs" dxfId="671" priority="59" operator="equal">
      <formula>"Alta"</formula>
    </cfRule>
    <cfRule type="cellIs" dxfId="670" priority="60" operator="equal">
      <formula>"Media"</formula>
    </cfRule>
    <cfRule type="cellIs" dxfId="669" priority="61" operator="equal">
      <formula>"Baja"</formula>
    </cfRule>
    <cfRule type="cellIs" dxfId="668" priority="62" operator="equal">
      <formula>"Muy Baja"</formula>
    </cfRule>
  </conditionalFormatting>
  <conditionalFormatting sqref="U19">
    <cfRule type="cellIs" dxfId="667" priority="245" operator="equal">
      <formula>"Extremo"</formula>
    </cfRule>
    <cfRule type="cellIs" dxfId="666" priority="246" operator="equal">
      <formula>"Alto"</formula>
    </cfRule>
    <cfRule type="cellIs" dxfId="665" priority="247" operator="equal">
      <formula>"Moderado"</formula>
    </cfRule>
    <cfRule type="cellIs" dxfId="664" priority="248" operator="equal">
      <formula>"Bajo"</formula>
    </cfRule>
  </conditionalFormatting>
  <conditionalFormatting sqref="AF19:AF24">
    <cfRule type="cellIs" dxfId="663" priority="240" operator="equal">
      <formula>"Muy Alta"</formula>
    </cfRule>
    <cfRule type="cellIs" dxfId="662" priority="241" operator="equal">
      <formula>"Alta"</formula>
    </cfRule>
    <cfRule type="cellIs" dxfId="661" priority="242" operator="equal">
      <formula>"Media"</formula>
    </cfRule>
    <cfRule type="cellIs" dxfId="660" priority="243" operator="equal">
      <formula>"Baja"</formula>
    </cfRule>
    <cfRule type="cellIs" dxfId="659" priority="244" operator="equal">
      <formula>"Muy Baja"</formula>
    </cfRule>
  </conditionalFormatting>
  <conditionalFormatting sqref="AH19:AH24">
    <cfRule type="cellIs" dxfId="658" priority="235" operator="equal">
      <formula>"Catastrófico"</formula>
    </cfRule>
    <cfRule type="cellIs" dxfId="657" priority="236" operator="equal">
      <formula>"Mayor"</formula>
    </cfRule>
    <cfRule type="cellIs" dxfId="656" priority="237" operator="equal">
      <formula>"Moderado"</formula>
    </cfRule>
    <cfRule type="cellIs" dxfId="655" priority="238" operator="equal">
      <formula>"Menor"</formula>
    </cfRule>
    <cfRule type="cellIs" dxfId="654" priority="239" operator="equal">
      <formula>"Leve"</formula>
    </cfRule>
  </conditionalFormatting>
  <conditionalFormatting sqref="AJ19:AJ24">
    <cfRule type="cellIs" dxfId="653" priority="231" operator="equal">
      <formula>"Extremo"</formula>
    </cfRule>
    <cfRule type="cellIs" dxfId="652" priority="232" operator="equal">
      <formula>"Alto"</formula>
    </cfRule>
    <cfRule type="cellIs" dxfId="651" priority="233" operator="equal">
      <formula>"Moderado"</formula>
    </cfRule>
    <cfRule type="cellIs" dxfId="650" priority="234" operator="equal">
      <formula>"Bajo"</formula>
    </cfRule>
  </conditionalFormatting>
  <conditionalFormatting sqref="O25">
    <cfRule type="cellIs" dxfId="649" priority="226" operator="equal">
      <formula>"Muy Alta"</formula>
    </cfRule>
    <cfRule type="cellIs" dxfId="648" priority="227" operator="equal">
      <formula>"Alta"</formula>
    </cfRule>
    <cfRule type="cellIs" dxfId="647" priority="228" operator="equal">
      <formula>"Media"</formula>
    </cfRule>
    <cfRule type="cellIs" dxfId="646" priority="229" operator="equal">
      <formula>"Baja"</formula>
    </cfRule>
    <cfRule type="cellIs" dxfId="645" priority="230" operator="equal">
      <formula>"Muy Baja"</formula>
    </cfRule>
  </conditionalFormatting>
  <conditionalFormatting sqref="U25">
    <cfRule type="cellIs" dxfId="644" priority="217" operator="equal">
      <formula>"Extremo"</formula>
    </cfRule>
    <cfRule type="cellIs" dxfId="643" priority="218" operator="equal">
      <formula>"Alto"</formula>
    </cfRule>
    <cfRule type="cellIs" dxfId="642" priority="219" operator="equal">
      <formula>"Moderado"</formula>
    </cfRule>
    <cfRule type="cellIs" dxfId="641" priority="220" operator="equal">
      <formula>"Bajo"</formula>
    </cfRule>
  </conditionalFormatting>
  <conditionalFormatting sqref="AF25:AF30">
    <cfRule type="cellIs" dxfId="640" priority="212" operator="equal">
      <formula>"Muy Alta"</formula>
    </cfRule>
    <cfRule type="cellIs" dxfId="639" priority="213" operator="equal">
      <formula>"Alta"</formula>
    </cfRule>
    <cfRule type="cellIs" dxfId="638" priority="214" operator="equal">
      <formula>"Media"</formula>
    </cfRule>
    <cfRule type="cellIs" dxfId="637" priority="215" operator="equal">
      <formula>"Baja"</formula>
    </cfRule>
    <cfRule type="cellIs" dxfId="636" priority="216" operator="equal">
      <formula>"Muy Baja"</formula>
    </cfRule>
  </conditionalFormatting>
  <conditionalFormatting sqref="AH25:AH30">
    <cfRule type="cellIs" dxfId="635" priority="207" operator="equal">
      <formula>"Catastrófico"</formula>
    </cfRule>
    <cfRule type="cellIs" dxfId="634" priority="208" operator="equal">
      <formula>"Mayor"</formula>
    </cfRule>
    <cfRule type="cellIs" dxfId="633" priority="209" operator="equal">
      <formula>"Moderado"</formula>
    </cfRule>
    <cfRule type="cellIs" dxfId="632" priority="210" operator="equal">
      <formula>"Menor"</formula>
    </cfRule>
    <cfRule type="cellIs" dxfId="631" priority="211" operator="equal">
      <formula>"Leve"</formula>
    </cfRule>
  </conditionalFormatting>
  <conditionalFormatting sqref="AJ25:AJ30">
    <cfRule type="cellIs" dxfId="630" priority="203" operator="equal">
      <formula>"Extremo"</formula>
    </cfRule>
    <cfRule type="cellIs" dxfId="629" priority="204" operator="equal">
      <formula>"Alto"</formula>
    </cfRule>
    <cfRule type="cellIs" dxfId="628" priority="205" operator="equal">
      <formula>"Moderado"</formula>
    </cfRule>
    <cfRule type="cellIs" dxfId="627" priority="206" operator="equal">
      <formula>"Bajo"</formula>
    </cfRule>
  </conditionalFormatting>
  <conditionalFormatting sqref="O31">
    <cfRule type="cellIs" dxfId="626" priority="198" operator="equal">
      <formula>"Muy Alta"</formula>
    </cfRule>
    <cfRule type="cellIs" dxfId="625" priority="199" operator="equal">
      <formula>"Alta"</formula>
    </cfRule>
    <cfRule type="cellIs" dxfId="624" priority="200" operator="equal">
      <formula>"Media"</formula>
    </cfRule>
    <cfRule type="cellIs" dxfId="623" priority="201" operator="equal">
      <formula>"Baja"</formula>
    </cfRule>
    <cfRule type="cellIs" dxfId="622" priority="202" operator="equal">
      <formula>"Muy Baja"</formula>
    </cfRule>
  </conditionalFormatting>
  <conditionalFormatting sqref="U31">
    <cfRule type="cellIs" dxfId="621" priority="189" operator="equal">
      <formula>"Extremo"</formula>
    </cfRule>
    <cfRule type="cellIs" dxfId="620" priority="190" operator="equal">
      <formula>"Alto"</formula>
    </cfRule>
    <cfRule type="cellIs" dxfId="619" priority="191" operator="equal">
      <formula>"Moderado"</formula>
    </cfRule>
    <cfRule type="cellIs" dxfId="618" priority="192" operator="equal">
      <formula>"Bajo"</formula>
    </cfRule>
  </conditionalFormatting>
  <conditionalFormatting sqref="AF31:AF36">
    <cfRule type="cellIs" dxfId="617" priority="184" operator="equal">
      <formula>"Muy Alta"</formula>
    </cfRule>
    <cfRule type="cellIs" dxfId="616" priority="185" operator="equal">
      <formula>"Alta"</formula>
    </cfRule>
    <cfRule type="cellIs" dxfId="615" priority="186" operator="equal">
      <formula>"Media"</formula>
    </cfRule>
    <cfRule type="cellIs" dxfId="614" priority="187" operator="equal">
      <formula>"Baja"</formula>
    </cfRule>
    <cfRule type="cellIs" dxfId="613" priority="188" operator="equal">
      <formula>"Muy Baja"</formula>
    </cfRule>
  </conditionalFormatting>
  <conditionalFormatting sqref="AH31:AH36">
    <cfRule type="cellIs" dxfId="612" priority="179" operator="equal">
      <formula>"Catastrófico"</formula>
    </cfRule>
    <cfRule type="cellIs" dxfId="611" priority="180" operator="equal">
      <formula>"Mayor"</formula>
    </cfRule>
    <cfRule type="cellIs" dxfId="610" priority="181" operator="equal">
      <formula>"Moderado"</formula>
    </cfRule>
    <cfRule type="cellIs" dxfId="609" priority="182" operator="equal">
      <formula>"Menor"</formula>
    </cfRule>
    <cfRule type="cellIs" dxfId="608" priority="183" operator="equal">
      <formula>"Leve"</formula>
    </cfRule>
  </conditionalFormatting>
  <conditionalFormatting sqref="AJ31:AJ36">
    <cfRule type="cellIs" dxfId="607" priority="175" operator="equal">
      <formula>"Extremo"</formula>
    </cfRule>
    <cfRule type="cellIs" dxfId="606" priority="176" operator="equal">
      <formula>"Alto"</formula>
    </cfRule>
    <cfRule type="cellIs" dxfId="605" priority="177" operator="equal">
      <formula>"Moderado"</formula>
    </cfRule>
    <cfRule type="cellIs" dxfId="604" priority="178" operator="equal">
      <formula>"Bajo"</formula>
    </cfRule>
  </conditionalFormatting>
  <conditionalFormatting sqref="O37">
    <cfRule type="cellIs" dxfId="603" priority="170" operator="equal">
      <formula>"Muy Alta"</formula>
    </cfRule>
    <cfRule type="cellIs" dxfId="602" priority="171" operator="equal">
      <formula>"Alta"</formula>
    </cfRule>
    <cfRule type="cellIs" dxfId="601" priority="172" operator="equal">
      <formula>"Media"</formula>
    </cfRule>
    <cfRule type="cellIs" dxfId="600" priority="173" operator="equal">
      <formula>"Baja"</formula>
    </cfRule>
    <cfRule type="cellIs" dxfId="599" priority="174" operator="equal">
      <formula>"Muy Baja"</formula>
    </cfRule>
  </conditionalFormatting>
  <conditionalFormatting sqref="U37">
    <cfRule type="cellIs" dxfId="598" priority="161" operator="equal">
      <formula>"Extremo"</formula>
    </cfRule>
    <cfRule type="cellIs" dxfId="597" priority="162" operator="equal">
      <formula>"Alto"</formula>
    </cfRule>
    <cfRule type="cellIs" dxfId="596" priority="163" operator="equal">
      <formula>"Moderado"</formula>
    </cfRule>
    <cfRule type="cellIs" dxfId="595" priority="164" operator="equal">
      <formula>"Bajo"</formula>
    </cfRule>
  </conditionalFormatting>
  <conditionalFormatting sqref="AF37:AF42">
    <cfRule type="cellIs" dxfId="594" priority="156" operator="equal">
      <formula>"Muy Alta"</formula>
    </cfRule>
    <cfRule type="cellIs" dxfId="593" priority="157" operator="equal">
      <formula>"Alta"</formula>
    </cfRule>
    <cfRule type="cellIs" dxfId="592" priority="158" operator="equal">
      <formula>"Media"</formula>
    </cfRule>
    <cfRule type="cellIs" dxfId="591" priority="159" operator="equal">
      <formula>"Baja"</formula>
    </cfRule>
    <cfRule type="cellIs" dxfId="590" priority="160" operator="equal">
      <formula>"Muy Baja"</formula>
    </cfRule>
  </conditionalFormatting>
  <conditionalFormatting sqref="AH37:AH42">
    <cfRule type="cellIs" dxfId="589" priority="151" operator="equal">
      <formula>"Catastrófico"</formula>
    </cfRule>
    <cfRule type="cellIs" dxfId="588" priority="152" operator="equal">
      <formula>"Mayor"</formula>
    </cfRule>
    <cfRule type="cellIs" dxfId="587" priority="153" operator="equal">
      <formula>"Moderado"</formula>
    </cfRule>
    <cfRule type="cellIs" dxfId="586" priority="154" operator="equal">
      <formula>"Menor"</formula>
    </cfRule>
    <cfRule type="cellIs" dxfId="585" priority="155" operator="equal">
      <formula>"Leve"</formula>
    </cfRule>
  </conditionalFormatting>
  <conditionalFormatting sqref="AJ37:AJ42">
    <cfRule type="cellIs" dxfId="584" priority="147" operator="equal">
      <formula>"Extremo"</formula>
    </cfRule>
    <cfRule type="cellIs" dxfId="583" priority="148" operator="equal">
      <formula>"Alto"</formula>
    </cfRule>
    <cfRule type="cellIs" dxfId="582" priority="149" operator="equal">
      <formula>"Moderado"</formula>
    </cfRule>
    <cfRule type="cellIs" dxfId="581" priority="150" operator="equal">
      <formula>"Bajo"</formula>
    </cfRule>
  </conditionalFormatting>
  <conditionalFormatting sqref="O43">
    <cfRule type="cellIs" dxfId="580" priority="142" operator="equal">
      <formula>"Muy Alta"</formula>
    </cfRule>
    <cfRule type="cellIs" dxfId="579" priority="143" operator="equal">
      <formula>"Alta"</formula>
    </cfRule>
    <cfRule type="cellIs" dxfId="578" priority="144" operator="equal">
      <formula>"Media"</formula>
    </cfRule>
    <cfRule type="cellIs" dxfId="577" priority="145" operator="equal">
      <formula>"Baja"</formula>
    </cfRule>
    <cfRule type="cellIs" dxfId="576" priority="146" operator="equal">
      <formula>"Muy Baja"</formula>
    </cfRule>
  </conditionalFormatting>
  <conditionalFormatting sqref="U43">
    <cfRule type="cellIs" dxfId="575" priority="133" operator="equal">
      <formula>"Extremo"</formula>
    </cfRule>
    <cfRule type="cellIs" dxfId="574" priority="134" operator="equal">
      <formula>"Alto"</formula>
    </cfRule>
    <cfRule type="cellIs" dxfId="573" priority="135" operator="equal">
      <formula>"Moderado"</formula>
    </cfRule>
    <cfRule type="cellIs" dxfId="572" priority="136" operator="equal">
      <formula>"Bajo"</formula>
    </cfRule>
  </conditionalFormatting>
  <conditionalFormatting sqref="AF43:AF48">
    <cfRule type="cellIs" dxfId="571" priority="128" operator="equal">
      <formula>"Muy Alta"</formula>
    </cfRule>
    <cfRule type="cellIs" dxfId="570" priority="129" operator="equal">
      <formula>"Alta"</formula>
    </cfRule>
    <cfRule type="cellIs" dxfId="569" priority="130" operator="equal">
      <formula>"Media"</formula>
    </cfRule>
    <cfRule type="cellIs" dxfId="568" priority="131" operator="equal">
      <formula>"Baja"</formula>
    </cfRule>
    <cfRule type="cellIs" dxfId="567" priority="132" operator="equal">
      <formula>"Muy Baja"</formula>
    </cfRule>
  </conditionalFormatting>
  <conditionalFormatting sqref="AH43:AH48">
    <cfRule type="cellIs" dxfId="566" priority="123" operator="equal">
      <formula>"Catastrófico"</formula>
    </cfRule>
    <cfRule type="cellIs" dxfId="565" priority="124" operator="equal">
      <formula>"Mayor"</formula>
    </cfRule>
    <cfRule type="cellIs" dxfId="564" priority="125" operator="equal">
      <formula>"Moderado"</formula>
    </cfRule>
    <cfRule type="cellIs" dxfId="563" priority="126" operator="equal">
      <formula>"Menor"</formula>
    </cfRule>
    <cfRule type="cellIs" dxfId="562" priority="127" operator="equal">
      <formula>"Leve"</formula>
    </cfRule>
  </conditionalFormatting>
  <conditionalFormatting sqref="AJ43:AJ48">
    <cfRule type="cellIs" dxfId="561" priority="119" operator="equal">
      <formula>"Extremo"</formula>
    </cfRule>
    <cfRule type="cellIs" dxfId="560" priority="120" operator="equal">
      <formula>"Alto"</formula>
    </cfRule>
    <cfRule type="cellIs" dxfId="559" priority="121" operator="equal">
      <formula>"Moderado"</formula>
    </cfRule>
    <cfRule type="cellIs" dxfId="558" priority="122" operator="equal">
      <formula>"Bajo"</formula>
    </cfRule>
  </conditionalFormatting>
  <conditionalFormatting sqref="O49">
    <cfRule type="cellIs" dxfId="557" priority="114" operator="equal">
      <formula>"Muy Alta"</formula>
    </cfRule>
    <cfRule type="cellIs" dxfId="556" priority="115" operator="equal">
      <formula>"Alta"</formula>
    </cfRule>
    <cfRule type="cellIs" dxfId="555" priority="116" operator="equal">
      <formula>"Media"</formula>
    </cfRule>
    <cfRule type="cellIs" dxfId="554" priority="117" operator="equal">
      <formula>"Baja"</formula>
    </cfRule>
    <cfRule type="cellIs" dxfId="553" priority="118" operator="equal">
      <formula>"Muy Baja"</formula>
    </cfRule>
  </conditionalFormatting>
  <conditionalFormatting sqref="U49">
    <cfRule type="cellIs" dxfId="552" priority="105" operator="equal">
      <formula>"Extremo"</formula>
    </cfRule>
    <cfRule type="cellIs" dxfId="551" priority="106" operator="equal">
      <formula>"Alto"</formula>
    </cfRule>
    <cfRule type="cellIs" dxfId="550" priority="107" operator="equal">
      <formula>"Moderado"</formula>
    </cfRule>
    <cfRule type="cellIs" dxfId="549" priority="108" operator="equal">
      <formula>"Bajo"</formula>
    </cfRule>
  </conditionalFormatting>
  <conditionalFormatting sqref="AF49:AF54">
    <cfRule type="cellIs" dxfId="548" priority="100" operator="equal">
      <formula>"Muy Alta"</formula>
    </cfRule>
    <cfRule type="cellIs" dxfId="547" priority="101" operator="equal">
      <formula>"Alta"</formula>
    </cfRule>
    <cfRule type="cellIs" dxfId="546" priority="102" operator="equal">
      <formula>"Media"</formula>
    </cfRule>
    <cfRule type="cellIs" dxfId="545" priority="103" operator="equal">
      <formula>"Baja"</formula>
    </cfRule>
    <cfRule type="cellIs" dxfId="544" priority="104" operator="equal">
      <formula>"Muy Baja"</formula>
    </cfRule>
  </conditionalFormatting>
  <conditionalFormatting sqref="AH49:AH54">
    <cfRule type="cellIs" dxfId="543" priority="95" operator="equal">
      <formula>"Catastrófico"</formula>
    </cfRule>
    <cfRule type="cellIs" dxfId="542" priority="96" operator="equal">
      <formula>"Mayor"</formula>
    </cfRule>
    <cfRule type="cellIs" dxfId="541" priority="97" operator="equal">
      <formula>"Moderado"</formula>
    </cfRule>
    <cfRule type="cellIs" dxfId="540" priority="98" operator="equal">
      <formula>"Menor"</formula>
    </cfRule>
    <cfRule type="cellIs" dxfId="539" priority="99" operator="equal">
      <formula>"Leve"</formula>
    </cfRule>
  </conditionalFormatting>
  <conditionalFormatting sqref="AJ49:AJ54">
    <cfRule type="cellIs" dxfId="538" priority="91" operator="equal">
      <formula>"Extremo"</formula>
    </cfRule>
    <cfRule type="cellIs" dxfId="537" priority="92" operator="equal">
      <formula>"Alto"</formula>
    </cfRule>
    <cfRule type="cellIs" dxfId="536" priority="93" operator="equal">
      <formula>"Moderado"</formula>
    </cfRule>
    <cfRule type="cellIs" dxfId="535" priority="94" operator="equal">
      <formula>"Bajo"</formula>
    </cfRule>
  </conditionalFormatting>
  <conditionalFormatting sqref="U55">
    <cfRule type="cellIs" dxfId="534" priority="77" operator="equal">
      <formula>"Extremo"</formula>
    </cfRule>
    <cfRule type="cellIs" dxfId="533" priority="78" operator="equal">
      <formula>"Alto"</formula>
    </cfRule>
    <cfRule type="cellIs" dxfId="532" priority="79" operator="equal">
      <formula>"Moderado"</formula>
    </cfRule>
    <cfRule type="cellIs" dxfId="531" priority="80" operator="equal">
      <formula>"Bajo"</formula>
    </cfRule>
  </conditionalFormatting>
  <conditionalFormatting sqref="AF55:AF60">
    <cfRule type="cellIs" dxfId="530" priority="72" operator="equal">
      <formula>"Muy Alta"</formula>
    </cfRule>
    <cfRule type="cellIs" dxfId="529" priority="73" operator="equal">
      <formula>"Alta"</formula>
    </cfRule>
    <cfRule type="cellIs" dxfId="528" priority="74" operator="equal">
      <formula>"Media"</formula>
    </cfRule>
    <cfRule type="cellIs" dxfId="527" priority="75" operator="equal">
      <formula>"Baja"</formula>
    </cfRule>
    <cfRule type="cellIs" dxfId="526" priority="76" operator="equal">
      <formula>"Muy Baja"</formula>
    </cfRule>
  </conditionalFormatting>
  <conditionalFormatting sqref="AH55:AH60">
    <cfRule type="cellIs" dxfId="525" priority="67" operator="equal">
      <formula>"Catastrófico"</formula>
    </cfRule>
    <cfRule type="cellIs" dxfId="524" priority="68" operator="equal">
      <formula>"Mayor"</formula>
    </cfRule>
    <cfRule type="cellIs" dxfId="523" priority="69" operator="equal">
      <formula>"Moderado"</formula>
    </cfRule>
    <cfRule type="cellIs" dxfId="522" priority="70" operator="equal">
      <formula>"Menor"</formula>
    </cfRule>
    <cfRule type="cellIs" dxfId="521" priority="71" operator="equal">
      <formula>"Leve"</formula>
    </cfRule>
  </conditionalFormatting>
  <conditionalFormatting sqref="AJ55:AJ60">
    <cfRule type="cellIs" dxfId="520" priority="63" operator="equal">
      <formula>"Extremo"</formula>
    </cfRule>
    <cfRule type="cellIs" dxfId="519" priority="64" operator="equal">
      <formula>"Alto"</formula>
    </cfRule>
    <cfRule type="cellIs" dxfId="518" priority="65" operator="equal">
      <formula>"Moderado"</formula>
    </cfRule>
    <cfRule type="cellIs" dxfId="517" priority="66" operator="equal">
      <formula>"Bajo"</formula>
    </cfRule>
  </conditionalFormatting>
  <conditionalFormatting sqref="U61">
    <cfRule type="cellIs" dxfId="516" priority="49" operator="equal">
      <formula>"Extremo"</formula>
    </cfRule>
    <cfRule type="cellIs" dxfId="515" priority="50" operator="equal">
      <formula>"Alto"</formula>
    </cfRule>
    <cfRule type="cellIs" dxfId="514" priority="51" operator="equal">
      <formula>"Moderado"</formula>
    </cfRule>
    <cfRule type="cellIs" dxfId="513" priority="52" operator="equal">
      <formula>"Bajo"</formula>
    </cfRule>
  </conditionalFormatting>
  <conditionalFormatting sqref="AF61:AF66">
    <cfRule type="cellIs" dxfId="512" priority="44" operator="equal">
      <formula>"Muy Alta"</formula>
    </cfRule>
    <cfRule type="cellIs" dxfId="511" priority="45" operator="equal">
      <formula>"Alta"</formula>
    </cfRule>
    <cfRule type="cellIs" dxfId="510" priority="46" operator="equal">
      <formula>"Media"</formula>
    </cfRule>
    <cfRule type="cellIs" dxfId="509" priority="47" operator="equal">
      <formula>"Baja"</formula>
    </cfRule>
    <cfRule type="cellIs" dxfId="508" priority="48" operator="equal">
      <formula>"Muy Baja"</formula>
    </cfRule>
  </conditionalFormatting>
  <conditionalFormatting sqref="AH61:AH66">
    <cfRule type="cellIs" dxfId="507" priority="39" operator="equal">
      <formula>"Catastrófico"</formula>
    </cfRule>
    <cfRule type="cellIs" dxfId="506" priority="40" operator="equal">
      <formula>"Mayor"</formula>
    </cfRule>
    <cfRule type="cellIs" dxfId="505" priority="41" operator="equal">
      <formula>"Moderado"</formula>
    </cfRule>
    <cfRule type="cellIs" dxfId="504" priority="42" operator="equal">
      <formula>"Menor"</formula>
    </cfRule>
    <cfRule type="cellIs" dxfId="503" priority="43" operator="equal">
      <formula>"Leve"</formula>
    </cfRule>
  </conditionalFormatting>
  <conditionalFormatting sqref="AJ61:AJ66">
    <cfRule type="cellIs" dxfId="502" priority="35" operator="equal">
      <formula>"Extremo"</formula>
    </cfRule>
    <cfRule type="cellIs" dxfId="501" priority="36" operator="equal">
      <formula>"Alto"</formula>
    </cfRule>
    <cfRule type="cellIs" dxfId="500" priority="37" operator="equal">
      <formula>"Moderado"</formula>
    </cfRule>
    <cfRule type="cellIs" dxfId="499" priority="38" operator="equal">
      <formula>"Bajo"</formula>
    </cfRule>
  </conditionalFormatting>
  <conditionalFormatting sqref="O67">
    <cfRule type="cellIs" dxfId="498" priority="30" operator="equal">
      <formula>"Muy Alta"</formula>
    </cfRule>
    <cfRule type="cellIs" dxfId="497" priority="31" operator="equal">
      <formula>"Alta"</formula>
    </cfRule>
    <cfRule type="cellIs" dxfId="496" priority="32" operator="equal">
      <formula>"Media"</formula>
    </cfRule>
    <cfRule type="cellIs" dxfId="495" priority="33" operator="equal">
      <formula>"Baja"</formula>
    </cfRule>
    <cfRule type="cellIs" dxfId="494" priority="34" operator="equal">
      <formula>"Muy Baja"</formula>
    </cfRule>
  </conditionalFormatting>
  <conditionalFormatting sqref="U67">
    <cfRule type="cellIs" dxfId="493" priority="21" operator="equal">
      <formula>"Extremo"</formula>
    </cfRule>
    <cfRule type="cellIs" dxfId="492" priority="22" operator="equal">
      <formula>"Alto"</formula>
    </cfRule>
    <cfRule type="cellIs" dxfId="491" priority="23" operator="equal">
      <formula>"Moderado"</formula>
    </cfRule>
    <cfRule type="cellIs" dxfId="490" priority="24" operator="equal">
      <formula>"Bajo"</formula>
    </cfRule>
  </conditionalFormatting>
  <conditionalFormatting sqref="AF67:AF72">
    <cfRule type="cellIs" dxfId="489" priority="16" operator="equal">
      <formula>"Muy Alta"</formula>
    </cfRule>
    <cfRule type="cellIs" dxfId="488" priority="17" operator="equal">
      <formula>"Alta"</formula>
    </cfRule>
    <cfRule type="cellIs" dxfId="487" priority="18" operator="equal">
      <formula>"Media"</formula>
    </cfRule>
    <cfRule type="cellIs" dxfId="486" priority="19" operator="equal">
      <formula>"Baja"</formula>
    </cfRule>
    <cfRule type="cellIs" dxfId="485" priority="20" operator="equal">
      <formula>"Muy Baja"</formula>
    </cfRule>
  </conditionalFormatting>
  <conditionalFormatting sqref="AH67:AH72">
    <cfRule type="cellIs" dxfId="484" priority="11" operator="equal">
      <formula>"Catastrófico"</formula>
    </cfRule>
    <cfRule type="cellIs" dxfId="483" priority="12" operator="equal">
      <formula>"Mayor"</formula>
    </cfRule>
    <cfRule type="cellIs" dxfId="482" priority="13" operator="equal">
      <formula>"Moderado"</formula>
    </cfRule>
    <cfRule type="cellIs" dxfId="481" priority="14" operator="equal">
      <formula>"Menor"</formula>
    </cfRule>
    <cfRule type="cellIs" dxfId="480" priority="15" operator="equal">
      <formula>"Leve"</formula>
    </cfRule>
  </conditionalFormatting>
  <conditionalFormatting sqref="AJ67:AJ72">
    <cfRule type="cellIs" dxfId="479" priority="7" operator="equal">
      <formula>"Extremo"</formula>
    </cfRule>
    <cfRule type="cellIs" dxfId="478" priority="8" operator="equal">
      <formula>"Alto"</formula>
    </cfRule>
    <cfRule type="cellIs" dxfId="477" priority="9" operator="equal">
      <formula>"Moderado"</formula>
    </cfRule>
    <cfRule type="cellIs" dxfId="476" priority="10" operator="equal">
      <formula>"Bajo"</formula>
    </cfRule>
  </conditionalFormatting>
  <conditionalFormatting sqref="R13:R72">
    <cfRule type="containsText" dxfId="475" priority="6" operator="containsText" text="❌">
      <formula>NOT(ISERROR(SEARCH("❌",R13)))</formula>
    </cfRule>
  </conditionalFormatting>
  <conditionalFormatting sqref="O55">
    <cfRule type="cellIs" dxfId="474" priority="1" operator="equal">
      <formula>"Muy Alta"</formula>
    </cfRule>
    <cfRule type="cellIs" dxfId="473" priority="2" operator="equal">
      <formula>"Alta"</formula>
    </cfRule>
    <cfRule type="cellIs" dxfId="472" priority="3" operator="equal">
      <formula>"Media"</formula>
    </cfRule>
    <cfRule type="cellIs" dxfId="471" priority="4" operator="equal">
      <formula>"Baja"</formula>
    </cfRule>
    <cfRule type="cellIs" dxfId="470" priority="5" operator="equal">
      <formula>"Muy Baja"</formula>
    </cfRule>
  </conditionalFormatting>
  <dataValidations count="1">
    <dataValidation allowBlank="1" showInputMessage="1" showErrorMessage="1" error="Recuerde que las acciones se generan bajo la medida de mitigar el riesgo" sqref="AP19:AR24" xr:uid="{00000000-0002-0000-0300-000000000000}"/>
  </dataValidations>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ignoredErrors>
    <ignoredError sqref="AI15" formula="1"/>
  </ignoredError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300-000001000000}">
          <x14:formula1>
            <xm:f>'Tabla Valoración controles'!$D$4:$D$6</xm:f>
          </x14:formula1>
          <xm:sqref>Y13:Y72</xm:sqref>
        </x14:dataValidation>
        <x14:dataValidation type="list" allowBlank="1" showInputMessage="1" showErrorMessage="1" xr:uid="{00000000-0002-0000-0300-000002000000}">
          <x14:formula1>
            <xm:f>'Tabla Valoración controles'!$D$7:$D$8</xm:f>
          </x14:formula1>
          <xm:sqref>Z13:Z72</xm:sqref>
        </x14:dataValidation>
        <x14:dataValidation type="list" allowBlank="1" showInputMessage="1" showErrorMessage="1" xr:uid="{00000000-0002-0000-0300-000003000000}">
          <x14:formula1>
            <xm:f>'Tabla Valoración controles'!$D$9:$D$10</xm:f>
          </x14:formula1>
          <xm:sqref>AB13:AB72</xm:sqref>
        </x14:dataValidation>
        <x14:dataValidation type="list" allowBlank="1" showInputMessage="1" showErrorMessage="1" xr:uid="{00000000-0002-0000-0300-000004000000}">
          <x14:formula1>
            <xm:f>'Tabla Valoración controles'!$D$11:$D$12</xm:f>
          </x14:formula1>
          <xm:sqref>AC13:AC72</xm:sqref>
        </x14:dataValidation>
        <x14:dataValidation type="list" allowBlank="1" showInputMessage="1" showErrorMessage="1" xr:uid="{00000000-0002-0000-0300-000005000000}">
          <x14:formula1>
            <xm:f>'Tabla Valoración controles'!$D$13:$D$14</xm:f>
          </x14:formula1>
          <xm:sqref>AD13:AD72</xm:sqref>
        </x14:dataValidation>
        <x14:dataValidation type="list" allowBlank="1" showInputMessage="1" showErrorMessage="1" xr:uid="{00000000-0002-0000-0300-000006000000}">
          <x14:formula1>
            <xm:f>Listas!$E$2:$E$4</xm:f>
          </x14:formula1>
          <xm:sqref>B13:B72</xm:sqref>
        </x14:dataValidation>
        <x14:dataValidation type="list" allowBlank="1" showInputMessage="1" showErrorMessage="1" xr:uid="{00000000-0002-0000-0300-000007000000}">
          <x14:formula1>
            <xm:f>Listas!$B$2:$B$5</xm:f>
          </x14:formula1>
          <xm:sqref>AK13:AK72</xm:sqref>
        </x14:dataValidation>
        <x14:dataValidation type="list" allowBlank="1" showInputMessage="1" showErrorMessage="1" xr:uid="{00000000-0002-0000-0300-000008000000}">
          <x14:formula1>
            <xm:f>'Tabla Impacto'!$F$211:$F$222</xm:f>
          </x14:formula1>
          <xm:sqref>Q13:Q72</xm:sqref>
        </x14:dataValidation>
        <x14:dataValidation type="custom" allowBlank="1" showInputMessage="1" showErrorMessage="1" error="Recuerde que las acciones se generan bajo la medida de mitigar el riesgo" xr:uid="{00000000-0002-0000-0300-000009000000}">
          <x14:formula1>
            <xm:f>IF(OR(#REF!=Listas!$B$2,#REF!=Listas!$B$3,#REF!=Listas!$B$4),ISBLANK(#REF!),ISTEXT(#REF!))</xm:f>
          </x14:formula1>
          <xm:sqref>AP25:AR25 AP67:AR67 AP61:AR61 AP55:AR55 AP49:AR49 AP43:AR43 AP37:AR37 AP31:AR31</xm:sqref>
        </x14:dataValidation>
        <x14:dataValidation type="list" allowBlank="1" showInputMessage="1" showErrorMessage="1" xr:uid="{00000000-0002-0000-0300-00000A000000}">
          <x14:formula1>
            <xm:f>Listas!$B$12:$B$16</xm:f>
          </x14:formula1>
          <xm:sqref>F13:F72</xm:sqref>
        </x14:dataValidation>
        <x14:dataValidation type="list" allowBlank="1" showInputMessage="1" showErrorMessage="1" xr:uid="{00000000-0002-0000-0300-00000B000000}">
          <x14:formula1>
            <xm:f>Listas!$F$8:$F$9</xm:f>
          </x14:formula1>
          <xm:sqref>G13:G72</xm:sqref>
        </x14:dataValidation>
        <x14:dataValidation type="list" allowBlank="1" showInputMessage="1" showErrorMessage="1" xr:uid="{00000000-0002-0000-0300-00000C000000}">
          <x14:formula1>
            <xm:f>Intructivo!$C$300:$C$316</xm:f>
          </x14:formula1>
          <xm:sqref>U6:V6</xm:sqref>
        </x14:dataValidation>
        <x14:dataValidation type="list" allowBlank="1" showInputMessage="1" showErrorMessage="1" xr:uid="{00000000-0002-0000-0300-00000D000000}">
          <x14:formula1>
            <xm:f>Listas!$H$8:$H$12</xm:f>
          </x14:formula1>
          <xm:sqref>L13:L72</xm:sqref>
        </x14:dataValidation>
        <x14:dataValidation type="list" allowBlank="1" showInputMessage="1" showErrorMessage="1" xr:uid="{00000000-0002-0000-0300-00000E000000}">
          <x14:formula1>
            <xm:f>Listas!$H$14:$H$18</xm:f>
          </x14:formula1>
          <xm:sqref>M13:M72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topLeftCell="A2" zoomScale="40" zoomScaleNormal="40" workbookViewId="0">
      <selection activeCell="Z14" sqref="Z14:AA15"/>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462" t="s">
        <v>263</v>
      </c>
      <c r="C2" s="462"/>
      <c r="D2" s="462"/>
      <c r="E2" s="462"/>
      <c r="F2" s="462"/>
      <c r="G2" s="462"/>
      <c r="H2" s="462"/>
      <c r="I2" s="462"/>
      <c r="J2" s="499" t="s">
        <v>15</v>
      </c>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462"/>
      <c r="C3" s="462"/>
      <c r="D3" s="462"/>
      <c r="E3" s="462"/>
      <c r="F3" s="462"/>
      <c r="G3" s="462"/>
      <c r="H3" s="462"/>
      <c r="I3" s="462"/>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462"/>
      <c r="C4" s="462"/>
      <c r="D4" s="462"/>
      <c r="E4" s="462"/>
      <c r="F4" s="462"/>
      <c r="G4" s="462"/>
      <c r="H4" s="462"/>
      <c r="I4" s="462"/>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499"/>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510" t="s">
        <v>264</v>
      </c>
      <c r="C6" s="510"/>
      <c r="D6" s="511"/>
      <c r="E6" s="500" t="s">
        <v>265</v>
      </c>
      <c r="F6" s="501"/>
      <c r="G6" s="501"/>
      <c r="H6" s="501"/>
      <c r="I6" s="502"/>
      <c r="J6" s="496" t="str">
        <f>IF(AND('Riesgos de Gestión'!$O$13="Muy Alta",'Riesgos de Gestión'!$S$13="Leve"),CONCATENATE("R",'Riesgos de Gestión'!$A$13),"")</f>
        <v/>
      </c>
      <c r="K6" s="497"/>
      <c r="L6" s="497" t="str">
        <f>IF(AND('Riesgos de Gestión'!$O$19="Muy Alta",'Riesgos de Gestión'!$S$19="Leve"),CONCATENATE("R",'Riesgos de Gestión'!$A$19),"")</f>
        <v/>
      </c>
      <c r="M6" s="497"/>
      <c r="N6" s="497" t="str">
        <f>IF(AND('Riesgos de Gestión'!$O$25="Muy Alta",'Riesgos de Gestión'!$S$25="Leve"),CONCATENATE("R",'Riesgos de Gestión'!$A$25),"")</f>
        <v/>
      </c>
      <c r="O6" s="498"/>
      <c r="P6" s="496" t="str">
        <f>IF(AND('Riesgos de Gestión'!$O$13="Muy Alta",'Riesgos de Gestión'!$S$13="Menor"),CONCATENATE("R",'Riesgos de Gestión'!$A$13),"")</f>
        <v/>
      </c>
      <c r="Q6" s="497"/>
      <c r="R6" s="497" t="str">
        <f>IF(AND('Riesgos de Gestión'!$O$19="Muy Alta",'Riesgos de Gestión'!$S$19="Menor"),CONCATENATE("R",'Riesgos de Gestión'!$A$19),"")</f>
        <v/>
      </c>
      <c r="S6" s="497"/>
      <c r="T6" s="497" t="str">
        <f>IF(AND('Riesgos de Gestión'!$O$25="Muy Alta",'Riesgos de Gestión'!$S$25="Menor"),CONCATENATE("R",'Riesgos de Gestión'!$A$25),"")</f>
        <v/>
      </c>
      <c r="U6" s="498"/>
      <c r="V6" s="496" t="str">
        <f>IF(AND('Riesgos de Gestión'!$O$13="Muy Alta",'Riesgos de Gestión'!$S$13="Moderado"),CONCATENATE("R",'Riesgos de Gestión'!$A$13),"")</f>
        <v/>
      </c>
      <c r="W6" s="497"/>
      <c r="X6" s="497" t="str">
        <f>IF(AND('Riesgos de Gestión'!$O$19="Muy Alta",'Riesgos de Gestión'!$S$19="Moderado"),CONCATENATE("R",'Riesgos de Gestión'!$A$19),"")</f>
        <v/>
      </c>
      <c r="Y6" s="497"/>
      <c r="Z6" s="497" t="str">
        <f>IF(AND('Riesgos de Gestión'!$O$25="Muy Alta",'Riesgos de Gestión'!$S$25="Moderado"),CONCATENATE("R",'Riesgos de Gestión'!$A$25),"")</f>
        <v/>
      </c>
      <c r="AA6" s="498"/>
      <c r="AB6" s="496" t="str">
        <f>IF(AND('Riesgos de Gestión'!$O$13="Muy Alta",'Riesgos de Gestión'!$S$13="Mayor"),CONCATENATE("R",'Riesgos de Gestión'!$A$13),"")</f>
        <v/>
      </c>
      <c r="AC6" s="497"/>
      <c r="AD6" s="497" t="str">
        <f>IF(AND('Riesgos de Gestión'!$O$19="Muy Alta",'Riesgos de Gestión'!$S$19="Mayor"),CONCATENATE("R",'Riesgos de Gestión'!$A$19),"")</f>
        <v/>
      </c>
      <c r="AE6" s="497"/>
      <c r="AF6" s="497" t="str">
        <f>IF(AND('Riesgos de Gestión'!$O$25="Muy Alta",'Riesgos de Gestión'!$S$25="Mayor"),CONCATENATE("R",'Riesgos de Gestión'!$A$25),"")</f>
        <v/>
      </c>
      <c r="AG6" s="498"/>
      <c r="AH6" s="487" t="str">
        <f>IF(AND('Riesgos de Gestión'!$O$13="Muy Alta",'Riesgos de Gestión'!$S$13="Catastrófico"),CONCATENATE("R",'Riesgos de Gestión'!$A$13),"")</f>
        <v/>
      </c>
      <c r="AI6" s="488"/>
      <c r="AJ6" s="488" t="str">
        <f>IF(AND('Riesgos de Gestión'!$O$19="Muy Alta",'Riesgos de Gestión'!$S$19="Catastrófico"),CONCATENATE("R",'Riesgos de Gestión'!$A$19),"")</f>
        <v/>
      </c>
      <c r="AK6" s="488"/>
      <c r="AL6" s="488" t="str">
        <f>IF(AND('Riesgos de Gestión'!$O$25="Muy Alta",'Riesgos de Gestión'!$S$25="Catastrófico"),CONCATENATE("R",'Riesgos de Gestión'!$A$25),"")</f>
        <v/>
      </c>
      <c r="AM6" s="489"/>
      <c r="AO6" s="512" t="s">
        <v>266</v>
      </c>
      <c r="AP6" s="513"/>
      <c r="AQ6" s="513"/>
      <c r="AR6" s="513"/>
      <c r="AS6" s="513"/>
      <c r="AT6" s="514"/>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510"/>
      <c r="C7" s="510"/>
      <c r="D7" s="511"/>
      <c r="E7" s="503"/>
      <c r="F7" s="504"/>
      <c r="G7" s="504"/>
      <c r="H7" s="504"/>
      <c r="I7" s="505"/>
      <c r="J7" s="490"/>
      <c r="K7" s="491"/>
      <c r="L7" s="491"/>
      <c r="M7" s="491"/>
      <c r="N7" s="491"/>
      <c r="O7" s="492"/>
      <c r="P7" s="490"/>
      <c r="Q7" s="491"/>
      <c r="R7" s="491"/>
      <c r="S7" s="491"/>
      <c r="T7" s="491"/>
      <c r="U7" s="492"/>
      <c r="V7" s="490"/>
      <c r="W7" s="491"/>
      <c r="X7" s="491"/>
      <c r="Y7" s="491"/>
      <c r="Z7" s="491"/>
      <c r="AA7" s="492"/>
      <c r="AB7" s="490"/>
      <c r="AC7" s="491"/>
      <c r="AD7" s="491"/>
      <c r="AE7" s="491"/>
      <c r="AF7" s="491"/>
      <c r="AG7" s="492"/>
      <c r="AH7" s="481"/>
      <c r="AI7" s="482"/>
      <c r="AJ7" s="482"/>
      <c r="AK7" s="482"/>
      <c r="AL7" s="482"/>
      <c r="AM7" s="483"/>
      <c r="AN7" s="66"/>
      <c r="AO7" s="515"/>
      <c r="AP7" s="516"/>
      <c r="AQ7" s="516"/>
      <c r="AR7" s="516"/>
      <c r="AS7" s="516"/>
      <c r="AT7" s="517"/>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510"/>
      <c r="C8" s="510"/>
      <c r="D8" s="511"/>
      <c r="E8" s="503"/>
      <c r="F8" s="504"/>
      <c r="G8" s="504"/>
      <c r="H8" s="504"/>
      <c r="I8" s="505"/>
      <c r="J8" s="490" t="str">
        <f>IF(AND('Riesgos de Gestión'!$O$31="Muy Alta",'Riesgos de Gestión'!$S$31="Leve"),CONCATENATE("R",'Riesgos de Gestión'!$A$31),"")</f>
        <v/>
      </c>
      <c r="K8" s="491"/>
      <c r="L8" s="491" t="str">
        <f>IF(AND('Riesgos de Gestión'!$O$37="Muy Alta",'Riesgos de Gestión'!$S$37="Leve"),CONCATENATE("R",'Riesgos de Gestión'!$A$37),"")</f>
        <v/>
      </c>
      <c r="M8" s="491"/>
      <c r="N8" s="491" t="str">
        <f>IF(AND('Riesgos de Gestión'!$O$43="Muy Alta",'Riesgos de Gestión'!$S$43="Leve"),CONCATENATE("R",'Riesgos de Gestión'!$A$43),"")</f>
        <v/>
      </c>
      <c r="O8" s="492"/>
      <c r="P8" s="490" t="str">
        <f>IF(AND('Riesgos de Gestión'!$O$31="Muy Alta",'Riesgos de Gestión'!$S$31="Menor"),CONCATENATE("R",'Riesgos de Gestión'!$A$31),"")</f>
        <v/>
      </c>
      <c r="Q8" s="491"/>
      <c r="R8" s="491" t="str">
        <f>IF(AND('Riesgos de Gestión'!$O$37="Muy Alta",'Riesgos de Gestión'!$S$37="Menor"),CONCATENATE("R",'Riesgos de Gestión'!$A$37),"")</f>
        <v/>
      </c>
      <c r="S8" s="491"/>
      <c r="T8" s="491" t="str">
        <f>IF(AND('Riesgos de Gestión'!$O$43="Muy Alta",'Riesgos de Gestión'!$S$43="Menor"),CONCATENATE("R",'Riesgos de Gestión'!$A$43),"")</f>
        <v/>
      </c>
      <c r="U8" s="492"/>
      <c r="V8" s="490" t="str">
        <f>IF(AND('Riesgos de Gestión'!$O$31="Muy Alta",'Riesgos de Gestión'!$S$31="Moderado"),CONCATENATE("R",'Riesgos de Gestión'!$A$31),"")</f>
        <v/>
      </c>
      <c r="W8" s="491"/>
      <c r="X8" s="491" t="str">
        <f>IF(AND('Riesgos de Gestión'!$O$37="Muy Alta",'Riesgos de Gestión'!$S$37="Moderado"),CONCATENATE("R",'Riesgos de Gestión'!$A$37),"")</f>
        <v/>
      </c>
      <c r="Y8" s="491"/>
      <c r="Z8" s="491" t="str">
        <f>IF(AND('Riesgos de Gestión'!$O$43="Muy Alta",'Riesgos de Gestión'!$S$43="Moderado"),CONCATENATE("R",'Riesgos de Gestión'!$A$43),"")</f>
        <v/>
      </c>
      <c r="AA8" s="492"/>
      <c r="AB8" s="490" t="str">
        <f>IF(AND('Riesgos de Gestión'!$O$31="Muy Alta",'Riesgos de Gestión'!$S$31="Mayor"),CONCATENATE("R",'Riesgos de Gestión'!$A$31),"")</f>
        <v/>
      </c>
      <c r="AC8" s="491"/>
      <c r="AD8" s="491" t="str">
        <f>IF(AND('Riesgos de Gestión'!$O$37="Muy Alta",'Riesgos de Gestión'!$S$37="Mayor"),CONCATENATE("R",'Riesgos de Gestión'!$A$37),"")</f>
        <v/>
      </c>
      <c r="AE8" s="491"/>
      <c r="AF8" s="491" t="str">
        <f>IF(AND('Riesgos de Gestión'!$O$43="Muy Alta",'Riesgos de Gestión'!$S$43="Mayor"),CONCATENATE("R",'Riesgos de Gestión'!$A$43),"")</f>
        <v/>
      </c>
      <c r="AG8" s="492"/>
      <c r="AH8" s="481" t="str">
        <f>IF(AND('Riesgos de Gestión'!$O$31="Muy Alta",'Riesgos de Gestión'!$S$31="Catastrófico"),CONCATENATE("R",'Riesgos de Gestión'!$A$31),"")</f>
        <v/>
      </c>
      <c r="AI8" s="482"/>
      <c r="AJ8" s="482" t="str">
        <f>IF(AND('Riesgos de Gestión'!$O$37="Muy Alta",'Riesgos de Gestión'!$S$37="Catastrófico"),CONCATENATE("R",'Riesgos de Gestión'!$A$37),"")</f>
        <v/>
      </c>
      <c r="AK8" s="482"/>
      <c r="AL8" s="482" t="str">
        <f>IF(AND('Riesgos de Gestión'!$O$43="Muy Alta",'Riesgos de Gestión'!$S$43="Catastrófico"),CONCATENATE("R",'Riesgos de Gestión'!$A$43),"")</f>
        <v/>
      </c>
      <c r="AM8" s="483"/>
      <c r="AN8" s="66"/>
      <c r="AO8" s="515"/>
      <c r="AP8" s="516"/>
      <c r="AQ8" s="516"/>
      <c r="AR8" s="516"/>
      <c r="AS8" s="516"/>
      <c r="AT8" s="517"/>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510"/>
      <c r="C9" s="510"/>
      <c r="D9" s="511"/>
      <c r="E9" s="503"/>
      <c r="F9" s="504"/>
      <c r="G9" s="504"/>
      <c r="H9" s="504"/>
      <c r="I9" s="505"/>
      <c r="J9" s="490"/>
      <c r="K9" s="491"/>
      <c r="L9" s="491"/>
      <c r="M9" s="491"/>
      <c r="N9" s="491"/>
      <c r="O9" s="492"/>
      <c r="P9" s="490"/>
      <c r="Q9" s="491"/>
      <c r="R9" s="491"/>
      <c r="S9" s="491"/>
      <c r="T9" s="491"/>
      <c r="U9" s="492"/>
      <c r="V9" s="490"/>
      <c r="W9" s="491"/>
      <c r="X9" s="491"/>
      <c r="Y9" s="491"/>
      <c r="Z9" s="491"/>
      <c r="AA9" s="492"/>
      <c r="AB9" s="490"/>
      <c r="AC9" s="491"/>
      <c r="AD9" s="491"/>
      <c r="AE9" s="491"/>
      <c r="AF9" s="491"/>
      <c r="AG9" s="492"/>
      <c r="AH9" s="481"/>
      <c r="AI9" s="482"/>
      <c r="AJ9" s="482"/>
      <c r="AK9" s="482"/>
      <c r="AL9" s="482"/>
      <c r="AM9" s="483"/>
      <c r="AN9" s="66"/>
      <c r="AO9" s="515"/>
      <c r="AP9" s="516"/>
      <c r="AQ9" s="516"/>
      <c r="AR9" s="516"/>
      <c r="AS9" s="516"/>
      <c r="AT9" s="517"/>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510"/>
      <c r="C10" s="510"/>
      <c r="D10" s="511"/>
      <c r="E10" s="503"/>
      <c r="F10" s="504"/>
      <c r="G10" s="504"/>
      <c r="H10" s="504"/>
      <c r="I10" s="505"/>
      <c r="J10" s="490" t="str">
        <f>IF(AND('Riesgos de Gestión'!$O$49="Muy Alta",'Riesgos de Gestión'!$S$49="Leve"),CONCATENATE("R",'Riesgos de Gestión'!$A$49),"")</f>
        <v/>
      </c>
      <c r="K10" s="491"/>
      <c r="L10" s="491" t="str">
        <f>IF(AND('Riesgos de Gestión'!$O$55="Muy Alta",'Riesgos de Gestión'!$S$55="Leve"),CONCATENATE("R",'Riesgos de Gestión'!$A$55),"")</f>
        <v/>
      </c>
      <c r="M10" s="491"/>
      <c r="N10" s="491" t="str">
        <f>IF(AND('Riesgos de Gestión'!$O$61="Muy Alta",'Riesgos de Gestión'!$S$61="Leve"),CONCATENATE("R",'Riesgos de Gestión'!$A$61),"")</f>
        <v/>
      </c>
      <c r="O10" s="492"/>
      <c r="P10" s="490" t="str">
        <f>IF(AND('Riesgos de Gestión'!$O$49="Muy Alta",'Riesgos de Gestión'!$S$49="Menor"),CONCATENATE("R",'Riesgos de Gestión'!$A$49),"")</f>
        <v/>
      </c>
      <c r="Q10" s="491"/>
      <c r="R10" s="491" t="str">
        <f>IF(AND('Riesgos de Gestión'!$O$55="Muy Alta",'Riesgos de Gestión'!$S$55="Menor"),CONCATENATE("R",'Riesgos de Gestión'!$A$55),"")</f>
        <v/>
      </c>
      <c r="S10" s="491"/>
      <c r="T10" s="491" t="str">
        <f>IF(AND('Riesgos de Gestión'!$O$61="Muy Alta",'Riesgos de Gestión'!$S$61="Menor"),CONCATENATE("R",'Riesgos de Gestión'!$A$61),"")</f>
        <v/>
      </c>
      <c r="U10" s="492"/>
      <c r="V10" s="490" t="str">
        <f>IF(AND('Riesgos de Gestión'!$O$49="Muy Alta",'Riesgos de Gestión'!$S$49="Moderado"),CONCATENATE("R",'Riesgos de Gestión'!$A$49),"")</f>
        <v/>
      </c>
      <c r="W10" s="491"/>
      <c r="X10" s="491" t="str">
        <f>IF(AND('Riesgos de Gestión'!$O$55="Muy Alta",'Riesgos de Gestión'!$S$55="Moderado"),CONCATENATE("R",'Riesgos de Gestión'!$A$55),"")</f>
        <v/>
      </c>
      <c r="Y10" s="491"/>
      <c r="Z10" s="491" t="str">
        <f>IF(AND('Riesgos de Gestión'!$O$61="Muy Alta",'Riesgos de Gestión'!$S$61="Moderado"),CONCATENATE("R",'Riesgos de Gestión'!$A$61),"")</f>
        <v/>
      </c>
      <c r="AA10" s="492"/>
      <c r="AB10" s="490" t="str">
        <f>IF(AND('Riesgos de Gestión'!$O$49="Muy Alta",'Riesgos de Gestión'!$S$49="Mayor"),CONCATENATE("R",'Riesgos de Gestión'!$A$49),"")</f>
        <v/>
      </c>
      <c r="AC10" s="491"/>
      <c r="AD10" s="491" t="str">
        <f>IF(AND('Riesgos de Gestión'!$O$55="Muy Alta",'Riesgos de Gestión'!$S$55="Mayor"),CONCATENATE("R",'Riesgos de Gestión'!$A$55),"")</f>
        <v/>
      </c>
      <c r="AE10" s="491"/>
      <c r="AF10" s="491" t="str">
        <f>IF(AND('Riesgos de Gestión'!$O$61="Muy Alta",'Riesgos de Gestión'!$S$61="Mayor"),CONCATENATE("R",'Riesgos de Gestión'!$A$61),"")</f>
        <v/>
      </c>
      <c r="AG10" s="492"/>
      <c r="AH10" s="481" t="str">
        <f>IF(AND('Riesgos de Gestión'!$O$49="Muy Alta",'Riesgos de Gestión'!$S$49="Catastrófico"),CONCATENATE("R",'Riesgos de Gestión'!$A$49),"")</f>
        <v/>
      </c>
      <c r="AI10" s="482"/>
      <c r="AJ10" s="482" t="str">
        <f>IF(AND('Riesgos de Gestión'!$O$55="Muy Alta",'Riesgos de Gestión'!$S$55="Catastrófico"),CONCATENATE("R",'Riesgos de Gestión'!$A$55),"")</f>
        <v/>
      </c>
      <c r="AK10" s="482"/>
      <c r="AL10" s="482" t="str">
        <f>IF(AND('Riesgos de Gestión'!$O$61="Muy Alta",'Riesgos de Gestión'!$S$61="Catastrófico"),CONCATENATE("R",'Riesgos de Gestión'!$A$61),"")</f>
        <v/>
      </c>
      <c r="AM10" s="483"/>
      <c r="AN10" s="66"/>
      <c r="AO10" s="515"/>
      <c r="AP10" s="516"/>
      <c r="AQ10" s="516"/>
      <c r="AR10" s="516"/>
      <c r="AS10" s="516"/>
      <c r="AT10" s="517"/>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510"/>
      <c r="C11" s="510"/>
      <c r="D11" s="511"/>
      <c r="E11" s="503"/>
      <c r="F11" s="504"/>
      <c r="G11" s="504"/>
      <c r="H11" s="504"/>
      <c r="I11" s="505"/>
      <c r="J11" s="490"/>
      <c r="K11" s="491"/>
      <c r="L11" s="491"/>
      <c r="M11" s="491"/>
      <c r="N11" s="491"/>
      <c r="O11" s="492"/>
      <c r="P11" s="490"/>
      <c r="Q11" s="491"/>
      <c r="R11" s="491"/>
      <c r="S11" s="491"/>
      <c r="T11" s="491"/>
      <c r="U11" s="492"/>
      <c r="V11" s="490"/>
      <c r="W11" s="491"/>
      <c r="X11" s="491"/>
      <c r="Y11" s="491"/>
      <c r="Z11" s="491"/>
      <c r="AA11" s="492"/>
      <c r="AB11" s="490"/>
      <c r="AC11" s="491"/>
      <c r="AD11" s="491"/>
      <c r="AE11" s="491"/>
      <c r="AF11" s="491"/>
      <c r="AG11" s="492"/>
      <c r="AH11" s="481"/>
      <c r="AI11" s="482"/>
      <c r="AJ11" s="482"/>
      <c r="AK11" s="482"/>
      <c r="AL11" s="482"/>
      <c r="AM11" s="483"/>
      <c r="AN11" s="66"/>
      <c r="AO11" s="515"/>
      <c r="AP11" s="516"/>
      <c r="AQ11" s="516"/>
      <c r="AR11" s="516"/>
      <c r="AS11" s="516"/>
      <c r="AT11" s="517"/>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510"/>
      <c r="C12" s="510"/>
      <c r="D12" s="511"/>
      <c r="E12" s="503"/>
      <c r="F12" s="504"/>
      <c r="G12" s="504"/>
      <c r="H12" s="504"/>
      <c r="I12" s="505"/>
      <c r="J12" s="490" t="str">
        <f>IF(AND('Riesgos de Gestión'!$O$67="Muy Alta",'Riesgos de Gestión'!$S$67="Leve"),CONCATENATE("R",'Riesgos de Gestión'!$A$67),"")</f>
        <v/>
      </c>
      <c r="K12" s="491"/>
      <c r="L12" s="491" t="str">
        <f>IF(AND('Riesgos de Gestión'!$P$73="Muy Alta",'Riesgos de Gestión'!$T$73="Leve"),CONCATENATE("R",'Riesgos de Gestión'!$A$73),"")</f>
        <v/>
      </c>
      <c r="M12" s="491"/>
      <c r="N12" s="491" t="str">
        <f>IF(AND('Riesgos de Gestión'!$P$79="Muy Alta",'Riesgos de Gestión'!$T$79="Leve"),CONCATENATE("R",'Riesgos de Gestión'!$A$79),"")</f>
        <v/>
      </c>
      <c r="O12" s="492"/>
      <c r="P12" s="490" t="str">
        <f>IF(AND('Riesgos de Gestión'!$O$67="Muy Alta",'Riesgos de Gestión'!$S$67="Menor"),CONCATENATE("R",'Riesgos de Gestión'!$A$67),"")</f>
        <v/>
      </c>
      <c r="Q12" s="491"/>
      <c r="R12" s="491" t="str">
        <f>IF(AND('Riesgos de Gestión'!$P$73="Muy Alta",'Riesgos de Gestión'!$T$73="Menor"),CONCATENATE("R",'Riesgos de Gestión'!$A$73),"")</f>
        <v/>
      </c>
      <c r="S12" s="491"/>
      <c r="T12" s="491" t="str">
        <f>IF(AND('Riesgos de Gestión'!$P$79="Muy Alta",'Riesgos de Gestión'!$T$79="Menor"),CONCATENATE("R",'Riesgos de Gestión'!$A$79),"")</f>
        <v/>
      </c>
      <c r="U12" s="492"/>
      <c r="V12" s="490" t="str">
        <f>IF(AND('Riesgos de Gestión'!$O$67="Muy Alta",'Riesgos de Gestión'!$S$67="Moderado"),CONCATENATE("R",'Riesgos de Gestión'!$A$67),"")</f>
        <v/>
      </c>
      <c r="W12" s="491"/>
      <c r="X12" s="491" t="str">
        <f>IF(AND('Riesgos de Gestión'!$P$73="Muy Alta",'Riesgos de Gestión'!$T$73="Moderado"),CONCATENATE("R",'Riesgos de Gestión'!$A$73),"")</f>
        <v/>
      </c>
      <c r="Y12" s="491"/>
      <c r="Z12" s="491" t="str">
        <f>IF(AND('Riesgos de Gestión'!$P$79="Muy Alta",'Riesgos de Gestión'!$T$79="Moderado"),CONCATENATE("R",'Riesgos de Gestión'!$A$79),"")</f>
        <v/>
      </c>
      <c r="AA12" s="492"/>
      <c r="AB12" s="490" t="str">
        <f>IF(AND('Riesgos de Gestión'!$O$67="Muy Alta",'Riesgos de Gestión'!$S$67="Mayor"),CONCATENATE("R",'Riesgos de Gestión'!$A$67),"")</f>
        <v/>
      </c>
      <c r="AC12" s="491"/>
      <c r="AD12" s="491" t="str">
        <f>IF(AND('Riesgos de Gestión'!$P$73="Muy Alta",'Riesgos de Gestión'!$T$73="Mayor"),CONCATENATE("R",'Riesgos de Gestión'!$A$73),"")</f>
        <v/>
      </c>
      <c r="AE12" s="491"/>
      <c r="AF12" s="491" t="str">
        <f>IF(AND('Riesgos de Gestión'!$P$79="Muy Alta",'Riesgos de Gestión'!$T$79="Mayor"),CONCATENATE("R",'Riesgos de Gestión'!$A$79),"")</f>
        <v/>
      </c>
      <c r="AG12" s="492"/>
      <c r="AH12" s="481" t="str">
        <f>IF(AND('Riesgos de Gestión'!$O$67="Muy Alta",'Riesgos de Gestión'!$S$67="Catastrófico"),CONCATENATE("R",'Riesgos de Gestión'!$A$67),"")</f>
        <v/>
      </c>
      <c r="AI12" s="482"/>
      <c r="AJ12" s="482" t="str">
        <f>IF(AND('Riesgos de Gestión'!$P$73="Muy Alta",'Riesgos de Gestión'!$T$73="Catastrófico"),CONCATENATE("R",'Riesgos de Gestión'!$A$73),"")</f>
        <v/>
      </c>
      <c r="AK12" s="482"/>
      <c r="AL12" s="482" t="str">
        <f>IF(AND('Riesgos de Gestión'!$P$79="Muy Alta",'Riesgos de Gestión'!$T$79="Catastrófico"),CONCATENATE("R",'Riesgos de Gestión'!$A$79),"")</f>
        <v/>
      </c>
      <c r="AM12" s="483"/>
      <c r="AN12" s="66"/>
      <c r="AO12" s="515"/>
      <c r="AP12" s="516"/>
      <c r="AQ12" s="516"/>
      <c r="AR12" s="516"/>
      <c r="AS12" s="516"/>
      <c r="AT12" s="517"/>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510"/>
      <c r="C13" s="510"/>
      <c r="D13" s="511"/>
      <c r="E13" s="506"/>
      <c r="F13" s="507"/>
      <c r="G13" s="507"/>
      <c r="H13" s="507"/>
      <c r="I13" s="508"/>
      <c r="J13" s="490"/>
      <c r="K13" s="491"/>
      <c r="L13" s="491"/>
      <c r="M13" s="491"/>
      <c r="N13" s="491"/>
      <c r="O13" s="492"/>
      <c r="P13" s="490"/>
      <c r="Q13" s="491"/>
      <c r="R13" s="491"/>
      <c r="S13" s="491"/>
      <c r="T13" s="491"/>
      <c r="U13" s="492"/>
      <c r="V13" s="490"/>
      <c r="W13" s="491"/>
      <c r="X13" s="491"/>
      <c r="Y13" s="491"/>
      <c r="Z13" s="491"/>
      <c r="AA13" s="492"/>
      <c r="AB13" s="490"/>
      <c r="AC13" s="491"/>
      <c r="AD13" s="491"/>
      <c r="AE13" s="491"/>
      <c r="AF13" s="491"/>
      <c r="AG13" s="492"/>
      <c r="AH13" s="484"/>
      <c r="AI13" s="485"/>
      <c r="AJ13" s="485"/>
      <c r="AK13" s="485"/>
      <c r="AL13" s="485"/>
      <c r="AM13" s="486"/>
      <c r="AN13" s="66"/>
      <c r="AO13" s="518"/>
      <c r="AP13" s="519"/>
      <c r="AQ13" s="519"/>
      <c r="AR13" s="519"/>
      <c r="AS13" s="519"/>
      <c r="AT13" s="520"/>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510"/>
      <c r="C14" s="510"/>
      <c r="D14" s="511"/>
      <c r="E14" s="500" t="s">
        <v>267</v>
      </c>
      <c r="F14" s="501"/>
      <c r="G14" s="501"/>
      <c r="H14" s="501"/>
      <c r="I14" s="501"/>
      <c r="J14" s="478" t="str">
        <f>IF(AND('Riesgos de Gestión'!$O$13="Alta",'Riesgos de Gestión'!$S$13="Leve"),CONCATENATE("R",'Riesgos de Gestión'!$A$13),"")</f>
        <v/>
      </c>
      <c r="K14" s="479"/>
      <c r="L14" s="479" t="str">
        <f>IF(AND('Riesgos de Gestión'!$O$19="Alta",'Riesgos de Gestión'!$S$19="Leve"),CONCATENATE("R",'Riesgos de Gestión'!$A$19),"")</f>
        <v/>
      </c>
      <c r="M14" s="479"/>
      <c r="N14" s="479" t="str">
        <f>IF(AND('Riesgos de Gestión'!$O$25="Alta",'Riesgos de Gestión'!$S$25="Leve"),CONCATENATE("R",'Riesgos de Gestión'!$A$25),"")</f>
        <v/>
      </c>
      <c r="O14" s="480"/>
      <c r="P14" s="478" t="str">
        <f>IF(AND('Riesgos de Gestión'!$O$13="Alta",'Riesgos de Gestión'!$S$13="Menor"),CONCATENATE("R",'Riesgos de Gestión'!$A$13),"")</f>
        <v/>
      </c>
      <c r="Q14" s="479"/>
      <c r="R14" s="479" t="str">
        <f>IF(AND('Riesgos de Gestión'!$O$19="Alta",'Riesgos de Gestión'!$S$19="Menor"),CONCATENATE("R",'Riesgos de Gestión'!$A$19),"")</f>
        <v/>
      </c>
      <c r="S14" s="479"/>
      <c r="T14" s="479" t="str">
        <f>IF(AND('Riesgos de Gestión'!$O$25="Alta",'Riesgos de Gestión'!$S$25="Menor"),CONCATENATE("R",'Riesgos de Gestión'!$A$25),"")</f>
        <v/>
      </c>
      <c r="U14" s="480"/>
      <c r="V14" s="496" t="str">
        <f>IF(AND('Riesgos de Gestión'!$O$13="Alta",'Riesgos de Gestión'!$S$13="Moderado"),CONCATENATE("R",'Riesgos de Gestión'!$A$13),"")</f>
        <v/>
      </c>
      <c r="W14" s="497"/>
      <c r="X14" s="497" t="str">
        <f>IF(AND('Riesgos de Gestión'!$O$19="Alta",'Riesgos de Gestión'!$S$19="Moderado"),CONCATENATE("R",'Riesgos de Gestión'!$A$19),"")</f>
        <v/>
      </c>
      <c r="Y14" s="497"/>
      <c r="Z14" s="497" t="str">
        <f>IF(AND('Riesgos de Gestión'!$O$25="Alta",'Riesgos de Gestión'!$S$25="Moderado"),CONCATENATE("R",'Riesgos de Gestión'!$A$25),"")</f>
        <v/>
      </c>
      <c r="AA14" s="498"/>
      <c r="AB14" s="496" t="str">
        <f>IF(AND('Riesgos de Gestión'!$O$13="Alta",'Riesgos de Gestión'!$S$13="Mayor"),CONCATENATE("R",'Riesgos de Gestión'!$A$13),"")</f>
        <v/>
      </c>
      <c r="AC14" s="497"/>
      <c r="AD14" s="497" t="str">
        <f>IF(AND('Riesgos de Gestión'!$O$19="Alta",'Riesgos de Gestión'!$S$19="Mayor"),CONCATENATE("R",'Riesgos de Gestión'!$A$19),"")</f>
        <v/>
      </c>
      <c r="AE14" s="497"/>
      <c r="AF14" s="497" t="str">
        <f>IF(AND('Riesgos de Gestión'!$O$25="Alta",'Riesgos de Gestión'!$S$25="Mayor"),CONCATENATE("R",'Riesgos de Gestión'!$A$25),"")</f>
        <v/>
      </c>
      <c r="AG14" s="498"/>
      <c r="AH14" s="487" t="str">
        <f>IF(AND('Riesgos de Gestión'!$O$13="Alta",'Riesgos de Gestión'!$S$13="Catastrófico"),CONCATENATE("R",'Riesgos de Gestión'!$A$13),"")</f>
        <v/>
      </c>
      <c r="AI14" s="488"/>
      <c r="AJ14" s="488" t="str">
        <f>IF(AND('Riesgos de Gestión'!$O$19="Alta",'Riesgos de Gestión'!$S$19="Catastrófico"),CONCATENATE("R",'Riesgos de Gestión'!$A$19),"")</f>
        <v/>
      </c>
      <c r="AK14" s="488"/>
      <c r="AL14" s="488" t="str">
        <f>IF(AND('Riesgos de Gestión'!$O$25="Alta",'Riesgos de Gestión'!$S$25="Catastrófico"),CONCATENATE("R",'Riesgos de Gestión'!$A$25),"")</f>
        <v/>
      </c>
      <c r="AM14" s="489"/>
      <c r="AN14" s="66"/>
      <c r="AO14" s="521" t="s">
        <v>268</v>
      </c>
      <c r="AP14" s="522"/>
      <c r="AQ14" s="522"/>
      <c r="AR14" s="522"/>
      <c r="AS14" s="522"/>
      <c r="AT14" s="523"/>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510"/>
      <c r="C15" s="510"/>
      <c r="D15" s="511"/>
      <c r="E15" s="503"/>
      <c r="F15" s="504"/>
      <c r="G15" s="504"/>
      <c r="H15" s="504"/>
      <c r="I15" s="504"/>
      <c r="J15" s="472"/>
      <c r="K15" s="473"/>
      <c r="L15" s="473"/>
      <c r="M15" s="473"/>
      <c r="N15" s="473"/>
      <c r="O15" s="474"/>
      <c r="P15" s="472"/>
      <c r="Q15" s="473"/>
      <c r="R15" s="473"/>
      <c r="S15" s="473"/>
      <c r="T15" s="473"/>
      <c r="U15" s="474"/>
      <c r="V15" s="490"/>
      <c r="W15" s="491"/>
      <c r="X15" s="491"/>
      <c r="Y15" s="491"/>
      <c r="Z15" s="491"/>
      <c r="AA15" s="492"/>
      <c r="AB15" s="490"/>
      <c r="AC15" s="491"/>
      <c r="AD15" s="491"/>
      <c r="AE15" s="491"/>
      <c r="AF15" s="491"/>
      <c r="AG15" s="492"/>
      <c r="AH15" s="481"/>
      <c r="AI15" s="482"/>
      <c r="AJ15" s="482"/>
      <c r="AK15" s="482"/>
      <c r="AL15" s="482"/>
      <c r="AM15" s="483"/>
      <c r="AN15" s="66"/>
      <c r="AO15" s="524"/>
      <c r="AP15" s="525"/>
      <c r="AQ15" s="525"/>
      <c r="AR15" s="525"/>
      <c r="AS15" s="525"/>
      <c r="AT15" s="52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510"/>
      <c r="C16" s="510"/>
      <c r="D16" s="511"/>
      <c r="E16" s="503"/>
      <c r="F16" s="504"/>
      <c r="G16" s="504"/>
      <c r="H16" s="504"/>
      <c r="I16" s="504"/>
      <c r="J16" s="472" t="str">
        <f>IF(AND('Riesgos de Gestión'!$O$31="Alta",'Riesgos de Gestión'!$S$31="Leve"),CONCATENATE("R",'Riesgos de Gestión'!$A$31),"")</f>
        <v/>
      </c>
      <c r="K16" s="473"/>
      <c r="L16" s="473" t="str">
        <f>IF(AND('Riesgos de Gestión'!$O$37="Alta",'Riesgos de Gestión'!$S$37="Leve"),CONCATENATE("R",'Riesgos de Gestión'!$A$37),"")</f>
        <v/>
      </c>
      <c r="M16" s="473"/>
      <c r="N16" s="473" t="str">
        <f>IF(AND('Riesgos de Gestión'!$O$43="Alta",'Riesgos de Gestión'!$S$43="Leve"),CONCATENATE("R",'Riesgos de Gestión'!$A$43),"")</f>
        <v/>
      </c>
      <c r="O16" s="474"/>
      <c r="P16" s="472" t="str">
        <f>IF(AND('Riesgos de Gestión'!$O$31="Alta",'Riesgos de Gestión'!$S$31="Menor"),CONCATENATE("R",'Riesgos de Gestión'!$A$31),"")</f>
        <v/>
      </c>
      <c r="Q16" s="473"/>
      <c r="R16" s="473" t="str">
        <f>IF(AND('Riesgos de Gestión'!$O$37="Alta",'Riesgos de Gestión'!$S$37="Menor"),CONCATENATE("R",'Riesgos de Gestión'!$A$37),"")</f>
        <v/>
      </c>
      <c r="S16" s="473"/>
      <c r="T16" s="473" t="str">
        <f>IF(AND('Riesgos de Gestión'!$O$43="Alta",'Riesgos de Gestión'!$S$43="Menor"),CONCATENATE("R",'Riesgos de Gestión'!$A$43),"")</f>
        <v/>
      </c>
      <c r="U16" s="474"/>
      <c r="V16" s="490" t="str">
        <f>IF(AND('Riesgos de Gestión'!$O$31="Alta",'Riesgos de Gestión'!$S$31="Moderado"),CONCATENATE("R",'Riesgos de Gestión'!$A$31),"")</f>
        <v/>
      </c>
      <c r="W16" s="491"/>
      <c r="X16" s="491" t="str">
        <f>IF(AND('Riesgos de Gestión'!$O$37="Alta",'Riesgos de Gestión'!$S$37="Moderado"),CONCATENATE("R",'Riesgos de Gestión'!$A$37),"")</f>
        <v/>
      </c>
      <c r="Y16" s="491"/>
      <c r="Z16" s="491" t="str">
        <f>IF(AND('Riesgos de Gestión'!$O$43="Alta",'Riesgos de Gestión'!$S$43="Moderado"),CONCATENATE("R",'Riesgos de Gestión'!$A$43),"")</f>
        <v/>
      </c>
      <c r="AA16" s="492"/>
      <c r="AB16" s="490" t="str">
        <f>IF(AND('Riesgos de Gestión'!$O$31="Alta",'Riesgos de Gestión'!$S$31="Mayor"),CONCATENATE("R",'Riesgos de Gestión'!$A$31),"")</f>
        <v/>
      </c>
      <c r="AC16" s="491"/>
      <c r="AD16" s="491" t="str">
        <f>IF(AND('Riesgos de Gestión'!$O$37="Alta",'Riesgos de Gestión'!$S$37="Mayor"),CONCATENATE("R",'Riesgos de Gestión'!$A$37),"")</f>
        <v/>
      </c>
      <c r="AE16" s="491"/>
      <c r="AF16" s="491" t="str">
        <f>IF(AND('Riesgos de Gestión'!$O$43="Alta",'Riesgos de Gestión'!$S$43="Mayor"),CONCATENATE("R",'Riesgos de Gestión'!$A$43),"")</f>
        <v/>
      </c>
      <c r="AG16" s="492"/>
      <c r="AH16" s="481" t="str">
        <f>IF(AND('Riesgos de Gestión'!$O$31="Alta",'Riesgos de Gestión'!$S$31="Catastrófico"),CONCATENATE("R",'Riesgos de Gestión'!$A$31),"")</f>
        <v/>
      </c>
      <c r="AI16" s="482"/>
      <c r="AJ16" s="482" t="str">
        <f>IF(AND('Riesgos de Gestión'!$O$37="Alta",'Riesgos de Gestión'!$S$37="Catastrófico"),CONCATENATE("R",'Riesgos de Gestión'!$A$37),"")</f>
        <v/>
      </c>
      <c r="AK16" s="482"/>
      <c r="AL16" s="482" t="str">
        <f>IF(AND('Riesgos de Gestión'!$O$43="Alta",'Riesgos de Gestión'!$S$43="Catastrófico"),CONCATENATE("R",'Riesgos de Gestión'!$A$43),"")</f>
        <v/>
      </c>
      <c r="AM16" s="483"/>
      <c r="AN16" s="66"/>
      <c r="AO16" s="524"/>
      <c r="AP16" s="525"/>
      <c r="AQ16" s="525"/>
      <c r="AR16" s="525"/>
      <c r="AS16" s="525"/>
      <c r="AT16" s="52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510"/>
      <c r="C17" s="510"/>
      <c r="D17" s="511"/>
      <c r="E17" s="503"/>
      <c r="F17" s="504"/>
      <c r="G17" s="504"/>
      <c r="H17" s="504"/>
      <c r="I17" s="504"/>
      <c r="J17" s="472"/>
      <c r="K17" s="473"/>
      <c r="L17" s="473"/>
      <c r="M17" s="473"/>
      <c r="N17" s="473"/>
      <c r="O17" s="474"/>
      <c r="P17" s="472"/>
      <c r="Q17" s="473"/>
      <c r="R17" s="473"/>
      <c r="S17" s="473"/>
      <c r="T17" s="473"/>
      <c r="U17" s="474"/>
      <c r="V17" s="490"/>
      <c r="W17" s="491"/>
      <c r="X17" s="491"/>
      <c r="Y17" s="491"/>
      <c r="Z17" s="491"/>
      <c r="AA17" s="492"/>
      <c r="AB17" s="490"/>
      <c r="AC17" s="491"/>
      <c r="AD17" s="491"/>
      <c r="AE17" s="491"/>
      <c r="AF17" s="491"/>
      <c r="AG17" s="492"/>
      <c r="AH17" s="481"/>
      <c r="AI17" s="482"/>
      <c r="AJ17" s="482"/>
      <c r="AK17" s="482"/>
      <c r="AL17" s="482"/>
      <c r="AM17" s="483"/>
      <c r="AN17" s="66"/>
      <c r="AO17" s="524"/>
      <c r="AP17" s="525"/>
      <c r="AQ17" s="525"/>
      <c r="AR17" s="525"/>
      <c r="AS17" s="525"/>
      <c r="AT17" s="52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510"/>
      <c r="C18" s="510"/>
      <c r="D18" s="511"/>
      <c r="E18" s="503"/>
      <c r="F18" s="504"/>
      <c r="G18" s="504"/>
      <c r="H18" s="504"/>
      <c r="I18" s="504"/>
      <c r="J18" s="472" t="str">
        <f>IF(AND('Riesgos de Gestión'!$O$49="Alta",'Riesgos de Gestión'!$S$49="Leve"),CONCATENATE("R",'Riesgos de Gestión'!$A$49),"")</f>
        <v/>
      </c>
      <c r="K18" s="473"/>
      <c r="L18" s="473" t="str">
        <f>IF(AND('Riesgos de Gestión'!$O$55="Alta",'Riesgos de Gestión'!$S$55="Leve"),CONCATENATE("R",'Riesgos de Gestión'!$A$55),"")</f>
        <v/>
      </c>
      <c r="M18" s="473"/>
      <c r="N18" s="473" t="str">
        <f>IF(AND('Riesgos de Gestión'!$O$61="Alta",'Riesgos de Gestión'!$S$61="Leve"),CONCATENATE("R",'Riesgos de Gestión'!$A$61),"")</f>
        <v/>
      </c>
      <c r="O18" s="474"/>
      <c r="P18" s="472" t="str">
        <f>IF(AND('Riesgos de Gestión'!$O$49="Alta",'Riesgos de Gestión'!$S$49="Menor"),CONCATENATE("R",'Riesgos de Gestión'!$A$49),"")</f>
        <v/>
      </c>
      <c r="Q18" s="473"/>
      <c r="R18" s="473" t="str">
        <f>IF(AND('Riesgos de Gestión'!$O$55="Alta",'Riesgos de Gestión'!$S$55="Menor"),CONCATENATE("R",'Riesgos de Gestión'!$A$55),"")</f>
        <v/>
      </c>
      <c r="S18" s="473"/>
      <c r="T18" s="473" t="str">
        <f>IF(AND('Riesgos de Gestión'!$O$61="Alta",'Riesgos de Gestión'!$S$61="Menor"),CONCATENATE("R",'Riesgos de Gestión'!$A$61),"")</f>
        <v/>
      </c>
      <c r="U18" s="474"/>
      <c r="V18" s="490" t="str">
        <f>IF(AND('Riesgos de Gestión'!$O$49="Alta",'Riesgos de Gestión'!$S$49="Moderado"),CONCATENATE("R",'Riesgos de Gestión'!$A$49),"")</f>
        <v/>
      </c>
      <c r="W18" s="491"/>
      <c r="X18" s="491" t="str">
        <f>IF(AND('Riesgos de Gestión'!$O$55="Alta",'Riesgos de Gestión'!$S$55="Moderado"),CONCATENATE("R",'Riesgos de Gestión'!$A$55),"")</f>
        <v/>
      </c>
      <c r="Y18" s="491"/>
      <c r="Z18" s="491" t="str">
        <f>IF(AND('Riesgos de Gestión'!$O$61="Alta",'Riesgos de Gestión'!$S$61="Moderado"),CONCATENATE("R",'Riesgos de Gestión'!$A$61),"")</f>
        <v/>
      </c>
      <c r="AA18" s="492"/>
      <c r="AB18" s="490" t="str">
        <f>IF(AND('Riesgos de Gestión'!$O$49="Alta",'Riesgos de Gestión'!$S$49="Mayor"),CONCATENATE("R",'Riesgos de Gestión'!$A$49),"")</f>
        <v/>
      </c>
      <c r="AC18" s="491"/>
      <c r="AD18" s="491" t="str">
        <f>IF(AND('Riesgos de Gestión'!$O$55="Alta",'Riesgos de Gestión'!$S$55="Mayor"),CONCATENATE("R",'Riesgos de Gestión'!$A$55),"")</f>
        <v/>
      </c>
      <c r="AE18" s="491"/>
      <c r="AF18" s="491" t="str">
        <f>IF(AND('Riesgos de Gestión'!$O$61="Alta",'Riesgos de Gestión'!$S$61="Mayor"),CONCATENATE("R",'Riesgos de Gestión'!$A$61),"")</f>
        <v/>
      </c>
      <c r="AG18" s="492"/>
      <c r="AH18" s="481" t="str">
        <f>IF(AND('Riesgos de Gestión'!$O$49="Alta",'Riesgos de Gestión'!$S$49="Catastrófico"),CONCATENATE("R",'Riesgos de Gestión'!$A$49),"")</f>
        <v/>
      </c>
      <c r="AI18" s="482"/>
      <c r="AJ18" s="482" t="str">
        <f>IF(AND('Riesgos de Gestión'!$O$55="Alta",'Riesgos de Gestión'!$S$55="Catastrófico"),CONCATENATE("R",'Riesgos de Gestión'!$A$55),"")</f>
        <v/>
      </c>
      <c r="AK18" s="482"/>
      <c r="AL18" s="482" t="str">
        <f>IF(AND('Riesgos de Gestión'!$O$61="Alta",'Riesgos de Gestión'!$S$61="Catastrófico"),CONCATENATE("R",'Riesgos de Gestión'!$A$61),"")</f>
        <v/>
      </c>
      <c r="AM18" s="483"/>
      <c r="AN18" s="66"/>
      <c r="AO18" s="524"/>
      <c r="AP18" s="525"/>
      <c r="AQ18" s="525"/>
      <c r="AR18" s="525"/>
      <c r="AS18" s="525"/>
      <c r="AT18" s="52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510"/>
      <c r="C19" s="510"/>
      <c r="D19" s="511"/>
      <c r="E19" s="503"/>
      <c r="F19" s="504"/>
      <c r="G19" s="504"/>
      <c r="H19" s="504"/>
      <c r="I19" s="504"/>
      <c r="J19" s="472"/>
      <c r="K19" s="473"/>
      <c r="L19" s="473"/>
      <c r="M19" s="473"/>
      <c r="N19" s="473"/>
      <c r="O19" s="474"/>
      <c r="P19" s="472"/>
      <c r="Q19" s="473"/>
      <c r="R19" s="473"/>
      <c r="S19" s="473"/>
      <c r="T19" s="473"/>
      <c r="U19" s="474"/>
      <c r="V19" s="490"/>
      <c r="W19" s="491"/>
      <c r="X19" s="491"/>
      <c r="Y19" s="491"/>
      <c r="Z19" s="491"/>
      <c r="AA19" s="492"/>
      <c r="AB19" s="490"/>
      <c r="AC19" s="491"/>
      <c r="AD19" s="491"/>
      <c r="AE19" s="491"/>
      <c r="AF19" s="491"/>
      <c r="AG19" s="492"/>
      <c r="AH19" s="481"/>
      <c r="AI19" s="482"/>
      <c r="AJ19" s="482"/>
      <c r="AK19" s="482"/>
      <c r="AL19" s="482"/>
      <c r="AM19" s="483"/>
      <c r="AN19" s="66"/>
      <c r="AO19" s="524"/>
      <c r="AP19" s="525"/>
      <c r="AQ19" s="525"/>
      <c r="AR19" s="525"/>
      <c r="AS19" s="525"/>
      <c r="AT19" s="52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510"/>
      <c r="C20" s="510"/>
      <c r="D20" s="511"/>
      <c r="E20" s="503"/>
      <c r="F20" s="504"/>
      <c r="G20" s="504"/>
      <c r="H20" s="504"/>
      <c r="I20" s="504"/>
      <c r="J20" s="472" t="str">
        <f>IF(AND('Riesgos de Gestión'!$O$67="Alta",'Riesgos de Gestión'!$S$67="Leve"),CONCATENATE("R",'Riesgos de Gestión'!$A$67),"")</f>
        <v/>
      </c>
      <c r="K20" s="473"/>
      <c r="L20" s="473" t="str">
        <f>IF(AND('Riesgos de Gestión'!$P$73="Alta",'Riesgos de Gestión'!$T$73="Leve"),CONCATENATE("R",'Riesgos de Gestión'!$A$73),"")</f>
        <v/>
      </c>
      <c r="M20" s="473"/>
      <c r="N20" s="473" t="str">
        <f>IF(AND('Riesgos de Gestión'!$P$79="Alta",'Riesgos de Gestión'!$T$79="Leve"),CONCATENATE("R",'Riesgos de Gestión'!$A$79),"")</f>
        <v/>
      </c>
      <c r="O20" s="474"/>
      <c r="P20" s="472" t="str">
        <f>IF(AND('Riesgos de Gestión'!$O$67="Alta",'Riesgos de Gestión'!$S$67="Menor"),CONCATENATE("R",'Riesgos de Gestión'!$A$67),"")</f>
        <v/>
      </c>
      <c r="Q20" s="473"/>
      <c r="R20" s="473" t="str">
        <f>IF(AND('Riesgos de Gestión'!$P$73="Alta",'Riesgos de Gestión'!$T$73="Menor"),CONCATENATE("R",'Riesgos de Gestión'!$A$73),"")</f>
        <v/>
      </c>
      <c r="S20" s="473"/>
      <c r="T20" s="473" t="str">
        <f>IF(AND('Riesgos de Gestión'!$P$79="Alta",'Riesgos de Gestión'!$T$79="Menor"),CONCATENATE("R",'Riesgos de Gestión'!$A$79),"")</f>
        <v/>
      </c>
      <c r="U20" s="474"/>
      <c r="V20" s="490" t="str">
        <f>IF(AND('Riesgos de Gestión'!$O$67="Alta",'Riesgos de Gestión'!$S$67="Moderado"),CONCATENATE("R",'Riesgos de Gestión'!$A$67),"")</f>
        <v/>
      </c>
      <c r="W20" s="491"/>
      <c r="X20" s="491" t="str">
        <f>IF(AND('Riesgos de Gestión'!$P$73="Alta",'Riesgos de Gestión'!$T$73="Moderado"),CONCATENATE("R",'Riesgos de Gestión'!$A$73),"")</f>
        <v/>
      </c>
      <c r="Y20" s="491"/>
      <c r="Z20" s="491" t="str">
        <f>IF(AND('Riesgos de Gestión'!$P$79="Alta",'Riesgos de Gestión'!$T$79="Moderado"),CONCATENATE("R",'Riesgos de Gestión'!$A$79),"")</f>
        <v/>
      </c>
      <c r="AA20" s="492"/>
      <c r="AB20" s="490" t="str">
        <f>IF(AND('Riesgos de Gestión'!$O$67="Alta",'Riesgos de Gestión'!$S$67="Mayor"),CONCATENATE("R",'Riesgos de Gestión'!$A$67),"")</f>
        <v/>
      </c>
      <c r="AC20" s="491"/>
      <c r="AD20" s="491" t="str">
        <f>IF(AND('Riesgos de Gestión'!$P$73="Alta",'Riesgos de Gestión'!$T$73="Mayor"),CONCATENATE("R",'Riesgos de Gestión'!$A$73),"")</f>
        <v/>
      </c>
      <c r="AE20" s="491"/>
      <c r="AF20" s="491" t="str">
        <f>IF(AND('Riesgos de Gestión'!$P$79="Alta",'Riesgos de Gestión'!$T$79="Mayor"),CONCATENATE("R",'Riesgos de Gestión'!$A$79),"")</f>
        <v/>
      </c>
      <c r="AG20" s="492"/>
      <c r="AH20" s="481" t="str">
        <f>IF(AND('Riesgos de Gestión'!$O$67="Alta",'Riesgos de Gestión'!$S$67="Catastrófico"),CONCATENATE("R",'Riesgos de Gestión'!$A$67),"")</f>
        <v/>
      </c>
      <c r="AI20" s="482"/>
      <c r="AJ20" s="482" t="str">
        <f>IF(AND('Riesgos de Gestión'!$P$73="Alta",'Riesgos de Gestión'!$T$73="Catastrófico"),CONCATENATE("R",'Riesgos de Gestión'!$A$73),"")</f>
        <v/>
      </c>
      <c r="AK20" s="482"/>
      <c r="AL20" s="482" t="str">
        <f>IF(AND('Riesgos de Gestión'!$P$79="Alta",'Riesgos de Gestión'!$T$79="Catastrófico"),CONCATENATE("R",'Riesgos de Gestión'!$A$79),"")</f>
        <v/>
      </c>
      <c r="AM20" s="483"/>
      <c r="AN20" s="66"/>
      <c r="AO20" s="524"/>
      <c r="AP20" s="525"/>
      <c r="AQ20" s="525"/>
      <c r="AR20" s="525"/>
      <c r="AS20" s="525"/>
      <c r="AT20" s="52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510"/>
      <c r="C21" s="510"/>
      <c r="D21" s="511"/>
      <c r="E21" s="506"/>
      <c r="F21" s="507"/>
      <c r="G21" s="507"/>
      <c r="H21" s="507"/>
      <c r="I21" s="507"/>
      <c r="J21" s="475"/>
      <c r="K21" s="476"/>
      <c r="L21" s="476"/>
      <c r="M21" s="476"/>
      <c r="N21" s="476"/>
      <c r="O21" s="477"/>
      <c r="P21" s="475"/>
      <c r="Q21" s="476"/>
      <c r="R21" s="476"/>
      <c r="S21" s="476"/>
      <c r="T21" s="476"/>
      <c r="U21" s="477"/>
      <c r="V21" s="493"/>
      <c r="W21" s="494"/>
      <c r="X21" s="494"/>
      <c r="Y21" s="494"/>
      <c r="Z21" s="494"/>
      <c r="AA21" s="495"/>
      <c r="AB21" s="493"/>
      <c r="AC21" s="494"/>
      <c r="AD21" s="494"/>
      <c r="AE21" s="494"/>
      <c r="AF21" s="494"/>
      <c r="AG21" s="495"/>
      <c r="AH21" s="484"/>
      <c r="AI21" s="485"/>
      <c r="AJ21" s="485"/>
      <c r="AK21" s="485"/>
      <c r="AL21" s="485"/>
      <c r="AM21" s="486"/>
      <c r="AN21" s="66"/>
      <c r="AO21" s="527"/>
      <c r="AP21" s="528"/>
      <c r="AQ21" s="528"/>
      <c r="AR21" s="528"/>
      <c r="AS21" s="528"/>
      <c r="AT21" s="529"/>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510"/>
      <c r="C22" s="510"/>
      <c r="D22" s="511"/>
      <c r="E22" s="500" t="s">
        <v>269</v>
      </c>
      <c r="F22" s="501"/>
      <c r="G22" s="501"/>
      <c r="H22" s="501"/>
      <c r="I22" s="502"/>
      <c r="J22" s="478" t="str">
        <f>IF(AND('Riesgos de Gestión'!$O$13="Media",'Riesgos de Gestión'!$S$13="Leve"),CONCATENATE("R",'Riesgos de Gestión'!$A$13),"")</f>
        <v/>
      </c>
      <c r="K22" s="479"/>
      <c r="L22" s="479" t="str">
        <f>IF(AND('Riesgos de Gestión'!$O$19="Media",'Riesgos de Gestión'!$S$19="Leve"),CONCATENATE("R",'Riesgos de Gestión'!$A$19),"")</f>
        <v/>
      </c>
      <c r="M22" s="479"/>
      <c r="N22" s="479" t="str">
        <f>IF(AND('Riesgos de Gestión'!$O$25="Media",'Riesgos de Gestión'!$S$25="Leve"),CONCATENATE("R",'Riesgos de Gestión'!$A$25),"")</f>
        <v/>
      </c>
      <c r="O22" s="480"/>
      <c r="P22" s="478" t="str">
        <f>IF(AND('Riesgos de Gestión'!$O$13="Media",'Riesgos de Gestión'!$S$13="Menor"),CONCATENATE("R",'Riesgos de Gestión'!$A$13),"")</f>
        <v/>
      </c>
      <c r="Q22" s="479"/>
      <c r="R22" s="479" t="str">
        <f>IF(AND('Riesgos de Gestión'!$O$19="Media",'Riesgos de Gestión'!$S$19="Menor"),CONCATENATE("R",'Riesgos de Gestión'!$A$19),"")</f>
        <v/>
      </c>
      <c r="S22" s="479"/>
      <c r="T22" s="479" t="str">
        <f>IF(AND('Riesgos de Gestión'!$O$25="Media",'Riesgos de Gestión'!$S$25="Menor"),CONCATENATE("R",'Riesgos de Gestión'!$A$25),"")</f>
        <v/>
      </c>
      <c r="U22" s="480"/>
      <c r="V22" s="478" t="str">
        <f>IF(AND('Riesgos de Gestión'!$O$13="Media",'Riesgos de Gestión'!$S$13="Moderado"),CONCATENATE("R",'Riesgos de Gestión'!$A$13),"")</f>
        <v>R1</v>
      </c>
      <c r="W22" s="479"/>
      <c r="X22" s="479" t="str">
        <f>IF(AND('Riesgos de Gestión'!$O$19="Media",'Riesgos de Gestión'!$S$19="Moderado"),CONCATENATE("R",'Riesgos de Gestión'!$A$19),"")</f>
        <v>R2</v>
      </c>
      <c r="Y22" s="479"/>
      <c r="Z22" s="479" t="str">
        <f>IF(AND('Riesgos de Gestión'!$O$25="Media",'Riesgos de Gestión'!$S$25="Moderado"),CONCATENATE("R",'Riesgos de Gestión'!$A$25),"")</f>
        <v/>
      </c>
      <c r="AA22" s="480"/>
      <c r="AB22" s="496" t="str">
        <f>IF(AND('Riesgos de Gestión'!$O$13="Media",'Riesgos de Gestión'!$S$13="Mayor"),CONCATENATE("R",'Riesgos de Gestión'!$A$13),"")</f>
        <v/>
      </c>
      <c r="AC22" s="497"/>
      <c r="AD22" s="497" t="str">
        <f>IF(AND('Riesgos de Gestión'!$O$19="Media",'Riesgos de Gestión'!$S$19="Mayor"),CONCATENATE("R",'Riesgos de Gestión'!$A$19),"")</f>
        <v/>
      </c>
      <c r="AE22" s="497"/>
      <c r="AF22" s="497" t="str">
        <f>IF(AND('Riesgos de Gestión'!$O$25="Media",'Riesgos de Gestión'!$S$25="Mayor"),CONCATENATE("R",'Riesgos de Gestión'!$A$25),"")</f>
        <v/>
      </c>
      <c r="AG22" s="498"/>
      <c r="AH22" s="487" t="str">
        <f>IF(AND('Riesgos de Gestión'!$O$13="Media",'Riesgos de Gestión'!$S$13="Catastrófico"),CONCATENATE("R",'Riesgos de Gestión'!$A$13),"")</f>
        <v/>
      </c>
      <c r="AI22" s="488"/>
      <c r="AJ22" s="488" t="str">
        <f>IF(AND('Riesgos de Gestión'!$O$19="Media",'Riesgos de Gestión'!$S$19="Catastrófico"),CONCATENATE("R",'Riesgos de Gestión'!$A$19),"")</f>
        <v/>
      </c>
      <c r="AK22" s="488"/>
      <c r="AL22" s="488" t="str">
        <f>IF(AND('Riesgos de Gestión'!$O$25="Media",'Riesgos de Gestión'!$S$25="Catastrófico"),CONCATENATE("R",'Riesgos de Gestión'!$A$25),"")</f>
        <v/>
      </c>
      <c r="AM22" s="489"/>
      <c r="AN22" s="66"/>
      <c r="AO22" s="530" t="s">
        <v>270</v>
      </c>
      <c r="AP22" s="531"/>
      <c r="AQ22" s="531"/>
      <c r="AR22" s="531"/>
      <c r="AS22" s="531"/>
      <c r="AT22" s="532"/>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510"/>
      <c r="C23" s="510"/>
      <c r="D23" s="511"/>
      <c r="E23" s="503"/>
      <c r="F23" s="504"/>
      <c r="G23" s="504"/>
      <c r="H23" s="504"/>
      <c r="I23" s="505"/>
      <c r="J23" s="472"/>
      <c r="K23" s="473"/>
      <c r="L23" s="473"/>
      <c r="M23" s="473"/>
      <c r="N23" s="473"/>
      <c r="O23" s="474"/>
      <c r="P23" s="472"/>
      <c r="Q23" s="473"/>
      <c r="R23" s="473"/>
      <c r="S23" s="473"/>
      <c r="T23" s="473"/>
      <c r="U23" s="474"/>
      <c r="V23" s="472"/>
      <c r="W23" s="473"/>
      <c r="X23" s="473"/>
      <c r="Y23" s="473"/>
      <c r="Z23" s="473"/>
      <c r="AA23" s="474"/>
      <c r="AB23" s="490"/>
      <c r="AC23" s="491"/>
      <c r="AD23" s="491"/>
      <c r="AE23" s="491"/>
      <c r="AF23" s="491"/>
      <c r="AG23" s="492"/>
      <c r="AH23" s="481"/>
      <c r="AI23" s="482"/>
      <c r="AJ23" s="482"/>
      <c r="AK23" s="482"/>
      <c r="AL23" s="482"/>
      <c r="AM23" s="483"/>
      <c r="AN23" s="66"/>
      <c r="AO23" s="533"/>
      <c r="AP23" s="534"/>
      <c r="AQ23" s="534"/>
      <c r="AR23" s="534"/>
      <c r="AS23" s="534"/>
      <c r="AT23" s="535"/>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510"/>
      <c r="C24" s="510"/>
      <c r="D24" s="511"/>
      <c r="E24" s="503"/>
      <c r="F24" s="504"/>
      <c r="G24" s="504"/>
      <c r="H24" s="504"/>
      <c r="I24" s="505"/>
      <c r="J24" s="472" t="str">
        <f>IF(AND('Riesgos de Gestión'!$O$31="Media",'Riesgos de Gestión'!$S$31="Leve"),CONCATENATE("R",'Riesgos de Gestión'!$A$31),"")</f>
        <v/>
      </c>
      <c r="K24" s="473"/>
      <c r="L24" s="473" t="str">
        <f>IF(AND('Riesgos de Gestión'!$O$37="Media",'Riesgos de Gestión'!$S$37="Leve"),CONCATENATE("R",'Riesgos de Gestión'!$A$37),"")</f>
        <v/>
      </c>
      <c r="M24" s="473"/>
      <c r="N24" s="473" t="str">
        <f>IF(AND('Riesgos de Gestión'!$O$43="Media",'Riesgos de Gestión'!$S$43="Leve"),CONCATENATE("R",'Riesgos de Gestión'!$A$43),"")</f>
        <v/>
      </c>
      <c r="O24" s="474"/>
      <c r="P24" s="472" t="str">
        <f>IF(AND('Riesgos de Gestión'!$O$31="Media",'Riesgos de Gestión'!$S$31="Menor"),CONCATENATE("R",'Riesgos de Gestión'!$A$31),"")</f>
        <v/>
      </c>
      <c r="Q24" s="473"/>
      <c r="R24" s="473" t="str">
        <f>IF(AND('Riesgos de Gestión'!$O$37="Media",'Riesgos de Gestión'!$S$37="Menor"),CONCATENATE("R",'Riesgos de Gestión'!$A$37),"")</f>
        <v/>
      </c>
      <c r="S24" s="473"/>
      <c r="T24" s="473" t="str">
        <f>IF(AND('Riesgos de Gestión'!$O$43="Media",'Riesgos de Gestión'!$S$43="Menor"),CONCATENATE("R",'Riesgos de Gestión'!$A$43),"")</f>
        <v/>
      </c>
      <c r="U24" s="474"/>
      <c r="V24" s="472" t="str">
        <f>IF(AND('Riesgos de Gestión'!$O$31="Media",'Riesgos de Gestión'!$S$31="Moderado"),CONCATENATE("R",'Riesgos de Gestión'!$A$31),"")</f>
        <v/>
      </c>
      <c r="W24" s="473"/>
      <c r="X24" s="473" t="str">
        <f>IF(AND('Riesgos de Gestión'!$O$37="Media",'Riesgos de Gestión'!$S$37="Moderado"),CONCATENATE("R",'Riesgos de Gestión'!$A$37),"")</f>
        <v/>
      </c>
      <c r="Y24" s="473"/>
      <c r="Z24" s="473" t="str">
        <f>IF(AND('Riesgos de Gestión'!$O$43="Media",'Riesgos de Gestión'!$S$43="Moderado"),CONCATENATE("R",'Riesgos de Gestión'!$A$43),"")</f>
        <v/>
      </c>
      <c r="AA24" s="474"/>
      <c r="AB24" s="490" t="str">
        <f>IF(AND('Riesgos de Gestión'!$O$31="Media",'Riesgos de Gestión'!$S$31="Mayor"),CONCATENATE("R",'Riesgos de Gestión'!$A$31),"")</f>
        <v/>
      </c>
      <c r="AC24" s="491"/>
      <c r="AD24" s="491" t="str">
        <f>IF(AND('Riesgos de Gestión'!$O$37="Media",'Riesgos de Gestión'!$S$37="Mayor"),CONCATENATE("R",'Riesgos de Gestión'!$A$37),"")</f>
        <v/>
      </c>
      <c r="AE24" s="491"/>
      <c r="AF24" s="491" t="str">
        <f>IF(AND('Riesgos de Gestión'!$O$43="Media",'Riesgos de Gestión'!$S$43="Mayor"),CONCATENATE("R",'Riesgos de Gestión'!$A$43),"")</f>
        <v/>
      </c>
      <c r="AG24" s="492"/>
      <c r="AH24" s="481" t="str">
        <f>IF(AND('Riesgos de Gestión'!$O$31="Media",'Riesgos de Gestión'!$S$31="Catastrófico"),CONCATENATE("R",'Riesgos de Gestión'!$A$31),"")</f>
        <v/>
      </c>
      <c r="AI24" s="482"/>
      <c r="AJ24" s="482" t="str">
        <f>IF(AND('Riesgos de Gestión'!$O$37="Media",'Riesgos de Gestión'!$S$37="Catastrófico"),CONCATENATE("R",'Riesgos de Gestión'!$A$37),"")</f>
        <v/>
      </c>
      <c r="AK24" s="482"/>
      <c r="AL24" s="482" t="str">
        <f>IF(AND('Riesgos de Gestión'!$O$43="Media",'Riesgos de Gestión'!$S$43="Catastrófico"),CONCATENATE("R",'Riesgos de Gestión'!$A$43),"")</f>
        <v/>
      </c>
      <c r="AM24" s="483"/>
      <c r="AN24" s="66"/>
      <c r="AO24" s="533"/>
      <c r="AP24" s="534"/>
      <c r="AQ24" s="534"/>
      <c r="AR24" s="534"/>
      <c r="AS24" s="534"/>
      <c r="AT24" s="535"/>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510"/>
      <c r="C25" s="510"/>
      <c r="D25" s="511"/>
      <c r="E25" s="503"/>
      <c r="F25" s="504"/>
      <c r="G25" s="504"/>
      <c r="H25" s="504"/>
      <c r="I25" s="505"/>
      <c r="J25" s="472"/>
      <c r="K25" s="473"/>
      <c r="L25" s="473"/>
      <c r="M25" s="473"/>
      <c r="N25" s="473"/>
      <c r="O25" s="474"/>
      <c r="P25" s="472"/>
      <c r="Q25" s="473"/>
      <c r="R25" s="473"/>
      <c r="S25" s="473"/>
      <c r="T25" s="473"/>
      <c r="U25" s="474"/>
      <c r="V25" s="472"/>
      <c r="W25" s="473"/>
      <c r="X25" s="473"/>
      <c r="Y25" s="473"/>
      <c r="Z25" s="473"/>
      <c r="AA25" s="474"/>
      <c r="AB25" s="490"/>
      <c r="AC25" s="491"/>
      <c r="AD25" s="491"/>
      <c r="AE25" s="491"/>
      <c r="AF25" s="491"/>
      <c r="AG25" s="492"/>
      <c r="AH25" s="481"/>
      <c r="AI25" s="482"/>
      <c r="AJ25" s="482"/>
      <c r="AK25" s="482"/>
      <c r="AL25" s="482"/>
      <c r="AM25" s="483"/>
      <c r="AN25" s="66"/>
      <c r="AO25" s="533"/>
      <c r="AP25" s="534"/>
      <c r="AQ25" s="534"/>
      <c r="AR25" s="534"/>
      <c r="AS25" s="534"/>
      <c r="AT25" s="535"/>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510"/>
      <c r="C26" s="510"/>
      <c r="D26" s="511"/>
      <c r="E26" s="503"/>
      <c r="F26" s="504"/>
      <c r="G26" s="504"/>
      <c r="H26" s="504"/>
      <c r="I26" s="505"/>
      <c r="J26" s="472" t="str">
        <f>IF(AND('Riesgos de Gestión'!$O$49="Media",'Riesgos de Gestión'!$S$49="Leve"),CONCATENATE("R",'Riesgos de Gestión'!$A$49),"")</f>
        <v/>
      </c>
      <c r="K26" s="473"/>
      <c r="L26" s="473" t="str">
        <f>IF(AND('Riesgos de Gestión'!$O$55="Media",'Riesgos de Gestión'!$S$55="Leve"),CONCATENATE("R",'Riesgos de Gestión'!$A$55),"")</f>
        <v/>
      </c>
      <c r="M26" s="473"/>
      <c r="N26" s="473" t="str">
        <f>IF(AND('Riesgos de Gestión'!$O$61="Media",'Riesgos de Gestión'!$S$61="Leve"),CONCATENATE("R",'Riesgos de Gestión'!$A$61),"")</f>
        <v/>
      </c>
      <c r="O26" s="474"/>
      <c r="P26" s="472" t="str">
        <f>IF(AND('Riesgos de Gestión'!$O$49="Media",'Riesgos de Gestión'!$S$49="Menor"),CONCATENATE("R",'Riesgos de Gestión'!$A$49),"")</f>
        <v/>
      </c>
      <c r="Q26" s="473"/>
      <c r="R26" s="473" t="str">
        <f>IF(AND('Riesgos de Gestión'!$O$55="Media",'Riesgos de Gestión'!$S$55="Menor"),CONCATENATE("R",'Riesgos de Gestión'!$A$55),"")</f>
        <v/>
      </c>
      <c r="S26" s="473"/>
      <c r="T26" s="473" t="str">
        <f>IF(AND('Riesgos de Gestión'!$O$61="Media",'Riesgos de Gestión'!$S$61="Menor"),CONCATENATE("R",'Riesgos de Gestión'!$A$61),"")</f>
        <v/>
      </c>
      <c r="U26" s="474"/>
      <c r="V26" s="472" t="str">
        <f>IF(AND('Riesgos de Gestión'!$O$49="Media",'Riesgos de Gestión'!$S$49="Moderado"),CONCATENATE("R",'Riesgos de Gestión'!$A$49),"")</f>
        <v/>
      </c>
      <c r="W26" s="473"/>
      <c r="X26" s="473" t="str">
        <f>IF(AND('Riesgos de Gestión'!$O$55="Media",'Riesgos de Gestión'!$S$55="Moderado"),CONCATENATE("R",'Riesgos de Gestión'!$A$55),"")</f>
        <v/>
      </c>
      <c r="Y26" s="473"/>
      <c r="Z26" s="473" t="str">
        <f>IF(AND('Riesgos de Gestión'!$O$61="Media",'Riesgos de Gestión'!$S$61="Moderado"),CONCATENATE("R",'Riesgos de Gestión'!$A$61),"")</f>
        <v/>
      </c>
      <c r="AA26" s="474"/>
      <c r="AB26" s="490" t="str">
        <f>IF(AND('Riesgos de Gestión'!$O$49="Media",'Riesgos de Gestión'!$S$49="Mayor"),CONCATENATE("R",'Riesgos de Gestión'!$A$49),"")</f>
        <v/>
      </c>
      <c r="AC26" s="491"/>
      <c r="AD26" s="491" t="str">
        <f>IF(AND('Riesgos de Gestión'!$O$55="Media",'Riesgos de Gestión'!$S$55="Mayor"),CONCATENATE("R",'Riesgos de Gestión'!$A$55),"")</f>
        <v/>
      </c>
      <c r="AE26" s="491"/>
      <c r="AF26" s="491" t="str">
        <f>IF(AND('Riesgos de Gestión'!$O$61="Media",'Riesgos de Gestión'!$S$61="Mayor"),CONCATENATE("R",'Riesgos de Gestión'!$A$61),"")</f>
        <v/>
      </c>
      <c r="AG26" s="492"/>
      <c r="AH26" s="481" t="str">
        <f>IF(AND('Riesgos de Gestión'!$O$49="Media",'Riesgos de Gestión'!$S$49="Catastrófico"),CONCATENATE("R",'Riesgos de Gestión'!$A$49),"")</f>
        <v/>
      </c>
      <c r="AI26" s="482"/>
      <c r="AJ26" s="482" t="str">
        <f>IF(AND('Riesgos de Gestión'!$O$55="Media",'Riesgos de Gestión'!$S$55="Catastrófico"),CONCATENATE("R",'Riesgos de Gestión'!$A$55),"")</f>
        <v/>
      </c>
      <c r="AK26" s="482"/>
      <c r="AL26" s="482" t="str">
        <f>IF(AND('Riesgos de Gestión'!$O$61="Media",'Riesgos de Gestión'!$S$61="Catastrófico"),CONCATENATE("R",'Riesgos de Gestión'!$A$61),"")</f>
        <v/>
      </c>
      <c r="AM26" s="483"/>
      <c r="AN26" s="66"/>
      <c r="AO26" s="533"/>
      <c r="AP26" s="534"/>
      <c r="AQ26" s="534"/>
      <c r="AR26" s="534"/>
      <c r="AS26" s="534"/>
      <c r="AT26" s="535"/>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510"/>
      <c r="C27" s="510"/>
      <c r="D27" s="511"/>
      <c r="E27" s="503"/>
      <c r="F27" s="504"/>
      <c r="G27" s="504"/>
      <c r="H27" s="504"/>
      <c r="I27" s="505"/>
      <c r="J27" s="472"/>
      <c r="K27" s="473"/>
      <c r="L27" s="473"/>
      <c r="M27" s="473"/>
      <c r="N27" s="473"/>
      <c r="O27" s="474"/>
      <c r="P27" s="472"/>
      <c r="Q27" s="473"/>
      <c r="R27" s="473"/>
      <c r="S27" s="473"/>
      <c r="T27" s="473"/>
      <c r="U27" s="474"/>
      <c r="V27" s="472"/>
      <c r="W27" s="473"/>
      <c r="X27" s="473"/>
      <c r="Y27" s="473"/>
      <c r="Z27" s="473"/>
      <c r="AA27" s="474"/>
      <c r="AB27" s="490"/>
      <c r="AC27" s="491"/>
      <c r="AD27" s="491"/>
      <c r="AE27" s="491"/>
      <c r="AF27" s="491"/>
      <c r="AG27" s="492"/>
      <c r="AH27" s="481"/>
      <c r="AI27" s="482"/>
      <c r="AJ27" s="482"/>
      <c r="AK27" s="482"/>
      <c r="AL27" s="482"/>
      <c r="AM27" s="483"/>
      <c r="AN27" s="66"/>
      <c r="AO27" s="533"/>
      <c r="AP27" s="534"/>
      <c r="AQ27" s="534"/>
      <c r="AR27" s="534"/>
      <c r="AS27" s="534"/>
      <c r="AT27" s="535"/>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510"/>
      <c r="C28" s="510"/>
      <c r="D28" s="511"/>
      <c r="E28" s="503"/>
      <c r="F28" s="504"/>
      <c r="G28" s="504"/>
      <c r="H28" s="504"/>
      <c r="I28" s="505"/>
      <c r="J28" s="472" t="str">
        <f>IF(AND('Riesgos de Gestión'!$O$67="Media",'Riesgos de Gestión'!$S$67="Leve"),CONCATENATE("R",'Riesgos de Gestión'!$A$67),"")</f>
        <v/>
      </c>
      <c r="K28" s="473"/>
      <c r="L28" s="473" t="str">
        <f>IF(AND('Riesgos de Gestión'!$P$73="Media",'Riesgos de Gestión'!$T$73="Leve"),CONCATENATE("R",'Riesgos de Gestión'!$A$73),"")</f>
        <v/>
      </c>
      <c r="M28" s="473"/>
      <c r="N28" s="473" t="str">
        <f>IF(AND('Riesgos de Gestión'!$P$79="Media",'Riesgos de Gestión'!$T$79="Leve"),CONCATENATE("R",'Riesgos de Gestión'!$A$79),"")</f>
        <v/>
      </c>
      <c r="O28" s="474"/>
      <c r="P28" s="472" t="str">
        <f>IF(AND('Riesgos de Gestión'!$O$67="Media",'Riesgos de Gestión'!$S$67="Menor"),CONCATENATE("R",'Riesgos de Gestión'!$A$67),"")</f>
        <v/>
      </c>
      <c r="Q28" s="473"/>
      <c r="R28" s="473" t="str">
        <f>IF(AND('Riesgos de Gestión'!$P$73="Media",'Riesgos de Gestión'!$T$73="Menor"),CONCATENATE("R",'Riesgos de Gestión'!$A$73),"")</f>
        <v/>
      </c>
      <c r="S28" s="473"/>
      <c r="T28" s="473" t="str">
        <f>IF(AND('Riesgos de Gestión'!$P$79="Media",'Riesgos de Gestión'!$T$79="Menor"),CONCATENATE("R",'Riesgos de Gestión'!$A$79),"")</f>
        <v/>
      </c>
      <c r="U28" s="474"/>
      <c r="V28" s="472" t="str">
        <f>IF(AND('Riesgos de Gestión'!$O$67="Media",'Riesgos de Gestión'!$S$67="Moderado"),CONCATENATE("R",'Riesgos de Gestión'!$A$67),"")</f>
        <v/>
      </c>
      <c r="W28" s="473"/>
      <c r="X28" s="473" t="str">
        <f>IF(AND('Riesgos de Gestión'!$P$73="Media",'Riesgos de Gestión'!$T$73="Moderado"),CONCATENATE("R",'Riesgos de Gestión'!$A$73),"")</f>
        <v/>
      </c>
      <c r="Y28" s="473"/>
      <c r="Z28" s="473" t="str">
        <f>IF(AND('Riesgos de Gestión'!$P$79="Media",'Riesgos de Gestión'!$T$79="Moderado"),CONCATENATE("R",'Riesgos de Gestión'!$A$79),"")</f>
        <v/>
      </c>
      <c r="AA28" s="474"/>
      <c r="AB28" s="490" t="str">
        <f>IF(AND('Riesgos de Gestión'!$O$67="Media",'Riesgos de Gestión'!$S$67="Mayor"),CONCATENATE("R",'Riesgos de Gestión'!$A$67),"")</f>
        <v/>
      </c>
      <c r="AC28" s="491"/>
      <c r="AD28" s="491" t="str">
        <f>IF(AND('Riesgos de Gestión'!$P$73="Media",'Riesgos de Gestión'!$T$73="Mayor"),CONCATENATE("R",'Riesgos de Gestión'!$A$73),"")</f>
        <v/>
      </c>
      <c r="AE28" s="491"/>
      <c r="AF28" s="491" t="str">
        <f>IF(AND('Riesgos de Gestión'!$P$79="Media",'Riesgos de Gestión'!$T$79="Mayor"),CONCATENATE("R",'Riesgos de Gestión'!$A$79),"")</f>
        <v/>
      </c>
      <c r="AG28" s="492"/>
      <c r="AH28" s="481" t="str">
        <f>IF(AND('Riesgos de Gestión'!$O$67="Media",'Riesgos de Gestión'!$S$67="Catastrófico"),CONCATENATE("R",'Riesgos de Gestión'!$A$67),"")</f>
        <v/>
      </c>
      <c r="AI28" s="482"/>
      <c r="AJ28" s="482" t="str">
        <f>IF(AND('Riesgos de Gestión'!$P$73="Media",'Riesgos de Gestión'!$T$73="Catastrófico"),CONCATENATE("R",'Riesgos de Gestión'!$A$73),"")</f>
        <v/>
      </c>
      <c r="AK28" s="482"/>
      <c r="AL28" s="482" t="str">
        <f>IF(AND('Riesgos de Gestión'!$P$79="Media",'Riesgos de Gestión'!$T$79="Catastrófico"),CONCATENATE("R",'Riesgos de Gestión'!$A$79),"")</f>
        <v/>
      </c>
      <c r="AM28" s="483"/>
      <c r="AN28" s="66"/>
      <c r="AO28" s="533"/>
      <c r="AP28" s="534"/>
      <c r="AQ28" s="534"/>
      <c r="AR28" s="534"/>
      <c r="AS28" s="534"/>
      <c r="AT28" s="535"/>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510"/>
      <c r="C29" s="510"/>
      <c r="D29" s="511"/>
      <c r="E29" s="506"/>
      <c r="F29" s="507"/>
      <c r="G29" s="507"/>
      <c r="H29" s="507"/>
      <c r="I29" s="508"/>
      <c r="J29" s="472"/>
      <c r="K29" s="473"/>
      <c r="L29" s="473"/>
      <c r="M29" s="473"/>
      <c r="N29" s="473"/>
      <c r="O29" s="474"/>
      <c r="P29" s="475"/>
      <c r="Q29" s="476"/>
      <c r="R29" s="476"/>
      <c r="S29" s="476"/>
      <c r="T29" s="476"/>
      <c r="U29" s="477"/>
      <c r="V29" s="475"/>
      <c r="W29" s="476"/>
      <c r="X29" s="476"/>
      <c r="Y29" s="476"/>
      <c r="Z29" s="476"/>
      <c r="AA29" s="477"/>
      <c r="AB29" s="493"/>
      <c r="AC29" s="494"/>
      <c r="AD29" s="494"/>
      <c r="AE29" s="494"/>
      <c r="AF29" s="494"/>
      <c r="AG29" s="495"/>
      <c r="AH29" s="484"/>
      <c r="AI29" s="485"/>
      <c r="AJ29" s="485"/>
      <c r="AK29" s="485"/>
      <c r="AL29" s="485"/>
      <c r="AM29" s="486"/>
      <c r="AN29" s="66"/>
      <c r="AO29" s="536"/>
      <c r="AP29" s="537"/>
      <c r="AQ29" s="537"/>
      <c r="AR29" s="537"/>
      <c r="AS29" s="537"/>
      <c r="AT29" s="538"/>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510"/>
      <c r="C30" s="510"/>
      <c r="D30" s="511"/>
      <c r="E30" s="500" t="s">
        <v>271</v>
      </c>
      <c r="F30" s="501"/>
      <c r="G30" s="501"/>
      <c r="H30" s="501"/>
      <c r="I30" s="501"/>
      <c r="J30" s="469" t="str">
        <f>IF(AND('Riesgos de Gestión'!$O$13="Baja",'Riesgos de Gestión'!$S$13="Leve"),CONCATENATE("R",'Riesgos de Gestión'!$A$13),"")</f>
        <v/>
      </c>
      <c r="K30" s="470"/>
      <c r="L30" s="470" t="str">
        <f>IF(AND('Riesgos de Gestión'!$O$19="Baja",'Riesgos de Gestión'!$S$19="Leve"),CONCATENATE("R",'Riesgos de Gestión'!$A$19),"")</f>
        <v/>
      </c>
      <c r="M30" s="470"/>
      <c r="N30" s="470" t="str">
        <f>IF(AND('Riesgos de Gestión'!$O$25="Baja",'Riesgos de Gestión'!$S$25="Leve"),CONCATENATE("R",'Riesgos de Gestión'!$A$25),"")</f>
        <v/>
      </c>
      <c r="O30" s="471"/>
      <c r="P30" s="479" t="str">
        <f>IF(AND('Riesgos de Gestión'!$O$13="Baja",'Riesgos de Gestión'!$S$13="Menor"),CONCATENATE("R",'Riesgos de Gestión'!$A$13),"")</f>
        <v/>
      </c>
      <c r="Q30" s="479"/>
      <c r="R30" s="479" t="str">
        <f>IF(AND('Riesgos de Gestión'!$O$19="Baja",'Riesgos de Gestión'!$S$19="Menor"),CONCATENATE("R",'Riesgos de Gestión'!$A$19),"")</f>
        <v/>
      </c>
      <c r="S30" s="479"/>
      <c r="T30" s="479" t="str">
        <f>IF(AND('Riesgos de Gestión'!$O$25="Baja",'Riesgos de Gestión'!$S$25="Menor"),CONCATENATE("R",'Riesgos de Gestión'!$A$25),"")</f>
        <v/>
      </c>
      <c r="U30" s="480"/>
      <c r="V30" s="478" t="str">
        <f>IF(AND('Riesgos de Gestión'!$O$13="Baja",'Riesgos de Gestión'!$S$13="Moderado"),CONCATENATE("R",'Riesgos de Gestión'!$A$13),"")</f>
        <v/>
      </c>
      <c r="W30" s="479"/>
      <c r="X30" s="479" t="str">
        <f>IF(AND('Riesgos de Gestión'!$O$19="Baja",'Riesgos de Gestión'!$S$19="Moderado"),CONCATENATE("R",'Riesgos de Gestión'!$A$19),"")</f>
        <v/>
      </c>
      <c r="Y30" s="479"/>
      <c r="Z30" s="479" t="str">
        <f>IF(AND('Riesgos de Gestión'!$O$25="Baja",'Riesgos de Gestión'!$S$25="Moderado"),CONCATENATE("R",'Riesgos de Gestión'!$A$25),"")</f>
        <v/>
      </c>
      <c r="AA30" s="480"/>
      <c r="AB30" s="496" t="str">
        <f>IF(AND('Riesgos de Gestión'!$O$13="Baja",'Riesgos de Gestión'!$S$13="Mayor"),CONCATENATE("R",'Riesgos de Gestión'!$A$13),"")</f>
        <v/>
      </c>
      <c r="AC30" s="497"/>
      <c r="AD30" s="497" t="str">
        <f>IF(AND('Riesgos de Gestión'!$O$19="Baja",'Riesgos de Gestión'!$S$19="Mayor"),CONCATENATE("R",'Riesgos de Gestión'!$A$19),"")</f>
        <v/>
      </c>
      <c r="AE30" s="497"/>
      <c r="AF30" s="497" t="str">
        <f>IF(AND('Riesgos de Gestión'!$O$25="Baja",'Riesgos de Gestión'!$S$25="Mayor"),CONCATENATE("R",'Riesgos de Gestión'!$A$25),"")</f>
        <v/>
      </c>
      <c r="AG30" s="498"/>
      <c r="AH30" s="487" t="str">
        <f>IF(AND('Riesgos de Gestión'!$O$13="Baja",'Riesgos de Gestión'!$S$13="Catastrófico"),CONCATENATE("R",'Riesgos de Gestión'!$A$13),"")</f>
        <v/>
      </c>
      <c r="AI30" s="488"/>
      <c r="AJ30" s="488" t="str">
        <f>IF(AND('Riesgos de Gestión'!$O$19="Baja",'Riesgos de Gestión'!$S$19="Catastrófico"),CONCATENATE("R",'Riesgos de Gestión'!$A$19),"")</f>
        <v/>
      </c>
      <c r="AK30" s="488"/>
      <c r="AL30" s="488" t="str">
        <f>IF(AND('Riesgos de Gestión'!$O$25="Baja",'Riesgos de Gestión'!$S$25="Catastrófico"),CONCATENATE("R",'Riesgos de Gestión'!$A$25),"")</f>
        <v/>
      </c>
      <c r="AM30" s="489"/>
      <c r="AN30" s="66"/>
      <c r="AO30" s="539" t="s">
        <v>272</v>
      </c>
      <c r="AP30" s="540"/>
      <c r="AQ30" s="540"/>
      <c r="AR30" s="540"/>
      <c r="AS30" s="540"/>
      <c r="AT30" s="541"/>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510"/>
      <c r="C31" s="510"/>
      <c r="D31" s="511"/>
      <c r="E31" s="503"/>
      <c r="F31" s="504"/>
      <c r="G31" s="504"/>
      <c r="H31" s="504"/>
      <c r="I31" s="504"/>
      <c r="J31" s="463"/>
      <c r="K31" s="464"/>
      <c r="L31" s="464"/>
      <c r="M31" s="464"/>
      <c r="N31" s="464"/>
      <c r="O31" s="465"/>
      <c r="P31" s="473"/>
      <c r="Q31" s="473"/>
      <c r="R31" s="473"/>
      <c r="S31" s="473"/>
      <c r="T31" s="473"/>
      <c r="U31" s="474"/>
      <c r="V31" s="472"/>
      <c r="W31" s="473"/>
      <c r="X31" s="473"/>
      <c r="Y31" s="473"/>
      <c r="Z31" s="473"/>
      <c r="AA31" s="474"/>
      <c r="AB31" s="490"/>
      <c r="AC31" s="491"/>
      <c r="AD31" s="491"/>
      <c r="AE31" s="491"/>
      <c r="AF31" s="491"/>
      <c r="AG31" s="492"/>
      <c r="AH31" s="481"/>
      <c r="AI31" s="482"/>
      <c r="AJ31" s="482"/>
      <c r="AK31" s="482"/>
      <c r="AL31" s="482"/>
      <c r="AM31" s="483"/>
      <c r="AN31" s="66"/>
      <c r="AO31" s="542"/>
      <c r="AP31" s="543"/>
      <c r="AQ31" s="543"/>
      <c r="AR31" s="543"/>
      <c r="AS31" s="543"/>
      <c r="AT31" s="544"/>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510"/>
      <c r="C32" s="510"/>
      <c r="D32" s="511"/>
      <c r="E32" s="503"/>
      <c r="F32" s="504"/>
      <c r="G32" s="504"/>
      <c r="H32" s="504"/>
      <c r="I32" s="504"/>
      <c r="J32" s="463" t="str">
        <f>IF(AND('Riesgos de Gestión'!$O$31="Baja",'Riesgos de Gestión'!$S$31="Leve"),CONCATENATE("R",'Riesgos de Gestión'!$A$31),"")</f>
        <v/>
      </c>
      <c r="K32" s="464"/>
      <c r="L32" s="464" t="str">
        <f>IF(AND('Riesgos de Gestión'!$O$37="Baja",'Riesgos de Gestión'!$S$37="Leve"),CONCATENATE("R",'Riesgos de Gestión'!$A$37),"")</f>
        <v/>
      </c>
      <c r="M32" s="464"/>
      <c r="N32" s="464" t="str">
        <f>IF(AND('Riesgos de Gestión'!$O$43="Baja",'Riesgos de Gestión'!$S$43="Leve"),CONCATENATE("R",'Riesgos de Gestión'!$A$43),"")</f>
        <v/>
      </c>
      <c r="O32" s="465"/>
      <c r="P32" s="473" t="str">
        <f>IF(AND('Riesgos de Gestión'!$O$31="Baja",'Riesgos de Gestión'!$S$31="Menor"),CONCATENATE("R",'Riesgos de Gestión'!$A$31),"")</f>
        <v/>
      </c>
      <c r="Q32" s="473"/>
      <c r="R32" s="473" t="str">
        <f>IF(AND('Riesgos de Gestión'!$O$37="Baja",'Riesgos de Gestión'!$S$37="Menor"),CONCATENATE("R",'Riesgos de Gestión'!$A$37),"")</f>
        <v/>
      </c>
      <c r="S32" s="473"/>
      <c r="T32" s="473" t="str">
        <f>IF(AND('Riesgos de Gestión'!$O$43="Baja",'Riesgos de Gestión'!$S$43="Menor"),CONCATENATE("R",'Riesgos de Gestión'!$A$43),"")</f>
        <v/>
      </c>
      <c r="U32" s="474"/>
      <c r="V32" s="472" t="str">
        <f>IF(AND('Riesgos de Gestión'!$O$31="Baja",'Riesgos de Gestión'!$S$31="Moderado"),CONCATENATE("R",'Riesgos de Gestión'!$A$31),"")</f>
        <v/>
      </c>
      <c r="W32" s="473"/>
      <c r="X32" s="473" t="str">
        <f>IF(AND('Riesgos de Gestión'!$O$37="Baja",'Riesgos de Gestión'!$S$37="Moderado"),CONCATENATE("R",'Riesgos de Gestión'!$A$37),"")</f>
        <v/>
      </c>
      <c r="Y32" s="473"/>
      <c r="Z32" s="473" t="str">
        <f>IF(AND('Riesgos de Gestión'!$O$43="Baja",'Riesgos de Gestión'!$S$43="Moderado"),CONCATENATE("R",'Riesgos de Gestión'!$A$43),"")</f>
        <v/>
      </c>
      <c r="AA32" s="474"/>
      <c r="AB32" s="490" t="str">
        <f>IF(AND('Riesgos de Gestión'!$O$31="Baja",'Riesgos de Gestión'!$S$31="Mayor"),CONCATENATE("R",'Riesgos de Gestión'!$A$31),"")</f>
        <v/>
      </c>
      <c r="AC32" s="491"/>
      <c r="AD32" s="491" t="str">
        <f>IF(AND('Riesgos de Gestión'!$O$37="Baja",'Riesgos de Gestión'!$S$37="Mayor"),CONCATENATE("R",'Riesgos de Gestión'!$A$37),"")</f>
        <v/>
      </c>
      <c r="AE32" s="491"/>
      <c r="AF32" s="491" t="str">
        <f>IF(AND('Riesgos de Gestión'!$O$43="Baja",'Riesgos de Gestión'!$S$43="Mayor"),CONCATENATE("R",'Riesgos de Gestión'!$A$43),"")</f>
        <v/>
      </c>
      <c r="AG32" s="492"/>
      <c r="AH32" s="481" t="str">
        <f>IF(AND('Riesgos de Gestión'!$O$31="Baja",'Riesgos de Gestión'!$S$31="Catastrófico"),CONCATENATE("R",'Riesgos de Gestión'!$A$31),"")</f>
        <v/>
      </c>
      <c r="AI32" s="482"/>
      <c r="AJ32" s="482" t="str">
        <f>IF(AND('Riesgos de Gestión'!$O$37="Baja",'Riesgos de Gestión'!$S$37="Catastrófico"),CONCATENATE("R",'Riesgos de Gestión'!$A$37),"")</f>
        <v/>
      </c>
      <c r="AK32" s="482"/>
      <c r="AL32" s="482" t="str">
        <f>IF(AND('Riesgos de Gestión'!$O$43="Baja",'Riesgos de Gestión'!$S$43="Catastrófico"),CONCATENATE("R",'Riesgos de Gestión'!$A$43),"")</f>
        <v/>
      </c>
      <c r="AM32" s="483"/>
      <c r="AN32" s="66"/>
      <c r="AO32" s="542"/>
      <c r="AP32" s="543"/>
      <c r="AQ32" s="543"/>
      <c r="AR32" s="543"/>
      <c r="AS32" s="543"/>
      <c r="AT32" s="544"/>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510"/>
      <c r="C33" s="510"/>
      <c r="D33" s="511"/>
      <c r="E33" s="503"/>
      <c r="F33" s="504"/>
      <c r="G33" s="504"/>
      <c r="H33" s="504"/>
      <c r="I33" s="504"/>
      <c r="J33" s="463"/>
      <c r="K33" s="464"/>
      <c r="L33" s="464"/>
      <c r="M33" s="464"/>
      <c r="N33" s="464"/>
      <c r="O33" s="465"/>
      <c r="P33" s="473"/>
      <c r="Q33" s="473"/>
      <c r="R33" s="473"/>
      <c r="S33" s="473"/>
      <c r="T33" s="473"/>
      <c r="U33" s="474"/>
      <c r="V33" s="472"/>
      <c r="W33" s="473"/>
      <c r="X33" s="473"/>
      <c r="Y33" s="473"/>
      <c r="Z33" s="473"/>
      <c r="AA33" s="474"/>
      <c r="AB33" s="490"/>
      <c r="AC33" s="491"/>
      <c r="AD33" s="491"/>
      <c r="AE33" s="491"/>
      <c r="AF33" s="491"/>
      <c r="AG33" s="492"/>
      <c r="AH33" s="481"/>
      <c r="AI33" s="482"/>
      <c r="AJ33" s="482"/>
      <c r="AK33" s="482"/>
      <c r="AL33" s="482"/>
      <c r="AM33" s="483"/>
      <c r="AN33" s="66"/>
      <c r="AO33" s="542"/>
      <c r="AP33" s="543"/>
      <c r="AQ33" s="543"/>
      <c r="AR33" s="543"/>
      <c r="AS33" s="543"/>
      <c r="AT33" s="544"/>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510"/>
      <c r="C34" s="510"/>
      <c r="D34" s="511"/>
      <c r="E34" s="503"/>
      <c r="F34" s="504"/>
      <c r="G34" s="504"/>
      <c r="H34" s="504"/>
      <c r="I34" s="504"/>
      <c r="J34" s="463" t="str">
        <f>IF(AND('Riesgos de Gestión'!$O$49="Baja",'Riesgos de Gestión'!$S$49="Leve"),CONCATENATE("R",'Riesgos de Gestión'!$A$49),"")</f>
        <v/>
      </c>
      <c r="K34" s="464"/>
      <c r="L34" s="464" t="str">
        <f>IF(AND('Riesgos de Gestión'!$O$55="Baja",'Riesgos de Gestión'!$S$55="Leve"),CONCATENATE("R",'Riesgos de Gestión'!$A$55),"")</f>
        <v/>
      </c>
      <c r="M34" s="464"/>
      <c r="N34" s="464" t="str">
        <f>IF(AND('Riesgos de Gestión'!$O$61="Baja",'Riesgos de Gestión'!$S$61="Leve"),CONCATENATE("R",'Riesgos de Gestión'!$A$61),"")</f>
        <v/>
      </c>
      <c r="O34" s="465"/>
      <c r="P34" s="473" t="str">
        <f>IF(AND('Riesgos de Gestión'!$O$49="Baja",'Riesgos de Gestión'!$S$49="Menor"),CONCATENATE("R",'Riesgos de Gestión'!$A$49),"")</f>
        <v/>
      </c>
      <c r="Q34" s="473"/>
      <c r="R34" s="473" t="str">
        <f>IF(AND('Riesgos de Gestión'!$O$55="Baja",'Riesgos de Gestión'!$S$55="Menor"),CONCATENATE("R",'Riesgos de Gestión'!$A$55),"")</f>
        <v/>
      </c>
      <c r="S34" s="473"/>
      <c r="T34" s="473" t="str">
        <f>IF(AND('Riesgos de Gestión'!$O$61="Baja",'Riesgos de Gestión'!$S$61="Menor"),CONCATENATE("R",'Riesgos de Gestión'!$A$61),"")</f>
        <v/>
      </c>
      <c r="U34" s="474"/>
      <c r="V34" s="472" t="str">
        <f>IF(AND('Riesgos de Gestión'!$O$49="Baja",'Riesgos de Gestión'!$S$49="Moderado"),CONCATENATE("R",'Riesgos de Gestión'!$A$49),"")</f>
        <v/>
      </c>
      <c r="W34" s="473"/>
      <c r="X34" s="473" t="str">
        <f>IF(AND('Riesgos de Gestión'!$O$55="Baja",'Riesgos de Gestión'!$S$55="Moderado"),CONCATENATE("R",'Riesgos de Gestión'!$A$55),"")</f>
        <v/>
      </c>
      <c r="Y34" s="473"/>
      <c r="Z34" s="473" t="str">
        <f>IF(AND('Riesgos de Gestión'!$O$61="Baja",'Riesgos de Gestión'!$S$61="Moderado"),CONCATENATE("R",'Riesgos de Gestión'!$A$61),"")</f>
        <v/>
      </c>
      <c r="AA34" s="474"/>
      <c r="AB34" s="490" t="str">
        <f>IF(AND('Riesgos de Gestión'!$O$49="Baja",'Riesgos de Gestión'!$S$49="Mayor"),CONCATENATE("R",'Riesgos de Gestión'!$A$49),"")</f>
        <v/>
      </c>
      <c r="AC34" s="491"/>
      <c r="AD34" s="491" t="str">
        <f>IF(AND('Riesgos de Gestión'!$O$55="Baja",'Riesgos de Gestión'!$S$55="Mayor"),CONCATENATE("R",'Riesgos de Gestión'!$A$55),"")</f>
        <v/>
      </c>
      <c r="AE34" s="491"/>
      <c r="AF34" s="491" t="str">
        <f>IF(AND('Riesgos de Gestión'!$O$61="Baja",'Riesgos de Gestión'!$S$61="Mayor"),CONCATENATE("R",'Riesgos de Gestión'!$A$61),"")</f>
        <v/>
      </c>
      <c r="AG34" s="492"/>
      <c r="AH34" s="481" t="str">
        <f>IF(AND('Riesgos de Gestión'!$O$49="Baja",'Riesgos de Gestión'!$S$49="Catastrófico"),CONCATENATE("R",'Riesgos de Gestión'!$A$49),"")</f>
        <v/>
      </c>
      <c r="AI34" s="482"/>
      <c r="AJ34" s="482" t="str">
        <f>IF(AND('Riesgos de Gestión'!$O$55="Baja",'Riesgos de Gestión'!$S$55="Catastrófico"),CONCATENATE("R",'Riesgos de Gestión'!$A$55),"")</f>
        <v/>
      </c>
      <c r="AK34" s="482"/>
      <c r="AL34" s="482" t="str">
        <f>IF(AND('Riesgos de Gestión'!$O$61="Baja",'Riesgos de Gestión'!$S$61="Catastrófico"),CONCATENATE("R",'Riesgos de Gestión'!$A$61),"")</f>
        <v/>
      </c>
      <c r="AM34" s="483"/>
      <c r="AN34" s="66"/>
      <c r="AO34" s="542"/>
      <c r="AP34" s="543"/>
      <c r="AQ34" s="543"/>
      <c r="AR34" s="543"/>
      <c r="AS34" s="543"/>
      <c r="AT34" s="544"/>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510"/>
      <c r="C35" s="510"/>
      <c r="D35" s="511"/>
      <c r="E35" s="503"/>
      <c r="F35" s="504"/>
      <c r="G35" s="504"/>
      <c r="H35" s="504"/>
      <c r="I35" s="504"/>
      <c r="J35" s="463"/>
      <c r="K35" s="464"/>
      <c r="L35" s="464"/>
      <c r="M35" s="464"/>
      <c r="N35" s="464"/>
      <c r="O35" s="465"/>
      <c r="P35" s="473"/>
      <c r="Q35" s="473"/>
      <c r="R35" s="473"/>
      <c r="S35" s="473"/>
      <c r="T35" s="473"/>
      <c r="U35" s="474"/>
      <c r="V35" s="472"/>
      <c r="W35" s="473"/>
      <c r="X35" s="473"/>
      <c r="Y35" s="473"/>
      <c r="Z35" s="473"/>
      <c r="AA35" s="474"/>
      <c r="AB35" s="490"/>
      <c r="AC35" s="491"/>
      <c r="AD35" s="491"/>
      <c r="AE35" s="491"/>
      <c r="AF35" s="491"/>
      <c r="AG35" s="492"/>
      <c r="AH35" s="481"/>
      <c r="AI35" s="482"/>
      <c r="AJ35" s="482"/>
      <c r="AK35" s="482"/>
      <c r="AL35" s="482"/>
      <c r="AM35" s="483"/>
      <c r="AN35" s="66"/>
      <c r="AO35" s="542"/>
      <c r="AP35" s="543"/>
      <c r="AQ35" s="543"/>
      <c r="AR35" s="543"/>
      <c r="AS35" s="543"/>
      <c r="AT35" s="544"/>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510"/>
      <c r="C36" s="510"/>
      <c r="D36" s="511"/>
      <c r="E36" s="503"/>
      <c r="F36" s="504"/>
      <c r="G36" s="504"/>
      <c r="H36" s="504"/>
      <c r="I36" s="504"/>
      <c r="J36" s="463" t="str">
        <f>IF(AND('Riesgos de Gestión'!$O$67="Baja",'Riesgos de Gestión'!$S$67="Leve"),CONCATENATE("R",'Riesgos de Gestión'!$A$67),"")</f>
        <v/>
      </c>
      <c r="K36" s="464"/>
      <c r="L36" s="464" t="str">
        <f>IF(AND('Riesgos de Gestión'!$P$73="Baja",'Riesgos de Gestión'!$T$73="Leve"),CONCATENATE("R",'Riesgos de Gestión'!$A$73),"")</f>
        <v/>
      </c>
      <c r="M36" s="464"/>
      <c r="N36" s="464" t="str">
        <f>IF(AND('Riesgos de Gestión'!$P$79="Baja",'Riesgos de Gestión'!$T$79="Leve"),CONCATENATE("R",'Riesgos de Gestión'!$A$79),"")</f>
        <v/>
      </c>
      <c r="O36" s="465"/>
      <c r="P36" s="473" t="str">
        <f>IF(AND('Riesgos de Gestión'!$O$67="Baja",'Riesgos de Gestión'!$S$67="Menor"),CONCATENATE("R",'Riesgos de Gestión'!$A$67),"")</f>
        <v/>
      </c>
      <c r="Q36" s="473"/>
      <c r="R36" s="473" t="str">
        <f>IF(AND('Riesgos de Gestión'!$P$73="Baja",'Riesgos de Gestión'!$T$73="Menor"),CONCATENATE("R",'Riesgos de Gestión'!$A$73),"")</f>
        <v/>
      </c>
      <c r="S36" s="473"/>
      <c r="T36" s="473" t="str">
        <f>IF(AND('Riesgos de Gestión'!$P$79="Baja",'Riesgos de Gestión'!$T$79="Menor"),CONCATENATE("R",'Riesgos de Gestión'!$A$79),"")</f>
        <v/>
      </c>
      <c r="U36" s="474"/>
      <c r="V36" s="472" t="str">
        <f>IF(AND('Riesgos de Gestión'!$O$67="Baja",'Riesgos de Gestión'!$S$67="Moderado"),CONCATENATE("R",'Riesgos de Gestión'!$A$67),"")</f>
        <v/>
      </c>
      <c r="W36" s="473"/>
      <c r="X36" s="473" t="str">
        <f>IF(AND('Riesgos de Gestión'!$P$73="Baja",'Riesgos de Gestión'!$T$73="Moderado"),CONCATENATE("R",'Riesgos de Gestión'!$A$73),"")</f>
        <v/>
      </c>
      <c r="Y36" s="473"/>
      <c r="Z36" s="473" t="str">
        <f>IF(AND('Riesgos de Gestión'!$P$79="Baja",'Riesgos de Gestión'!$T$79="Moderado"),CONCATENATE("R",'Riesgos de Gestión'!$A$79),"")</f>
        <v/>
      </c>
      <c r="AA36" s="474"/>
      <c r="AB36" s="490" t="str">
        <f>IF(AND('Riesgos de Gestión'!$O$67="Baja",'Riesgos de Gestión'!$S$67="Mayor"),CONCATENATE("R",'Riesgos de Gestión'!$A$67),"")</f>
        <v/>
      </c>
      <c r="AC36" s="491"/>
      <c r="AD36" s="491" t="str">
        <f>IF(AND('Riesgos de Gestión'!$P$73="Baja",'Riesgos de Gestión'!$T$73="Mayor"),CONCATENATE("R",'Riesgos de Gestión'!$A$73),"")</f>
        <v/>
      </c>
      <c r="AE36" s="491"/>
      <c r="AF36" s="491" t="str">
        <f>IF(AND('Riesgos de Gestión'!$P$79="Baja",'Riesgos de Gestión'!$T$79="Mayor"),CONCATENATE("R",'Riesgos de Gestión'!$A$79),"")</f>
        <v/>
      </c>
      <c r="AG36" s="492"/>
      <c r="AH36" s="481" t="str">
        <f>IF(AND('Riesgos de Gestión'!$O$67="Baja",'Riesgos de Gestión'!$S$67="Catastrófico"),CONCATENATE("R",'Riesgos de Gestión'!$A$67),"")</f>
        <v/>
      </c>
      <c r="AI36" s="482"/>
      <c r="AJ36" s="482" t="str">
        <f>IF(AND('Riesgos de Gestión'!$P$73="Baja",'Riesgos de Gestión'!$T$73="Catastrófico"),CONCATENATE("R",'Riesgos de Gestión'!$A$73),"")</f>
        <v/>
      </c>
      <c r="AK36" s="482"/>
      <c r="AL36" s="482" t="str">
        <f>IF(AND('Riesgos de Gestión'!$P$79="Baja",'Riesgos de Gestión'!$T$79="Catastrófico"),CONCATENATE("R",'Riesgos de Gestión'!$A$79),"")</f>
        <v/>
      </c>
      <c r="AM36" s="483"/>
      <c r="AN36" s="66"/>
      <c r="AO36" s="542"/>
      <c r="AP36" s="543"/>
      <c r="AQ36" s="543"/>
      <c r="AR36" s="543"/>
      <c r="AS36" s="543"/>
      <c r="AT36" s="544"/>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510"/>
      <c r="C37" s="510"/>
      <c r="D37" s="511"/>
      <c r="E37" s="506"/>
      <c r="F37" s="507"/>
      <c r="G37" s="507"/>
      <c r="H37" s="507"/>
      <c r="I37" s="507"/>
      <c r="J37" s="466"/>
      <c r="K37" s="467"/>
      <c r="L37" s="467"/>
      <c r="M37" s="467"/>
      <c r="N37" s="467"/>
      <c r="O37" s="468"/>
      <c r="P37" s="476"/>
      <c r="Q37" s="476"/>
      <c r="R37" s="476"/>
      <c r="S37" s="476"/>
      <c r="T37" s="476"/>
      <c r="U37" s="477"/>
      <c r="V37" s="475"/>
      <c r="W37" s="476"/>
      <c r="X37" s="476"/>
      <c r="Y37" s="476"/>
      <c r="Z37" s="476"/>
      <c r="AA37" s="477"/>
      <c r="AB37" s="493"/>
      <c r="AC37" s="494"/>
      <c r="AD37" s="494"/>
      <c r="AE37" s="494"/>
      <c r="AF37" s="494"/>
      <c r="AG37" s="495"/>
      <c r="AH37" s="484"/>
      <c r="AI37" s="485"/>
      <c r="AJ37" s="485"/>
      <c r="AK37" s="485"/>
      <c r="AL37" s="485"/>
      <c r="AM37" s="486"/>
      <c r="AN37" s="66"/>
      <c r="AO37" s="545"/>
      <c r="AP37" s="546"/>
      <c r="AQ37" s="546"/>
      <c r="AR37" s="546"/>
      <c r="AS37" s="546"/>
      <c r="AT37" s="547"/>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510"/>
      <c r="C38" s="510"/>
      <c r="D38" s="511"/>
      <c r="E38" s="500" t="s">
        <v>273</v>
      </c>
      <c r="F38" s="501"/>
      <c r="G38" s="501"/>
      <c r="H38" s="501"/>
      <c r="I38" s="502"/>
      <c r="J38" s="469" t="str">
        <f>IF(AND('Riesgos de Gestión'!$O$13="Muy Baja",'Riesgos de Gestión'!$S$13="Leve"),CONCATENATE("R",'Riesgos de Gestión'!$A$13),"")</f>
        <v/>
      </c>
      <c r="K38" s="470"/>
      <c r="L38" s="470" t="str">
        <f>IF(AND('Riesgos de Gestión'!$O$19="Muy Baja",'Riesgos de Gestión'!$S$19="Leve"),CONCATENATE("R",'Riesgos de Gestión'!$A$19),"")</f>
        <v/>
      </c>
      <c r="M38" s="470"/>
      <c r="N38" s="470" t="str">
        <f>IF(AND('Riesgos de Gestión'!$O$25="Muy Baja",'Riesgos de Gestión'!$S$25="Leve"),CONCATENATE("R",'Riesgos de Gestión'!$A$25),"")</f>
        <v/>
      </c>
      <c r="O38" s="471"/>
      <c r="P38" s="469" t="str">
        <f>IF(AND('Riesgos de Gestión'!$O$13="Muy Baja",'Riesgos de Gestión'!$S$13="Menor"),CONCATENATE("R",'Riesgos de Gestión'!$A$13),"")</f>
        <v/>
      </c>
      <c r="Q38" s="470"/>
      <c r="R38" s="470" t="str">
        <f>IF(AND('Riesgos de Gestión'!$O$19="Muy Baja",'Riesgos de Gestión'!$S$19="Menor"),CONCATENATE("R",'Riesgos de Gestión'!$A$19),"")</f>
        <v/>
      </c>
      <c r="S38" s="470"/>
      <c r="T38" s="470" t="str">
        <f>IF(AND('Riesgos de Gestión'!$O$25="Muy Baja",'Riesgos de Gestión'!$S$25="Menor"),CONCATENATE("R",'Riesgos de Gestión'!$A$25),"")</f>
        <v/>
      </c>
      <c r="U38" s="471"/>
      <c r="V38" s="478" t="str">
        <f>IF(AND('Riesgos de Gestión'!$O$13="Muy Baja",'Riesgos de Gestión'!$S$13="Moderado"),CONCATENATE("R",'Riesgos de Gestión'!$A$13),"")</f>
        <v/>
      </c>
      <c r="W38" s="479"/>
      <c r="X38" s="479" t="str">
        <f>IF(AND('Riesgos de Gestión'!$O$19="Muy Baja",'Riesgos de Gestión'!$S$19="Moderado"),CONCATENATE("R",'Riesgos de Gestión'!$A$19),"")</f>
        <v/>
      </c>
      <c r="Y38" s="479"/>
      <c r="Z38" s="479" t="str">
        <f>IF(AND('Riesgos de Gestión'!$O$25="Muy Baja",'Riesgos de Gestión'!$S$25="Moderado"),CONCATENATE("R",'Riesgos de Gestión'!$A$25),"")</f>
        <v/>
      </c>
      <c r="AA38" s="480"/>
      <c r="AB38" s="496" t="str">
        <f>IF(AND('Riesgos de Gestión'!$O$13="Muy Baja",'Riesgos de Gestión'!$S$13="Mayor"),CONCATENATE("R",'Riesgos de Gestión'!$A$13),"")</f>
        <v/>
      </c>
      <c r="AC38" s="497"/>
      <c r="AD38" s="497" t="str">
        <f>IF(AND('Riesgos de Gestión'!$O$19="Muy Baja",'Riesgos de Gestión'!$S$19="Mayor"),CONCATENATE("R",'Riesgos de Gestión'!$A$19),"")</f>
        <v/>
      </c>
      <c r="AE38" s="497"/>
      <c r="AF38" s="497" t="str">
        <f>IF(AND('Riesgos de Gestión'!$O$25="Muy Baja",'Riesgos de Gestión'!$S$25="Mayor"),CONCATENATE("R",'Riesgos de Gestión'!$A$25),"")</f>
        <v/>
      </c>
      <c r="AG38" s="498"/>
      <c r="AH38" s="487" t="str">
        <f>IF(AND('Riesgos de Gestión'!$O$13="Muy Baja",'Riesgos de Gestión'!$S$13="Catastrófico"),CONCATENATE("R",'Riesgos de Gestión'!$A$13),"")</f>
        <v/>
      </c>
      <c r="AI38" s="488"/>
      <c r="AJ38" s="488" t="str">
        <f>IF(AND('Riesgos de Gestión'!$O$19="Muy Baja",'Riesgos de Gestión'!$S$19="Catastrófico"),CONCATENATE("R",'Riesgos de Gestión'!$A$19),"")</f>
        <v/>
      </c>
      <c r="AK38" s="488"/>
      <c r="AL38" s="488" t="str">
        <f>IF(AND('Riesgos de Gestión'!$O$25="Muy Baja",'Riesgos de Gestión'!$S$25="Catastrófico"),CONCATENATE("R",'Riesgos de Gestión'!$A$25),"")</f>
        <v/>
      </c>
      <c r="AM38" s="489"/>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510"/>
      <c r="C39" s="510"/>
      <c r="D39" s="511"/>
      <c r="E39" s="503"/>
      <c r="F39" s="504"/>
      <c r="G39" s="504"/>
      <c r="H39" s="504"/>
      <c r="I39" s="505"/>
      <c r="J39" s="463"/>
      <c r="K39" s="464"/>
      <c r="L39" s="464"/>
      <c r="M39" s="464"/>
      <c r="N39" s="464"/>
      <c r="O39" s="465"/>
      <c r="P39" s="463"/>
      <c r="Q39" s="464"/>
      <c r="R39" s="464"/>
      <c r="S39" s="464"/>
      <c r="T39" s="464"/>
      <c r="U39" s="465"/>
      <c r="V39" s="472"/>
      <c r="W39" s="473"/>
      <c r="X39" s="473"/>
      <c r="Y39" s="473"/>
      <c r="Z39" s="473"/>
      <c r="AA39" s="474"/>
      <c r="AB39" s="490"/>
      <c r="AC39" s="491"/>
      <c r="AD39" s="491"/>
      <c r="AE39" s="491"/>
      <c r="AF39" s="491"/>
      <c r="AG39" s="492"/>
      <c r="AH39" s="481"/>
      <c r="AI39" s="482"/>
      <c r="AJ39" s="482"/>
      <c r="AK39" s="482"/>
      <c r="AL39" s="482"/>
      <c r="AM39" s="483"/>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510"/>
      <c r="C40" s="510"/>
      <c r="D40" s="511"/>
      <c r="E40" s="503"/>
      <c r="F40" s="504"/>
      <c r="G40" s="504"/>
      <c r="H40" s="504"/>
      <c r="I40" s="505"/>
      <c r="J40" s="463" t="str">
        <f>IF(AND('Riesgos de Gestión'!$O$31="Muy Baja",'Riesgos de Gestión'!$S$31="Leve"),CONCATENATE("R",'Riesgos de Gestión'!$A$31),"")</f>
        <v/>
      </c>
      <c r="K40" s="464"/>
      <c r="L40" s="464" t="str">
        <f>IF(AND('Riesgos de Gestión'!$O$37="Muy Baja",'Riesgos de Gestión'!$S$37="Leve"),CONCATENATE("R",'Riesgos de Gestión'!$A$37),"")</f>
        <v/>
      </c>
      <c r="M40" s="464"/>
      <c r="N40" s="464" t="str">
        <f>IF(AND('Riesgos de Gestión'!$O$43="Muy Baja",'Riesgos de Gestión'!$S$43="Leve"),CONCATENATE("R",'Riesgos de Gestión'!$A$43),"")</f>
        <v/>
      </c>
      <c r="O40" s="465"/>
      <c r="P40" s="463" t="str">
        <f>IF(AND('Riesgos de Gestión'!$O$31="Muy Baja",'Riesgos de Gestión'!$S$31="Menor"),CONCATENATE("R",'Riesgos de Gestión'!$A$31),"")</f>
        <v/>
      </c>
      <c r="Q40" s="464"/>
      <c r="R40" s="464" t="str">
        <f>IF(AND('Riesgos de Gestión'!$O$37="Muy Baja",'Riesgos de Gestión'!$S$37="Menor"),CONCATENATE("R",'Riesgos de Gestión'!$A$37),"")</f>
        <v/>
      </c>
      <c r="S40" s="464"/>
      <c r="T40" s="464" t="str">
        <f>IF(AND('Riesgos de Gestión'!$O$43="Muy Baja",'Riesgos de Gestión'!$S$43="Menor"),CONCATENATE("R",'Riesgos de Gestión'!$A$43),"")</f>
        <v/>
      </c>
      <c r="U40" s="465"/>
      <c r="V40" s="472" t="str">
        <f>IF(AND('Riesgos de Gestión'!$O$31="Muy Baja",'Riesgos de Gestión'!$S$31="Moderado"),CONCATENATE("R",'Riesgos de Gestión'!$A$31),"")</f>
        <v/>
      </c>
      <c r="W40" s="473"/>
      <c r="X40" s="473" t="str">
        <f>IF(AND('Riesgos de Gestión'!$O$37="Muy Baja",'Riesgos de Gestión'!$S$37="Moderado"),CONCATENATE("R",'Riesgos de Gestión'!$A$37),"")</f>
        <v/>
      </c>
      <c r="Y40" s="473"/>
      <c r="Z40" s="473" t="str">
        <f>IF(AND('Riesgos de Gestión'!$O$43="Muy Baja",'Riesgos de Gestión'!$S$43="Moderado"),CONCATENATE("R",'Riesgos de Gestión'!$A$43),"")</f>
        <v/>
      </c>
      <c r="AA40" s="474"/>
      <c r="AB40" s="490" t="str">
        <f>IF(AND('Riesgos de Gestión'!$O$31="Muy Baja",'Riesgos de Gestión'!$S$31="Mayor"),CONCATENATE("R",'Riesgos de Gestión'!$A$31),"")</f>
        <v/>
      </c>
      <c r="AC40" s="491"/>
      <c r="AD40" s="491" t="str">
        <f>IF(AND('Riesgos de Gestión'!$O$37="Muy Baja",'Riesgos de Gestión'!$S$37="Mayor"),CONCATENATE("R",'Riesgos de Gestión'!$A$37),"")</f>
        <v/>
      </c>
      <c r="AE40" s="491"/>
      <c r="AF40" s="491" t="str">
        <f>IF(AND('Riesgos de Gestión'!$O$43="Muy Baja",'Riesgos de Gestión'!$S$43="Mayor"),CONCATENATE("R",'Riesgos de Gestión'!$A$43),"")</f>
        <v/>
      </c>
      <c r="AG40" s="492"/>
      <c r="AH40" s="481" t="str">
        <f>IF(AND('Riesgos de Gestión'!$O$31="Muy Baja",'Riesgos de Gestión'!$S$31="Catastrófico"),CONCATENATE("R",'Riesgos de Gestión'!$A$31),"")</f>
        <v/>
      </c>
      <c r="AI40" s="482"/>
      <c r="AJ40" s="482" t="str">
        <f>IF(AND('Riesgos de Gestión'!$O$37="Muy Baja",'Riesgos de Gestión'!$S$37="Catastrófico"),CONCATENATE("R",'Riesgos de Gestión'!$A$37),"")</f>
        <v/>
      </c>
      <c r="AK40" s="482"/>
      <c r="AL40" s="482" t="str">
        <f>IF(AND('Riesgos de Gestión'!$O$43="Muy Baja",'Riesgos de Gestión'!$S$43="Catastrófico"),CONCATENATE("R",'Riesgos de Gestión'!$A$43),"")</f>
        <v/>
      </c>
      <c r="AM40" s="483"/>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510"/>
      <c r="C41" s="510"/>
      <c r="D41" s="511"/>
      <c r="E41" s="503"/>
      <c r="F41" s="504"/>
      <c r="G41" s="504"/>
      <c r="H41" s="504"/>
      <c r="I41" s="505"/>
      <c r="J41" s="463"/>
      <c r="K41" s="464"/>
      <c r="L41" s="464"/>
      <c r="M41" s="464"/>
      <c r="N41" s="464"/>
      <c r="O41" s="465"/>
      <c r="P41" s="463"/>
      <c r="Q41" s="464"/>
      <c r="R41" s="464"/>
      <c r="S41" s="464"/>
      <c r="T41" s="464"/>
      <c r="U41" s="465"/>
      <c r="V41" s="472"/>
      <c r="W41" s="473"/>
      <c r="X41" s="473"/>
      <c r="Y41" s="473"/>
      <c r="Z41" s="473"/>
      <c r="AA41" s="474"/>
      <c r="AB41" s="490"/>
      <c r="AC41" s="491"/>
      <c r="AD41" s="491"/>
      <c r="AE41" s="491"/>
      <c r="AF41" s="491"/>
      <c r="AG41" s="492"/>
      <c r="AH41" s="481"/>
      <c r="AI41" s="482"/>
      <c r="AJ41" s="482"/>
      <c r="AK41" s="482"/>
      <c r="AL41" s="482"/>
      <c r="AM41" s="483"/>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510"/>
      <c r="C42" s="510"/>
      <c r="D42" s="511"/>
      <c r="E42" s="503"/>
      <c r="F42" s="504"/>
      <c r="G42" s="504"/>
      <c r="H42" s="504"/>
      <c r="I42" s="505"/>
      <c r="J42" s="463" t="str">
        <f>IF(AND('Riesgos de Gestión'!$O$49="Muy Baja",'Riesgos de Gestión'!$S$49="Leve"),CONCATENATE("R",'Riesgos de Gestión'!$A$49),"")</f>
        <v/>
      </c>
      <c r="K42" s="464"/>
      <c r="L42" s="464" t="str">
        <f>IF(AND('Riesgos de Gestión'!$O$55="Muy Baja",'Riesgos de Gestión'!$S$55="Leve"),CONCATENATE("R",'Riesgos de Gestión'!$A$55),"")</f>
        <v/>
      </c>
      <c r="M42" s="464"/>
      <c r="N42" s="464" t="str">
        <f>IF(AND('Riesgos de Gestión'!$O$61="Muy Baja",'Riesgos de Gestión'!$S$61="Leve"),CONCATENATE("R",'Riesgos de Gestión'!$A$61),"")</f>
        <v/>
      </c>
      <c r="O42" s="465"/>
      <c r="P42" s="463" t="str">
        <f>IF(AND('Riesgos de Gestión'!$O$49="Muy Baja",'Riesgos de Gestión'!$S$49="Menor"),CONCATENATE("R",'Riesgos de Gestión'!$A$49),"")</f>
        <v/>
      </c>
      <c r="Q42" s="464"/>
      <c r="R42" s="464" t="str">
        <f>IF(AND('Riesgos de Gestión'!$O$55="Muy Baja",'Riesgos de Gestión'!$S$55="Menor"),CONCATENATE("R",'Riesgos de Gestión'!$A$55),"")</f>
        <v/>
      </c>
      <c r="S42" s="464"/>
      <c r="T42" s="464" t="str">
        <f>IF(AND('Riesgos de Gestión'!$O$61="Muy Baja",'Riesgos de Gestión'!$S$61="Menor"),CONCATENATE("R",'Riesgos de Gestión'!$A$61),"")</f>
        <v/>
      </c>
      <c r="U42" s="465"/>
      <c r="V42" s="472" t="str">
        <f>IF(AND('Riesgos de Gestión'!$O$49="Muy Baja",'Riesgos de Gestión'!$S$49="Moderado"),CONCATENATE("R",'Riesgos de Gestión'!$A$49),"")</f>
        <v/>
      </c>
      <c r="W42" s="473"/>
      <c r="X42" s="473" t="str">
        <f>IF(AND('Riesgos de Gestión'!$O$55="Muy Baja",'Riesgos de Gestión'!$S$55="Moderado"),CONCATENATE("R",'Riesgos de Gestión'!$A$55),"")</f>
        <v/>
      </c>
      <c r="Y42" s="473"/>
      <c r="Z42" s="473" t="str">
        <f>IF(AND('Riesgos de Gestión'!$O$61="Muy Baja",'Riesgos de Gestión'!$S$61="Moderado"),CONCATENATE("R",'Riesgos de Gestión'!$A$61),"")</f>
        <v/>
      </c>
      <c r="AA42" s="474"/>
      <c r="AB42" s="490" t="str">
        <f>IF(AND('Riesgos de Gestión'!$O$49="Muy Baja",'Riesgos de Gestión'!$S$49="Mayor"),CONCATENATE("R",'Riesgos de Gestión'!$A$49),"")</f>
        <v/>
      </c>
      <c r="AC42" s="491"/>
      <c r="AD42" s="491" t="str">
        <f>IF(AND('Riesgos de Gestión'!$O$55="Muy Baja",'Riesgos de Gestión'!$S$55="Mayor"),CONCATENATE("R",'Riesgos de Gestión'!$A$55),"")</f>
        <v/>
      </c>
      <c r="AE42" s="491"/>
      <c r="AF42" s="491" t="str">
        <f>IF(AND('Riesgos de Gestión'!$O$61="Muy Baja",'Riesgos de Gestión'!$S$61="Mayor"),CONCATENATE("R",'Riesgos de Gestión'!$A$61),"")</f>
        <v/>
      </c>
      <c r="AG42" s="492"/>
      <c r="AH42" s="481" t="str">
        <f>IF(AND('Riesgos de Gestión'!$O$49="Muy Baja",'Riesgos de Gestión'!$S$49="Catastrófico"),CONCATENATE("R",'Riesgos de Gestión'!$A$49),"")</f>
        <v/>
      </c>
      <c r="AI42" s="482"/>
      <c r="AJ42" s="482" t="str">
        <f>IF(AND('Riesgos de Gestión'!$O$55="Muy Baja",'Riesgos de Gestión'!$S$55="Catastrófico"),CONCATENATE("R",'Riesgos de Gestión'!$A$55),"")</f>
        <v/>
      </c>
      <c r="AK42" s="482"/>
      <c r="AL42" s="482" t="str">
        <f>IF(AND('Riesgos de Gestión'!$O$61="Muy Baja",'Riesgos de Gestión'!$S$61="Catastrófico"),CONCATENATE("R",'Riesgos de Gestión'!$A$61),"")</f>
        <v/>
      </c>
      <c r="AM42" s="483"/>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510"/>
      <c r="C43" s="510"/>
      <c r="D43" s="511"/>
      <c r="E43" s="503"/>
      <c r="F43" s="504"/>
      <c r="G43" s="504"/>
      <c r="H43" s="504"/>
      <c r="I43" s="505"/>
      <c r="J43" s="463"/>
      <c r="K43" s="464"/>
      <c r="L43" s="464"/>
      <c r="M43" s="464"/>
      <c r="N43" s="464"/>
      <c r="O43" s="465"/>
      <c r="P43" s="463"/>
      <c r="Q43" s="464"/>
      <c r="R43" s="464"/>
      <c r="S43" s="464"/>
      <c r="T43" s="464"/>
      <c r="U43" s="465"/>
      <c r="V43" s="472"/>
      <c r="W43" s="473"/>
      <c r="X43" s="473"/>
      <c r="Y43" s="473"/>
      <c r="Z43" s="473"/>
      <c r="AA43" s="474"/>
      <c r="AB43" s="490"/>
      <c r="AC43" s="491"/>
      <c r="AD43" s="491"/>
      <c r="AE43" s="491"/>
      <c r="AF43" s="491"/>
      <c r="AG43" s="492"/>
      <c r="AH43" s="481"/>
      <c r="AI43" s="482"/>
      <c r="AJ43" s="482"/>
      <c r="AK43" s="482"/>
      <c r="AL43" s="482"/>
      <c r="AM43" s="483"/>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510"/>
      <c r="C44" s="510"/>
      <c r="D44" s="511"/>
      <c r="E44" s="503"/>
      <c r="F44" s="504"/>
      <c r="G44" s="504"/>
      <c r="H44" s="504"/>
      <c r="I44" s="505"/>
      <c r="J44" s="463" t="str">
        <f>IF(AND('Riesgos de Gestión'!$O$67="Muy Baja",'Riesgos de Gestión'!$S$67="Leve"),CONCATENATE("R",'Riesgos de Gestión'!$A$67),"")</f>
        <v/>
      </c>
      <c r="K44" s="464"/>
      <c r="L44" s="464" t="str">
        <f>IF(AND('Riesgos de Gestión'!$P$73="Muy Baja",'Riesgos de Gestión'!$T$73="Leve"),CONCATENATE("R",'Riesgos de Gestión'!$A$73),"")</f>
        <v/>
      </c>
      <c r="M44" s="464"/>
      <c r="N44" s="464" t="str">
        <f>IF(AND('Riesgos de Gestión'!$P$79="Muy Baja",'Riesgos de Gestión'!$T$79="Leve"),CONCATENATE("R",'Riesgos de Gestión'!$A$79),"")</f>
        <v/>
      </c>
      <c r="O44" s="465"/>
      <c r="P44" s="463" t="str">
        <f>IF(AND('Riesgos de Gestión'!$O$67="Muy Baja",'Riesgos de Gestión'!$S$67="Menor"),CONCATENATE("R",'Riesgos de Gestión'!$A$67),"")</f>
        <v/>
      </c>
      <c r="Q44" s="464"/>
      <c r="R44" s="464" t="str">
        <f>IF(AND('Riesgos de Gestión'!$P$73="Muy Baja",'Riesgos de Gestión'!$T$73="Menor"),CONCATENATE("R",'Riesgos de Gestión'!$A$73),"")</f>
        <v/>
      </c>
      <c r="S44" s="464"/>
      <c r="T44" s="464" t="str">
        <f>IF(AND('Riesgos de Gestión'!$P$79="Muy Baja",'Riesgos de Gestión'!$T$79="Menor"),CONCATENATE("R",'Riesgos de Gestión'!$A$79),"")</f>
        <v/>
      </c>
      <c r="U44" s="465"/>
      <c r="V44" s="472" t="str">
        <f>IF(AND('Riesgos de Gestión'!$O$67="Muy Baja",'Riesgos de Gestión'!$S$67="Moderado"),CONCATENATE("R",'Riesgos de Gestión'!$A$67),"")</f>
        <v/>
      </c>
      <c r="W44" s="473"/>
      <c r="X44" s="473" t="str">
        <f>IF(AND('Riesgos de Gestión'!$P$73="Muy Baja",'Riesgos de Gestión'!$T$73="Moderado"),CONCATENATE("R",'Riesgos de Gestión'!$A$73),"")</f>
        <v/>
      </c>
      <c r="Y44" s="473"/>
      <c r="Z44" s="473" t="str">
        <f>IF(AND('Riesgos de Gestión'!$P$79="Muy Baja",'Riesgos de Gestión'!$T$79="Moderado"),CONCATENATE("R",'Riesgos de Gestión'!$A$79),"")</f>
        <v/>
      </c>
      <c r="AA44" s="474"/>
      <c r="AB44" s="490" t="str">
        <f>IF(AND('Riesgos de Gestión'!$O$67="Muy Baja",'Riesgos de Gestión'!$S$67="Mayor"),CONCATENATE("R",'Riesgos de Gestión'!$A$67),"")</f>
        <v/>
      </c>
      <c r="AC44" s="491"/>
      <c r="AD44" s="491" t="str">
        <f>IF(AND('Riesgos de Gestión'!$P$73="Muy Baja",'Riesgos de Gestión'!$T$73="Mayor"),CONCATENATE("R",'Riesgos de Gestión'!$A$73),"")</f>
        <v/>
      </c>
      <c r="AE44" s="491"/>
      <c r="AF44" s="491" t="str">
        <f>IF(AND('Riesgos de Gestión'!$P$79="Muy Baja",'Riesgos de Gestión'!$T$79="Mayor"),CONCATENATE("R",'Riesgos de Gestión'!$A$79),"")</f>
        <v/>
      </c>
      <c r="AG44" s="492"/>
      <c r="AH44" s="481" t="str">
        <f>IF(AND('Riesgos de Gestión'!$O$67="Muy Baja",'Riesgos de Gestión'!$S$67="Catastrófico"),CONCATENATE("R",'Riesgos de Gestión'!$A$67),"")</f>
        <v/>
      </c>
      <c r="AI44" s="482"/>
      <c r="AJ44" s="482" t="str">
        <f>IF(AND('Riesgos de Gestión'!$P$73="Muy Baja",'Riesgos de Gestión'!$T$73="Catastrófico"),CONCATENATE("R",'Riesgos de Gestión'!$A$73),"")</f>
        <v/>
      </c>
      <c r="AK44" s="482"/>
      <c r="AL44" s="482" t="str">
        <f>IF(AND('Riesgos de Gestión'!$P$79="Muy Baja",'Riesgos de Gestión'!$T$79="Catastrófico"),CONCATENATE("R",'Riesgos de Gestión'!$A$79),"")</f>
        <v/>
      </c>
      <c r="AM44" s="483"/>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510"/>
      <c r="C45" s="510"/>
      <c r="D45" s="511"/>
      <c r="E45" s="506"/>
      <c r="F45" s="507"/>
      <c r="G45" s="507"/>
      <c r="H45" s="507"/>
      <c r="I45" s="508"/>
      <c r="J45" s="466"/>
      <c r="K45" s="467"/>
      <c r="L45" s="467"/>
      <c r="M45" s="467"/>
      <c r="N45" s="467"/>
      <c r="O45" s="468"/>
      <c r="P45" s="466"/>
      <c r="Q45" s="467"/>
      <c r="R45" s="467"/>
      <c r="S45" s="467"/>
      <c r="T45" s="467"/>
      <c r="U45" s="468"/>
      <c r="V45" s="475"/>
      <c r="W45" s="476"/>
      <c r="X45" s="476"/>
      <c r="Y45" s="476"/>
      <c r="Z45" s="476"/>
      <c r="AA45" s="477"/>
      <c r="AB45" s="493"/>
      <c r="AC45" s="494"/>
      <c r="AD45" s="494"/>
      <c r="AE45" s="494"/>
      <c r="AF45" s="494"/>
      <c r="AG45" s="495"/>
      <c r="AH45" s="484"/>
      <c r="AI45" s="485"/>
      <c r="AJ45" s="485"/>
      <c r="AK45" s="485"/>
      <c r="AL45" s="485"/>
      <c r="AM45" s="48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500" t="s">
        <v>274</v>
      </c>
      <c r="K46" s="501"/>
      <c r="L46" s="501"/>
      <c r="M46" s="501"/>
      <c r="N46" s="501"/>
      <c r="O46" s="502"/>
      <c r="P46" s="500" t="s">
        <v>275</v>
      </c>
      <c r="Q46" s="501"/>
      <c r="R46" s="501"/>
      <c r="S46" s="501"/>
      <c r="T46" s="501"/>
      <c r="U46" s="502"/>
      <c r="V46" s="500" t="s">
        <v>276</v>
      </c>
      <c r="W46" s="501"/>
      <c r="X46" s="501"/>
      <c r="Y46" s="501"/>
      <c r="Z46" s="501"/>
      <c r="AA46" s="502"/>
      <c r="AB46" s="500" t="s">
        <v>277</v>
      </c>
      <c r="AC46" s="509"/>
      <c r="AD46" s="501"/>
      <c r="AE46" s="501"/>
      <c r="AF46" s="501"/>
      <c r="AG46" s="502"/>
      <c r="AH46" s="500" t="s">
        <v>278</v>
      </c>
      <c r="AI46" s="501"/>
      <c r="AJ46" s="501"/>
      <c r="AK46" s="501"/>
      <c r="AL46" s="501"/>
      <c r="AM46" s="502"/>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503"/>
      <c r="K47" s="504"/>
      <c r="L47" s="504"/>
      <c r="M47" s="504"/>
      <c r="N47" s="504"/>
      <c r="O47" s="505"/>
      <c r="P47" s="503"/>
      <c r="Q47" s="504"/>
      <c r="R47" s="504"/>
      <c r="S47" s="504"/>
      <c r="T47" s="504"/>
      <c r="U47" s="505"/>
      <c r="V47" s="503"/>
      <c r="W47" s="504"/>
      <c r="X47" s="504"/>
      <c r="Y47" s="504"/>
      <c r="Z47" s="504"/>
      <c r="AA47" s="505"/>
      <c r="AB47" s="503"/>
      <c r="AC47" s="504"/>
      <c r="AD47" s="504"/>
      <c r="AE47" s="504"/>
      <c r="AF47" s="504"/>
      <c r="AG47" s="505"/>
      <c r="AH47" s="503"/>
      <c r="AI47" s="504"/>
      <c r="AJ47" s="504"/>
      <c r="AK47" s="504"/>
      <c r="AL47" s="504"/>
      <c r="AM47" s="505"/>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503"/>
      <c r="K48" s="504"/>
      <c r="L48" s="504"/>
      <c r="M48" s="504"/>
      <c r="N48" s="504"/>
      <c r="O48" s="505"/>
      <c r="P48" s="503"/>
      <c r="Q48" s="504"/>
      <c r="R48" s="504"/>
      <c r="S48" s="504"/>
      <c r="T48" s="504"/>
      <c r="U48" s="505"/>
      <c r="V48" s="503"/>
      <c r="W48" s="504"/>
      <c r="X48" s="504"/>
      <c r="Y48" s="504"/>
      <c r="Z48" s="504"/>
      <c r="AA48" s="505"/>
      <c r="AB48" s="503"/>
      <c r="AC48" s="504"/>
      <c r="AD48" s="504"/>
      <c r="AE48" s="504"/>
      <c r="AF48" s="504"/>
      <c r="AG48" s="505"/>
      <c r="AH48" s="503"/>
      <c r="AI48" s="504"/>
      <c r="AJ48" s="504"/>
      <c r="AK48" s="504"/>
      <c r="AL48" s="504"/>
      <c r="AM48" s="505"/>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503"/>
      <c r="K49" s="504"/>
      <c r="L49" s="504"/>
      <c r="M49" s="504"/>
      <c r="N49" s="504"/>
      <c r="O49" s="505"/>
      <c r="P49" s="503"/>
      <c r="Q49" s="504"/>
      <c r="R49" s="504"/>
      <c r="S49" s="504"/>
      <c r="T49" s="504"/>
      <c r="U49" s="505"/>
      <c r="V49" s="503"/>
      <c r="W49" s="504"/>
      <c r="X49" s="504"/>
      <c r="Y49" s="504"/>
      <c r="Z49" s="504"/>
      <c r="AA49" s="505"/>
      <c r="AB49" s="503"/>
      <c r="AC49" s="504"/>
      <c r="AD49" s="504"/>
      <c r="AE49" s="504"/>
      <c r="AF49" s="504"/>
      <c r="AG49" s="505"/>
      <c r="AH49" s="503"/>
      <c r="AI49" s="504"/>
      <c r="AJ49" s="504"/>
      <c r="AK49" s="504"/>
      <c r="AL49" s="504"/>
      <c r="AM49" s="505"/>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503"/>
      <c r="K50" s="504"/>
      <c r="L50" s="504"/>
      <c r="M50" s="504"/>
      <c r="N50" s="504"/>
      <c r="O50" s="505"/>
      <c r="P50" s="503"/>
      <c r="Q50" s="504"/>
      <c r="R50" s="504"/>
      <c r="S50" s="504"/>
      <c r="T50" s="504"/>
      <c r="U50" s="505"/>
      <c r="V50" s="503"/>
      <c r="W50" s="504"/>
      <c r="X50" s="504"/>
      <c r="Y50" s="504"/>
      <c r="Z50" s="504"/>
      <c r="AA50" s="505"/>
      <c r="AB50" s="503"/>
      <c r="AC50" s="504"/>
      <c r="AD50" s="504"/>
      <c r="AE50" s="504"/>
      <c r="AF50" s="504"/>
      <c r="AG50" s="505"/>
      <c r="AH50" s="503"/>
      <c r="AI50" s="504"/>
      <c r="AJ50" s="504"/>
      <c r="AK50" s="504"/>
      <c r="AL50" s="504"/>
      <c r="AM50" s="505"/>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506"/>
      <c r="K51" s="507"/>
      <c r="L51" s="507"/>
      <c r="M51" s="507"/>
      <c r="N51" s="507"/>
      <c r="O51" s="508"/>
      <c r="P51" s="506"/>
      <c r="Q51" s="507"/>
      <c r="R51" s="507"/>
      <c r="S51" s="507"/>
      <c r="T51" s="507"/>
      <c r="U51" s="508"/>
      <c r="V51" s="506"/>
      <c r="W51" s="507"/>
      <c r="X51" s="507"/>
      <c r="Y51" s="507"/>
      <c r="Z51" s="507"/>
      <c r="AA51" s="508"/>
      <c r="AB51" s="506"/>
      <c r="AC51" s="507"/>
      <c r="AD51" s="507"/>
      <c r="AE51" s="507"/>
      <c r="AF51" s="507"/>
      <c r="AG51" s="508"/>
      <c r="AH51" s="506"/>
      <c r="AI51" s="507"/>
      <c r="AJ51" s="507"/>
      <c r="AK51" s="507"/>
      <c r="AL51" s="507"/>
      <c r="AM51" s="508"/>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topLeftCell="A30" zoomScale="50" zoomScaleNormal="50" workbookViewId="0">
      <selection activeCell="X46" sqref="X4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77" t="s">
        <v>279</v>
      </c>
      <c r="C2" s="578"/>
      <c r="D2" s="578"/>
      <c r="E2" s="578"/>
      <c r="F2" s="578"/>
      <c r="G2" s="578"/>
      <c r="H2" s="578"/>
      <c r="I2" s="578"/>
      <c r="J2" s="499" t="s">
        <v>15</v>
      </c>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78"/>
      <c r="C3" s="578"/>
      <c r="D3" s="578"/>
      <c r="E3" s="578"/>
      <c r="F3" s="578"/>
      <c r="G3" s="578"/>
      <c r="H3" s="578"/>
      <c r="I3" s="578"/>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78"/>
      <c r="C4" s="578"/>
      <c r="D4" s="578"/>
      <c r="E4" s="578"/>
      <c r="F4" s="578"/>
      <c r="G4" s="578"/>
      <c r="H4" s="578"/>
      <c r="I4" s="578"/>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499"/>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510" t="s">
        <v>264</v>
      </c>
      <c r="C6" s="510"/>
      <c r="D6" s="511"/>
      <c r="E6" s="548" t="s">
        <v>265</v>
      </c>
      <c r="F6" s="549"/>
      <c r="G6" s="549"/>
      <c r="H6" s="549"/>
      <c r="I6" s="550"/>
      <c r="J6" s="29" t="str">
        <f>IF(AND('Riesgos de Gestión'!$AF$13="Muy Alta",'Riesgos de Gestión'!$AH$13="Leve"),CONCATENATE("R1C",'Riesgos de Gestión'!$V$13),"")</f>
        <v/>
      </c>
      <c r="K6" s="30" t="str">
        <f>IF(AND('Riesgos de Gestión'!$AF$14="Muy Alta",'Riesgos de Gestión'!$AH$14="Leve"),CONCATENATE("R1C",'Riesgos de Gestión'!$V$14),"")</f>
        <v/>
      </c>
      <c r="L6" s="30" t="str">
        <f>IF(AND('Riesgos de Gestión'!$AF$15="Muy Alta",'Riesgos de Gestión'!$AH$15="Leve"),CONCATENATE("R1C",'Riesgos de Gestión'!$V$15),"")</f>
        <v/>
      </c>
      <c r="M6" s="30" t="str">
        <f>IF(AND('Riesgos de Gestión'!$AF$16="Muy Alta",'Riesgos de Gestión'!$AH$16="Leve"),CONCATENATE("R1C",'Riesgos de Gestión'!$V$16),"")</f>
        <v/>
      </c>
      <c r="N6" s="30" t="str">
        <f>IF(AND('Riesgos de Gestión'!$AF$17="Muy Alta",'Riesgos de Gestión'!$AH$17="Leve"),CONCATENATE("R1C",'Riesgos de Gestión'!$V$17),"")</f>
        <v/>
      </c>
      <c r="O6" s="31" t="str">
        <f>IF(AND('Riesgos de Gestión'!$AF$18="Muy Alta",'Riesgos de Gestión'!$AH$18="Leve"),CONCATENATE("R1C",'Riesgos de Gestión'!$V$18),"")</f>
        <v/>
      </c>
      <c r="P6" s="29" t="str">
        <f>IF(AND('Riesgos de Gestión'!$AF$13="Muy Alta",'Riesgos de Gestión'!$AH$13="Menor"),CONCATENATE("R1C",'Riesgos de Gestión'!$V$13),"")</f>
        <v/>
      </c>
      <c r="Q6" s="30" t="str">
        <f>IF(AND('Riesgos de Gestión'!$AF$14="Muy Alta",'Riesgos de Gestión'!$AH$14="Menor"),CONCATENATE("R1C",'Riesgos de Gestión'!$V$14),"")</f>
        <v/>
      </c>
      <c r="R6" s="30" t="str">
        <f>IF(AND('Riesgos de Gestión'!$AF$15="Muy Alta",'Riesgos de Gestión'!$AH$15="Menor"),CONCATENATE("R1C",'Riesgos de Gestión'!$V$15),"")</f>
        <v/>
      </c>
      <c r="S6" s="30" t="str">
        <f>IF(AND('Riesgos de Gestión'!$AF$16="Muy Alta",'Riesgos de Gestión'!$AH$16="Menor"),CONCATENATE("R1C",'Riesgos de Gestión'!$V$16),"")</f>
        <v/>
      </c>
      <c r="T6" s="30" t="str">
        <f>IF(AND('Riesgos de Gestión'!$AF$17="Muy Alta",'Riesgos de Gestión'!$AH$17="Menor"),CONCATENATE("R1C",'Riesgos de Gestión'!$V$17),"")</f>
        <v/>
      </c>
      <c r="U6" s="31" t="str">
        <f>IF(AND('Riesgos de Gestión'!$AF$18="Muy Alta",'Riesgos de Gestión'!$AH$18="Menor"),CONCATENATE("R1C",'Riesgos de Gestión'!$V$18),"")</f>
        <v/>
      </c>
      <c r="V6" s="29" t="str">
        <f>IF(AND('Riesgos de Gestión'!$AF$13="Muy Alta",'Riesgos de Gestión'!$AH$13="Moderado"),CONCATENATE("R1C",'Riesgos de Gestión'!$V$13),"")</f>
        <v/>
      </c>
      <c r="W6" s="30" t="str">
        <f>IF(AND('Riesgos de Gestión'!$AF$14="Muy Alta",'Riesgos de Gestión'!$AH$14="Moderado"),CONCATENATE("R1C",'Riesgos de Gestión'!$V$14),"")</f>
        <v/>
      </c>
      <c r="X6" s="30" t="str">
        <f>IF(AND('Riesgos de Gestión'!$AF$15="Muy Alta",'Riesgos de Gestión'!$AH$15="Moderado"),CONCATENATE("R1C",'Riesgos de Gestión'!$V$15),"")</f>
        <v/>
      </c>
      <c r="Y6" s="30" t="str">
        <f>IF(AND('Riesgos de Gestión'!$AF$16="Muy Alta",'Riesgos de Gestión'!$AH$16="Moderado"),CONCATENATE("R1C",'Riesgos de Gestión'!$V$16),"")</f>
        <v/>
      </c>
      <c r="Z6" s="30" t="str">
        <f>IF(AND('Riesgos de Gestión'!$AF$17="Muy Alta",'Riesgos de Gestión'!$AH$17="Moderado"),CONCATENATE("R1C",'Riesgos de Gestión'!$V$17),"")</f>
        <v/>
      </c>
      <c r="AA6" s="31" t="str">
        <f>IF(AND('Riesgos de Gestión'!$AF$18="Muy Alta",'Riesgos de Gestión'!$AH$18="Moderado"),CONCATENATE("R1C",'Riesgos de Gestión'!$V$18),"")</f>
        <v/>
      </c>
      <c r="AB6" s="29" t="str">
        <f>IF(AND('Riesgos de Gestión'!$AF$13="Muy Alta",'Riesgos de Gestión'!$AH$13="Mayor"),CONCATENATE("R1C",'Riesgos de Gestión'!$V$13),"")</f>
        <v/>
      </c>
      <c r="AC6" s="30" t="str">
        <f>IF(AND('Riesgos de Gestión'!$AF$14="Muy Alta",'Riesgos de Gestión'!$AH$14="Mayor"),CONCATENATE("R1C",'Riesgos de Gestión'!$V$14),"")</f>
        <v/>
      </c>
      <c r="AD6" s="30" t="str">
        <f>IF(AND('Riesgos de Gestión'!$AF$15="Muy Alta",'Riesgos de Gestión'!$AH$15="Mayor"),CONCATENATE("R1C",'Riesgos de Gestión'!$V$15),"")</f>
        <v/>
      </c>
      <c r="AE6" s="30" t="str">
        <f>IF(AND('Riesgos de Gestión'!$AF$16="Muy Alta",'Riesgos de Gestión'!$AH$16="Mayor"),CONCATENATE("R1C",'Riesgos de Gestión'!$V$16),"")</f>
        <v/>
      </c>
      <c r="AF6" s="30" t="str">
        <f>IF(AND('Riesgos de Gestión'!$AF$17="Muy Alta",'Riesgos de Gestión'!$AH$17="Mayor"),CONCATENATE("R1C",'Riesgos de Gestión'!$V$17),"")</f>
        <v/>
      </c>
      <c r="AG6" s="31" t="str">
        <f>IF(AND('Riesgos de Gestión'!$AF$18="Muy Alta",'Riesgos de Gestión'!$AH$18="Mayor"),CONCATENATE("R1C",'Riesgos de Gestión'!$V$18),"")</f>
        <v/>
      </c>
      <c r="AH6" s="32" t="str">
        <f>IF(AND('Riesgos de Gestión'!$AF$13="Muy Alta",'Riesgos de Gestión'!$AH$13="Catastrófico"),CONCATENATE("R1C",'Riesgos de Gestión'!$V$13),"")</f>
        <v/>
      </c>
      <c r="AI6" s="33" t="str">
        <f>IF(AND('Riesgos de Gestión'!$AF$14="Muy Alta",'Riesgos de Gestión'!$AH$14="Catastrófico"),CONCATENATE("R1C",'Riesgos de Gestión'!$V$14),"")</f>
        <v/>
      </c>
      <c r="AJ6" s="33" t="str">
        <f>IF(AND('Riesgos de Gestión'!$AF$15="Muy Alta",'Riesgos de Gestión'!$AH$15="Catastrófico"),CONCATENATE("R1C",'Riesgos de Gestión'!$V$15),"")</f>
        <v/>
      </c>
      <c r="AK6" s="33" t="str">
        <f>IF(AND('Riesgos de Gestión'!$AF$16="Muy Alta",'Riesgos de Gestión'!$AH$16="Catastrófico"),CONCATENATE("R1C",'Riesgos de Gestión'!$V$16),"")</f>
        <v/>
      </c>
      <c r="AL6" s="33" t="str">
        <f>IF(AND('Riesgos de Gestión'!$AF$17="Muy Alta",'Riesgos de Gestión'!$AH$17="Catastrófico"),CONCATENATE("R1C",'Riesgos de Gestión'!$V$17),"")</f>
        <v/>
      </c>
      <c r="AM6" s="34" t="str">
        <f>IF(AND('Riesgos de Gestión'!$AF$18="Muy Alta",'Riesgos de Gestión'!$AH$18="Catastrófico"),CONCATENATE("R1C",'Riesgos de Gestión'!$V$18),"")</f>
        <v/>
      </c>
      <c r="AN6" s="66"/>
      <c r="AO6" s="568" t="s">
        <v>266</v>
      </c>
      <c r="AP6" s="569"/>
      <c r="AQ6" s="569"/>
      <c r="AR6" s="569"/>
      <c r="AS6" s="569"/>
      <c r="AT6" s="57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510"/>
      <c r="C7" s="510"/>
      <c r="D7" s="511"/>
      <c r="E7" s="551"/>
      <c r="F7" s="552"/>
      <c r="G7" s="552"/>
      <c r="H7" s="552"/>
      <c r="I7" s="553"/>
      <c r="J7" s="35" t="str">
        <f>IF(AND('Riesgos de Gestión'!$AF$19="Muy Alta",'Riesgos de Gestión'!$AH$19="Leve"),CONCATENATE("R2C",'Riesgos de Gestión'!$V$19),"")</f>
        <v/>
      </c>
      <c r="K7" s="36" t="str">
        <f>IF(AND('Riesgos de Gestión'!$AF$20="Muy Alta",'Riesgos de Gestión'!$AH$20="Leve"),CONCATENATE("R2C",'Riesgos de Gestión'!$V$20),"")</f>
        <v/>
      </c>
      <c r="L7" s="36" t="str">
        <f>IF(AND('Riesgos de Gestión'!$AF$21="Muy Alta",'Riesgos de Gestión'!$AH$21="Leve"),CONCATENATE("R2C",'Riesgos de Gestión'!$V$21),"")</f>
        <v/>
      </c>
      <c r="M7" s="36" t="str">
        <f>IF(AND('Riesgos de Gestión'!$AF$22="Muy Alta",'Riesgos de Gestión'!$AH$22="Leve"),CONCATENATE("R2C",'Riesgos de Gestión'!$V$22),"")</f>
        <v/>
      </c>
      <c r="N7" s="36" t="str">
        <f>IF(AND('Riesgos de Gestión'!$AF$23="Muy Alta",'Riesgos de Gestión'!$AH$23="Leve"),CONCATENATE("R2C",'Riesgos de Gestión'!$V$23),"")</f>
        <v/>
      </c>
      <c r="O7" s="37" t="str">
        <f>IF(AND('Riesgos de Gestión'!$AF$24="Muy Alta",'Riesgos de Gestión'!$AH$24="Leve"),CONCATENATE("R2C",'Riesgos de Gestión'!$V$24),"")</f>
        <v/>
      </c>
      <c r="P7" s="35" t="str">
        <f>IF(AND('Riesgos de Gestión'!$AF$19="Muy Alta",'Riesgos de Gestión'!$AH$19="Menor"),CONCATENATE("R2C",'Riesgos de Gestión'!$V$19),"")</f>
        <v/>
      </c>
      <c r="Q7" s="36" t="str">
        <f>IF(AND('Riesgos de Gestión'!$AF$20="Muy Alta",'Riesgos de Gestión'!$AH$20="Menor"),CONCATENATE("R2C",'Riesgos de Gestión'!$V$20),"")</f>
        <v/>
      </c>
      <c r="R7" s="36" t="str">
        <f>IF(AND('Riesgos de Gestión'!$AF$21="Muy Alta",'Riesgos de Gestión'!$AH$21="Menor"),CONCATENATE("R2C",'Riesgos de Gestión'!$V$21),"")</f>
        <v/>
      </c>
      <c r="S7" s="36" t="str">
        <f>IF(AND('Riesgos de Gestión'!$AF$22="Muy Alta",'Riesgos de Gestión'!$AH$22="Menor"),CONCATENATE("R2C",'Riesgos de Gestión'!$V$22),"")</f>
        <v/>
      </c>
      <c r="T7" s="36" t="str">
        <f>IF(AND('Riesgos de Gestión'!$AF$23="Muy Alta",'Riesgos de Gestión'!$AH$23="Menor"),CONCATENATE("R2C",'Riesgos de Gestión'!$V$23),"")</f>
        <v/>
      </c>
      <c r="U7" s="37" t="str">
        <f>IF(AND('Riesgos de Gestión'!$AF$24="Muy Alta",'Riesgos de Gestión'!$AH$24="Menor"),CONCATENATE("R2C",'Riesgos de Gestión'!$V$24),"")</f>
        <v/>
      </c>
      <c r="V7" s="35" t="str">
        <f>IF(AND('Riesgos de Gestión'!$AF$19="Muy Alta",'Riesgos de Gestión'!$AH$19="Moderado"),CONCATENATE("R2C",'Riesgos de Gestión'!$V$19),"")</f>
        <v/>
      </c>
      <c r="W7" s="36" t="str">
        <f>IF(AND('Riesgos de Gestión'!$AF$20="Muy Alta",'Riesgos de Gestión'!$AH$20="Moderado"),CONCATENATE("R2C",'Riesgos de Gestión'!$V$20),"")</f>
        <v/>
      </c>
      <c r="X7" s="36" t="str">
        <f>IF(AND('Riesgos de Gestión'!$AF$21="Muy Alta",'Riesgos de Gestión'!$AH$21="Moderado"),CONCATENATE("R2C",'Riesgos de Gestión'!$V$21),"")</f>
        <v/>
      </c>
      <c r="Y7" s="36" t="str">
        <f>IF(AND('Riesgos de Gestión'!$AF$22="Muy Alta",'Riesgos de Gestión'!$AH$22="Moderado"),CONCATENATE("R2C",'Riesgos de Gestión'!$V$22),"")</f>
        <v/>
      </c>
      <c r="Z7" s="36" t="str">
        <f>IF(AND('Riesgos de Gestión'!$AF$23="Muy Alta",'Riesgos de Gestión'!$AH$23="Moderado"),CONCATENATE("R2C",'Riesgos de Gestión'!$V$23),"")</f>
        <v/>
      </c>
      <c r="AA7" s="37" t="str">
        <f>IF(AND('Riesgos de Gestión'!$AF$24="Muy Alta",'Riesgos de Gestión'!$AH$24="Moderado"),CONCATENATE("R2C",'Riesgos de Gestión'!$V$24),"")</f>
        <v/>
      </c>
      <c r="AB7" s="35" t="str">
        <f>IF(AND('Riesgos de Gestión'!$AF$19="Muy Alta",'Riesgos de Gestión'!$AH$19="Mayor"),CONCATENATE("R2C",'Riesgos de Gestión'!$V$19),"")</f>
        <v/>
      </c>
      <c r="AC7" s="36" t="str">
        <f>IF(AND('Riesgos de Gestión'!$AF$20="Muy Alta",'Riesgos de Gestión'!$AH$20="Mayor"),CONCATENATE("R2C",'Riesgos de Gestión'!$V$20),"")</f>
        <v/>
      </c>
      <c r="AD7" s="36" t="str">
        <f>IF(AND('Riesgos de Gestión'!$AF$21="Muy Alta",'Riesgos de Gestión'!$AH$21="Mayor"),CONCATENATE("R2C",'Riesgos de Gestión'!$V$21),"")</f>
        <v/>
      </c>
      <c r="AE7" s="36" t="str">
        <f>IF(AND('Riesgos de Gestión'!$AF$22="Muy Alta",'Riesgos de Gestión'!$AH$22="Mayor"),CONCATENATE("R2C",'Riesgos de Gestión'!$V$22),"")</f>
        <v/>
      </c>
      <c r="AF7" s="36" t="str">
        <f>IF(AND('Riesgos de Gestión'!$AF$23="Muy Alta",'Riesgos de Gestión'!$AH$23="Mayor"),CONCATENATE("R2C",'Riesgos de Gestión'!$V$23),"")</f>
        <v/>
      </c>
      <c r="AG7" s="37" t="str">
        <f>IF(AND('Riesgos de Gestión'!$AF$24="Muy Alta",'Riesgos de Gestión'!$AH$24="Mayor"),CONCATENATE("R2C",'Riesgos de Gestión'!$V$24),"")</f>
        <v/>
      </c>
      <c r="AH7" s="38" t="str">
        <f>IF(AND('Riesgos de Gestión'!$AF$19="Muy Alta",'Riesgos de Gestión'!$AH$19="Catastrófico"),CONCATENATE("R2C",'Riesgos de Gestión'!$V$19),"")</f>
        <v/>
      </c>
      <c r="AI7" s="39" t="str">
        <f>IF(AND('Riesgos de Gestión'!$AF$20="Muy Alta",'Riesgos de Gestión'!$AH$20="Catastrófico"),CONCATENATE("R2C",'Riesgos de Gestión'!$V$20),"")</f>
        <v/>
      </c>
      <c r="AJ7" s="39" t="str">
        <f>IF(AND('Riesgos de Gestión'!$AF$21="Muy Alta",'Riesgos de Gestión'!$AH$21="Catastrófico"),CONCATENATE("R2C",'Riesgos de Gestión'!$V$21),"")</f>
        <v/>
      </c>
      <c r="AK7" s="39" t="str">
        <f>IF(AND('Riesgos de Gestión'!$AF$22="Muy Alta",'Riesgos de Gestión'!$AH$22="Catastrófico"),CONCATENATE("R2C",'Riesgos de Gestión'!$V$22),"")</f>
        <v/>
      </c>
      <c r="AL7" s="39" t="str">
        <f>IF(AND('Riesgos de Gestión'!$AF$23="Muy Alta",'Riesgos de Gestión'!$AH$23="Catastrófico"),CONCATENATE("R2C",'Riesgos de Gestión'!$V$23),"")</f>
        <v/>
      </c>
      <c r="AM7" s="40" t="str">
        <f>IF(AND('Riesgos de Gestión'!$AF$24="Muy Alta",'Riesgos de Gestión'!$AH$24="Catastrófico"),CONCATENATE("R2C",'Riesgos de Gestión'!$V$24),"")</f>
        <v/>
      </c>
      <c r="AN7" s="66"/>
      <c r="AO7" s="571"/>
      <c r="AP7" s="572"/>
      <c r="AQ7" s="572"/>
      <c r="AR7" s="572"/>
      <c r="AS7" s="572"/>
      <c r="AT7" s="57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510"/>
      <c r="C8" s="510"/>
      <c r="D8" s="511"/>
      <c r="E8" s="551"/>
      <c r="F8" s="552"/>
      <c r="G8" s="552"/>
      <c r="H8" s="552"/>
      <c r="I8" s="553"/>
      <c r="J8" s="35" t="str">
        <f>IF(AND('Riesgos de Gestión'!$AF$25="Muy Alta",'Riesgos de Gestión'!$AH$25="Leve"),CONCATENATE("R3C",'Riesgos de Gestión'!$V$25),"")</f>
        <v/>
      </c>
      <c r="K8" s="36" t="str">
        <f>IF(AND('Riesgos de Gestión'!$AF$26="Muy Alta",'Riesgos de Gestión'!$AH$26="Leve"),CONCATENATE("R3C",'Riesgos de Gestión'!$V$26),"")</f>
        <v/>
      </c>
      <c r="L8" s="36" t="str">
        <f>IF(AND('Riesgos de Gestión'!$AF$27="Muy Alta",'Riesgos de Gestión'!$AH$27="Leve"),CONCATENATE("R3C",'Riesgos de Gestión'!$V$27),"")</f>
        <v/>
      </c>
      <c r="M8" s="36" t="str">
        <f>IF(AND('Riesgos de Gestión'!$AF$28="Muy Alta",'Riesgos de Gestión'!$AH$28="Leve"),CONCATENATE("R3C",'Riesgos de Gestión'!$V$28),"")</f>
        <v/>
      </c>
      <c r="N8" s="36" t="str">
        <f>IF(AND('Riesgos de Gestión'!$AF$29="Muy Alta",'Riesgos de Gestión'!$AH$29="Leve"),CONCATENATE("R3C",'Riesgos de Gestión'!$V$29),"")</f>
        <v/>
      </c>
      <c r="O8" s="37" t="str">
        <f>IF(AND('Riesgos de Gestión'!$AF$30="Muy Alta",'Riesgos de Gestión'!$AH$30="Leve"),CONCATENATE("R3C",'Riesgos de Gestión'!$V$30),"")</f>
        <v/>
      </c>
      <c r="P8" s="35" t="str">
        <f>IF(AND('Riesgos de Gestión'!$AF$25="Muy Alta",'Riesgos de Gestión'!$AH$25="Menor"),CONCATENATE("R3C",'Riesgos de Gestión'!$V$25),"")</f>
        <v/>
      </c>
      <c r="Q8" s="36" t="str">
        <f>IF(AND('Riesgos de Gestión'!$AF$26="Muy Alta",'Riesgos de Gestión'!$AH$26="Menor"),CONCATENATE("R3C",'Riesgos de Gestión'!$V$26),"")</f>
        <v/>
      </c>
      <c r="R8" s="36" t="str">
        <f>IF(AND('Riesgos de Gestión'!$AF$27="Muy Alta",'Riesgos de Gestión'!$AH$27="Menor"),CONCATENATE("R3C",'Riesgos de Gestión'!$V$27),"")</f>
        <v/>
      </c>
      <c r="S8" s="36" t="str">
        <f>IF(AND('Riesgos de Gestión'!$AF$28="Muy Alta",'Riesgos de Gestión'!$AH$28="Menor"),CONCATENATE("R3C",'Riesgos de Gestión'!$V$28),"")</f>
        <v/>
      </c>
      <c r="T8" s="36" t="str">
        <f>IF(AND('Riesgos de Gestión'!$AF$29="Muy Alta",'Riesgos de Gestión'!$AH$29="Menor"),CONCATENATE("R3C",'Riesgos de Gestión'!$V$29),"")</f>
        <v/>
      </c>
      <c r="U8" s="37" t="str">
        <f>IF(AND('Riesgos de Gestión'!$AF$30="Muy Alta",'Riesgos de Gestión'!$AH$30="Menor"),CONCATENATE("R3C",'Riesgos de Gestión'!$V$30),"")</f>
        <v/>
      </c>
      <c r="V8" s="35" t="str">
        <f>IF(AND('Riesgos de Gestión'!$AF$25="Muy Alta",'Riesgos de Gestión'!$AH$25="Moderado"),CONCATENATE("R3C",'Riesgos de Gestión'!$V$25),"")</f>
        <v/>
      </c>
      <c r="W8" s="36" t="str">
        <f>IF(AND('Riesgos de Gestión'!$AF$26="Muy Alta",'Riesgos de Gestión'!$AH$26="Moderado"),CONCATENATE("R3C",'Riesgos de Gestión'!$V$26),"")</f>
        <v/>
      </c>
      <c r="X8" s="36" t="str">
        <f>IF(AND('Riesgos de Gestión'!$AF$27="Muy Alta",'Riesgos de Gestión'!$AH$27="Moderado"),CONCATENATE("R3C",'Riesgos de Gestión'!$V$27),"")</f>
        <v/>
      </c>
      <c r="Y8" s="36" t="str">
        <f>IF(AND('Riesgos de Gestión'!$AF$28="Muy Alta",'Riesgos de Gestión'!$AH$28="Moderado"),CONCATENATE("R3C",'Riesgos de Gestión'!$V$28),"")</f>
        <v/>
      </c>
      <c r="Z8" s="36" t="str">
        <f>IF(AND('Riesgos de Gestión'!$AF$29="Muy Alta",'Riesgos de Gestión'!$AH$29="Moderado"),CONCATENATE("R3C",'Riesgos de Gestión'!$V$29),"")</f>
        <v/>
      </c>
      <c r="AA8" s="37" t="str">
        <f>IF(AND('Riesgos de Gestión'!$AF$30="Muy Alta",'Riesgos de Gestión'!$AH$30="Moderado"),CONCATENATE("R3C",'Riesgos de Gestión'!$V$30),"")</f>
        <v/>
      </c>
      <c r="AB8" s="35" t="str">
        <f>IF(AND('Riesgos de Gestión'!$AF$25="Muy Alta",'Riesgos de Gestión'!$AH$25="Mayor"),CONCATENATE("R3C",'Riesgos de Gestión'!$V$25),"")</f>
        <v/>
      </c>
      <c r="AC8" s="36" t="str">
        <f>IF(AND('Riesgos de Gestión'!$AF$26="Muy Alta",'Riesgos de Gestión'!$AH$26="Mayor"),CONCATENATE("R3C",'Riesgos de Gestión'!$V$26),"")</f>
        <v/>
      </c>
      <c r="AD8" s="36" t="str">
        <f>IF(AND('Riesgos de Gestión'!$AF$27="Muy Alta",'Riesgos de Gestión'!$AH$27="Mayor"),CONCATENATE("R3C",'Riesgos de Gestión'!$V$27),"")</f>
        <v/>
      </c>
      <c r="AE8" s="36" t="str">
        <f>IF(AND('Riesgos de Gestión'!$AF$28="Muy Alta",'Riesgos de Gestión'!$AH$28="Mayor"),CONCATENATE("R3C",'Riesgos de Gestión'!$V$28),"")</f>
        <v/>
      </c>
      <c r="AF8" s="36" t="str">
        <f>IF(AND('Riesgos de Gestión'!$AF$29="Muy Alta",'Riesgos de Gestión'!$AH$29="Mayor"),CONCATENATE("R3C",'Riesgos de Gestión'!$V$29),"")</f>
        <v/>
      </c>
      <c r="AG8" s="37" t="str">
        <f>IF(AND('Riesgos de Gestión'!$AF$30="Muy Alta",'Riesgos de Gestión'!$AH$30="Mayor"),CONCATENATE("R3C",'Riesgos de Gestión'!$V$30),"")</f>
        <v/>
      </c>
      <c r="AH8" s="38" t="str">
        <f>IF(AND('Riesgos de Gestión'!$AF$25="Muy Alta",'Riesgos de Gestión'!$AH$25="Catastrófico"),CONCATENATE("R3C",'Riesgos de Gestión'!$V$25),"")</f>
        <v/>
      </c>
      <c r="AI8" s="39" t="str">
        <f>IF(AND('Riesgos de Gestión'!$AF$26="Muy Alta",'Riesgos de Gestión'!$AH$26="Catastrófico"),CONCATENATE("R3C",'Riesgos de Gestión'!$V$26),"")</f>
        <v/>
      </c>
      <c r="AJ8" s="39" t="str">
        <f>IF(AND('Riesgos de Gestión'!$AF$27="Muy Alta",'Riesgos de Gestión'!$AH$27="Catastrófico"),CONCATENATE("R3C",'Riesgos de Gestión'!$V$27),"")</f>
        <v/>
      </c>
      <c r="AK8" s="39" t="str">
        <f>IF(AND('Riesgos de Gestión'!$AF$28="Muy Alta",'Riesgos de Gestión'!$AH$28="Catastrófico"),CONCATENATE("R3C",'Riesgos de Gestión'!$V$28),"")</f>
        <v/>
      </c>
      <c r="AL8" s="39" t="str">
        <f>IF(AND('Riesgos de Gestión'!$AF$29="Muy Alta",'Riesgos de Gestión'!$AH$29="Catastrófico"),CONCATENATE("R3C",'Riesgos de Gestión'!$V$29),"")</f>
        <v/>
      </c>
      <c r="AM8" s="40" t="str">
        <f>IF(AND('Riesgos de Gestión'!$AF$30="Muy Alta",'Riesgos de Gestión'!$AH$30="Catastrófico"),CONCATENATE("R3C",'Riesgos de Gestión'!$V$30),"")</f>
        <v/>
      </c>
      <c r="AN8" s="66"/>
      <c r="AO8" s="571"/>
      <c r="AP8" s="572"/>
      <c r="AQ8" s="572"/>
      <c r="AR8" s="572"/>
      <c r="AS8" s="572"/>
      <c r="AT8" s="57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510"/>
      <c r="C9" s="510"/>
      <c r="D9" s="511"/>
      <c r="E9" s="551"/>
      <c r="F9" s="552"/>
      <c r="G9" s="552"/>
      <c r="H9" s="552"/>
      <c r="I9" s="553"/>
      <c r="J9" s="35" t="str">
        <f>IF(AND('Riesgos de Gestión'!$AF$31="Muy Alta",'Riesgos de Gestión'!$AH$31="Leve"),CONCATENATE("R4C",'Riesgos de Gestión'!$V$31),"")</f>
        <v/>
      </c>
      <c r="K9" s="36" t="str">
        <f>IF(AND('Riesgos de Gestión'!$AF$32="Muy Alta",'Riesgos de Gestión'!$AH$32="Leve"),CONCATENATE("R4C",'Riesgos de Gestión'!$V$32),"")</f>
        <v/>
      </c>
      <c r="L9" s="36" t="str">
        <f>IF(AND('Riesgos de Gestión'!$AF$33="Muy Alta",'Riesgos de Gestión'!$AH$33="Leve"),CONCATENATE("R4C",'Riesgos de Gestión'!$V$33),"")</f>
        <v/>
      </c>
      <c r="M9" s="36" t="str">
        <f>IF(AND('Riesgos de Gestión'!$AF$34="Muy Alta",'Riesgos de Gestión'!$AH$34="Leve"),CONCATENATE("R4C",'Riesgos de Gestión'!$V$34),"")</f>
        <v/>
      </c>
      <c r="N9" s="36" t="str">
        <f>IF(AND('Riesgos de Gestión'!$AF$35="Muy Alta",'Riesgos de Gestión'!$AH$35="Leve"),CONCATENATE("R4C",'Riesgos de Gestión'!$V$35),"")</f>
        <v/>
      </c>
      <c r="O9" s="37" t="str">
        <f>IF(AND('Riesgos de Gestión'!$AF$36="Muy Alta",'Riesgos de Gestión'!$AH$36="Leve"),CONCATENATE("R4C",'Riesgos de Gestión'!$V$36),"")</f>
        <v/>
      </c>
      <c r="P9" s="35" t="str">
        <f>IF(AND('Riesgos de Gestión'!$AF$31="Muy Alta",'Riesgos de Gestión'!$AH$31="Menor"),CONCATENATE("R4C",'Riesgos de Gestión'!$V$31),"")</f>
        <v/>
      </c>
      <c r="Q9" s="36" t="str">
        <f>IF(AND('Riesgos de Gestión'!$AF$32="Muy Alta",'Riesgos de Gestión'!$AH$32="Menor"),CONCATENATE("R4C",'Riesgos de Gestión'!$V$32),"")</f>
        <v/>
      </c>
      <c r="R9" s="36" t="str">
        <f>IF(AND('Riesgos de Gestión'!$AF$33="Muy Alta",'Riesgos de Gestión'!$AH$33="Menor"),CONCATENATE("R4C",'Riesgos de Gestión'!$V$33),"")</f>
        <v/>
      </c>
      <c r="S9" s="36" t="str">
        <f>IF(AND('Riesgos de Gestión'!$AF$34="Muy Alta",'Riesgos de Gestión'!$AH$34="Menor"),CONCATENATE("R4C",'Riesgos de Gestión'!$V$34),"")</f>
        <v/>
      </c>
      <c r="T9" s="36" t="str">
        <f>IF(AND('Riesgos de Gestión'!$AF$35="Muy Alta",'Riesgos de Gestión'!$AH$35="Menor"),CONCATENATE("R4C",'Riesgos de Gestión'!$V$35),"")</f>
        <v/>
      </c>
      <c r="U9" s="37" t="str">
        <f>IF(AND('Riesgos de Gestión'!$AF$36="Muy Alta",'Riesgos de Gestión'!$AH$36="Menor"),CONCATENATE("R4C",'Riesgos de Gestión'!$V$36),"")</f>
        <v/>
      </c>
      <c r="V9" s="35" t="str">
        <f>IF(AND('Riesgos de Gestión'!$AF$31="Muy Alta",'Riesgos de Gestión'!$AH$31="Moderado"),CONCATENATE("R4C",'Riesgos de Gestión'!$V$31),"")</f>
        <v/>
      </c>
      <c r="W9" s="36" t="str">
        <f>IF(AND('Riesgos de Gestión'!$AF$32="Muy Alta",'Riesgos de Gestión'!$AH$32="Moderado"),CONCATENATE("R4C",'Riesgos de Gestión'!$V$32),"")</f>
        <v/>
      </c>
      <c r="X9" s="36" t="str">
        <f>IF(AND('Riesgos de Gestión'!$AF$33="Muy Alta",'Riesgos de Gestión'!$AH$33="Moderado"),CONCATENATE("R4C",'Riesgos de Gestión'!$V$33),"")</f>
        <v/>
      </c>
      <c r="Y9" s="36" t="str">
        <f>IF(AND('Riesgos de Gestión'!$AF$34="Muy Alta",'Riesgos de Gestión'!$AH$34="Moderado"),CONCATENATE("R4C",'Riesgos de Gestión'!$V$34),"")</f>
        <v/>
      </c>
      <c r="Z9" s="36" t="str">
        <f>IF(AND('Riesgos de Gestión'!$AF$35="Muy Alta",'Riesgos de Gestión'!$AH$35="Moderado"),CONCATENATE("R4C",'Riesgos de Gestión'!$V$35),"")</f>
        <v/>
      </c>
      <c r="AA9" s="37" t="str">
        <f>IF(AND('Riesgos de Gestión'!$AF$36="Muy Alta",'Riesgos de Gestión'!$AH$36="Moderado"),CONCATENATE("R4C",'Riesgos de Gestión'!$V$36),"")</f>
        <v/>
      </c>
      <c r="AB9" s="35" t="str">
        <f>IF(AND('Riesgos de Gestión'!$AF$31="Muy Alta",'Riesgos de Gestión'!$AH$31="Mayor"),CONCATENATE("R4C",'Riesgos de Gestión'!$V$31),"")</f>
        <v/>
      </c>
      <c r="AC9" s="36" t="str">
        <f>IF(AND('Riesgos de Gestión'!$AF$32="Muy Alta",'Riesgos de Gestión'!$AH$32="Mayor"),CONCATENATE("R4C",'Riesgos de Gestión'!$V$32),"")</f>
        <v/>
      </c>
      <c r="AD9" s="36" t="str">
        <f>IF(AND('Riesgos de Gestión'!$AF$33="Muy Alta",'Riesgos de Gestión'!$AH$33="Mayor"),CONCATENATE("R4C",'Riesgos de Gestión'!$V$33),"")</f>
        <v/>
      </c>
      <c r="AE9" s="36" t="str">
        <f>IF(AND('Riesgos de Gestión'!$AF$34="Muy Alta",'Riesgos de Gestión'!$AH$34="Mayor"),CONCATENATE("R4C",'Riesgos de Gestión'!$V$34),"")</f>
        <v/>
      </c>
      <c r="AF9" s="36" t="str">
        <f>IF(AND('Riesgos de Gestión'!$AF$35="Muy Alta",'Riesgos de Gestión'!$AH$35="Mayor"),CONCATENATE("R4C",'Riesgos de Gestión'!$V$35),"")</f>
        <v/>
      </c>
      <c r="AG9" s="37" t="str">
        <f>IF(AND('Riesgos de Gestión'!$AF$36="Muy Alta",'Riesgos de Gestión'!$AH$36="Mayor"),CONCATENATE("R4C",'Riesgos de Gestión'!$V$36),"")</f>
        <v/>
      </c>
      <c r="AH9" s="38" t="str">
        <f>IF(AND('Riesgos de Gestión'!$AF$31="Muy Alta",'Riesgos de Gestión'!$AH$31="Catastrófico"),CONCATENATE("R4C",'Riesgos de Gestión'!$V$31),"")</f>
        <v/>
      </c>
      <c r="AI9" s="39" t="str">
        <f>IF(AND('Riesgos de Gestión'!$AF$32="Muy Alta",'Riesgos de Gestión'!$AH$32="Catastrófico"),CONCATENATE("R4C",'Riesgos de Gestión'!$V$32),"")</f>
        <v/>
      </c>
      <c r="AJ9" s="39" t="str">
        <f>IF(AND('Riesgos de Gestión'!$AF$33="Muy Alta",'Riesgos de Gestión'!$AH$33="Catastrófico"),CONCATENATE("R4C",'Riesgos de Gestión'!$V$33),"")</f>
        <v/>
      </c>
      <c r="AK9" s="39" t="str">
        <f>IF(AND('Riesgos de Gestión'!$AF$34="Muy Alta",'Riesgos de Gestión'!$AH$34="Catastrófico"),CONCATENATE("R4C",'Riesgos de Gestión'!$V$34),"")</f>
        <v/>
      </c>
      <c r="AL9" s="39" t="str">
        <f>IF(AND('Riesgos de Gestión'!$AF$35="Muy Alta",'Riesgos de Gestión'!$AH$35="Catastrófico"),CONCATENATE("R4C",'Riesgos de Gestión'!$V$35),"")</f>
        <v/>
      </c>
      <c r="AM9" s="40" t="str">
        <f>IF(AND('Riesgos de Gestión'!$AF$36="Muy Alta",'Riesgos de Gestión'!$AH$36="Catastrófico"),CONCATENATE("R4C",'Riesgos de Gestión'!$V$36),"")</f>
        <v/>
      </c>
      <c r="AN9" s="66"/>
      <c r="AO9" s="571"/>
      <c r="AP9" s="572"/>
      <c r="AQ9" s="572"/>
      <c r="AR9" s="572"/>
      <c r="AS9" s="572"/>
      <c r="AT9" s="57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510"/>
      <c r="C10" s="510"/>
      <c r="D10" s="511"/>
      <c r="E10" s="551"/>
      <c r="F10" s="552"/>
      <c r="G10" s="552"/>
      <c r="H10" s="552"/>
      <c r="I10" s="553"/>
      <c r="J10" s="35" t="str">
        <f>IF(AND('Riesgos de Gestión'!$AF$37="Muy Alta",'Riesgos de Gestión'!$AH$37="Leve"),CONCATENATE("R5C",'Riesgos de Gestión'!$V$37),"")</f>
        <v/>
      </c>
      <c r="K10" s="36" t="str">
        <f>IF(AND('Riesgos de Gestión'!$AF$38="Muy Alta",'Riesgos de Gestión'!$AH$38="Leve"),CONCATENATE("R5C",'Riesgos de Gestión'!$V$38),"")</f>
        <v/>
      </c>
      <c r="L10" s="36" t="str">
        <f>IF(AND('Riesgos de Gestión'!$AF$39="Muy Alta",'Riesgos de Gestión'!$AH$39="Leve"),CONCATENATE("R5C",'Riesgos de Gestión'!$V$39),"")</f>
        <v/>
      </c>
      <c r="M10" s="36" t="str">
        <f>IF(AND('Riesgos de Gestión'!$AF$40="Muy Alta",'Riesgos de Gestión'!$AH$40="Leve"),CONCATENATE("R5C",'Riesgos de Gestión'!$V$40),"")</f>
        <v/>
      </c>
      <c r="N10" s="36" t="str">
        <f>IF(AND('Riesgos de Gestión'!$AF$41="Muy Alta",'Riesgos de Gestión'!$AH$41="Leve"),CONCATENATE("R5C",'Riesgos de Gestión'!$V$41),"")</f>
        <v/>
      </c>
      <c r="O10" s="37" t="str">
        <f>IF(AND('Riesgos de Gestión'!$AF$42="Muy Alta",'Riesgos de Gestión'!$AH$42="Leve"),CONCATENATE("R5C",'Riesgos de Gestión'!$V$42),"")</f>
        <v/>
      </c>
      <c r="P10" s="35" t="str">
        <f>IF(AND('Riesgos de Gestión'!$AF$37="Muy Alta",'Riesgos de Gestión'!$AH$37="Menor"),CONCATENATE("R5C",'Riesgos de Gestión'!$V$37),"")</f>
        <v/>
      </c>
      <c r="Q10" s="36" t="str">
        <f>IF(AND('Riesgos de Gestión'!$AF$38="Muy Alta",'Riesgos de Gestión'!$AH$38="Menor"),CONCATENATE("R5C",'Riesgos de Gestión'!$V$38),"")</f>
        <v/>
      </c>
      <c r="R10" s="36" t="str">
        <f>IF(AND('Riesgos de Gestión'!$AF$39="Muy Alta",'Riesgos de Gestión'!$AH$39="Menor"),CONCATENATE("R5C",'Riesgos de Gestión'!$V$39),"")</f>
        <v/>
      </c>
      <c r="S10" s="36" t="str">
        <f>IF(AND('Riesgos de Gestión'!$AF$40="Muy Alta",'Riesgos de Gestión'!$AH$40="Menor"),CONCATENATE("R5C",'Riesgos de Gestión'!$V$40),"")</f>
        <v/>
      </c>
      <c r="T10" s="36" t="str">
        <f>IF(AND('Riesgos de Gestión'!$AF$41="Muy Alta",'Riesgos de Gestión'!$AH$41="Menor"),CONCATENATE("R5C",'Riesgos de Gestión'!$V$41),"")</f>
        <v/>
      </c>
      <c r="U10" s="37" t="str">
        <f>IF(AND('Riesgos de Gestión'!$AF$42="Muy Alta",'Riesgos de Gestión'!$AH$42="Menor"),CONCATENATE("R5C",'Riesgos de Gestión'!$V$42),"")</f>
        <v/>
      </c>
      <c r="V10" s="35" t="str">
        <f>IF(AND('Riesgos de Gestión'!$AF$37="Muy Alta",'Riesgos de Gestión'!$AH$37="Moderado"),CONCATENATE("R5C",'Riesgos de Gestión'!$V$37),"")</f>
        <v/>
      </c>
      <c r="W10" s="36" t="str">
        <f>IF(AND('Riesgos de Gestión'!$AF$38="Muy Alta",'Riesgos de Gestión'!$AH$38="Moderado"),CONCATENATE("R5C",'Riesgos de Gestión'!$V$38),"")</f>
        <v/>
      </c>
      <c r="X10" s="36" t="str">
        <f>IF(AND('Riesgos de Gestión'!$AF$39="Muy Alta",'Riesgos de Gestión'!$AH$39="Moderado"),CONCATENATE("R5C",'Riesgos de Gestión'!$V$39),"")</f>
        <v/>
      </c>
      <c r="Y10" s="36" t="str">
        <f>IF(AND('Riesgos de Gestión'!$AF$40="Muy Alta",'Riesgos de Gestión'!$AH$40="Moderado"),CONCATENATE("R5C",'Riesgos de Gestión'!$V$40),"")</f>
        <v/>
      </c>
      <c r="Z10" s="36" t="str">
        <f>IF(AND('Riesgos de Gestión'!$AF$41="Muy Alta",'Riesgos de Gestión'!$AH$41="Moderado"),CONCATENATE("R5C",'Riesgos de Gestión'!$V$41),"")</f>
        <v/>
      </c>
      <c r="AA10" s="37" t="str">
        <f>IF(AND('Riesgos de Gestión'!$AF$42="Muy Alta",'Riesgos de Gestión'!$AH$42="Moderado"),CONCATENATE("R5C",'Riesgos de Gestión'!$V$42),"")</f>
        <v/>
      </c>
      <c r="AB10" s="35" t="str">
        <f>IF(AND('Riesgos de Gestión'!$AF$37="Muy Alta",'Riesgos de Gestión'!$AH$37="Mayor"),CONCATENATE("R5C",'Riesgos de Gestión'!$V$37),"")</f>
        <v/>
      </c>
      <c r="AC10" s="36" t="str">
        <f>IF(AND('Riesgos de Gestión'!$AF$38="Muy Alta",'Riesgos de Gestión'!$AH$38="Mayor"),CONCATENATE("R5C",'Riesgos de Gestión'!$V$38),"")</f>
        <v/>
      </c>
      <c r="AD10" s="36" t="str">
        <f>IF(AND('Riesgos de Gestión'!$AF$39="Muy Alta",'Riesgos de Gestión'!$AH$39="Mayor"),CONCATENATE("R5C",'Riesgos de Gestión'!$V$39),"")</f>
        <v/>
      </c>
      <c r="AE10" s="36" t="str">
        <f>IF(AND('Riesgos de Gestión'!$AF$40="Muy Alta",'Riesgos de Gestión'!$AH$40="Mayor"),CONCATENATE("R5C",'Riesgos de Gestión'!$V$40),"")</f>
        <v/>
      </c>
      <c r="AF10" s="36" t="str">
        <f>IF(AND('Riesgos de Gestión'!$AF$41="Muy Alta",'Riesgos de Gestión'!$AH$41="Mayor"),CONCATENATE("R5C",'Riesgos de Gestión'!$V$41),"")</f>
        <v/>
      </c>
      <c r="AG10" s="37" t="str">
        <f>IF(AND('Riesgos de Gestión'!$AF$42="Muy Alta",'Riesgos de Gestión'!$AH$42="Mayor"),CONCATENATE("R5C",'Riesgos de Gestión'!$V$42),"")</f>
        <v/>
      </c>
      <c r="AH10" s="38" t="str">
        <f>IF(AND('Riesgos de Gestión'!$AF$37="Muy Alta",'Riesgos de Gestión'!$AH$37="Catastrófico"),CONCATENATE("R5C",'Riesgos de Gestión'!$V$37),"")</f>
        <v/>
      </c>
      <c r="AI10" s="39" t="str">
        <f>IF(AND('Riesgos de Gestión'!$AF$38="Muy Alta",'Riesgos de Gestión'!$AH$38="Catastrófico"),CONCATENATE("R5C",'Riesgos de Gestión'!$V$38),"")</f>
        <v/>
      </c>
      <c r="AJ10" s="39" t="str">
        <f>IF(AND('Riesgos de Gestión'!$AF$39="Muy Alta",'Riesgos de Gestión'!$AH$39="Catastrófico"),CONCATENATE("R5C",'Riesgos de Gestión'!$V$39),"")</f>
        <v/>
      </c>
      <c r="AK10" s="39" t="str">
        <f>IF(AND('Riesgos de Gestión'!$AF$40="Muy Alta",'Riesgos de Gestión'!$AH$40="Catastrófico"),CONCATENATE("R5C",'Riesgos de Gestión'!$V$40),"")</f>
        <v/>
      </c>
      <c r="AL10" s="39" t="str">
        <f>IF(AND('Riesgos de Gestión'!$AF$41="Muy Alta",'Riesgos de Gestión'!$AH$41="Catastrófico"),CONCATENATE("R5C",'Riesgos de Gestión'!$V$41),"")</f>
        <v/>
      </c>
      <c r="AM10" s="40" t="str">
        <f>IF(AND('Riesgos de Gestión'!$AF$42="Muy Alta",'Riesgos de Gestión'!$AH$42="Catastrófico"),CONCATENATE("R5C",'Riesgos de Gestión'!$V$42),"")</f>
        <v/>
      </c>
      <c r="AN10" s="66"/>
      <c r="AO10" s="571"/>
      <c r="AP10" s="572"/>
      <c r="AQ10" s="572"/>
      <c r="AR10" s="572"/>
      <c r="AS10" s="572"/>
      <c r="AT10" s="57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510"/>
      <c r="C11" s="510"/>
      <c r="D11" s="511"/>
      <c r="E11" s="551"/>
      <c r="F11" s="552"/>
      <c r="G11" s="552"/>
      <c r="H11" s="552"/>
      <c r="I11" s="553"/>
      <c r="J11" s="35" t="str">
        <f>IF(AND('Riesgos de Gestión'!$AF$43="Muy Alta",'Riesgos de Gestión'!$AH$43="Leve"),CONCATENATE("R6C",'Riesgos de Gestión'!$V$43),"")</f>
        <v/>
      </c>
      <c r="K11" s="36" t="str">
        <f>IF(AND('Riesgos de Gestión'!$AF$44="Muy Alta",'Riesgos de Gestión'!$AH$44="Leve"),CONCATENATE("R6C",'Riesgos de Gestión'!$V$44),"")</f>
        <v/>
      </c>
      <c r="L11" s="36" t="str">
        <f>IF(AND('Riesgos de Gestión'!$AF$45="Muy Alta",'Riesgos de Gestión'!$AH$45="Leve"),CONCATENATE("R6C",'Riesgos de Gestión'!$V$45),"")</f>
        <v/>
      </c>
      <c r="M11" s="36" t="str">
        <f>IF(AND('Riesgos de Gestión'!$AF$46="Muy Alta",'Riesgos de Gestión'!$AH$46="Leve"),CONCATENATE("R6C",'Riesgos de Gestión'!$V$46),"")</f>
        <v/>
      </c>
      <c r="N11" s="36" t="str">
        <f>IF(AND('Riesgos de Gestión'!$AF$47="Muy Alta",'Riesgos de Gestión'!$AH$47="Leve"),CONCATENATE("R6C",'Riesgos de Gestión'!$V$47),"")</f>
        <v/>
      </c>
      <c r="O11" s="37" t="str">
        <f>IF(AND('Riesgos de Gestión'!$AF$48="Muy Alta",'Riesgos de Gestión'!$AH$48="Leve"),CONCATENATE("R6C",'Riesgos de Gestión'!$V$48),"")</f>
        <v/>
      </c>
      <c r="P11" s="35" t="str">
        <f>IF(AND('Riesgos de Gestión'!$AF$43="Muy Alta",'Riesgos de Gestión'!$AH$43="Menor"),CONCATENATE("R6C",'Riesgos de Gestión'!$V$43),"")</f>
        <v/>
      </c>
      <c r="Q11" s="36" t="str">
        <f>IF(AND('Riesgos de Gestión'!$AF$44="Muy Alta",'Riesgos de Gestión'!$AH$44="Menor"),CONCATENATE("R6C",'Riesgos de Gestión'!$V$44),"")</f>
        <v/>
      </c>
      <c r="R11" s="36" t="str">
        <f>IF(AND('Riesgos de Gestión'!$AF$45="Muy Alta",'Riesgos de Gestión'!$AH$45="Menor"),CONCATENATE("R6C",'Riesgos de Gestión'!$V$45),"")</f>
        <v/>
      </c>
      <c r="S11" s="36" t="str">
        <f>IF(AND('Riesgos de Gestión'!$AF$46="Muy Alta",'Riesgos de Gestión'!$AH$46="Menor"),CONCATENATE("R6C",'Riesgos de Gestión'!$V$46),"")</f>
        <v/>
      </c>
      <c r="T11" s="36" t="str">
        <f>IF(AND('Riesgos de Gestión'!$AF$47="Muy Alta",'Riesgos de Gestión'!$AH$47="Menor"),CONCATENATE("R6C",'Riesgos de Gestión'!$V$47),"")</f>
        <v/>
      </c>
      <c r="U11" s="37" t="str">
        <f>IF(AND('Riesgos de Gestión'!$AF$48="Muy Alta",'Riesgos de Gestión'!$AH$48="Menor"),CONCATENATE("R6C",'Riesgos de Gestión'!$V$48),"")</f>
        <v/>
      </c>
      <c r="V11" s="35" t="str">
        <f>IF(AND('Riesgos de Gestión'!$AF$43="Muy Alta",'Riesgos de Gestión'!$AH$43="Moderado"),CONCATENATE("R6C",'Riesgos de Gestión'!$V$43),"")</f>
        <v/>
      </c>
      <c r="W11" s="36" t="str">
        <f>IF(AND('Riesgos de Gestión'!$AF$44="Muy Alta",'Riesgos de Gestión'!$AH$44="Moderado"),CONCATENATE("R6C",'Riesgos de Gestión'!$V$44),"")</f>
        <v/>
      </c>
      <c r="X11" s="36" t="str">
        <f>IF(AND('Riesgos de Gestión'!$AF$45="Muy Alta",'Riesgos de Gestión'!$AH$45="Moderado"),CONCATENATE("R6C",'Riesgos de Gestión'!$V$45),"")</f>
        <v/>
      </c>
      <c r="Y11" s="36" t="str">
        <f>IF(AND('Riesgos de Gestión'!$AF$46="Muy Alta",'Riesgos de Gestión'!$AH$46="Moderado"),CONCATENATE("R6C",'Riesgos de Gestión'!$V$46),"")</f>
        <v/>
      </c>
      <c r="Z11" s="36" t="str">
        <f>IF(AND('Riesgos de Gestión'!$AF$47="Muy Alta",'Riesgos de Gestión'!$AH$47="Moderado"),CONCATENATE("R6C",'Riesgos de Gestión'!$V$47),"")</f>
        <v/>
      </c>
      <c r="AA11" s="37" t="str">
        <f>IF(AND('Riesgos de Gestión'!$AF$48="Muy Alta",'Riesgos de Gestión'!$AH$48="Moderado"),CONCATENATE("R6C",'Riesgos de Gestión'!$V$48),"")</f>
        <v/>
      </c>
      <c r="AB11" s="35" t="str">
        <f>IF(AND('Riesgos de Gestión'!$AF$43="Muy Alta",'Riesgos de Gestión'!$AH$43="Mayor"),CONCATENATE("R6C",'Riesgos de Gestión'!$V$43),"")</f>
        <v/>
      </c>
      <c r="AC11" s="36" t="str">
        <f>IF(AND('Riesgos de Gestión'!$AF$44="Muy Alta",'Riesgos de Gestión'!$AH$44="Mayor"),CONCATENATE("R6C",'Riesgos de Gestión'!$V$44),"")</f>
        <v/>
      </c>
      <c r="AD11" s="36" t="str">
        <f>IF(AND('Riesgos de Gestión'!$AF$45="Muy Alta",'Riesgos de Gestión'!$AH$45="Mayor"),CONCATENATE("R6C",'Riesgos de Gestión'!$V$45),"")</f>
        <v/>
      </c>
      <c r="AE11" s="36" t="str">
        <f>IF(AND('Riesgos de Gestión'!$AF$46="Muy Alta",'Riesgos de Gestión'!$AH$46="Mayor"),CONCATENATE("R6C",'Riesgos de Gestión'!$V$46),"")</f>
        <v/>
      </c>
      <c r="AF11" s="36" t="str">
        <f>IF(AND('Riesgos de Gestión'!$AF$47="Muy Alta",'Riesgos de Gestión'!$AH$47="Mayor"),CONCATENATE("R6C",'Riesgos de Gestión'!$V$47),"")</f>
        <v/>
      </c>
      <c r="AG11" s="37" t="str">
        <f>IF(AND('Riesgos de Gestión'!$AF$48="Muy Alta",'Riesgos de Gestión'!$AH$48="Mayor"),CONCATENATE("R6C",'Riesgos de Gestión'!$V$48),"")</f>
        <v/>
      </c>
      <c r="AH11" s="38" t="str">
        <f>IF(AND('Riesgos de Gestión'!$AF$43="Muy Alta",'Riesgos de Gestión'!$AH$43="Catastrófico"),CONCATENATE("R6C",'Riesgos de Gestión'!$V$43),"")</f>
        <v/>
      </c>
      <c r="AI11" s="39" t="str">
        <f>IF(AND('Riesgos de Gestión'!$AF$44="Muy Alta",'Riesgos de Gestión'!$AH$44="Catastrófico"),CONCATENATE("R6C",'Riesgos de Gestión'!$V$44),"")</f>
        <v/>
      </c>
      <c r="AJ11" s="39" t="str">
        <f>IF(AND('Riesgos de Gestión'!$AF$45="Muy Alta",'Riesgos de Gestión'!$AH$45="Catastrófico"),CONCATENATE("R6C",'Riesgos de Gestión'!$V$45),"")</f>
        <v/>
      </c>
      <c r="AK11" s="39" t="str">
        <f>IF(AND('Riesgos de Gestión'!$AF$46="Muy Alta",'Riesgos de Gestión'!$AH$46="Catastrófico"),CONCATENATE("R6C",'Riesgos de Gestión'!$V$46),"")</f>
        <v/>
      </c>
      <c r="AL11" s="39" t="str">
        <f>IF(AND('Riesgos de Gestión'!$AF$47="Muy Alta",'Riesgos de Gestión'!$AH$47="Catastrófico"),CONCATENATE("R6C",'Riesgos de Gestión'!$V$47),"")</f>
        <v/>
      </c>
      <c r="AM11" s="40" t="str">
        <f>IF(AND('Riesgos de Gestión'!$AF$48="Muy Alta",'Riesgos de Gestión'!$AH$48="Catastrófico"),CONCATENATE("R6C",'Riesgos de Gestión'!$V$48),"")</f>
        <v/>
      </c>
      <c r="AN11" s="66"/>
      <c r="AO11" s="571"/>
      <c r="AP11" s="572"/>
      <c r="AQ11" s="572"/>
      <c r="AR11" s="572"/>
      <c r="AS11" s="572"/>
      <c r="AT11" s="57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510"/>
      <c r="C12" s="510"/>
      <c r="D12" s="511"/>
      <c r="E12" s="551"/>
      <c r="F12" s="552"/>
      <c r="G12" s="552"/>
      <c r="H12" s="552"/>
      <c r="I12" s="553"/>
      <c r="J12" s="35" t="str">
        <f>IF(AND('Riesgos de Gestión'!$AF$49="Muy Alta",'Riesgos de Gestión'!$AH$49="Leve"),CONCATENATE("R7C",'Riesgos de Gestión'!$V$49),"")</f>
        <v/>
      </c>
      <c r="K12" s="36" t="str">
        <f>IF(AND('Riesgos de Gestión'!$AF$50="Muy Alta",'Riesgos de Gestión'!$AH$50="Leve"),CONCATENATE("R7C",'Riesgos de Gestión'!$V$50),"")</f>
        <v/>
      </c>
      <c r="L12" s="36" t="str">
        <f>IF(AND('Riesgos de Gestión'!$AF$51="Muy Alta",'Riesgos de Gestión'!$AH$51="Leve"),CONCATENATE("R7C",'Riesgos de Gestión'!$V$51),"")</f>
        <v/>
      </c>
      <c r="M12" s="36" t="str">
        <f>IF(AND('Riesgos de Gestión'!$AF$52="Muy Alta",'Riesgos de Gestión'!$AH$52="Leve"),CONCATENATE("R7C",'Riesgos de Gestión'!$V$52),"")</f>
        <v/>
      </c>
      <c r="N12" s="36" t="str">
        <f>IF(AND('Riesgos de Gestión'!$AF$53="Muy Alta",'Riesgos de Gestión'!$AH$53="Leve"),CONCATENATE("R7C",'Riesgos de Gestión'!$V$53),"")</f>
        <v/>
      </c>
      <c r="O12" s="37" t="str">
        <f>IF(AND('Riesgos de Gestión'!$AF$54="Muy Alta",'Riesgos de Gestión'!$AH$54="Leve"),CONCATENATE("R7C",'Riesgos de Gestión'!$V$54),"")</f>
        <v/>
      </c>
      <c r="P12" s="35" t="str">
        <f>IF(AND('Riesgos de Gestión'!$AF$49="Muy Alta",'Riesgos de Gestión'!$AH$49="Menor"),CONCATENATE("R7C",'Riesgos de Gestión'!$V$49),"")</f>
        <v/>
      </c>
      <c r="Q12" s="36" t="str">
        <f>IF(AND('Riesgos de Gestión'!$AF$50="Muy Alta",'Riesgos de Gestión'!$AH$50="Menor"),CONCATENATE("R7C",'Riesgos de Gestión'!$V$50),"")</f>
        <v/>
      </c>
      <c r="R12" s="36" t="str">
        <f>IF(AND('Riesgos de Gestión'!$AF$51="Muy Alta",'Riesgos de Gestión'!$AH$51="Menor"),CONCATENATE("R7C",'Riesgos de Gestión'!$V$51),"")</f>
        <v/>
      </c>
      <c r="S12" s="36" t="str">
        <f>IF(AND('Riesgos de Gestión'!$AF$52="Muy Alta",'Riesgos de Gestión'!$AH$52="Menor"),CONCATENATE("R7C",'Riesgos de Gestión'!$V$52),"")</f>
        <v/>
      </c>
      <c r="T12" s="36" t="str">
        <f>IF(AND('Riesgos de Gestión'!$AF$53="Muy Alta",'Riesgos de Gestión'!$AH$53="Menor"),CONCATENATE("R7C",'Riesgos de Gestión'!$V$53),"")</f>
        <v/>
      </c>
      <c r="U12" s="37" t="str">
        <f>IF(AND('Riesgos de Gestión'!$AF$54="Muy Alta",'Riesgos de Gestión'!$AH$54="Menor"),CONCATENATE("R7C",'Riesgos de Gestión'!$V$54),"")</f>
        <v/>
      </c>
      <c r="V12" s="35" t="str">
        <f>IF(AND('Riesgos de Gestión'!$AF$49="Muy Alta",'Riesgos de Gestión'!$AH$49="Moderado"),CONCATENATE("R7C",'Riesgos de Gestión'!$V$49),"")</f>
        <v/>
      </c>
      <c r="W12" s="36" t="str">
        <f>IF(AND('Riesgos de Gestión'!$AF$50="Muy Alta",'Riesgos de Gestión'!$AH$50="Moderado"),CONCATENATE("R7C",'Riesgos de Gestión'!$V$50),"")</f>
        <v/>
      </c>
      <c r="X12" s="36" t="str">
        <f>IF(AND('Riesgos de Gestión'!$AF$51="Muy Alta",'Riesgos de Gestión'!$AH$51="Moderado"),CONCATENATE("R7C",'Riesgos de Gestión'!$V$51),"")</f>
        <v/>
      </c>
      <c r="Y12" s="36" t="str">
        <f>IF(AND('Riesgos de Gestión'!$AF$52="Muy Alta",'Riesgos de Gestión'!$AH$52="Moderado"),CONCATENATE("R7C",'Riesgos de Gestión'!$V$52),"")</f>
        <v/>
      </c>
      <c r="Z12" s="36" t="str">
        <f>IF(AND('Riesgos de Gestión'!$AF$53="Muy Alta",'Riesgos de Gestión'!$AH$53="Moderado"),CONCATENATE("R7C",'Riesgos de Gestión'!$V$53),"")</f>
        <v/>
      </c>
      <c r="AA12" s="37" t="str">
        <f>IF(AND('Riesgos de Gestión'!$AF$54="Muy Alta",'Riesgos de Gestión'!$AH$54="Moderado"),CONCATENATE("R7C",'Riesgos de Gestión'!$V$54),"")</f>
        <v/>
      </c>
      <c r="AB12" s="35" t="str">
        <f>IF(AND('Riesgos de Gestión'!$AF$49="Muy Alta",'Riesgos de Gestión'!$AH$49="Mayor"),CONCATENATE("R7C",'Riesgos de Gestión'!$V$49),"")</f>
        <v/>
      </c>
      <c r="AC12" s="36" t="str">
        <f>IF(AND('Riesgos de Gestión'!$AF$50="Muy Alta",'Riesgos de Gestión'!$AH$50="Mayor"),CONCATENATE("R7C",'Riesgos de Gestión'!$V$50),"")</f>
        <v/>
      </c>
      <c r="AD12" s="36" t="str">
        <f>IF(AND('Riesgos de Gestión'!$AF$51="Muy Alta",'Riesgos de Gestión'!$AH$51="Mayor"),CONCATENATE("R7C",'Riesgos de Gestión'!$V$51),"")</f>
        <v/>
      </c>
      <c r="AE12" s="36" t="str">
        <f>IF(AND('Riesgos de Gestión'!$AF$52="Muy Alta",'Riesgos de Gestión'!$AH$52="Mayor"),CONCATENATE("R7C",'Riesgos de Gestión'!$V$52),"")</f>
        <v/>
      </c>
      <c r="AF12" s="36" t="str">
        <f>IF(AND('Riesgos de Gestión'!$AF$53="Muy Alta",'Riesgos de Gestión'!$AH$53="Mayor"),CONCATENATE("R7C",'Riesgos de Gestión'!$V$53),"")</f>
        <v/>
      </c>
      <c r="AG12" s="37" t="str">
        <f>IF(AND('Riesgos de Gestión'!$AF$54="Muy Alta",'Riesgos de Gestión'!$AH$54="Mayor"),CONCATENATE("R7C",'Riesgos de Gestión'!$V$54),"")</f>
        <v/>
      </c>
      <c r="AH12" s="38" t="str">
        <f>IF(AND('Riesgos de Gestión'!$AF$49="Muy Alta",'Riesgos de Gestión'!$AH$49="Catastrófico"),CONCATENATE("R7C",'Riesgos de Gestión'!$V$49),"")</f>
        <v/>
      </c>
      <c r="AI12" s="39" t="str">
        <f>IF(AND('Riesgos de Gestión'!$AF$50="Muy Alta",'Riesgos de Gestión'!$AH$50="Catastrófico"),CONCATENATE("R7C",'Riesgos de Gestión'!$V$50),"")</f>
        <v/>
      </c>
      <c r="AJ12" s="39" t="str">
        <f>IF(AND('Riesgos de Gestión'!$AF$51="Muy Alta",'Riesgos de Gestión'!$AH$51="Catastrófico"),CONCATENATE("R7C",'Riesgos de Gestión'!$V$51),"")</f>
        <v/>
      </c>
      <c r="AK12" s="39" t="str">
        <f>IF(AND('Riesgos de Gestión'!$AF$52="Muy Alta",'Riesgos de Gestión'!$AH$52="Catastrófico"),CONCATENATE("R7C",'Riesgos de Gestión'!$V$52),"")</f>
        <v/>
      </c>
      <c r="AL12" s="39" t="str">
        <f>IF(AND('Riesgos de Gestión'!$AF$53="Muy Alta",'Riesgos de Gestión'!$AH$53="Catastrófico"),CONCATENATE("R7C",'Riesgos de Gestión'!$V$53),"")</f>
        <v/>
      </c>
      <c r="AM12" s="40" t="str">
        <f>IF(AND('Riesgos de Gestión'!$AF$54="Muy Alta",'Riesgos de Gestión'!$AH$54="Catastrófico"),CONCATENATE("R7C",'Riesgos de Gestión'!$V$54),"")</f>
        <v/>
      </c>
      <c r="AN12" s="66"/>
      <c r="AO12" s="571"/>
      <c r="AP12" s="572"/>
      <c r="AQ12" s="572"/>
      <c r="AR12" s="572"/>
      <c r="AS12" s="572"/>
      <c r="AT12" s="57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510"/>
      <c r="C13" s="510"/>
      <c r="D13" s="511"/>
      <c r="E13" s="551"/>
      <c r="F13" s="552"/>
      <c r="G13" s="552"/>
      <c r="H13" s="552"/>
      <c r="I13" s="553"/>
      <c r="J13" s="35" t="str">
        <f>IF(AND('Riesgos de Gestión'!$AF$55="Muy Alta",'Riesgos de Gestión'!$AH$55="Leve"),CONCATENATE("R8C",'Riesgos de Gestión'!$V$55),"")</f>
        <v/>
      </c>
      <c r="K13" s="36" t="str">
        <f>IF(AND('Riesgos de Gestión'!$AF$56="Muy Alta",'Riesgos de Gestión'!$AH$56="Leve"),CONCATENATE("R8C",'Riesgos de Gestión'!$V$56),"")</f>
        <v/>
      </c>
      <c r="L13" s="36" t="str">
        <f>IF(AND('Riesgos de Gestión'!$AF$57="Muy Alta",'Riesgos de Gestión'!$AH$57="Leve"),CONCATENATE("R8C",'Riesgos de Gestión'!$V$57),"")</f>
        <v/>
      </c>
      <c r="M13" s="36" t="str">
        <f>IF(AND('Riesgos de Gestión'!$AF$58="Muy Alta",'Riesgos de Gestión'!$AH$58="Leve"),CONCATENATE("R8C",'Riesgos de Gestión'!$V$58),"")</f>
        <v/>
      </c>
      <c r="N13" s="36" t="str">
        <f>IF(AND('Riesgos de Gestión'!$AF$59="Muy Alta",'Riesgos de Gestión'!$AH$59="Leve"),CONCATENATE("R8C",'Riesgos de Gestión'!$V$59),"")</f>
        <v/>
      </c>
      <c r="O13" s="37" t="str">
        <f>IF(AND('Riesgos de Gestión'!$AF$60="Muy Alta",'Riesgos de Gestión'!$AH$60="Leve"),CONCATENATE("R8C",'Riesgos de Gestión'!$V$60),"")</f>
        <v/>
      </c>
      <c r="P13" s="35" t="str">
        <f>IF(AND('Riesgos de Gestión'!$AF$55="Muy Alta",'Riesgos de Gestión'!$AH$55="Menor"),CONCATENATE("R8C",'Riesgos de Gestión'!$V$55),"")</f>
        <v/>
      </c>
      <c r="Q13" s="36" t="str">
        <f>IF(AND('Riesgos de Gestión'!$AF$56="Muy Alta",'Riesgos de Gestión'!$AH$56="Menor"),CONCATENATE("R8C",'Riesgos de Gestión'!$V$56),"")</f>
        <v/>
      </c>
      <c r="R13" s="36" t="str">
        <f>IF(AND('Riesgos de Gestión'!$AF$57="Muy Alta",'Riesgos de Gestión'!$AH$57="Menor"),CONCATENATE("R8C",'Riesgos de Gestión'!$V$57),"")</f>
        <v/>
      </c>
      <c r="S13" s="36" t="str">
        <f>IF(AND('Riesgos de Gestión'!$AF$58="Muy Alta",'Riesgos de Gestión'!$AH$58="Menor"),CONCATENATE("R8C",'Riesgos de Gestión'!$V$58),"")</f>
        <v/>
      </c>
      <c r="T13" s="36" t="str">
        <f>IF(AND('Riesgos de Gestión'!$AF$59="Muy Alta",'Riesgos de Gestión'!$AH$59="Menor"),CONCATENATE("R8C",'Riesgos de Gestión'!$V$59),"")</f>
        <v/>
      </c>
      <c r="U13" s="37" t="str">
        <f>IF(AND('Riesgos de Gestión'!$AF$60="Muy Alta",'Riesgos de Gestión'!$AH$60="Menor"),CONCATENATE("R8C",'Riesgos de Gestión'!$V$60),"")</f>
        <v/>
      </c>
      <c r="V13" s="35" t="str">
        <f>IF(AND('Riesgos de Gestión'!$AF$55="Muy Alta",'Riesgos de Gestión'!$AH$55="Moderado"),CONCATENATE("R8C",'Riesgos de Gestión'!$V$55),"")</f>
        <v/>
      </c>
      <c r="W13" s="36" t="str">
        <f>IF(AND('Riesgos de Gestión'!$AF$56="Muy Alta",'Riesgos de Gestión'!$AH$56="Moderado"),CONCATENATE("R8C",'Riesgos de Gestión'!$V$56),"")</f>
        <v/>
      </c>
      <c r="X13" s="36" t="str">
        <f>IF(AND('Riesgos de Gestión'!$AF$57="Muy Alta",'Riesgos de Gestión'!$AH$57="Moderado"),CONCATENATE("R8C",'Riesgos de Gestión'!$V$57),"")</f>
        <v/>
      </c>
      <c r="Y13" s="36" t="str">
        <f>IF(AND('Riesgos de Gestión'!$AF$58="Muy Alta",'Riesgos de Gestión'!$AH$58="Moderado"),CONCATENATE("R8C",'Riesgos de Gestión'!$V$58),"")</f>
        <v/>
      </c>
      <c r="Z13" s="36" t="str">
        <f>IF(AND('Riesgos de Gestión'!$AF$59="Muy Alta",'Riesgos de Gestión'!$AH$59="Moderado"),CONCATENATE("R8C",'Riesgos de Gestión'!$V$59),"")</f>
        <v/>
      </c>
      <c r="AA13" s="37" t="str">
        <f>IF(AND('Riesgos de Gestión'!$AF$60="Muy Alta",'Riesgos de Gestión'!$AH$60="Moderado"),CONCATENATE("R8C",'Riesgos de Gestión'!$V$60),"")</f>
        <v/>
      </c>
      <c r="AB13" s="35" t="str">
        <f>IF(AND('Riesgos de Gestión'!$AF$55="Muy Alta",'Riesgos de Gestión'!$AH$55="Mayor"),CONCATENATE("R8C",'Riesgos de Gestión'!$V$55),"")</f>
        <v/>
      </c>
      <c r="AC13" s="36" t="str">
        <f>IF(AND('Riesgos de Gestión'!$AF$56="Muy Alta",'Riesgos de Gestión'!$AH$56="Mayor"),CONCATENATE("R8C",'Riesgos de Gestión'!$V$56),"")</f>
        <v/>
      </c>
      <c r="AD13" s="36" t="str">
        <f>IF(AND('Riesgos de Gestión'!$AF$57="Muy Alta",'Riesgos de Gestión'!$AH$57="Mayor"),CONCATENATE("R8C",'Riesgos de Gestión'!$V$57),"")</f>
        <v/>
      </c>
      <c r="AE13" s="36" t="str">
        <f>IF(AND('Riesgos de Gestión'!$AF$58="Muy Alta",'Riesgos de Gestión'!$AH$58="Mayor"),CONCATENATE("R8C",'Riesgos de Gestión'!$V$58),"")</f>
        <v/>
      </c>
      <c r="AF13" s="36" t="str">
        <f>IF(AND('Riesgos de Gestión'!$AF$59="Muy Alta",'Riesgos de Gestión'!$AH$59="Mayor"),CONCATENATE("R8C",'Riesgos de Gestión'!$V$59),"")</f>
        <v/>
      </c>
      <c r="AG13" s="37" t="str">
        <f>IF(AND('Riesgos de Gestión'!$AF$60="Muy Alta",'Riesgos de Gestión'!$AH$60="Mayor"),CONCATENATE("R8C",'Riesgos de Gestión'!$V$60),"")</f>
        <v/>
      </c>
      <c r="AH13" s="38" t="str">
        <f>IF(AND('Riesgos de Gestión'!$AF$55="Muy Alta",'Riesgos de Gestión'!$AH$55="Catastrófico"),CONCATENATE("R8C",'Riesgos de Gestión'!$V$55),"")</f>
        <v/>
      </c>
      <c r="AI13" s="39" t="str">
        <f>IF(AND('Riesgos de Gestión'!$AF$56="Muy Alta",'Riesgos de Gestión'!$AH$56="Catastrófico"),CONCATENATE("R8C",'Riesgos de Gestión'!$V$56),"")</f>
        <v/>
      </c>
      <c r="AJ13" s="39" t="str">
        <f>IF(AND('Riesgos de Gestión'!$AF$57="Muy Alta",'Riesgos de Gestión'!$AH$57="Catastrófico"),CONCATENATE("R8C",'Riesgos de Gestión'!$V$57),"")</f>
        <v/>
      </c>
      <c r="AK13" s="39" t="str">
        <f>IF(AND('Riesgos de Gestión'!$AF$58="Muy Alta",'Riesgos de Gestión'!$AH$58="Catastrófico"),CONCATENATE("R8C",'Riesgos de Gestión'!$V$58),"")</f>
        <v/>
      </c>
      <c r="AL13" s="39" t="str">
        <f>IF(AND('Riesgos de Gestión'!$AF$59="Muy Alta",'Riesgos de Gestión'!$AH$59="Catastrófico"),CONCATENATE("R8C",'Riesgos de Gestión'!$V$59),"")</f>
        <v/>
      </c>
      <c r="AM13" s="40" t="str">
        <f>IF(AND('Riesgos de Gestión'!$AF$60="Muy Alta",'Riesgos de Gestión'!$AH$60="Catastrófico"),CONCATENATE("R8C",'Riesgos de Gestión'!$V$60),"")</f>
        <v/>
      </c>
      <c r="AN13" s="66"/>
      <c r="AO13" s="571"/>
      <c r="AP13" s="572"/>
      <c r="AQ13" s="572"/>
      <c r="AR13" s="572"/>
      <c r="AS13" s="572"/>
      <c r="AT13" s="573"/>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510"/>
      <c r="C14" s="510"/>
      <c r="D14" s="511"/>
      <c r="E14" s="551"/>
      <c r="F14" s="552"/>
      <c r="G14" s="552"/>
      <c r="H14" s="552"/>
      <c r="I14" s="553"/>
      <c r="J14" s="35" t="str">
        <f>IF(AND('Riesgos de Gestión'!$AF$61="Muy Alta",'Riesgos de Gestión'!$AH$61="Leve"),CONCATENATE("R9C",'Riesgos de Gestión'!$V$61),"")</f>
        <v/>
      </c>
      <c r="K14" s="36" t="str">
        <f>IF(AND('Riesgos de Gestión'!$AF$62="Muy Alta",'Riesgos de Gestión'!$AH$62="Leve"),CONCATENATE("R9C",'Riesgos de Gestión'!$V$62),"")</f>
        <v/>
      </c>
      <c r="L14" s="36" t="str">
        <f>IF(AND('Riesgos de Gestión'!$AF$63="Muy Alta",'Riesgos de Gestión'!$AH$63="Leve"),CONCATENATE("R9C",'Riesgos de Gestión'!$V$63),"")</f>
        <v/>
      </c>
      <c r="M14" s="36" t="str">
        <f>IF(AND('Riesgos de Gestión'!$AF$64="Muy Alta",'Riesgos de Gestión'!$AH$64="Leve"),CONCATENATE("R9C",'Riesgos de Gestión'!$V$64),"")</f>
        <v/>
      </c>
      <c r="N14" s="36" t="str">
        <f>IF(AND('Riesgos de Gestión'!$AF$65="Muy Alta",'Riesgos de Gestión'!$AH$65="Leve"),CONCATENATE("R9C",'Riesgos de Gestión'!$V$65),"")</f>
        <v/>
      </c>
      <c r="O14" s="37" t="str">
        <f>IF(AND('Riesgos de Gestión'!$AF$66="Muy Alta",'Riesgos de Gestión'!$AH$66="Leve"),CONCATENATE("R9C",'Riesgos de Gestión'!$V$66),"")</f>
        <v/>
      </c>
      <c r="P14" s="35" t="str">
        <f>IF(AND('Riesgos de Gestión'!$AF$61="Muy Alta",'Riesgos de Gestión'!$AH$61="Menor"),CONCATENATE("R9C",'Riesgos de Gestión'!$V$61),"")</f>
        <v/>
      </c>
      <c r="Q14" s="36" t="str">
        <f>IF(AND('Riesgos de Gestión'!$AF$62="Muy Alta",'Riesgos de Gestión'!$AH$62="Menor"),CONCATENATE("R9C",'Riesgos de Gestión'!$V$62),"")</f>
        <v/>
      </c>
      <c r="R14" s="36" t="str">
        <f>IF(AND('Riesgos de Gestión'!$AF$63="Muy Alta",'Riesgos de Gestión'!$AH$63="Menor"),CONCATENATE("R9C",'Riesgos de Gestión'!$V$63),"")</f>
        <v/>
      </c>
      <c r="S14" s="36" t="str">
        <f>IF(AND('Riesgos de Gestión'!$AF$64="Muy Alta",'Riesgos de Gestión'!$AH$64="Menor"),CONCATENATE("R9C",'Riesgos de Gestión'!$V$64),"")</f>
        <v/>
      </c>
      <c r="T14" s="36" t="str">
        <f>IF(AND('Riesgos de Gestión'!$AF$65="Muy Alta",'Riesgos de Gestión'!$AH$65="Menor"),CONCATENATE("R9C",'Riesgos de Gestión'!$V$65),"")</f>
        <v/>
      </c>
      <c r="U14" s="37" t="str">
        <f>IF(AND('Riesgos de Gestión'!$AF$66="Muy Alta",'Riesgos de Gestión'!$AH$66="Menor"),CONCATENATE("R9C",'Riesgos de Gestión'!$V$66),"")</f>
        <v/>
      </c>
      <c r="V14" s="35" t="str">
        <f>IF(AND('Riesgos de Gestión'!$AF$61="Muy Alta",'Riesgos de Gestión'!$AH$61="Moderado"),CONCATENATE("R9C",'Riesgos de Gestión'!$V$61),"")</f>
        <v/>
      </c>
      <c r="W14" s="36" t="str">
        <f>IF(AND('Riesgos de Gestión'!$AF$62="Muy Alta",'Riesgos de Gestión'!$AH$62="Moderado"),CONCATENATE("R9C",'Riesgos de Gestión'!$V$62),"")</f>
        <v/>
      </c>
      <c r="X14" s="36" t="str">
        <f>IF(AND('Riesgos de Gestión'!$AF$63="Muy Alta",'Riesgos de Gestión'!$AH$63="Moderado"),CONCATENATE("R9C",'Riesgos de Gestión'!$V$63),"")</f>
        <v/>
      </c>
      <c r="Y14" s="36" t="str">
        <f>IF(AND('Riesgos de Gestión'!$AF$64="Muy Alta",'Riesgos de Gestión'!$AH$64="Moderado"),CONCATENATE("R9C",'Riesgos de Gestión'!$V$64),"")</f>
        <v/>
      </c>
      <c r="Z14" s="36" t="str">
        <f>IF(AND('Riesgos de Gestión'!$AF$65="Muy Alta",'Riesgos de Gestión'!$AH$65="Moderado"),CONCATENATE("R9C",'Riesgos de Gestión'!$V$65),"")</f>
        <v/>
      </c>
      <c r="AA14" s="37" t="str">
        <f>IF(AND('Riesgos de Gestión'!$AF$66="Muy Alta",'Riesgos de Gestión'!$AH$66="Moderado"),CONCATENATE("R9C",'Riesgos de Gestión'!$V$66),"")</f>
        <v/>
      </c>
      <c r="AB14" s="35" t="str">
        <f>IF(AND('Riesgos de Gestión'!$AF$61="Muy Alta",'Riesgos de Gestión'!$AH$61="Mayor"),CONCATENATE("R9C",'Riesgos de Gestión'!$V$61),"")</f>
        <v/>
      </c>
      <c r="AC14" s="36" t="str">
        <f>IF(AND('Riesgos de Gestión'!$AF$62="Muy Alta",'Riesgos de Gestión'!$AH$62="Mayor"),CONCATENATE("R9C",'Riesgos de Gestión'!$V$62),"")</f>
        <v/>
      </c>
      <c r="AD14" s="36" t="str">
        <f>IF(AND('Riesgos de Gestión'!$AF$63="Muy Alta",'Riesgos de Gestión'!$AH$63="Mayor"),CONCATENATE("R9C",'Riesgos de Gestión'!$V$63),"")</f>
        <v/>
      </c>
      <c r="AE14" s="36" t="str">
        <f>IF(AND('Riesgos de Gestión'!$AF$64="Muy Alta",'Riesgos de Gestión'!$AH$64="Mayor"),CONCATENATE("R9C",'Riesgos de Gestión'!$V$64),"")</f>
        <v/>
      </c>
      <c r="AF14" s="36" t="str">
        <f>IF(AND('Riesgos de Gestión'!$AF$65="Muy Alta",'Riesgos de Gestión'!$AH$65="Mayor"),CONCATENATE("R9C",'Riesgos de Gestión'!$V$65),"")</f>
        <v/>
      </c>
      <c r="AG14" s="37" t="str">
        <f>IF(AND('Riesgos de Gestión'!$AF$66="Muy Alta",'Riesgos de Gestión'!$AH$66="Mayor"),CONCATENATE("R9C",'Riesgos de Gestión'!$V$66),"")</f>
        <v/>
      </c>
      <c r="AH14" s="38" t="str">
        <f>IF(AND('Riesgos de Gestión'!$AF$61="Muy Alta",'Riesgos de Gestión'!$AH$61="Catastrófico"),CONCATENATE("R9C",'Riesgos de Gestión'!$V$61),"")</f>
        <v/>
      </c>
      <c r="AI14" s="39" t="str">
        <f>IF(AND('Riesgos de Gestión'!$AF$62="Muy Alta",'Riesgos de Gestión'!$AH$62="Catastrófico"),CONCATENATE("R9C",'Riesgos de Gestión'!$V$62),"")</f>
        <v/>
      </c>
      <c r="AJ14" s="39" t="str">
        <f>IF(AND('Riesgos de Gestión'!$AF$63="Muy Alta",'Riesgos de Gestión'!$AH$63="Catastrófico"),CONCATENATE("R9C",'Riesgos de Gestión'!$V$63),"")</f>
        <v/>
      </c>
      <c r="AK14" s="39" t="str">
        <f>IF(AND('Riesgos de Gestión'!$AF$64="Muy Alta",'Riesgos de Gestión'!$AH$64="Catastrófico"),CONCATENATE("R9C",'Riesgos de Gestión'!$V$64),"")</f>
        <v/>
      </c>
      <c r="AL14" s="39" t="str">
        <f>IF(AND('Riesgos de Gestión'!$AF$65="Muy Alta",'Riesgos de Gestión'!$AH$65="Catastrófico"),CONCATENATE("R9C",'Riesgos de Gestión'!$V$65),"")</f>
        <v/>
      </c>
      <c r="AM14" s="40" t="str">
        <f>IF(AND('Riesgos de Gestión'!$AF$66="Muy Alta",'Riesgos de Gestión'!$AH$66="Catastrófico"),CONCATENATE("R9C",'Riesgos de Gestión'!$V$66),"")</f>
        <v/>
      </c>
      <c r="AN14" s="66"/>
      <c r="AO14" s="571"/>
      <c r="AP14" s="572"/>
      <c r="AQ14" s="572"/>
      <c r="AR14" s="572"/>
      <c r="AS14" s="572"/>
      <c r="AT14" s="573"/>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510"/>
      <c r="C15" s="510"/>
      <c r="D15" s="511"/>
      <c r="E15" s="554"/>
      <c r="F15" s="555"/>
      <c r="G15" s="555"/>
      <c r="H15" s="555"/>
      <c r="I15" s="556"/>
      <c r="J15" s="41" t="str">
        <f>IF(AND('Riesgos de Gestión'!$AF$67="Muy Alta",'Riesgos de Gestión'!$AH$67="Leve"),CONCATENATE("R10C",'Riesgos de Gestión'!$V$67),"")</f>
        <v/>
      </c>
      <c r="K15" s="42" t="str">
        <f>IF(AND('Riesgos de Gestión'!$AF$68="Muy Alta",'Riesgos de Gestión'!$AH$68="Leve"),CONCATENATE("R10C",'Riesgos de Gestión'!$V$68),"")</f>
        <v/>
      </c>
      <c r="L15" s="42" t="str">
        <f>IF(AND('Riesgos de Gestión'!$AF$69="Muy Alta",'Riesgos de Gestión'!$AH$69="Leve"),CONCATENATE("R10C",'Riesgos de Gestión'!$V$69),"")</f>
        <v/>
      </c>
      <c r="M15" s="42" t="str">
        <f>IF(AND('Riesgos de Gestión'!$AF$70="Muy Alta",'Riesgos de Gestión'!$AH$70="Leve"),CONCATENATE("R10C",'Riesgos de Gestión'!$V$70),"")</f>
        <v/>
      </c>
      <c r="N15" s="42" t="str">
        <f>IF(AND('Riesgos de Gestión'!$AF$71="Muy Alta",'Riesgos de Gestión'!$AH$71="Leve"),CONCATENATE("R10C",'Riesgos de Gestión'!$V$71),"")</f>
        <v/>
      </c>
      <c r="O15" s="43" t="str">
        <f>IF(AND('Riesgos de Gestión'!$AF$72="Muy Alta",'Riesgos de Gestión'!$AH$72="Leve"),CONCATENATE("R10C",'Riesgos de Gestión'!$V$72),"")</f>
        <v/>
      </c>
      <c r="P15" s="35" t="str">
        <f>IF(AND('Riesgos de Gestión'!$AF$67="Muy Alta",'Riesgos de Gestión'!$AH$67="Menor"),CONCATENATE("R10C",'Riesgos de Gestión'!$V$67),"")</f>
        <v/>
      </c>
      <c r="Q15" s="36" t="str">
        <f>IF(AND('Riesgos de Gestión'!$AF$68="Muy Alta",'Riesgos de Gestión'!$AH$68="Menor"),CONCATENATE("R10C",'Riesgos de Gestión'!$V$68),"")</f>
        <v/>
      </c>
      <c r="R15" s="36" t="str">
        <f>IF(AND('Riesgos de Gestión'!$AF$69="Muy Alta",'Riesgos de Gestión'!$AH$69="Menor"),CONCATENATE("R10C",'Riesgos de Gestión'!$V$69),"")</f>
        <v/>
      </c>
      <c r="S15" s="36" t="str">
        <f>IF(AND('Riesgos de Gestión'!$AF$70="Muy Alta",'Riesgos de Gestión'!$AH$70="Menor"),CONCATENATE("R10C",'Riesgos de Gestión'!$V$70),"")</f>
        <v/>
      </c>
      <c r="T15" s="36" t="str">
        <f>IF(AND('Riesgos de Gestión'!$AF$71="Muy Alta",'Riesgos de Gestión'!$AH$71="Menor"),CONCATENATE("R10C",'Riesgos de Gestión'!$V$71),"")</f>
        <v/>
      </c>
      <c r="U15" s="37" t="str">
        <f>IF(AND('Riesgos de Gestión'!$AF$72="Muy Alta",'Riesgos de Gestión'!$AH$72="Menor"),CONCATENATE("R10C",'Riesgos de Gestión'!$V$72),"")</f>
        <v/>
      </c>
      <c r="V15" s="41" t="str">
        <f>IF(AND('Riesgos de Gestión'!$AF$67="Muy Alta",'Riesgos de Gestión'!$AH$67="Moderado"),CONCATENATE("R10C",'Riesgos de Gestión'!$V$67),"")</f>
        <v/>
      </c>
      <c r="W15" s="42" t="str">
        <f>IF(AND('Riesgos de Gestión'!$AF$68="Muy Alta",'Riesgos de Gestión'!$AH$68="Moderado"),CONCATENATE("R10C",'Riesgos de Gestión'!$V$68),"")</f>
        <v/>
      </c>
      <c r="X15" s="42" t="str">
        <f>IF(AND('Riesgos de Gestión'!$AF$69="Muy Alta",'Riesgos de Gestión'!$AH$69="Moderado"),CONCATENATE("R10C",'Riesgos de Gestión'!$V$69),"")</f>
        <v/>
      </c>
      <c r="Y15" s="42" t="str">
        <f>IF(AND('Riesgos de Gestión'!$AF$70="Muy Alta",'Riesgos de Gestión'!$AH$70="Moderado"),CONCATENATE("R10C",'Riesgos de Gestión'!$V$70),"")</f>
        <v/>
      </c>
      <c r="Z15" s="42" t="str">
        <f>IF(AND('Riesgos de Gestión'!$AF$71="Muy Alta",'Riesgos de Gestión'!$AH$71="Moderado"),CONCATENATE("R10C",'Riesgos de Gestión'!$V$71),"")</f>
        <v/>
      </c>
      <c r="AA15" s="43" t="str">
        <f>IF(AND('Riesgos de Gestión'!$AF$72="Muy Alta",'Riesgos de Gestión'!$AH$72="Moderado"),CONCATENATE("R10C",'Riesgos de Gestión'!$V$72),"")</f>
        <v/>
      </c>
      <c r="AB15" s="35" t="str">
        <f>IF(AND('Riesgos de Gestión'!$AF$67="Muy Alta",'Riesgos de Gestión'!$AH$67="Mayor"),CONCATENATE("R10C",'Riesgos de Gestión'!$V$67),"")</f>
        <v/>
      </c>
      <c r="AC15" s="36" t="str">
        <f>IF(AND('Riesgos de Gestión'!$AF$68="Muy Alta",'Riesgos de Gestión'!$AH$68="Mayor"),CONCATENATE("R10C",'Riesgos de Gestión'!$V$68),"")</f>
        <v/>
      </c>
      <c r="AD15" s="36" t="str">
        <f>IF(AND('Riesgos de Gestión'!$AF$69="Muy Alta",'Riesgos de Gestión'!$AH$69="Mayor"),CONCATENATE("R10C",'Riesgos de Gestión'!$V$69),"")</f>
        <v/>
      </c>
      <c r="AE15" s="36" t="str">
        <f>IF(AND('Riesgos de Gestión'!$AF$70="Muy Alta",'Riesgos de Gestión'!$AH$70="Mayor"),CONCATENATE("R10C",'Riesgos de Gestión'!$V$70),"")</f>
        <v/>
      </c>
      <c r="AF15" s="36" t="str">
        <f>IF(AND('Riesgos de Gestión'!$AF$71="Muy Alta",'Riesgos de Gestión'!$AH$71="Mayor"),CONCATENATE("R10C",'Riesgos de Gestión'!$V$71),"")</f>
        <v/>
      </c>
      <c r="AG15" s="37" t="str">
        <f>IF(AND('Riesgos de Gestión'!$AF$72="Muy Alta",'Riesgos de Gestión'!$AH$72="Mayor"),CONCATENATE("R10C",'Riesgos de Gestión'!$V$72),"")</f>
        <v/>
      </c>
      <c r="AH15" s="44" t="str">
        <f>IF(AND('Riesgos de Gestión'!$AF$67="Muy Alta",'Riesgos de Gestión'!$AH$67="Catastrófico"),CONCATENATE("R10C",'Riesgos de Gestión'!$V$67),"")</f>
        <v/>
      </c>
      <c r="AI15" s="45" t="str">
        <f>IF(AND('Riesgos de Gestión'!$AF$68="Muy Alta",'Riesgos de Gestión'!$AH$68="Catastrófico"),CONCATENATE("R10C",'Riesgos de Gestión'!$V$68),"")</f>
        <v/>
      </c>
      <c r="AJ15" s="45" t="str">
        <f>IF(AND('Riesgos de Gestión'!$AF$69="Muy Alta",'Riesgos de Gestión'!$AH$69="Catastrófico"),CONCATENATE("R10C",'Riesgos de Gestión'!$V$69),"")</f>
        <v/>
      </c>
      <c r="AK15" s="45" t="str">
        <f>IF(AND('Riesgos de Gestión'!$AF$70="Muy Alta",'Riesgos de Gestión'!$AH$70="Catastrófico"),CONCATENATE("R10C",'Riesgos de Gestión'!$V$70),"")</f>
        <v/>
      </c>
      <c r="AL15" s="45" t="str">
        <f>IF(AND('Riesgos de Gestión'!$AF$71="Muy Alta",'Riesgos de Gestión'!$AH$71="Catastrófico"),CONCATENATE("R10C",'Riesgos de Gestión'!$V$71),"")</f>
        <v/>
      </c>
      <c r="AM15" s="46" t="str">
        <f>IF(AND('Riesgos de Gestión'!$AF$72="Muy Alta",'Riesgos de Gestión'!$AH$72="Catastrófico"),CONCATENATE("R10C",'Riesgos de Gestión'!$V$72),"")</f>
        <v/>
      </c>
      <c r="AN15" s="66"/>
      <c r="AO15" s="574"/>
      <c r="AP15" s="575"/>
      <c r="AQ15" s="575"/>
      <c r="AR15" s="575"/>
      <c r="AS15" s="575"/>
      <c r="AT15" s="57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510"/>
      <c r="C16" s="510"/>
      <c r="D16" s="511"/>
      <c r="E16" s="548" t="s">
        <v>267</v>
      </c>
      <c r="F16" s="549"/>
      <c r="G16" s="549"/>
      <c r="H16" s="549"/>
      <c r="I16" s="549"/>
      <c r="J16" s="47" t="str">
        <f>IF(AND('Riesgos de Gestión'!$AF$13="Alta",'Riesgos de Gestión'!$AH$13="Leve"),CONCATENATE("R1C",'Riesgos de Gestión'!$V$13),"")</f>
        <v/>
      </c>
      <c r="K16" s="48" t="str">
        <f>IF(AND('Riesgos de Gestión'!$AF$14="Alta",'Riesgos de Gestión'!$AH$14="Leve"),CONCATENATE("R1C",'Riesgos de Gestión'!$V$14),"")</f>
        <v/>
      </c>
      <c r="L16" s="48" t="str">
        <f>IF(AND('Riesgos de Gestión'!$AF$15="Alta",'Riesgos de Gestión'!$AH$15="Leve"),CONCATENATE("R1C",'Riesgos de Gestión'!$V$15),"")</f>
        <v/>
      </c>
      <c r="M16" s="48" t="str">
        <f>IF(AND('Riesgos de Gestión'!$AF$16="Alta",'Riesgos de Gestión'!$AH$16="Leve"),CONCATENATE("R1C",'Riesgos de Gestión'!$V$16),"")</f>
        <v/>
      </c>
      <c r="N16" s="48" t="str">
        <f>IF(AND('Riesgos de Gestión'!$AF$17="Alta",'Riesgos de Gestión'!$AH$17="Leve"),CONCATENATE("R1C",'Riesgos de Gestión'!$V$17),"")</f>
        <v/>
      </c>
      <c r="O16" s="49" t="str">
        <f>IF(AND('Riesgos de Gestión'!$AF$18="Alta",'Riesgos de Gestión'!$AH$18="Leve"),CONCATENATE("R1C",'Riesgos de Gestión'!$V$18),"")</f>
        <v/>
      </c>
      <c r="P16" s="47" t="str">
        <f>IF(AND('Riesgos de Gestión'!$AF$13="Alta",'Riesgos de Gestión'!$AH$13="Menor"),CONCATENATE("R1C",'Riesgos de Gestión'!$V$13),"")</f>
        <v/>
      </c>
      <c r="Q16" s="48" t="str">
        <f>IF(AND('Riesgos de Gestión'!$AF$14="Alta",'Riesgos de Gestión'!$AH$14="Menor"),CONCATENATE("R1C",'Riesgos de Gestión'!$V$14),"")</f>
        <v/>
      </c>
      <c r="R16" s="48" t="str">
        <f>IF(AND('Riesgos de Gestión'!$AF$15="Alta",'Riesgos de Gestión'!$AH$15="Menor"),CONCATENATE("R1C",'Riesgos de Gestión'!$V$15),"")</f>
        <v/>
      </c>
      <c r="S16" s="48" t="str">
        <f>IF(AND('Riesgos de Gestión'!$AF$16="Alta",'Riesgos de Gestión'!$AH$16="Menor"),CONCATENATE("R1C",'Riesgos de Gestión'!$V$16),"")</f>
        <v/>
      </c>
      <c r="T16" s="48" t="str">
        <f>IF(AND('Riesgos de Gestión'!$AF$17="Alta",'Riesgos de Gestión'!$AH$17="Menor"),CONCATENATE("R1C",'Riesgos de Gestión'!$V$17),"")</f>
        <v/>
      </c>
      <c r="U16" s="49" t="str">
        <f>IF(AND('Riesgos de Gestión'!$AF$18="Alta",'Riesgos de Gestión'!$AH$18="Menor"),CONCATENATE("R1C",'Riesgos de Gestión'!$V$18),"")</f>
        <v/>
      </c>
      <c r="V16" s="29" t="str">
        <f>IF(AND('Riesgos de Gestión'!$AF$13="Alta",'Riesgos de Gestión'!$AH$13="Moderado"),CONCATENATE("R1C",'Riesgos de Gestión'!$V$13),"")</f>
        <v/>
      </c>
      <c r="W16" s="30" t="str">
        <f>IF(AND('Riesgos de Gestión'!$AF$14="Alta",'Riesgos de Gestión'!$AH$14="Moderado"),CONCATENATE("R1C",'Riesgos de Gestión'!$V$14),"")</f>
        <v/>
      </c>
      <c r="X16" s="30" t="str">
        <f>IF(AND('Riesgos de Gestión'!$AF$15="Alta",'Riesgos de Gestión'!$AH$15="Moderado"),CONCATENATE("R1C",'Riesgos de Gestión'!$V$15),"")</f>
        <v/>
      </c>
      <c r="Y16" s="30" t="str">
        <f>IF(AND('Riesgos de Gestión'!$AF$16="Alta",'Riesgos de Gestión'!$AH$16="Moderado"),CONCATENATE("R1C",'Riesgos de Gestión'!$V$16),"")</f>
        <v/>
      </c>
      <c r="Z16" s="30" t="str">
        <f>IF(AND('Riesgos de Gestión'!$AF$17="Alta",'Riesgos de Gestión'!$AH$17="Moderado"),CONCATENATE("R1C",'Riesgos de Gestión'!$V$17),"")</f>
        <v/>
      </c>
      <c r="AA16" s="31" t="str">
        <f>IF(AND('Riesgos de Gestión'!$AF$18="Alta",'Riesgos de Gestión'!$AH$18="Moderado"),CONCATENATE("R1C",'Riesgos de Gestión'!$V$18),"")</f>
        <v/>
      </c>
      <c r="AB16" s="29" t="str">
        <f>IF(AND('Riesgos de Gestión'!$AF$13="Alta",'Riesgos de Gestión'!$AH$13="Mayor"),CONCATENATE("R1C",'Riesgos de Gestión'!$V$13),"")</f>
        <v/>
      </c>
      <c r="AC16" s="30" t="str">
        <f>IF(AND('Riesgos de Gestión'!$AF$14="Alta",'Riesgos de Gestión'!$AH$14="Mayor"),CONCATENATE("R1C",'Riesgos de Gestión'!$V$14),"")</f>
        <v/>
      </c>
      <c r="AD16" s="30" t="str">
        <f>IF(AND('Riesgos de Gestión'!$AF$15="Alta",'Riesgos de Gestión'!$AH$15="Mayor"),CONCATENATE("R1C",'Riesgos de Gestión'!$V$15),"")</f>
        <v/>
      </c>
      <c r="AE16" s="30" t="str">
        <f>IF(AND('Riesgos de Gestión'!$AF$16="Alta",'Riesgos de Gestión'!$AH$16="Mayor"),CONCATENATE("R1C",'Riesgos de Gestión'!$V$16),"")</f>
        <v/>
      </c>
      <c r="AF16" s="30" t="str">
        <f>IF(AND('Riesgos de Gestión'!$AF$17="Alta",'Riesgos de Gestión'!$AH$17="Mayor"),CONCATENATE("R1C",'Riesgos de Gestión'!$V$17),"")</f>
        <v/>
      </c>
      <c r="AG16" s="31" t="str">
        <f>IF(AND('Riesgos de Gestión'!$AF$18="Alta",'Riesgos de Gestión'!$AH$18="Mayor"),CONCATENATE("R1C",'Riesgos de Gestión'!$V$18),"")</f>
        <v/>
      </c>
      <c r="AH16" s="32" t="str">
        <f>IF(AND('Riesgos de Gestión'!$AF$13="Alta",'Riesgos de Gestión'!$AH$13="Catastrófico"),CONCATENATE("R1C",'Riesgos de Gestión'!$V$13),"")</f>
        <v/>
      </c>
      <c r="AI16" s="33" t="str">
        <f>IF(AND('Riesgos de Gestión'!$AF$14="Alta",'Riesgos de Gestión'!$AH$14="Catastrófico"),CONCATENATE("R1C",'Riesgos de Gestión'!$V$14),"")</f>
        <v/>
      </c>
      <c r="AJ16" s="33" t="str">
        <f>IF(AND('Riesgos de Gestión'!$AF$15="Alta",'Riesgos de Gestión'!$AH$15="Catastrófico"),CONCATENATE("R1C",'Riesgos de Gestión'!$V$15),"")</f>
        <v/>
      </c>
      <c r="AK16" s="33" t="str">
        <f>IF(AND('Riesgos de Gestión'!$AF$16="Alta",'Riesgos de Gestión'!$AH$16="Catastrófico"),CONCATENATE("R1C",'Riesgos de Gestión'!$V$16),"")</f>
        <v/>
      </c>
      <c r="AL16" s="33" t="str">
        <f>IF(AND('Riesgos de Gestión'!$AF$17="Alta",'Riesgos de Gestión'!$AH$17="Catastrófico"),CONCATENATE("R1C",'Riesgos de Gestión'!$V$17),"")</f>
        <v/>
      </c>
      <c r="AM16" s="34" t="str">
        <f>IF(AND('Riesgos de Gestión'!$AF$18="Alta",'Riesgos de Gestión'!$AH$18="Catastrófico"),CONCATENATE("R1C",'Riesgos de Gestión'!$V$18),"")</f>
        <v/>
      </c>
      <c r="AN16" s="66"/>
      <c r="AO16" s="558" t="s">
        <v>268</v>
      </c>
      <c r="AP16" s="559"/>
      <c r="AQ16" s="559"/>
      <c r="AR16" s="559"/>
      <c r="AS16" s="559"/>
      <c r="AT16" s="560"/>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510"/>
      <c r="C17" s="510"/>
      <c r="D17" s="511"/>
      <c r="E17" s="567"/>
      <c r="F17" s="552"/>
      <c r="G17" s="552"/>
      <c r="H17" s="552"/>
      <c r="I17" s="552"/>
      <c r="J17" s="50" t="str">
        <f>IF(AND('Riesgos de Gestión'!$AF$19="Alta",'Riesgos de Gestión'!$AH$19="Leve"),CONCATENATE("R2C",'Riesgos de Gestión'!$V$19),"")</f>
        <v/>
      </c>
      <c r="K17" s="51" t="str">
        <f>IF(AND('Riesgos de Gestión'!$AF$20="Alta",'Riesgos de Gestión'!$AH$20="Leve"),CONCATENATE("R2C",'Riesgos de Gestión'!$V$20),"")</f>
        <v/>
      </c>
      <c r="L17" s="51" t="str">
        <f>IF(AND('Riesgos de Gestión'!$AF$21="Alta",'Riesgos de Gestión'!$AH$21="Leve"),CONCATENATE("R2C",'Riesgos de Gestión'!$V$21),"")</f>
        <v/>
      </c>
      <c r="M17" s="51" t="str">
        <f>IF(AND('Riesgos de Gestión'!$AF$22="Alta",'Riesgos de Gestión'!$AH$22="Leve"),CONCATENATE("R2C",'Riesgos de Gestión'!$V$22),"")</f>
        <v/>
      </c>
      <c r="N17" s="51" t="str">
        <f>IF(AND('Riesgos de Gestión'!$AF$23="Alta",'Riesgos de Gestión'!$AH$23="Leve"),CONCATENATE("R2C",'Riesgos de Gestión'!$V$23),"")</f>
        <v/>
      </c>
      <c r="O17" s="52" t="str">
        <f>IF(AND('Riesgos de Gestión'!$AF$24="Alta",'Riesgos de Gestión'!$AH$24="Leve"),CONCATENATE("R2C",'Riesgos de Gestión'!$V$24),"")</f>
        <v/>
      </c>
      <c r="P17" s="50" t="str">
        <f>IF(AND('Riesgos de Gestión'!$AF$19="Alta",'Riesgos de Gestión'!$AH$19="Menor"),CONCATENATE("R2C",'Riesgos de Gestión'!$V$19),"")</f>
        <v/>
      </c>
      <c r="Q17" s="51" t="str">
        <f>IF(AND('Riesgos de Gestión'!$AF$20="Alta",'Riesgos de Gestión'!$AH$20="Menor"),CONCATENATE("R2C",'Riesgos de Gestión'!$V$20),"")</f>
        <v/>
      </c>
      <c r="R17" s="51" t="str">
        <f>IF(AND('Riesgos de Gestión'!$AF$21="Alta",'Riesgos de Gestión'!$AH$21="Menor"),CONCATENATE("R2C",'Riesgos de Gestión'!$V$21),"")</f>
        <v/>
      </c>
      <c r="S17" s="51" t="str">
        <f>IF(AND('Riesgos de Gestión'!$AF$22="Alta",'Riesgos de Gestión'!$AH$22="Menor"),CONCATENATE("R2C",'Riesgos de Gestión'!$V$22),"")</f>
        <v/>
      </c>
      <c r="T17" s="51" t="str">
        <f>IF(AND('Riesgos de Gestión'!$AF$23="Alta",'Riesgos de Gestión'!$AH$23="Menor"),CONCATENATE("R2C",'Riesgos de Gestión'!$V$23),"")</f>
        <v/>
      </c>
      <c r="U17" s="52" t="str">
        <f>IF(AND('Riesgos de Gestión'!$AF$24="Alta",'Riesgos de Gestión'!$AH$24="Menor"),CONCATENATE("R2C",'Riesgos de Gestión'!$V$24),"")</f>
        <v/>
      </c>
      <c r="V17" s="35" t="str">
        <f>IF(AND('Riesgos de Gestión'!$AF$19="Alta",'Riesgos de Gestión'!$AH$19="Moderado"),CONCATENATE("R2C",'Riesgos de Gestión'!$V$19),"")</f>
        <v/>
      </c>
      <c r="W17" s="36" t="str">
        <f>IF(AND('Riesgos de Gestión'!$AF$20="Alta",'Riesgos de Gestión'!$AH$20="Moderado"),CONCATENATE("R2C",'Riesgos de Gestión'!$V$20),"")</f>
        <v/>
      </c>
      <c r="X17" s="36" t="str">
        <f>IF(AND('Riesgos de Gestión'!$AF$21="Alta",'Riesgos de Gestión'!$AH$21="Moderado"),CONCATENATE("R2C",'Riesgos de Gestión'!$V$21),"")</f>
        <v/>
      </c>
      <c r="Y17" s="36" t="str">
        <f>IF(AND('Riesgos de Gestión'!$AF$22="Alta",'Riesgos de Gestión'!$AH$22="Moderado"),CONCATENATE("R2C",'Riesgos de Gestión'!$V$22),"")</f>
        <v/>
      </c>
      <c r="Z17" s="36" t="str">
        <f>IF(AND('Riesgos de Gestión'!$AF$23="Alta",'Riesgos de Gestión'!$AH$23="Moderado"),CONCATENATE("R2C",'Riesgos de Gestión'!$V$23),"")</f>
        <v/>
      </c>
      <c r="AA17" s="37" t="str">
        <f>IF(AND('Riesgos de Gestión'!$AF$24="Alta",'Riesgos de Gestión'!$AH$24="Moderado"),CONCATENATE("R2C",'Riesgos de Gestión'!$V$24),"")</f>
        <v/>
      </c>
      <c r="AB17" s="35" t="str">
        <f>IF(AND('Riesgos de Gestión'!$AF$19="Alta",'Riesgos de Gestión'!$AH$19="Mayor"),CONCATENATE("R2C",'Riesgos de Gestión'!$V$19),"")</f>
        <v/>
      </c>
      <c r="AC17" s="36" t="str">
        <f>IF(AND('Riesgos de Gestión'!$AF$20="Alta",'Riesgos de Gestión'!$AH$20="Mayor"),CONCATENATE("R2C",'Riesgos de Gestión'!$V$20),"")</f>
        <v/>
      </c>
      <c r="AD17" s="36" t="str">
        <f>IF(AND('Riesgos de Gestión'!$AF$21="Alta",'Riesgos de Gestión'!$AH$21="Mayor"),CONCATENATE("R2C",'Riesgos de Gestión'!$V$21),"")</f>
        <v/>
      </c>
      <c r="AE17" s="36" t="str">
        <f>IF(AND('Riesgos de Gestión'!$AF$22="Alta",'Riesgos de Gestión'!$AH$22="Mayor"),CONCATENATE("R2C",'Riesgos de Gestión'!$V$22),"")</f>
        <v/>
      </c>
      <c r="AF17" s="36" t="str">
        <f>IF(AND('Riesgos de Gestión'!$AF$23="Alta",'Riesgos de Gestión'!$AH$23="Mayor"),CONCATENATE("R2C",'Riesgos de Gestión'!$V$23),"")</f>
        <v/>
      </c>
      <c r="AG17" s="37" t="str">
        <f>IF(AND('Riesgos de Gestión'!$AF$24="Alta",'Riesgos de Gestión'!$AH$24="Mayor"),CONCATENATE("R2C",'Riesgos de Gestión'!$V$24),"")</f>
        <v/>
      </c>
      <c r="AH17" s="38" t="str">
        <f>IF(AND('Riesgos de Gestión'!$AF$19="Alta",'Riesgos de Gestión'!$AH$19="Catastrófico"),CONCATENATE("R2C",'Riesgos de Gestión'!$V$19),"")</f>
        <v/>
      </c>
      <c r="AI17" s="39" t="str">
        <f>IF(AND('Riesgos de Gestión'!$AF$20="Alta",'Riesgos de Gestión'!$AH$20="Catastrófico"),CONCATENATE("R2C",'Riesgos de Gestión'!$V$20),"")</f>
        <v/>
      </c>
      <c r="AJ17" s="39" t="str">
        <f>IF(AND('Riesgos de Gestión'!$AF$21="Alta",'Riesgos de Gestión'!$AH$21="Catastrófico"),CONCATENATE("R2C",'Riesgos de Gestión'!$V$21),"")</f>
        <v/>
      </c>
      <c r="AK17" s="39" t="str">
        <f>IF(AND('Riesgos de Gestión'!$AF$22="Alta",'Riesgos de Gestión'!$AH$22="Catastrófico"),CONCATENATE("R2C",'Riesgos de Gestión'!$V$22),"")</f>
        <v/>
      </c>
      <c r="AL17" s="39" t="str">
        <f>IF(AND('Riesgos de Gestión'!$AF$23="Alta",'Riesgos de Gestión'!$AH$23="Catastrófico"),CONCATENATE("R2C",'Riesgos de Gestión'!$V$23),"")</f>
        <v/>
      </c>
      <c r="AM17" s="40" t="str">
        <f>IF(AND('Riesgos de Gestión'!$AF$24="Alta",'Riesgos de Gestión'!$AH$24="Catastrófico"),CONCATENATE("R2C",'Riesgos de Gestión'!$V$24),"")</f>
        <v/>
      </c>
      <c r="AN17" s="66"/>
      <c r="AO17" s="561"/>
      <c r="AP17" s="562"/>
      <c r="AQ17" s="562"/>
      <c r="AR17" s="562"/>
      <c r="AS17" s="562"/>
      <c r="AT17" s="563"/>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510"/>
      <c r="C18" s="510"/>
      <c r="D18" s="511"/>
      <c r="E18" s="551"/>
      <c r="F18" s="552"/>
      <c r="G18" s="552"/>
      <c r="H18" s="552"/>
      <c r="I18" s="552"/>
      <c r="J18" s="50" t="str">
        <f>IF(AND('Riesgos de Gestión'!$AF$25="Alta",'Riesgos de Gestión'!$AH$25="Leve"),CONCATENATE("R3C",'Riesgos de Gestión'!$V$25),"")</f>
        <v/>
      </c>
      <c r="K18" s="51" t="str">
        <f>IF(AND('Riesgos de Gestión'!$AF$26="Alta",'Riesgos de Gestión'!$AH$26="Leve"),CONCATENATE("R3C",'Riesgos de Gestión'!$V$26),"")</f>
        <v/>
      </c>
      <c r="L18" s="51" t="str">
        <f>IF(AND('Riesgos de Gestión'!$AF$27="Alta",'Riesgos de Gestión'!$AH$27="Leve"),CONCATENATE("R3C",'Riesgos de Gestión'!$V$27),"")</f>
        <v/>
      </c>
      <c r="M18" s="51" t="str">
        <f>IF(AND('Riesgos de Gestión'!$AF$28="Alta",'Riesgos de Gestión'!$AH$28="Leve"),CONCATENATE("R3C",'Riesgos de Gestión'!$V$28),"")</f>
        <v/>
      </c>
      <c r="N18" s="51" t="str">
        <f>IF(AND('Riesgos de Gestión'!$AF$29="Alta",'Riesgos de Gestión'!$AH$29="Leve"),CONCATENATE("R3C",'Riesgos de Gestión'!$V$29),"")</f>
        <v/>
      </c>
      <c r="O18" s="52" t="str">
        <f>IF(AND('Riesgos de Gestión'!$AF$30="Alta",'Riesgos de Gestión'!$AH$30="Leve"),CONCATENATE("R3C",'Riesgos de Gestión'!$V$30),"")</f>
        <v/>
      </c>
      <c r="P18" s="50" t="str">
        <f>IF(AND('Riesgos de Gestión'!$AF$25="Alta",'Riesgos de Gestión'!$AH$25="Menor"),CONCATENATE("R3C",'Riesgos de Gestión'!$V$25),"")</f>
        <v/>
      </c>
      <c r="Q18" s="51" t="str">
        <f>IF(AND('Riesgos de Gestión'!$AF$26="Alta",'Riesgos de Gestión'!$AH$26="Menor"),CONCATENATE("R3C",'Riesgos de Gestión'!$V$26),"")</f>
        <v/>
      </c>
      <c r="R18" s="51" t="str">
        <f>IF(AND('Riesgos de Gestión'!$AF$27="Alta",'Riesgos de Gestión'!$AH$27="Menor"),CONCATENATE("R3C",'Riesgos de Gestión'!$V$27),"")</f>
        <v/>
      </c>
      <c r="S18" s="51" t="str">
        <f>IF(AND('Riesgos de Gestión'!$AF$28="Alta",'Riesgos de Gestión'!$AH$28="Menor"),CONCATENATE("R3C",'Riesgos de Gestión'!$V$28),"")</f>
        <v/>
      </c>
      <c r="T18" s="51" t="str">
        <f>IF(AND('Riesgos de Gestión'!$AF$29="Alta",'Riesgos de Gestión'!$AH$29="Menor"),CONCATENATE("R3C",'Riesgos de Gestión'!$V$29),"")</f>
        <v/>
      </c>
      <c r="U18" s="52" t="str">
        <f>IF(AND('Riesgos de Gestión'!$AF$30="Alta",'Riesgos de Gestión'!$AH$30="Menor"),CONCATENATE("R3C",'Riesgos de Gestión'!$V$30),"")</f>
        <v/>
      </c>
      <c r="V18" s="35" t="str">
        <f>IF(AND('Riesgos de Gestión'!$AF$25="Alta",'Riesgos de Gestión'!$AH$25="Moderado"),CONCATENATE("R3C",'Riesgos de Gestión'!$V$25),"")</f>
        <v/>
      </c>
      <c r="W18" s="36" t="str">
        <f>IF(AND('Riesgos de Gestión'!$AF$26="Alta",'Riesgos de Gestión'!$AH$26="Moderado"),CONCATENATE("R3C",'Riesgos de Gestión'!$V$26),"")</f>
        <v/>
      </c>
      <c r="X18" s="36" t="str">
        <f>IF(AND('Riesgos de Gestión'!$AF$27="Alta",'Riesgos de Gestión'!$AH$27="Moderado"),CONCATENATE("R3C",'Riesgos de Gestión'!$V$27),"")</f>
        <v/>
      </c>
      <c r="Y18" s="36" t="str">
        <f>IF(AND('Riesgos de Gestión'!$AF$28="Alta",'Riesgos de Gestión'!$AH$28="Moderado"),CONCATENATE("R3C",'Riesgos de Gestión'!$V$28),"")</f>
        <v/>
      </c>
      <c r="Z18" s="36" t="str">
        <f>IF(AND('Riesgos de Gestión'!$AF$29="Alta",'Riesgos de Gestión'!$AH$29="Moderado"),CONCATENATE("R3C",'Riesgos de Gestión'!$V$29),"")</f>
        <v/>
      </c>
      <c r="AA18" s="37" t="str">
        <f>IF(AND('Riesgos de Gestión'!$AF$30="Alta",'Riesgos de Gestión'!$AH$30="Moderado"),CONCATENATE("R3C",'Riesgos de Gestión'!$V$30),"")</f>
        <v/>
      </c>
      <c r="AB18" s="35" t="str">
        <f>IF(AND('Riesgos de Gestión'!$AF$25="Alta",'Riesgos de Gestión'!$AH$25="Mayor"),CONCATENATE("R3C",'Riesgos de Gestión'!$V$25),"")</f>
        <v/>
      </c>
      <c r="AC18" s="36" t="str">
        <f>IF(AND('Riesgos de Gestión'!$AF$26="Alta",'Riesgos de Gestión'!$AH$26="Mayor"),CONCATENATE("R3C",'Riesgos de Gestión'!$V$26),"")</f>
        <v/>
      </c>
      <c r="AD18" s="36" t="str">
        <f>IF(AND('Riesgos de Gestión'!$AF$27="Alta",'Riesgos de Gestión'!$AH$27="Mayor"),CONCATENATE("R3C",'Riesgos de Gestión'!$V$27),"")</f>
        <v/>
      </c>
      <c r="AE18" s="36" t="str">
        <f>IF(AND('Riesgos de Gestión'!$AF$28="Alta",'Riesgos de Gestión'!$AH$28="Mayor"),CONCATENATE("R3C",'Riesgos de Gestión'!$V$28),"")</f>
        <v/>
      </c>
      <c r="AF18" s="36" t="str">
        <f>IF(AND('Riesgos de Gestión'!$AF$29="Alta",'Riesgos de Gestión'!$AH$29="Mayor"),CONCATENATE("R3C",'Riesgos de Gestión'!$V$29),"")</f>
        <v/>
      </c>
      <c r="AG18" s="37" t="str">
        <f>IF(AND('Riesgos de Gestión'!$AF$30="Alta",'Riesgos de Gestión'!$AH$30="Mayor"),CONCATENATE("R3C",'Riesgos de Gestión'!$V$30),"")</f>
        <v/>
      </c>
      <c r="AH18" s="38" t="str">
        <f>IF(AND('Riesgos de Gestión'!$AF$25="Alta",'Riesgos de Gestión'!$AH$25="Catastrófico"),CONCATENATE("R3C",'Riesgos de Gestión'!$V$25),"")</f>
        <v/>
      </c>
      <c r="AI18" s="39" t="str">
        <f>IF(AND('Riesgos de Gestión'!$AF$26="Alta",'Riesgos de Gestión'!$AH$26="Catastrófico"),CONCATENATE("R3C",'Riesgos de Gestión'!$V$26),"")</f>
        <v/>
      </c>
      <c r="AJ18" s="39" t="str">
        <f>IF(AND('Riesgos de Gestión'!$AF$27="Alta",'Riesgos de Gestión'!$AH$27="Catastrófico"),CONCATENATE("R3C",'Riesgos de Gestión'!$V$27),"")</f>
        <v/>
      </c>
      <c r="AK18" s="39" t="str">
        <f>IF(AND('Riesgos de Gestión'!$AF$28="Alta",'Riesgos de Gestión'!$AH$28="Catastrófico"),CONCATENATE("R3C",'Riesgos de Gestión'!$V$28),"")</f>
        <v/>
      </c>
      <c r="AL18" s="39" t="str">
        <f>IF(AND('Riesgos de Gestión'!$AF$29="Alta",'Riesgos de Gestión'!$AH$29="Catastrófico"),CONCATENATE("R3C",'Riesgos de Gestión'!$V$29),"")</f>
        <v/>
      </c>
      <c r="AM18" s="40" t="str">
        <f>IF(AND('Riesgos de Gestión'!$AF$30="Alta",'Riesgos de Gestión'!$AH$30="Catastrófico"),CONCATENATE("R3C",'Riesgos de Gestión'!$V$30),"")</f>
        <v/>
      </c>
      <c r="AN18" s="66"/>
      <c r="AO18" s="561"/>
      <c r="AP18" s="562"/>
      <c r="AQ18" s="562"/>
      <c r="AR18" s="562"/>
      <c r="AS18" s="562"/>
      <c r="AT18" s="563"/>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510"/>
      <c r="C19" s="510"/>
      <c r="D19" s="511"/>
      <c r="E19" s="551"/>
      <c r="F19" s="552"/>
      <c r="G19" s="552"/>
      <c r="H19" s="552"/>
      <c r="I19" s="552"/>
      <c r="J19" s="50" t="str">
        <f>IF(AND('Riesgos de Gestión'!$AF$31="Alta",'Riesgos de Gestión'!$AH$31="Leve"),CONCATENATE("R4C",'Riesgos de Gestión'!$V$31),"")</f>
        <v/>
      </c>
      <c r="K19" s="51" t="str">
        <f>IF(AND('Riesgos de Gestión'!$AF$32="Alta",'Riesgos de Gestión'!$AH$32="Leve"),CONCATENATE("R4C",'Riesgos de Gestión'!$V$32),"")</f>
        <v/>
      </c>
      <c r="L19" s="51" t="str">
        <f>IF(AND('Riesgos de Gestión'!$AF$33="Alta",'Riesgos de Gestión'!$AH$33="Leve"),CONCATENATE("R4C",'Riesgos de Gestión'!$V$33),"")</f>
        <v/>
      </c>
      <c r="M19" s="51" t="str">
        <f>IF(AND('Riesgos de Gestión'!$AF$34="Alta",'Riesgos de Gestión'!$AH$34="Leve"),CONCATENATE("R4C",'Riesgos de Gestión'!$V$34),"")</f>
        <v/>
      </c>
      <c r="N19" s="51" t="str">
        <f>IF(AND('Riesgos de Gestión'!$AF$35="Alta",'Riesgos de Gestión'!$AH$35="Leve"),CONCATENATE("R4C",'Riesgos de Gestión'!$V$35),"")</f>
        <v/>
      </c>
      <c r="O19" s="52" t="str">
        <f>IF(AND('Riesgos de Gestión'!$AF$36="Alta",'Riesgos de Gestión'!$AH$36="Leve"),CONCATENATE("R4C",'Riesgos de Gestión'!$V$36),"")</f>
        <v/>
      </c>
      <c r="P19" s="50" t="str">
        <f>IF(AND('Riesgos de Gestión'!$AF$31="Alta",'Riesgos de Gestión'!$AH$31="Menor"),CONCATENATE("R4C",'Riesgos de Gestión'!$V$31),"")</f>
        <v/>
      </c>
      <c r="Q19" s="51" t="str">
        <f>IF(AND('Riesgos de Gestión'!$AF$32="Alta",'Riesgos de Gestión'!$AH$32="Menor"),CONCATENATE("R4C",'Riesgos de Gestión'!$V$32),"")</f>
        <v/>
      </c>
      <c r="R19" s="51" t="str">
        <f>IF(AND('Riesgos de Gestión'!$AF$33="Alta",'Riesgos de Gestión'!$AH$33="Menor"),CONCATENATE("R4C",'Riesgos de Gestión'!$V$33),"")</f>
        <v/>
      </c>
      <c r="S19" s="51" t="str">
        <f>IF(AND('Riesgos de Gestión'!$AF$34="Alta",'Riesgos de Gestión'!$AH$34="Menor"),CONCATENATE("R4C",'Riesgos de Gestión'!$V$34),"")</f>
        <v/>
      </c>
      <c r="T19" s="51" t="str">
        <f>IF(AND('Riesgos de Gestión'!$AF$35="Alta",'Riesgos de Gestión'!$AH$35="Menor"),CONCATENATE("R4C",'Riesgos de Gestión'!$V$35),"")</f>
        <v/>
      </c>
      <c r="U19" s="52" t="str">
        <f>IF(AND('Riesgos de Gestión'!$AF$36="Alta",'Riesgos de Gestión'!$AH$36="Menor"),CONCATENATE("R4C",'Riesgos de Gestión'!$V$36),"")</f>
        <v/>
      </c>
      <c r="V19" s="35" t="str">
        <f>IF(AND('Riesgos de Gestión'!$AF$31="Alta",'Riesgos de Gestión'!$AH$31="Moderado"),CONCATENATE("R4C",'Riesgos de Gestión'!$V$31),"")</f>
        <v/>
      </c>
      <c r="W19" s="36" t="str">
        <f>IF(AND('Riesgos de Gestión'!$AF$32="Alta",'Riesgos de Gestión'!$AH$32="Moderado"),CONCATENATE("R4C",'Riesgos de Gestión'!$V$32),"")</f>
        <v/>
      </c>
      <c r="X19" s="36" t="str">
        <f>IF(AND('Riesgos de Gestión'!$AF$33="Alta",'Riesgos de Gestión'!$AH$33="Moderado"),CONCATENATE("R4C",'Riesgos de Gestión'!$V$33),"")</f>
        <v/>
      </c>
      <c r="Y19" s="36" t="str">
        <f>IF(AND('Riesgos de Gestión'!$AF$34="Alta",'Riesgos de Gestión'!$AH$34="Moderado"),CONCATENATE("R4C",'Riesgos de Gestión'!$V$34),"")</f>
        <v/>
      </c>
      <c r="Z19" s="36" t="str">
        <f>IF(AND('Riesgos de Gestión'!$AF$35="Alta",'Riesgos de Gestión'!$AH$35="Moderado"),CONCATENATE("R4C",'Riesgos de Gestión'!$V$35),"")</f>
        <v/>
      </c>
      <c r="AA19" s="37" t="str">
        <f>IF(AND('Riesgos de Gestión'!$AF$36="Alta",'Riesgos de Gestión'!$AH$36="Moderado"),CONCATENATE("R4C",'Riesgos de Gestión'!$V$36),"")</f>
        <v/>
      </c>
      <c r="AB19" s="35" t="str">
        <f>IF(AND('Riesgos de Gestión'!$AF$31="Alta",'Riesgos de Gestión'!$AH$31="Mayor"),CONCATENATE("R4C",'Riesgos de Gestión'!$V$31),"")</f>
        <v/>
      </c>
      <c r="AC19" s="36" t="str">
        <f>IF(AND('Riesgos de Gestión'!$AF$32="Alta",'Riesgos de Gestión'!$AH$32="Mayor"),CONCATENATE("R4C",'Riesgos de Gestión'!$V$32),"")</f>
        <v/>
      </c>
      <c r="AD19" s="36" t="str">
        <f>IF(AND('Riesgos de Gestión'!$AF$33="Alta",'Riesgos de Gestión'!$AH$33="Mayor"),CONCATENATE("R4C",'Riesgos de Gestión'!$V$33),"")</f>
        <v/>
      </c>
      <c r="AE19" s="36" t="str">
        <f>IF(AND('Riesgos de Gestión'!$AF$34="Alta",'Riesgos de Gestión'!$AH$34="Mayor"),CONCATENATE("R4C",'Riesgos de Gestión'!$V$34),"")</f>
        <v/>
      </c>
      <c r="AF19" s="36" t="str">
        <f>IF(AND('Riesgos de Gestión'!$AF$35="Alta",'Riesgos de Gestión'!$AH$35="Mayor"),CONCATENATE("R4C",'Riesgos de Gestión'!$V$35),"")</f>
        <v/>
      </c>
      <c r="AG19" s="37" t="str">
        <f>IF(AND('Riesgos de Gestión'!$AF$36="Alta",'Riesgos de Gestión'!$AH$36="Mayor"),CONCATENATE("R4C",'Riesgos de Gestión'!$V$36),"")</f>
        <v/>
      </c>
      <c r="AH19" s="38" t="str">
        <f>IF(AND('Riesgos de Gestión'!$AF$31="Alta",'Riesgos de Gestión'!$AH$31="Catastrófico"),CONCATENATE("R4C",'Riesgos de Gestión'!$V$31),"")</f>
        <v/>
      </c>
      <c r="AI19" s="39" t="str">
        <f>IF(AND('Riesgos de Gestión'!$AF$32="Alta",'Riesgos de Gestión'!$AH$32="Catastrófico"),CONCATENATE("R4C",'Riesgos de Gestión'!$V$32),"")</f>
        <v/>
      </c>
      <c r="AJ19" s="39" t="str">
        <f>IF(AND('Riesgos de Gestión'!$AF$33="Alta",'Riesgos de Gestión'!$AH$33="Catastrófico"),CONCATENATE("R4C",'Riesgos de Gestión'!$V$33),"")</f>
        <v/>
      </c>
      <c r="AK19" s="39" t="str">
        <f>IF(AND('Riesgos de Gestión'!$AF$34="Alta",'Riesgos de Gestión'!$AH$34="Catastrófico"),CONCATENATE("R4C",'Riesgos de Gestión'!$V$34),"")</f>
        <v/>
      </c>
      <c r="AL19" s="39" t="str">
        <f>IF(AND('Riesgos de Gestión'!$AF$35="Alta",'Riesgos de Gestión'!$AH$35="Catastrófico"),CONCATENATE("R4C",'Riesgos de Gestión'!$V$35),"")</f>
        <v/>
      </c>
      <c r="AM19" s="40" t="str">
        <f>IF(AND('Riesgos de Gestión'!$AF$36="Alta",'Riesgos de Gestión'!$AH$36="Catastrófico"),CONCATENATE("R4C",'Riesgos de Gestión'!$V$36),"")</f>
        <v/>
      </c>
      <c r="AN19" s="66"/>
      <c r="AO19" s="561"/>
      <c r="AP19" s="562"/>
      <c r="AQ19" s="562"/>
      <c r="AR19" s="562"/>
      <c r="AS19" s="562"/>
      <c r="AT19" s="563"/>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510"/>
      <c r="C20" s="510"/>
      <c r="D20" s="511"/>
      <c r="E20" s="551"/>
      <c r="F20" s="552"/>
      <c r="G20" s="552"/>
      <c r="H20" s="552"/>
      <c r="I20" s="552"/>
      <c r="J20" s="50" t="str">
        <f>IF(AND('Riesgos de Gestión'!$AF$37="Alta",'Riesgos de Gestión'!$AH$37="Leve"),CONCATENATE("R5C",'Riesgos de Gestión'!$V$37),"")</f>
        <v/>
      </c>
      <c r="K20" s="51" t="str">
        <f>IF(AND('Riesgos de Gestión'!$AF$38="Alta",'Riesgos de Gestión'!$AH$38="Leve"),CONCATENATE("R5C",'Riesgos de Gestión'!$V$38),"")</f>
        <v/>
      </c>
      <c r="L20" s="51" t="str">
        <f>IF(AND('Riesgos de Gestión'!$AF$39="Alta",'Riesgos de Gestión'!$AH$39="Leve"),CONCATENATE("R5C",'Riesgos de Gestión'!$V$39),"")</f>
        <v/>
      </c>
      <c r="M20" s="51" t="str">
        <f>IF(AND('Riesgos de Gestión'!$AF$40="Alta",'Riesgos de Gestión'!$AH$40="Leve"),CONCATENATE("R5C",'Riesgos de Gestión'!$V$40),"")</f>
        <v/>
      </c>
      <c r="N20" s="51" t="str">
        <f>IF(AND('Riesgos de Gestión'!$AF$41="Alta",'Riesgos de Gestión'!$AH$41="Leve"),CONCATENATE("R5C",'Riesgos de Gestión'!$V$41),"")</f>
        <v/>
      </c>
      <c r="O20" s="52" t="str">
        <f>IF(AND('Riesgos de Gestión'!$AF$42="Alta",'Riesgos de Gestión'!$AH$42="Leve"),CONCATENATE("R5C",'Riesgos de Gestión'!$V$42),"")</f>
        <v/>
      </c>
      <c r="P20" s="50" t="str">
        <f>IF(AND('Riesgos de Gestión'!$AF$37="Alta",'Riesgos de Gestión'!$AH$37="Menor"),CONCATENATE("R5C",'Riesgos de Gestión'!$V$37),"")</f>
        <v/>
      </c>
      <c r="Q20" s="51" t="str">
        <f>IF(AND('Riesgos de Gestión'!$AF$38="Alta",'Riesgos de Gestión'!$AH$38="Menor"),CONCATENATE("R5C",'Riesgos de Gestión'!$V$38),"")</f>
        <v/>
      </c>
      <c r="R20" s="51" t="str">
        <f>IF(AND('Riesgos de Gestión'!$AF$39="Alta",'Riesgos de Gestión'!$AH$39="Menor"),CONCATENATE("R5C",'Riesgos de Gestión'!$V$39),"")</f>
        <v/>
      </c>
      <c r="S20" s="51" t="str">
        <f>IF(AND('Riesgos de Gestión'!$AF$40="Alta",'Riesgos de Gestión'!$AH$40="Menor"),CONCATENATE("R5C",'Riesgos de Gestión'!$V$40),"")</f>
        <v/>
      </c>
      <c r="T20" s="51" t="str">
        <f>IF(AND('Riesgos de Gestión'!$AF$41="Alta",'Riesgos de Gestión'!$AH$41="Menor"),CONCATENATE("R5C",'Riesgos de Gestión'!$V$41),"")</f>
        <v/>
      </c>
      <c r="U20" s="52" t="str">
        <f>IF(AND('Riesgos de Gestión'!$AF$42="Alta",'Riesgos de Gestión'!$AH$42="Menor"),CONCATENATE("R5C",'Riesgos de Gestión'!$V$42),"")</f>
        <v/>
      </c>
      <c r="V20" s="35" t="str">
        <f>IF(AND('Riesgos de Gestión'!$AF$37="Alta",'Riesgos de Gestión'!$AH$37="Moderado"),CONCATENATE("R5C",'Riesgos de Gestión'!$V$37),"")</f>
        <v/>
      </c>
      <c r="W20" s="36" t="str">
        <f>IF(AND('Riesgos de Gestión'!$AF$38="Alta",'Riesgos de Gestión'!$AH$38="Moderado"),CONCATENATE("R5C",'Riesgos de Gestión'!$V$38),"")</f>
        <v/>
      </c>
      <c r="X20" s="36" t="str">
        <f>IF(AND('Riesgos de Gestión'!$AF$39="Alta",'Riesgos de Gestión'!$AH$39="Moderado"),CONCATENATE("R5C",'Riesgos de Gestión'!$V$39),"")</f>
        <v/>
      </c>
      <c r="Y20" s="36" t="str">
        <f>IF(AND('Riesgos de Gestión'!$AF$40="Alta",'Riesgos de Gestión'!$AH$40="Moderado"),CONCATENATE("R5C",'Riesgos de Gestión'!$V$40),"")</f>
        <v/>
      </c>
      <c r="Z20" s="36" t="str">
        <f>IF(AND('Riesgos de Gestión'!$AF$41="Alta",'Riesgos de Gestión'!$AH$41="Moderado"),CONCATENATE("R5C",'Riesgos de Gestión'!$V$41),"")</f>
        <v/>
      </c>
      <c r="AA20" s="37" t="str">
        <f>IF(AND('Riesgos de Gestión'!$AF$42="Alta",'Riesgos de Gestión'!$AH$42="Moderado"),CONCATENATE("R5C",'Riesgos de Gestión'!$V$42),"")</f>
        <v/>
      </c>
      <c r="AB20" s="35" t="str">
        <f>IF(AND('Riesgos de Gestión'!$AF$37="Alta",'Riesgos de Gestión'!$AH$37="Mayor"),CONCATENATE("R5C",'Riesgos de Gestión'!$V$37),"")</f>
        <v/>
      </c>
      <c r="AC20" s="36" t="str">
        <f>IF(AND('Riesgos de Gestión'!$AF$38="Alta",'Riesgos de Gestión'!$AH$38="Mayor"),CONCATENATE("R5C",'Riesgos de Gestión'!$V$38),"")</f>
        <v/>
      </c>
      <c r="AD20" s="36" t="str">
        <f>IF(AND('Riesgos de Gestión'!$AF$39="Alta",'Riesgos de Gestión'!$AH$39="Mayor"),CONCATENATE("R5C",'Riesgos de Gestión'!$V$39),"")</f>
        <v/>
      </c>
      <c r="AE20" s="36" t="str">
        <f>IF(AND('Riesgos de Gestión'!$AF$40="Alta",'Riesgos de Gestión'!$AH$40="Mayor"),CONCATENATE("R5C",'Riesgos de Gestión'!$V$40),"")</f>
        <v/>
      </c>
      <c r="AF20" s="36" t="str">
        <f>IF(AND('Riesgos de Gestión'!$AF$41="Alta",'Riesgos de Gestión'!$AH$41="Mayor"),CONCATENATE("R5C",'Riesgos de Gestión'!$V$41),"")</f>
        <v/>
      </c>
      <c r="AG20" s="37" t="str">
        <f>IF(AND('Riesgos de Gestión'!$AF$42="Alta",'Riesgos de Gestión'!$AH$42="Mayor"),CONCATENATE("R5C",'Riesgos de Gestión'!$V$42),"")</f>
        <v/>
      </c>
      <c r="AH20" s="38" t="str">
        <f>IF(AND('Riesgos de Gestión'!$AF$37="Alta",'Riesgos de Gestión'!$AH$37="Catastrófico"),CONCATENATE("R5C",'Riesgos de Gestión'!$V$37),"")</f>
        <v/>
      </c>
      <c r="AI20" s="39" t="str">
        <f>IF(AND('Riesgos de Gestión'!$AF$38="Alta",'Riesgos de Gestión'!$AH$38="Catastrófico"),CONCATENATE("R5C",'Riesgos de Gestión'!$V$38),"")</f>
        <v/>
      </c>
      <c r="AJ20" s="39" t="str">
        <f>IF(AND('Riesgos de Gestión'!$AF$39="Alta",'Riesgos de Gestión'!$AH$39="Catastrófico"),CONCATENATE("R5C",'Riesgos de Gestión'!$V$39),"")</f>
        <v/>
      </c>
      <c r="AK20" s="39" t="str">
        <f>IF(AND('Riesgos de Gestión'!$AF$40="Alta",'Riesgos de Gestión'!$AH$40="Catastrófico"),CONCATENATE("R5C",'Riesgos de Gestión'!$V$40),"")</f>
        <v/>
      </c>
      <c r="AL20" s="39" t="str">
        <f>IF(AND('Riesgos de Gestión'!$AF$41="Alta",'Riesgos de Gestión'!$AH$41="Catastrófico"),CONCATENATE("R5C",'Riesgos de Gestión'!$V$41),"")</f>
        <v/>
      </c>
      <c r="AM20" s="40" t="str">
        <f>IF(AND('Riesgos de Gestión'!$AF$42="Alta",'Riesgos de Gestión'!$AH$42="Catastrófico"),CONCATENATE("R5C",'Riesgos de Gestión'!$V$42),"")</f>
        <v/>
      </c>
      <c r="AN20" s="66"/>
      <c r="AO20" s="561"/>
      <c r="AP20" s="562"/>
      <c r="AQ20" s="562"/>
      <c r="AR20" s="562"/>
      <c r="AS20" s="562"/>
      <c r="AT20" s="563"/>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510"/>
      <c r="C21" s="510"/>
      <c r="D21" s="511"/>
      <c r="E21" s="551"/>
      <c r="F21" s="552"/>
      <c r="G21" s="552"/>
      <c r="H21" s="552"/>
      <c r="I21" s="552"/>
      <c r="J21" s="50" t="str">
        <f>IF(AND('Riesgos de Gestión'!$AF$43="Alta",'Riesgos de Gestión'!$AH$43="Leve"),CONCATENATE("R6C",'Riesgos de Gestión'!$V$43),"")</f>
        <v/>
      </c>
      <c r="K21" s="51" t="str">
        <f>IF(AND('Riesgos de Gestión'!$AF$44="Alta",'Riesgos de Gestión'!$AH$44="Leve"),CONCATENATE("R6C",'Riesgos de Gestión'!$V$44),"")</f>
        <v/>
      </c>
      <c r="L21" s="51" t="str">
        <f>IF(AND('Riesgos de Gestión'!$AF$45="Alta",'Riesgos de Gestión'!$AH$45="Leve"),CONCATENATE("R6C",'Riesgos de Gestión'!$V$45),"")</f>
        <v/>
      </c>
      <c r="M21" s="51" t="str">
        <f>IF(AND('Riesgos de Gestión'!$AF$46="Alta",'Riesgos de Gestión'!$AH$46="Leve"),CONCATENATE("R6C",'Riesgos de Gestión'!$V$46),"")</f>
        <v/>
      </c>
      <c r="N21" s="51" t="str">
        <f>IF(AND('Riesgos de Gestión'!$AF$47="Alta",'Riesgos de Gestión'!$AH$47="Leve"),CONCATENATE("R6C",'Riesgos de Gestión'!$V$47),"")</f>
        <v/>
      </c>
      <c r="O21" s="52" t="str">
        <f>IF(AND('Riesgos de Gestión'!$AF$48="Alta",'Riesgos de Gestión'!$AH$48="Leve"),CONCATENATE("R6C",'Riesgos de Gestión'!$V$48),"")</f>
        <v/>
      </c>
      <c r="P21" s="50" t="str">
        <f>IF(AND('Riesgos de Gestión'!$AF$43="Alta",'Riesgos de Gestión'!$AH$43="Menor"),CONCATENATE("R6C",'Riesgos de Gestión'!$V$43),"")</f>
        <v/>
      </c>
      <c r="Q21" s="51" t="str">
        <f>IF(AND('Riesgos de Gestión'!$AF$44="Alta",'Riesgos de Gestión'!$AH$44="Menor"),CONCATENATE("R6C",'Riesgos de Gestión'!$V$44),"")</f>
        <v/>
      </c>
      <c r="R21" s="51" t="str">
        <f>IF(AND('Riesgos de Gestión'!$AF$45="Alta",'Riesgos de Gestión'!$AH$45="Menor"),CONCATENATE("R6C",'Riesgos de Gestión'!$V$45),"")</f>
        <v/>
      </c>
      <c r="S21" s="51" t="str">
        <f>IF(AND('Riesgos de Gestión'!$AF$46="Alta",'Riesgos de Gestión'!$AH$46="Menor"),CONCATENATE("R6C",'Riesgos de Gestión'!$V$46),"")</f>
        <v/>
      </c>
      <c r="T21" s="51" t="str">
        <f>IF(AND('Riesgos de Gestión'!$AF$47="Alta",'Riesgos de Gestión'!$AH$47="Menor"),CONCATENATE("R6C",'Riesgos de Gestión'!$V$47),"")</f>
        <v/>
      </c>
      <c r="U21" s="52" t="str">
        <f>IF(AND('Riesgos de Gestión'!$AF$48="Alta",'Riesgos de Gestión'!$AH$48="Menor"),CONCATENATE("R6C",'Riesgos de Gestión'!$V$48),"")</f>
        <v/>
      </c>
      <c r="V21" s="35" t="str">
        <f>IF(AND('Riesgos de Gestión'!$AF$43="Alta",'Riesgos de Gestión'!$AH$43="Moderado"),CONCATENATE("R6C",'Riesgos de Gestión'!$V$43),"")</f>
        <v/>
      </c>
      <c r="W21" s="36" t="str">
        <f>IF(AND('Riesgos de Gestión'!$AF$44="Alta",'Riesgos de Gestión'!$AH$44="Moderado"),CONCATENATE("R6C",'Riesgos de Gestión'!$V$44),"")</f>
        <v/>
      </c>
      <c r="X21" s="36" t="str">
        <f>IF(AND('Riesgos de Gestión'!$AF$45="Alta",'Riesgos de Gestión'!$AH$45="Moderado"),CONCATENATE("R6C",'Riesgos de Gestión'!$V$45),"")</f>
        <v/>
      </c>
      <c r="Y21" s="36" t="str">
        <f>IF(AND('Riesgos de Gestión'!$AF$46="Alta",'Riesgos de Gestión'!$AH$46="Moderado"),CONCATENATE("R6C",'Riesgos de Gestión'!$V$46),"")</f>
        <v/>
      </c>
      <c r="Z21" s="36" t="str">
        <f>IF(AND('Riesgos de Gestión'!$AF$47="Alta",'Riesgos de Gestión'!$AH$47="Moderado"),CONCATENATE("R6C",'Riesgos de Gestión'!$V$47),"")</f>
        <v/>
      </c>
      <c r="AA21" s="37" t="str">
        <f>IF(AND('Riesgos de Gestión'!$AF$48="Alta",'Riesgos de Gestión'!$AH$48="Moderado"),CONCATENATE("R6C",'Riesgos de Gestión'!$V$48),"")</f>
        <v/>
      </c>
      <c r="AB21" s="35" t="str">
        <f>IF(AND('Riesgos de Gestión'!$AF$43="Alta",'Riesgos de Gestión'!$AH$43="Mayor"),CONCATENATE("R6C",'Riesgos de Gestión'!$V$43),"")</f>
        <v/>
      </c>
      <c r="AC21" s="36" t="str">
        <f>IF(AND('Riesgos de Gestión'!$AF$44="Alta",'Riesgos de Gestión'!$AH$44="Mayor"),CONCATENATE("R6C",'Riesgos de Gestión'!$V$44),"")</f>
        <v/>
      </c>
      <c r="AD21" s="36" t="str">
        <f>IF(AND('Riesgos de Gestión'!$AF$45="Alta",'Riesgos de Gestión'!$AH$45="Mayor"),CONCATENATE("R6C",'Riesgos de Gestión'!$V$45),"")</f>
        <v/>
      </c>
      <c r="AE21" s="36" t="str">
        <f>IF(AND('Riesgos de Gestión'!$AF$46="Alta",'Riesgos de Gestión'!$AH$46="Mayor"),CONCATENATE("R6C",'Riesgos de Gestión'!$V$46),"")</f>
        <v/>
      </c>
      <c r="AF21" s="36" t="str">
        <f>IF(AND('Riesgos de Gestión'!$AF$47="Alta",'Riesgos de Gestión'!$AH$47="Mayor"),CONCATENATE("R6C",'Riesgos de Gestión'!$V$47),"")</f>
        <v/>
      </c>
      <c r="AG21" s="37" t="str">
        <f>IF(AND('Riesgos de Gestión'!$AF$48="Alta",'Riesgos de Gestión'!$AH$48="Mayor"),CONCATENATE("R6C",'Riesgos de Gestión'!$V$48),"")</f>
        <v/>
      </c>
      <c r="AH21" s="38" t="str">
        <f>IF(AND('Riesgos de Gestión'!$AF$43="Alta",'Riesgos de Gestión'!$AH$43="Catastrófico"),CONCATENATE("R6C",'Riesgos de Gestión'!$V$43),"")</f>
        <v/>
      </c>
      <c r="AI21" s="39" t="str">
        <f>IF(AND('Riesgos de Gestión'!$AF$44="Alta",'Riesgos de Gestión'!$AH$44="Catastrófico"),CONCATENATE("R6C",'Riesgos de Gestión'!$V$44),"")</f>
        <v/>
      </c>
      <c r="AJ21" s="39" t="str">
        <f>IF(AND('Riesgos de Gestión'!$AF$45="Alta",'Riesgos de Gestión'!$AH$45="Catastrófico"),CONCATENATE("R6C",'Riesgos de Gestión'!$V$45),"")</f>
        <v/>
      </c>
      <c r="AK21" s="39" t="str">
        <f>IF(AND('Riesgos de Gestión'!$AF$46="Alta",'Riesgos de Gestión'!$AH$46="Catastrófico"),CONCATENATE("R6C",'Riesgos de Gestión'!$V$46),"")</f>
        <v/>
      </c>
      <c r="AL21" s="39" t="str">
        <f>IF(AND('Riesgos de Gestión'!$AF$47="Alta",'Riesgos de Gestión'!$AH$47="Catastrófico"),CONCATENATE("R6C",'Riesgos de Gestión'!$V$47),"")</f>
        <v/>
      </c>
      <c r="AM21" s="40" t="str">
        <f>IF(AND('Riesgos de Gestión'!$AF$48="Alta",'Riesgos de Gestión'!$AH$48="Catastrófico"),CONCATENATE("R6C",'Riesgos de Gestión'!$V$48),"")</f>
        <v/>
      </c>
      <c r="AN21" s="66"/>
      <c r="AO21" s="561"/>
      <c r="AP21" s="562"/>
      <c r="AQ21" s="562"/>
      <c r="AR21" s="562"/>
      <c r="AS21" s="562"/>
      <c r="AT21" s="563"/>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510"/>
      <c r="C22" s="510"/>
      <c r="D22" s="511"/>
      <c r="E22" s="551"/>
      <c r="F22" s="552"/>
      <c r="G22" s="552"/>
      <c r="H22" s="552"/>
      <c r="I22" s="552"/>
      <c r="J22" s="50" t="str">
        <f>IF(AND('Riesgos de Gestión'!$AF$49="Alta",'Riesgos de Gestión'!$AH$49="Leve"),CONCATENATE("R7C",'Riesgos de Gestión'!$V$49),"")</f>
        <v/>
      </c>
      <c r="K22" s="51" t="str">
        <f>IF(AND('Riesgos de Gestión'!$AF$50="Alta",'Riesgos de Gestión'!$AH$50="Leve"),CONCATENATE("R7C",'Riesgos de Gestión'!$V$50),"")</f>
        <v/>
      </c>
      <c r="L22" s="51" t="str">
        <f>IF(AND('Riesgos de Gestión'!$AF$51="Alta",'Riesgos de Gestión'!$AH$51="Leve"),CONCATENATE("R7C",'Riesgos de Gestión'!$V$51),"")</f>
        <v/>
      </c>
      <c r="M22" s="51" t="str">
        <f>IF(AND('Riesgos de Gestión'!$AF$52="Alta",'Riesgos de Gestión'!$AH$52="Leve"),CONCATENATE("R7C",'Riesgos de Gestión'!$V$52),"")</f>
        <v/>
      </c>
      <c r="N22" s="51" t="str">
        <f>IF(AND('Riesgos de Gestión'!$AF$53="Alta",'Riesgos de Gestión'!$AH$53="Leve"),CONCATENATE("R7C",'Riesgos de Gestión'!$V$53),"")</f>
        <v/>
      </c>
      <c r="O22" s="52" t="str">
        <f>IF(AND('Riesgos de Gestión'!$AF$54="Alta",'Riesgos de Gestión'!$AH$54="Leve"),CONCATENATE("R7C",'Riesgos de Gestión'!$V$54),"")</f>
        <v/>
      </c>
      <c r="P22" s="50" t="str">
        <f>IF(AND('Riesgos de Gestión'!$AF$49="Alta",'Riesgos de Gestión'!$AH$49="Menor"),CONCATENATE("R7C",'Riesgos de Gestión'!$V$49),"")</f>
        <v/>
      </c>
      <c r="Q22" s="51" t="str">
        <f>IF(AND('Riesgos de Gestión'!$AF$50="Alta",'Riesgos de Gestión'!$AH$50="Menor"),CONCATENATE("R7C",'Riesgos de Gestión'!$V$50),"")</f>
        <v/>
      </c>
      <c r="R22" s="51" t="str">
        <f>IF(AND('Riesgos de Gestión'!$AF$51="Alta",'Riesgos de Gestión'!$AH$51="Menor"),CONCATENATE("R7C",'Riesgos de Gestión'!$V$51),"")</f>
        <v/>
      </c>
      <c r="S22" s="51" t="str">
        <f>IF(AND('Riesgos de Gestión'!$AF$52="Alta",'Riesgos de Gestión'!$AH$52="Menor"),CONCATENATE("R7C",'Riesgos de Gestión'!$V$52),"")</f>
        <v/>
      </c>
      <c r="T22" s="51" t="str">
        <f>IF(AND('Riesgos de Gestión'!$AF$53="Alta",'Riesgos de Gestión'!$AH$53="Menor"),CONCATENATE("R7C",'Riesgos de Gestión'!$V$53),"")</f>
        <v/>
      </c>
      <c r="U22" s="52" t="str">
        <f>IF(AND('Riesgos de Gestión'!$AF$54="Alta",'Riesgos de Gestión'!$AH$54="Menor"),CONCATENATE("R7C",'Riesgos de Gestión'!$V$54),"")</f>
        <v/>
      </c>
      <c r="V22" s="35" t="str">
        <f>IF(AND('Riesgos de Gestión'!$AF$49="Alta",'Riesgos de Gestión'!$AH$49="Moderado"),CONCATENATE("R7C",'Riesgos de Gestión'!$V$49),"")</f>
        <v/>
      </c>
      <c r="W22" s="36" t="str">
        <f>IF(AND('Riesgos de Gestión'!$AF$50="Alta",'Riesgos de Gestión'!$AH$50="Moderado"),CONCATENATE("R7C",'Riesgos de Gestión'!$V$50),"")</f>
        <v/>
      </c>
      <c r="X22" s="36" t="str">
        <f>IF(AND('Riesgos de Gestión'!$AF$51="Alta",'Riesgos de Gestión'!$AH$51="Moderado"),CONCATENATE("R7C",'Riesgos de Gestión'!$V$51),"")</f>
        <v/>
      </c>
      <c r="Y22" s="36" t="str">
        <f>IF(AND('Riesgos de Gestión'!$AF$52="Alta",'Riesgos de Gestión'!$AH$52="Moderado"),CONCATENATE("R7C",'Riesgos de Gestión'!$V$52),"")</f>
        <v/>
      </c>
      <c r="Z22" s="36" t="str">
        <f>IF(AND('Riesgos de Gestión'!$AF$53="Alta",'Riesgos de Gestión'!$AH$53="Moderado"),CONCATENATE("R7C",'Riesgos de Gestión'!$V$53),"")</f>
        <v/>
      </c>
      <c r="AA22" s="37" t="str">
        <f>IF(AND('Riesgos de Gestión'!$AF$54="Alta",'Riesgos de Gestión'!$AH$54="Moderado"),CONCATENATE("R7C",'Riesgos de Gestión'!$V$54),"")</f>
        <v/>
      </c>
      <c r="AB22" s="35" t="str">
        <f>IF(AND('Riesgos de Gestión'!$AF$49="Alta",'Riesgos de Gestión'!$AH$49="Mayor"),CONCATENATE("R7C",'Riesgos de Gestión'!$V$49),"")</f>
        <v/>
      </c>
      <c r="AC22" s="36" t="str">
        <f>IF(AND('Riesgos de Gestión'!$AF$50="Alta",'Riesgos de Gestión'!$AH$50="Mayor"),CONCATENATE("R7C",'Riesgos de Gestión'!$V$50),"")</f>
        <v/>
      </c>
      <c r="AD22" s="36" t="str">
        <f>IF(AND('Riesgos de Gestión'!$AF$51="Alta",'Riesgos de Gestión'!$AH$51="Mayor"),CONCATENATE("R7C",'Riesgos de Gestión'!$V$51),"")</f>
        <v/>
      </c>
      <c r="AE22" s="36" t="str">
        <f>IF(AND('Riesgos de Gestión'!$AF$52="Alta",'Riesgos de Gestión'!$AH$52="Mayor"),CONCATENATE("R7C",'Riesgos de Gestión'!$V$52),"")</f>
        <v/>
      </c>
      <c r="AF22" s="36" t="str">
        <f>IF(AND('Riesgos de Gestión'!$AF$53="Alta",'Riesgos de Gestión'!$AH$53="Mayor"),CONCATENATE("R7C",'Riesgos de Gestión'!$V$53),"")</f>
        <v/>
      </c>
      <c r="AG22" s="37" t="str">
        <f>IF(AND('Riesgos de Gestión'!$AF$54="Alta",'Riesgos de Gestión'!$AH$54="Mayor"),CONCATENATE("R7C",'Riesgos de Gestión'!$V$54),"")</f>
        <v/>
      </c>
      <c r="AH22" s="38" t="str">
        <f>IF(AND('Riesgos de Gestión'!$AF$49="Alta",'Riesgos de Gestión'!$AH$49="Catastrófico"),CONCATENATE("R7C",'Riesgos de Gestión'!$V$49),"")</f>
        <v/>
      </c>
      <c r="AI22" s="39" t="str">
        <f>IF(AND('Riesgos de Gestión'!$AF$50="Alta",'Riesgos de Gestión'!$AH$50="Catastrófico"),CONCATENATE("R7C",'Riesgos de Gestión'!$V$50),"")</f>
        <v/>
      </c>
      <c r="AJ22" s="39" t="str">
        <f>IF(AND('Riesgos de Gestión'!$AF$51="Alta",'Riesgos de Gestión'!$AH$51="Catastrófico"),CONCATENATE("R7C",'Riesgos de Gestión'!$V$51),"")</f>
        <v/>
      </c>
      <c r="AK22" s="39" t="str">
        <f>IF(AND('Riesgos de Gestión'!$AF$52="Alta",'Riesgos de Gestión'!$AH$52="Catastrófico"),CONCATENATE("R7C",'Riesgos de Gestión'!$V$52),"")</f>
        <v/>
      </c>
      <c r="AL22" s="39" t="str">
        <f>IF(AND('Riesgos de Gestión'!$AF$53="Alta",'Riesgos de Gestión'!$AH$53="Catastrófico"),CONCATENATE("R7C",'Riesgos de Gestión'!$V$53),"")</f>
        <v/>
      </c>
      <c r="AM22" s="40" t="str">
        <f>IF(AND('Riesgos de Gestión'!$AF$54="Alta",'Riesgos de Gestión'!$AH$54="Catastrófico"),CONCATENATE("R7C",'Riesgos de Gestión'!$V$54),"")</f>
        <v/>
      </c>
      <c r="AN22" s="66"/>
      <c r="AO22" s="561"/>
      <c r="AP22" s="562"/>
      <c r="AQ22" s="562"/>
      <c r="AR22" s="562"/>
      <c r="AS22" s="562"/>
      <c r="AT22" s="563"/>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510"/>
      <c r="C23" s="510"/>
      <c r="D23" s="511"/>
      <c r="E23" s="551"/>
      <c r="F23" s="552"/>
      <c r="G23" s="552"/>
      <c r="H23" s="552"/>
      <c r="I23" s="552"/>
      <c r="J23" s="50" t="str">
        <f>IF(AND('Riesgos de Gestión'!$AF$55="Alta",'Riesgos de Gestión'!$AH$55="Leve"),CONCATENATE("R8C",'Riesgos de Gestión'!$V$55),"")</f>
        <v/>
      </c>
      <c r="K23" s="51" t="str">
        <f>IF(AND('Riesgos de Gestión'!$AF$56="Alta",'Riesgos de Gestión'!$AH$56="Leve"),CONCATENATE("R8C",'Riesgos de Gestión'!$V$56),"")</f>
        <v/>
      </c>
      <c r="L23" s="51" t="str">
        <f>IF(AND('Riesgos de Gestión'!$AF$57="Alta",'Riesgos de Gestión'!$AH$57="Leve"),CONCATENATE("R8C",'Riesgos de Gestión'!$V$57),"")</f>
        <v/>
      </c>
      <c r="M23" s="51" t="str">
        <f>IF(AND('Riesgos de Gestión'!$AF$58="Alta",'Riesgos de Gestión'!$AH$58="Leve"),CONCATENATE("R8C",'Riesgos de Gestión'!$V$58),"")</f>
        <v/>
      </c>
      <c r="N23" s="51" t="str">
        <f>IF(AND('Riesgos de Gestión'!$AF$59="Alta",'Riesgos de Gestión'!$AH$59="Leve"),CONCATENATE("R8C",'Riesgos de Gestión'!$V$59),"")</f>
        <v/>
      </c>
      <c r="O23" s="52" t="str">
        <f>IF(AND('Riesgos de Gestión'!$AF$60="Alta",'Riesgos de Gestión'!$AH$60="Leve"),CONCATENATE("R8C",'Riesgos de Gestión'!$V$60),"")</f>
        <v/>
      </c>
      <c r="P23" s="50" t="str">
        <f>IF(AND('Riesgos de Gestión'!$AF$55="Alta",'Riesgos de Gestión'!$AH$55="Menor"),CONCATENATE("R8C",'Riesgos de Gestión'!$V$55),"")</f>
        <v/>
      </c>
      <c r="Q23" s="51" t="str">
        <f>IF(AND('Riesgos de Gestión'!$AF$56="Alta",'Riesgos de Gestión'!$AH$56="Menor"),CONCATENATE("R8C",'Riesgos de Gestión'!$V$56),"")</f>
        <v/>
      </c>
      <c r="R23" s="51" t="str">
        <f>IF(AND('Riesgos de Gestión'!$AF$57="Alta",'Riesgos de Gestión'!$AH$57="Menor"),CONCATENATE("R8C",'Riesgos de Gestión'!$V$57),"")</f>
        <v/>
      </c>
      <c r="S23" s="51" t="str">
        <f>IF(AND('Riesgos de Gestión'!$AF$58="Alta",'Riesgos de Gestión'!$AH$58="Menor"),CONCATENATE("R8C",'Riesgos de Gestión'!$V$58),"")</f>
        <v/>
      </c>
      <c r="T23" s="51" t="str">
        <f>IF(AND('Riesgos de Gestión'!$AF$59="Alta",'Riesgos de Gestión'!$AH$59="Menor"),CONCATENATE("R8C",'Riesgos de Gestión'!$V$59),"")</f>
        <v/>
      </c>
      <c r="U23" s="52" t="str">
        <f>IF(AND('Riesgos de Gestión'!$AF$60="Alta",'Riesgos de Gestión'!$AH$60="Menor"),CONCATENATE("R8C",'Riesgos de Gestión'!$V$60),"")</f>
        <v/>
      </c>
      <c r="V23" s="35" t="str">
        <f>IF(AND('Riesgos de Gestión'!$AF$55="Alta",'Riesgos de Gestión'!$AH$55="Moderado"),CONCATENATE("R8C",'Riesgos de Gestión'!$V$55),"")</f>
        <v/>
      </c>
      <c r="W23" s="36" t="str">
        <f>IF(AND('Riesgos de Gestión'!$AF$56="Alta",'Riesgos de Gestión'!$AH$56="Moderado"),CONCATENATE("R8C",'Riesgos de Gestión'!$V$56),"")</f>
        <v/>
      </c>
      <c r="X23" s="36" t="str">
        <f>IF(AND('Riesgos de Gestión'!$AF$57="Alta",'Riesgos de Gestión'!$AH$57="Moderado"),CONCATENATE("R8C",'Riesgos de Gestión'!$V$57),"")</f>
        <v/>
      </c>
      <c r="Y23" s="36" t="str">
        <f>IF(AND('Riesgos de Gestión'!$AF$58="Alta",'Riesgos de Gestión'!$AH$58="Moderado"),CONCATENATE("R8C",'Riesgos de Gestión'!$V$58),"")</f>
        <v/>
      </c>
      <c r="Z23" s="36" t="str">
        <f>IF(AND('Riesgos de Gestión'!$AF$59="Alta",'Riesgos de Gestión'!$AH$59="Moderado"),CONCATENATE("R8C",'Riesgos de Gestión'!$V$59),"")</f>
        <v/>
      </c>
      <c r="AA23" s="37" t="str">
        <f>IF(AND('Riesgos de Gestión'!$AF$60="Alta",'Riesgos de Gestión'!$AH$60="Moderado"),CONCATENATE("R8C",'Riesgos de Gestión'!$V$60),"")</f>
        <v/>
      </c>
      <c r="AB23" s="35" t="str">
        <f>IF(AND('Riesgos de Gestión'!$AF$55="Alta",'Riesgos de Gestión'!$AH$55="Mayor"),CONCATENATE("R8C",'Riesgos de Gestión'!$V$55),"")</f>
        <v/>
      </c>
      <c r="AC23" s="36" t="str">
        <f>IF(AND('Riesgos de Gestión'!$AF$56="Alta",'Riesgos de Gestión'!$AH$56="Mayor"),CONCATENATE("R8C",'Riesgos de Gestión'!$V$56),"")</f>
        <v/>
      </c>
      <c r="AD23" s="36" t="str">
        <f>IF(AND('Riesgos de Gestión'!$AF$57="Alta",'Riesgos de Gestión'!$AH$57="Mayor"),CONCATENATE("R8C",'Riesgos de Gestión'!$V$57),"")</f>
        <v/>
      </c>
      <c r="AE23" s="36" t="str">
        <f>IF(AND('Riesgos de Gestión'!$AF$58="Alta",'Riesgos de Gestión'!$AH$58="Mayor"),CONCATENATE("R8C",'Riesgos de Gestión'!$V$58),"")</f>
        <v/>
      </c>
      <c r="AF23" s="36" t="str">
        <f>IF(AND('Riesgos de Gestión'!$AF$59="Alta",'Riesgos de Gestión'!$AH$59="Mayor"),CONCATENATE("R8C",'Riesgos de Gestión'!$V$59),"")</f>
        <v/>
      </c>
      <c r="AG23" s="37" t="str">
        <f>IF(AND('Riesgos de Gestión'!$AF$60="Alta",'Riesgos de Gestión'!$AH$60="Mayor"),CONCATENATE("R8C",'Riesgos de Gestión'!$V$60),"")</f>
        <v/>
      </c>
      <c r="AH23" s="38" t="str">
        <f>IF(AND('Riesgos de Gestión'!$AF$55="Alta",'Riesgos de Gestión'!$AH$55="Catastrófico"),CONCATENATE("R8C",'Riesgos de Gestión'!$V$55),"")</f>
        <v/>
      </c>
      <c r="AI23" s="39" t="str">
        <f>IF(AND('Riesgos de Gestión'!$AF$56="Alta",'Riesgos de Gestión'!$AH$56="Catastrófico"),CONCATENATE("R8C",'Riesgos de Gestión'!$V$56),"")</f>
        <v/>
      </c>
      <c r="AJ23" s="39" t="str">
        <f>IF(AND('Riesgos de Gestión'!$AF$57="Alta",'Riesgos de Gestión'!$AH$57="Catastrófico"),CONCATENATE("R8C",'Riesgos de Gestión'!$V$57),"")</f>
        <v/>
      </c>
      <c r="AK23" s="39" t="str">
        <f>IF(AND('Riesgos de Gestión'!$AF$58="Alta",'Riesgos de Gestión'!$AH$58="Catastrófico"),CONCATENATE("R8C",'Riesgos de Gestión'!$V$58),"")</f>
        <v/>
      </c>
      <c r="AL23" s="39" t="str">
        <f>IF(AND('Riesgos de Gestión'!$AF$59="Alta",'Riesgos de Gestión'!$AH$59="Catastrófico"),CONCATENATE("R8C",'Riesgos de Gestión'!$V$59),"")</f>
        <v/>
      </c>
      <c r="AM23" s="40" t="str">
        <f>IF(AND('Riesgos de Gestión'!$AF$60="Alta",'Riesgos de Gestión'!$AH$60="Catastrófico"),CONCATENATE("R8C",'Riesgos de Gestión'!$V$60),"")</f>
        <v/>
      </c>
      <c r="AN23" s="66"/>
      <c r="AO23" s="561"/>
      <c r="AP23" s="562"/>
      <c r="AQ23" s="562"/>
      <c r="AR23" s="562"/>
      <c r="AS23" s="562"/>
      <c r="AT23" s="563"/>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510"/>
      <c r="C24" s="510"/>
      <c r="D24" s="511"/>
      <c r="E24" s="551"/>
      <c r="F24" s="552"/>
      <c r="G24" s="552"/>
      <c r="H24" s="552"/>
      <c r="I24" s="552"/>
      <c r="J24" s="50" t="str">
        <f>IF(AND('Riesgos de Gestión'!$AF$61="Alta",'Riesgos de Gestión'!$AH$61="Leve"),CONCATENATE("R9C",'Riesgos de Gestión'!$V$61),"")</f>
        <v/>
      </c>
      <c r="K24" s="51" t="str">
        <f>IF(AND('Riesgos de Gestión'!$AF$62="Alta",'Riesgos de Gestión'!$AH$62="Leve"),CONCATENATE("R9C",'Riesgos de Gestión'!$V$62),"")</f>
        <v/>
      </c>
      <c r="L24" s="51" t="str">
        <f>IF(AND('Riesgos de Gestión'!$AF$63="Alta",'Riesgos de Gestión'!$AH$63="Leve"),CONCATENATE("R9C",'Riesgos de Gestión'!$V$63),"")</f>
        <v/>
      </c>
      <c r="M24" s="51" t="str">
        <f>IF(AND('Riesgos de Gestión'!$AF$64="Alta",'Riesgos de Gestión'!$AH$64="Leve"),CONCATENATE("R9C",'Riesgos de Gestión'!$V$64),"")</f>
        <v/>
      </c>
      <c r="N24" s="51" t="str">
        <f>IF(AND('Riesgos de Gestión'!$AF$65="Alta",'Riesgos de Gestión'!$AH$65="Leve"),CONCATENATE("R9C",'Riesgos de Gestión'!$V$65),"")</f>
        <v/>
      </c>
      <c r="O24" s="52" t="str">
        <f>IF(AND('Riesgos de Gestión'!$AF$66="Alta",'Riesgos de Gestión'!$AH$66="Leve"),CONCATENATE("R9C",'Riesgos de Gestión'!$V$66),"")</f>
        <v/>
      </c>
      <c r="P24" s="50" t="str">
        <f>IF(AND('Riesgos de Gestión'!$AF$61="Alta",'Riesgos de Gestión'!$AH$61="Menor"),CONCATENATE("R9C",'Riesgos de Gestión'!$V$61),"")</f>
        <v/>
      </c>
      <c r="Q24" s="51" t="str">
        <f>IF(AND('Riesgos de Gestión'!$AF$62="Alta",'Riesgos de Gestión'!$AH$62="Menor"),CONCATENATE("R9C",'Riesgos de Gestión'!$V$62),"")</f>
        <v/>
      </c>
      <c r="R24" s="51" t="str">
        <f>IF(AND('Riesgos de Gestión'!$AF$63="Alta",'Riesgos de Gestión'!$AH$63="Menor"),CONCATENATE("R9C",'Riesgos de Gestión'!$V$63),"")</f>
        <v/>
      </c>
      <c r="S24" s="51" t="str">
        <f>IF(AND('Riesgos de Gestión'!$AF$64="Alta",'Riesgos de Gestión'!$AH$64="Menor"),CONCATENATE("R9C",'Riesgos de Gestión'!$V$64),"")</f>
        <v/>
      </c>
      <c r="T24" s="51" t="str">
        <f>IF(AND('Riesgos de Gestión'!$AF$65="Alta",'Riesgos de Gestión'!$AH$65="Menor"),CONCATENATE("R9C",'Riesgos de Gestión'!$V$65),"")</f>
        <v/>
      </c>
      <c r="U24" s="52" t="str">
        <f>IF(AND('Riesgos de Gestión'!$AF$66="Alta",'Riesgos de Gestión'!$AH$66="Menor"),CONCATENATE("R9C",'Riesgos de Gestión'!$V$66),"")</f>
        <v/>
      </c>
      <c r="V24" s="35" t="str">
        <f>IF(AND('Riesgos de Gestión'!$AF$61="Alta",'Riesgos de Gestión'!$AH$61="Moderado"),CONCATENATE("R9C",'Riesgos de Gestión'!$V$61),"")</f>
        <v/>
      </c>
      <c r="W24" s="36" t="str">
        <f>IF(AND('Riesgos de Gestión'!$AF$62="Alta",'Riesgos de Gestión'!$AH$62="Moderado"),CONCATENATE("R9C",'Riesgos de Gestión'!$V$62),"")</f>
        <v/>
      </c>
      <c r="X24" s="36" t="str">
        <f>IF(AND('Riesgos de Gestión'!$AF$63="Alta",'Riesgos de Gestión'!$AH$63="Moderado"),CONCATENATE("R9C",'Riesgos de Gestión'!$V$63),"")</f>
        <v/>
      </c>
      <c r="Y24" s="36" t="str">
        <f>IF(AND('Riesgos de Gestión'!$AF$64="Alta",'Riesgos de Gestión'!$AH$64="Moderado"),CONCATENATE("R9C",'Riesgos de Gestión'!$V$64),"")</f>
        <v/>
      </c>
      <c r="Z24" s="36" t="str">
        <f>IF(AND('Riesgos de Gestión'!$AF$65="Alta",'Riesgos de Gestión'!$AH$65="Moderado"),CONCATENATE("R9C",'Riesgos de Gestión'!$V$65),"")</f>
        <v/>
      </c>
      <c r="AA24" s="37" t="str">
        <f>IF(AND('Riesgos de Gestión'!$AF$66="Alta",'Riesgos de Gestión'!$AH$66="Moderado"),CONCATENATE("R9C",'Riesgos de Gestión'!$V$66),"")</f>
        <v/>
      </c>
      <c r="AB24" s="35" t="str">
        <f>IF(AND('Riesgos de Gestión'!$AF$61="Alta",'Riesgos de Gestión'!$AH$61="Mayor"),CONCATENATE("R9C",'Riesgos de Gestión'!$V$61),"")</f>
        <v/>
      </c>
      <c r="AC24" s="36" t="str">
        <f>IF(AND('Riesgos de Gestión'!$AF$62="Alta",'Riesgos de Gestión'!$AH$62="Mayor"),CONCATENATE("R9C",'Riesgos de Gestión'!$V$62),"")</f>
        <v/>
      </c>
      <c r="AD24" s="36" t="str">
        <f>IF(AND('Riesgos de Gestión'!$AF$63="Alta",'Riesgos de Gestión'!$AH$63="Mayor"),CONCATENATE("R9C",'Riesgos de Gestión'!$V$63),"")</f>
        <v/>
      </c>
      <c r="AE24" s="36" t="str">
        <f>IF(AND('Riesgos de Gestión'!$AF$64="Alta",'Riesgos de Gestión'!$AH$64="Mayor"),CONCATENATE("R9C",'Riesgos de Gestión'!$V$64),"")</f>
        <v/>
      </c>
      <c r="AF24" s="36" t="str">
        <f>IF(AND('Riesgos de Gestión'!$AF$65="Alta",'Riesgos de Gestión'!$AH$65="Mayor"),CONCATENATE("R9C",'Riesgos de Gestión'!$V$65),"")</f>
        <v/>
      </c>
      <c r="AG24" s="37" t="str">
        <f>IF(AND('Riesgos de Gestión'!$AF$66="Alta",'Riesgos de Gestión'!$AH$66="Mayor"),CONCATENATE("R9C",'Riesgos de Gestión'!$V$66),"")</f>
        <v/>
      </c>
      <c r="AH24" s="38" t="str">
        <f>IF(AND('Riesgos de Gestión'!$AF$61="Alta",'Riesgos de Gestión'!$AH$61="Catastrófico"),CONCATENATE("R9C",'Riesgos de Gestión'!$V$61),"")</f>
        <v/>
      </c>
      <c r="AI24" s="39" t="str">
        <f>IF(AND('Riesgos de Gestión'!$AF$62="Alta",'Riesgos de Gestión'!$AH$62="Catastrófico"),CONCATENATE("R9C",'Riesgos de Gestión'!$V$62),"")</f>
        <v/>
      </c>
      <c r="AJ24" s="39" t="str">
        <f>IF(AND('Riesgos de Gestión'!$AF$63="Alta",'Riesgos de Gestión'!$AH$63="Catastrófico"),CONCATENATE("R9C",'Riesgos de Gestión'!$V$63),"")</f>
        <v/>
      </c>
      <c r="AK24" s="39" t="str">
        <f>IF(AND('Riesgos de Gestión'!$AF$64="Alta",'Riesgos de Gestión'!$AH$64="Catastrófico"),CONCATENATE("R9C",'Riesgos de Gestión'!$V$64),"")</f>
        <v/>
      </c>
      <c r="AL24" s="39" t="str">
        <f>IF(AND('Riesgos de Gestión'!$AF$65="Alta",'Riesgos de Gestión'!$AH$65="Catastrófico"),CONCATENATE("R9C",'Riesgos de Gestión'!$V$65),"")</f>
        <v/>
      </c>
      <c r="AM24" s="40" t="str">
        <f>IF(AND('Riesgos de Gestión'!$AF$66="Alta",'Riesgos de Gestión'!$AH$66="Catastrófico"),CONCATENATE("R9C",'Riesgos de Gestión'!$V$66),"")</f>
        <v/>
      </c>
      <c r="AN24" s="66"/>
      <c r="AO24" s="561"/>
      <c r="AP24" s="562"/>
      <c r="AQ24" s="562"/>
      <c r="AR24" s="562"/>
      <c r="AS24" s="562"/>
      <c r="AT24" s="563"/>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510"/>
      <c r="C25" s="510"/>
      <c r="D25" s="511"/>
      <c r="E25" s="554"/>
      <c r="F25" s="555"/>
      <c r="G25" s="555"/>
      <c r="H25" s="555"/>
      <c r="I25" s="555"/>
      <c r="J25" s="53" t="str">
        <f>IF(AND('Riesgos de Gestión'!$AF$67="Alta",'Riesgos de Gestión'!$AH$67="Leve"),CONCATENATE("R10C",'Riesgos de Gestión'!$V$67),"")</f>
        <v/>
      </c>
      <c r="K25" s="54" t="str">
        <f>IF(AND('Riesgos de Gestión'!$AF$68="Alta",'Riesgos de Gestión'!$AH$68="Leve"),CONCATENATE("R10C",'Riesgos de Gestión'!$V$68),"")</f>
        <v/>
      </c>
      <c r="L25" s="54" t="str">
        <f>IF(AND('Riesgos de Gestión'!$AF$69="Alta",'Riesgos de Gestión'!$AH$69="Leve"),CONCATENATE("R10C",'Riesgos de Gestión'!$V$69),"")</f>
        <v/>
      </c>
      <c r="M25" s="54" t="str">
        <f>IF(AND('Riesgos de Gestión'!$AF$70="Alta",'Riesgos de Gestión'!$AH$70="Leve"),CONCATENATE("R10C",'Riesgos de Gestión'!$V$70),"")</f>
        <v/>
      </c>
      <c r="N25" s="54" t="str">
        <f>IF(AND('Riesgos de Gestión'!$AF$71="Alta",'Riesgos de Gestión'!$AH$71="Leve"),CONCATENATE("R10C",'Riesgos de Gestión'!$V$71),"")</f>
        <v/>
      </c>
      <c r="O25" s="55" t="str">
        <f>IF(AND('Riesgos de Gestión'!$AF$72="Alta",'Riesgos de Gestión'!$AH$72="Leve"),CONCATENATE("R10C",'Riesgos de Gestión'!$V$72),"")</f>
        <v/>
      </c>
      <c r="P25" s="53" t="str">
        <f>IF(AND('Riesgos de Gestión'!$AF$67="Alta",'Riesgos de Gestión'!$AH$67="Menor"),CONCATENATE("R10C",'Riesgos de Gestión'!$V$67),"")</f>
        <v/>
      </c>
      <c r="Q25" s="54" t="str">
        <f>IF(AND('Riesgos de Gestión'!$AF$68="Alta",'Riesgos de Gestión'!$AH$68="Menor"),CONCATENATE("R10C",'Riesgos de Gestión'!$V$68),"")</f>
        <v/>
      </c>
      <c r="R25" s="54" t="str">
        <f>IF(AND('Riesgos de Gestión'!$AF$69="Alta",'Riesgos de Gestión'!$AH$69="Menor"),CONCATENATE("R10C",'Riesgos de Gestión'!$V$69),"")</f>
        <v/>
      </c>
      <c r="S25" s="54" t="str">
        <f>IF(AND('Riesgos de Gestión'!$AF$70="Alta",'Riesgos de Gestión'!$AH$70="Menor"),CONCATENATE("R10C",'Riesgos de Gestión'!$V$70),"")</f>
        <v/>
      </c>
      <c r="T25" s="54" t="str">
        <f>IF(AND('Riesgos de Gestión'!$AF$71="Alta",'Riesgos de Gestión'!$AH$71="Menor"),CONCATENATE("R10C",'Riesgos de Gestión'!$V$71),"")</f>
        <v/>
      </c>
      <c r="U25" s="55" t="str">
        <f>IF(AND('Riesgos de Gestión'!$AF$72="Alta",'Riesgos de Gestión'!$AH$72="Menor"),CONCATENATE("R10C",'Riesgos de Gestión'!$V$72),"")</f>
        <v/>
      </c>
      <c r="V25" s="41" t="str">
        <f>IF(AND('Riesgos de Gestión'!$AF$67="Alta",'Riesgos de Gestión'!$AH$67="Moderado"),CONCATENATE("R10C",'Riesgos de Gestión'!$V$67),"")</f>
        <v/>
      </c>
      <c r="W25" s="42" t="str">
        <f>IF(AND('Riesgos de Gestión'!$AF$68="Alta",'Riesgos de Gestión'!$AH$68="Moderado"),CONCATENATE("R10C",'Riesgos de Gestión'!$V$68),"")</f>
        <v/>
      </c>
      <c r="X25" s="42" t="str">
        <f>IF(AND('Riesgos de Gestión'!$AF$69="Alta",'Riesgos de Gestión'!$AH$69="Moderado"),CONCATENATE("R10C",'Riesgos de Gestión'!$V$69),"")</f>
        <v/>
      </c>
      <c r="Y25" s="42" t="str">
        <f>IF(AND('Riesgos de Gestión'!$AF$70="Alta",'Riesgos de Gestión'!$AH$70="Moderado"),CONCATENATE("R10C",'Riesgos de Gestión'!$V$70),"")</f>
        <v/>
      </c>
      <c r="Z25" s="42" t="str">
        <f>IF(AND('Riesgos de Gestión'!$AF$71="Alta",'Riesgos de Gestión'!$AH$71="Moderado"),CONCATENATE("R10C",'Riesgos de Gestión'!$V$71),"")</f>
        <v/>
      </c>
      <c r="AA25" s="43" t="str">
        <f>IF(AND('Riesgos de Gestión'!$AF$72="Alta",'Riesgos de Gestión'!$AH$72="Moderado"),CONCATENATE("R10C",'Riesgos de Gestión'!$V$72),"")</f>
        <v/>
      </c>
      <c r="AB25" s="41" t="str">
        <f>IF(AND('Riesgos de Gestión'!$AF$67="Alta",'Riesgos de Gestión'!$AH$67="Mayor"),CONCATENATE("R10C",'Riesgos de Gestión'!$V$67),"")</f>
        <v/>
      </c>
      <c r="AC25" s="42" t="str">
        <f>IF(AND('Riesgos de Gestión'!$AF$68="Alta",'Riesgos de Gestión'!$AH$68="Mayor"),CONCATENATE("R10C",'Riesgos de Gestión'!$V$68),"")</f>
        <v/>
      </c>
      <c r="AD25" s="42" t="str">
        <f>IF(AND('Riesgos de Gestión'!$AF$69="Alta",'Riesgos de Gestión'!$AH$69="Mayor"),CONCATENATE("R10C",'Riesgos de Gestión'!$V$69),"")</f>
        <v/>
      </c>
      <c r="AE25" s="42" t="str">
        <f>IF(AND('Riesgos de Gestión'!$AF$70="Alta",'Riesgos de Gestión'!$AH$70="Mayor"),CONCATENATE("R10C",'Riesgos de Gestión'!$V$70),"")</f>
        <v/>
      </c>
      <c r="AF25" s="42" t="str">
        <f>IF(AND('Riesgos de Gestión'!$AF$71="Alta",'Riesgos de Gestión'!$AH$71="Mayor"),CONCATENATE("R10C",'Riesgos de Gestión'!$V$71),"")</f>
        <v/>
      </c>
      <c r="AG25" s="43" t="str">
        <f>IF(AND('Riesgos de Gestión'!$AF$72="Alta",'Riesgos de Gestión'!$AH$72="Mayor"),CONCATENATE("R10C",'Riesgos de Gestión'!$V$72),"")</f>
        <v/>
      </c>
      <c r="AH25" s="44" t="str">
        <f>IF(AND('Riesgos de Gestión'!$AF$67="Alta",'Riesgos de Gestión'!$AH$67="Catastrófico"),CONCATENATE("R10C",'Riesgos de Gestión'!$V$67),"")</f>
        <v/>
      </c>
      <c r="AI25" s="45" t="str">
        <f>IF(AND('Riesgos de Gestión'!$AF$68="Alta",'Riesgos de Gestión'!$AH$68="Catastrófico"),CONCATENATE("R10C",'Riesgos de Gestión'!$V$68),"")</f>
        <v/>
      </c>
      <c r="AJ25" s="45" t="str">
        <f>IF(AND('Riesgos de Gestión'!$AF$69="Alta",'Riesgos de Gestión'!$AH$69="Catastrófico"),CONCATENATE("R10C",'Riesgos de Gestión'!$V$69),"")</f>
        <v/>
      </c>
      <c r="AK25" s="45" t="str">
        <f>IF(AND('Riesgos de Gestión'!$AF$70="Alta",'Riesgos de Gestión'!$AH$70="Catastrófico"),CONCATENATE("R10C",'Riesgos de Gestión'!$V$70),"")</f>
        <v/>
      </c>
      <c r="AL25" s="45" t="str">
        <f>IF(AND('Riesgos de Gestión'!$AF$71="Alta",'Riesgos de Gestión'!$AH$71="Catastrófico"),CONCATENATE("R10C",'Riesgos de Gestión'!$V$71),"")</f>
        <v/>
      </c>
      <c r="AM25" s="46" t="str">
        <f>IF(AND('Riesgos de Gestión'!$AF$72="Alta",'Riesgos de Gestión'!$AH$72="Catastrófico"),CONCATENATE("R10C",'Riesgos de Gestión'!$V$72),"")</f>
        <v/>
      </c>
      <c r="AN25" s="66"/>
      <c r="AO25" s="564"/>
      <c r="AP25" s="565"/>
      <c r="AQ25" s="565"/>
      <c r="AR25" s="565"/>
      <c r="AS25" s="565"/>
      <c r="AT25" s="5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510"/>
      <c r="C26" s="510"/>
      <c r="D26" s="511"/>
      <c r="E26" s="548" t="s">
        <v>269</v>
      </c>
      <c r="F26" s="549"/>
      <c r="G26" s="549"/>
      <c r="H26" s="549"/>
      <c r="I26" s="550"/>
      <c r="J26" s="47" t="str">
        <f>IF(AND('Riesgos de Gestión'!$AF$13="Media",'Riesgos de Gestión'!$AH$13="Leve"),CONCATENATE("R1C",'Riesgos de Gestión'!$V$13),"")</f>
        <v/>
      </c>
      <c r="K26" s="48" t="str">
        <f>IF(AND('Riesgos de Gestión'!$AF$14="Media",'Riesgos de Gestión'!$AH$14="Leve"),CONCATENATE("R1C",'Riesgos de Gestión'!$V$14),"")</f>
        <v/>
      </c>
      <c r="L26" s="48" t="str">
        <f>IF(AND('Riesgos de Gestión'!$AF$15="Media",'Riesgos de Gestión'!$AH$15="Leve"),CONCATENATE("R1C",'Riesgos de Gestión'!$V$15),"")</f>
        <v/>
      </c>
      <c r="M26" s="48" t="str">
        <f>IF(AND('Riesgos de Gestión'!$AF$16="Media",'Riesgos de Gestión'!$AH$16="Leve"),CONCATENATE("R1C",'Riesgos de Gestión'!$V$16),"")</f>
        <v/>
      </c>
      <c r="N26" s="48" t="str">
        <f>IF(AND('Riesgos de Gestión'!$AF$17="Media",'Riesgos de Gestión'!$AH$17="Leve"),CONCATENATE("R1C",'Riesgos de Gestión'!$V$17),"")</f>
        <v/>
      </c>
      <c r="O26" s="49" t="str">
        <f>IF(AND('Riesgos de Gestión'!$AF$18="Media",'Riesgos de Gestión'!$AH$18="Leve"),CONCATENATE("R1C",'Riesgos de Gestión'!$V$18),"")</f>
        <v/>
      </c>
      <c r="P26" s="47" t="str">
        <f>IF(AND('Riesgos de Gestión'!$AF$13="Media",'Riesgos de Gestión'!$AH$13="Menor"),CONCATENATE("R1C",'Riesgos de Gestión'!$V$13),"")</f>
        <v/>
      </c>
      <c r="Q26" s="48" t="str">
        <f>IF(AND('Riesgos de Gestión'!$AF$14="Media",'Riesgos de Gestión'!$AH$14="Menor"),CONCATENATE("R1C",'Riesgos de Gestión'!$V$14),"")</f>
        <v/>
      </c>
      <c r="R26" s="48" t="str">
        <f>IF(AND('Riesgos de Gestión'!$AF$15="Media",'Riesgos de Gestión'!$AH$15="Menor"),CONCATENATE("R1C",'Riesgos de Gestión'!$V$15),"")</f>
        <v/>
      </c>
      <c r="S26" s="48" t="str">
        <f>IF(AND('Riesgos de Gestión'!$AF$16="Media",'Riesgos de Gestión'!$AH$16="Menor"),CONCATENATE("R1C",'Riesgos de Gestión'!$V$16),"")</f>
        <v/>
      </c>
      <c r="T26" s="48" t="str">
        <f>IF(AND('Riesgos de Gestión'!$AF$17="Media",'Riesgos de Gestión'!$AH$17="Menor"),CONCATENATE("R1C",'Riesgos de Gestión'!$V$17),"")</f>
        <v/>
      </c>
      <c r="U26" s="49" t="str">
        <f>IF(AND('Riesgos de Gestión'!$AF$18="Media",'Riesgos de Gestión'!$AH$18="Menor"),CONCATENATE("R1C",'Riesgos de Gestión'!$V$18),"")</f>
        <v/>
      </c>
      <c r="V26" s="47" t="str">
        <f>IF(AND('Riesgos de Gestión'!$AF$13="Media",'Riesgos de Gestión'!$AH$13="Moderado"),CONCATENATE("R1C",'Riesgos de Gestión'!$V$13),"")</f>
        <v/>
      </c>
      <c r="W26" s="48" t="str">
        <f>IF(AND('Riesgos de Gestión'!$AF$14="Media",'Riesgos de Gestión'!$AH$14="Moderado"),CONCATENATE("R1C",'Riesgos de Gestión'!$V$14),"")</f>
        <v/>
      </c>
      <c r="X26" s="48" t="str">
        <f>IF(AND('Riesgos de Gestión'!$AF$15="Media",'Riesgos de Gestión'!$AH$15="Moderado"),CONCATENATE("R1C",'Riesgos de Gestión'!$V$15),"")</f>
        <v/>
      </c>
      <c r="Y26" s="48" t="str">
        <f>IF(AND('Riesgos de Gestión'!$AF$16="Media",'Riesgos de Gestión'!$AH$16="Moderado"),CONCATENATE("R1C",'Riesgos de Gestión'!$V$16),"")</f>
        <v/>
      </c>
      <c r="Z26" s="48" t="str">
        <f>IF(AND('Riesgos de Gestión'!$AF$17="Media",'Riesgos de Gestión'!$AH$17="Moderado"),CONCATENATE("R1C",'Riesgos de Gestión'!$V$17),"")</f>
        <v/>
      </c>
      <c r="AA26" s="49" t="str">
        <f>IF(AND('Riesgos de Gestión'!$AF$18="Media",'Riesgos de Gestión'!$AH$18="Moderado"),CONCATENATE("R1C",'Riesgos de Gestión'!$V$18),"")</f>
        <v/>
      </c>
      <c r="AB26" s="29" t="str">
        <f>IF(AND('Riesgos de Gestión'!$AF$13="Media",'Riesgos de Gestión'!$AH$13="Mayor"),CONCATENATE("R1C",'Riesgos de Gestión'!$V$13),"")</f>
        <v/>
      </c>
      <c r="AC26" s="30" t="str">
        <f>IF(AND('Riesgos de Gestión'!$AF$14="Media",'Riesgos de Gestión'!$AH$14="Mayor"),CONCATENATE("R1C",'Riesgos de Gestión'!$V$14),"")</f>
        <v/>
      </c>
      <c r="AD26" s="30" t="str">
        <f>IF(AND('Riesgos de Gestión'!$AF$15="Media",'Riesgos de Gestión'!$AH$15="Mayor"),CONCATENATE("R1C",'Riesgos de Gestión'!$V$15),"")</f>
        <v/>
      </c>
      <c r="AE26" s="30" t="str">
        <f>IF(AND('Riesgos de Gestión'!$AF$16="Media",'Riesgos de Gestión'!$AH$16="Mayor"),CONCATENATE("R1C",'Riesgos de Gestión'!$V$16),"")</f>
        <v/>
      </c>
      <c r="AF26" s="30" t="str">
        <f>IF(AND('Riesgos de Gestión'!$AF$17="Media",'Riesgos de Gestión'!$AH$17="Mayor"),CONCATENATE("R1C",'Riesgos de Gestión'!$V$17),"")</f>
        <v/>
      </c>
      <c r="AG26" s="31" t="str">
        <f>IF(AND('Riesgos de Gestión'!$AF$18="Media",'Riesgos de Gestión'!$AH$18="Mayor"),CONCATENATE("R1C",'Riesgos de Gestión'!$V$18),"")</f>
        <v/>
      </c>
      <c r="AH26" s="32" t="str">
        <f>IF(AND('Riesgos de Gestión'!$AF$13="Media",'Riesgos de Gestión'!$AH$13="Catastrófico"),CONCATENATE("R1C",'Riesgos de Gestión'!$V$13),"")</f>
        <v/>
      </c>
      <c r="AI26" s="33" t="str">
        <f>IF(AND('Riesgos de Gestión'!$AF$14="Media",'Riesgos de Gestión'!$AH$14="Catastrófico"),CONCATENATE("R1C",'Riesgos de Gestión'!$V$14),"")</f>
        <v/>
      </c>
      <c r="AJ26" s="33" t="str">
        <f>IF(AND('Riesgos de Gestión'!$AF$15="Media",'Riesgos de Gestión'!$AH$15="Catastrófico"),CONCATENATE("R1C",'Riesgos de Gestión'!$V$15),"")</f>
        <v/>
      </c>
      <c r="AK26" s="33" t="str">
        <f>IF(AND('Riesgos de Gestión'!$AF$16="Media",'Riesgos de Gestión'!$AH$16="Catastrófico"),CONCATENATE("R1C",'Riesgos de Gestión'!$V$16),"")</f>
        <v/>
      </c>
      <c r="AL26" s="33" t="str">
        <f>IF(AND('Riesgos de Gestión'!$AF$17="Media",'Riesgos de Gestión'!$AH$17="Catastrófico"),CONCATENATE("R1C",'Riesgos de Gestión'!$V$17),"")</f>
        <v/>
      </c>
      <c r="AM26" s="34" t="str">
        <f>IF(AND('Riesgos de Gestión'!$AF$18="Media",'Riesgos de Gestión'!$AH$18="Catastrófico"),CONCATENATE("R1C",'Riesgos de Gestión'!$V$18),"")</f>
        <v/>
      </c>
      <c r="AN26" s="66"/>
      <c r="AO26" s="588" t="s">
        <v>270</v>
      </c>
      <c r="AP26" s="589"/>
      <c r="AQ26" s="589"/>
      <c r="AR26" s="589"/>
      <c r="AS26" s="589"/>
      <c r="AT26" s="590"/>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510"/>
      <c r="C27" s="510"/>
      <c r="D27" s="511"/>
      <c r="E27" s="567"/>
      <c r="F27" s="552"/>
      <c r="G27" s="552"/>
      <c r="H27" s="552"/>
      <c r="I27" s="553"/>
      <c r="J27" s="50" t="str">
        <f>IF(AND('Riesgos de Gestión'!$AF$19="Media",'Riesgos de Gestión'!$AH$19="Leve"),CONCATENATE("R2C",'Riesgos de Gestión'!$V$19),"")</f>
        <v/>
      </c>
      <c r="K27" s="51" t="str">
        <f>IF(AND('Riesgos de Gestión'!$AF$20="Media",'Riesgos de Gestión'!$AH$20="Leve"),CONCATENATE("R2C",'Riesgos de Gestión'!$V$20),"")</f>
        <v/>
      </c>
      <c r="L27" s="51" t="str">
        <f>IF(AND('Riesgos de Gestión'!$AF$21="Media",'Riesgos de Gestión'!$AH$21="Leve"),CONCATENATE("R2C",'Riesgos de Gestión'!$V$21),"")</f>
        <v/>
      </c>
      <c r="M27" s="51" t="str">
        <f>IF(AND('Riesgos de Gestión'!$AF$22="Media",'Riesgos de Gestión'!$AH$22="Leve"),CONCATENATE("R2C",'Riesgos de Gestión'!$V$22),"")</f>
        <v/>
      </c>
      <c r="N27" s="51" t="str">
        <f>IF(AND('Riesgos de Gestión'!$AF$23="Media",'Riesgos de Gestión'!$AH$23="Leve"),CONCATENATE("R2C",'Riesgos de Gestión'!$V$23),"")</f>
        <v/>
      </c>
      <c r="O27" s="52" t="str">
        <f>IF(AND('Riesgos de Gestión'!$AF$24="Media",'Riesgos de Gestión'!$AH$24="Leve"),CONCATENATE("R2C",'Riesgos de Gestión'!$V$24),"")</f>
        <v/>
      </c>
      <c r="P27" s="50" t="str">
        <f>IF(AND('Riesgos de Gestión'!$AF$19="Media",'Riesgos de Gestión'!$AH$19="Menor"),CONCATENATE("R2C",'Riesgos de Gestión'!$V$19),"")</f>
        <v/>
      </c>
      <c r="Q27" s="51" t="str">
        <f>IF(AND('Riesgos de Gestión'!$AF$20="Media",'Riesgos de Gestión'!$AH$20="Menor"),CONCATENATE("R2C",'Riesgos de Gestión'!$V$20),"")</f>
        <v/>
      </c>
      <c r="R27" s="51" t="str">
        <f>IF(AND('Riesgos de Gestión'!$AF$21="Media",'Riesgos de Gestión'!$AH$21="Menor"),CONCATENATE("R2C",'Riesgos de Gestión'!$V$21),"")</f>
        <v/>
      </c>
      <c r="S27" s="51" t="str">
        <f>IF(AND('Riesgos de Gestión'!$AF$22="Media",'Riesgos de Gestión'!$AH$22="Menor"),CONCATENATE("R2C",'Riesgos de Gestión'!$V$22),"")</f>
        <v/>
      </c>
      <c r="T27" s="51" t="str">
        <f>IF(AND('Riesgos de Gestión'!$AF$23="Media",'Riesgos de Gestión'!$AH$23="Menor"),CONCATENATE("R2C",'Riesgos de Gestión'!$V$23),"")</f>
        <v/>
      </c>
      <c r="U27" s="52" t="str">
        <f>IF(AND('Riesgos de Gestión'!$AF$24="Media",'Riesgos de Gestión'!$AH$24="Menor"),CONCATENATE("R2C",'Riesgos de Gestión'!$V$24),"")</f>
        <v/>
      </c>
      <c r="V27" s="50" t="str">
        <f>IF(AND('Riesgos de Gestión'!$AF$19="Media",'Riesgos de Gestión'!$AH$19="Moderado"),CONCATENATE("R2C",'Riesgos de Gestión'!$V$19),"")</f>
        <v/>
      </c>
      <c r="W27" s="51" t="str">
        <f>IF(AND('Riesgos de Gestión'!$AF$20="Media",'Riesgos de Gestión'!$AH$20="Moderado"),CONCATENATE("R2C",'Riesgos de Gestión'!$V$20),"")</f>
        <v/>
      </c>
      <c r="X27" s="51" t="str">
        <f>IF(AND('Riesgos de Gestión'!$AF$21="Media",'Riesgos de Gestión'!$AH$21="Moderado"),CONCATENATE("R2C",'Riesgos de Gestión'!$V$21),"")</f>
        <v/>
      </c>
      <c r="Y27" s="51" t="str">
        <f>IF(AND('Riesgos de Gestión'!$AF$22="Media",'Riesgos de Gestión'!$AH$22="Moderado"),CONCATENATE("R2C",'Riesgos de Gestión'!$V$22),"")</f>
        <v/>
      </c>
      <c r="Z27" s="51" t="str">
        <f>IF(AND('Riesgos de Gestión'!$AF$23="Media",'Riesgos de Gestión'!$AH$23="Moderado"),CONCATENATE("R2C",'Riesgos de Gestión'!$V$23),"")</f>
        <v/>
      </c>
      <c r="AA27" s="52" t="str">
        <f>IF(AND('Riesgos de Gestión'!$AF$24="Media",'Riesgos de Gestión'!$AH$24="Moderado"),CONCATENATE("R2C",'Riesgos de Gestión'!$V$24),"")</f>
        <v/>
      </c>
      <c r="AB27" s="35" t="str">
        <f>IF(AND('Riesgos de Gestión'!$AF$19="Media",'Riesgos de Gestión'!$AH$19="Mayor"),CONCATENATE("R2C",'Riesgos de Gestión'!$V$19),"")</f>
        <v/>
      </c>
      <c r="AC27" s="36" t="str">
        <f>IF(AND('Riesgos de Gestión'!$AF$20="Media",'Riesgos de Gestión'!$AH$20="Mayor"),CONCATENATE("R2C",'Riesgos de Gestión'!$V$20),"")</f>
        <v/>
      </c>
      <c r="AD27" s="36" t="str">
        <f>IF(AND('Riesgos de Gestión'!$AF$21="Media",'Riesgos de Gestión'!$AH$21="Mayor"),CONCATENATE("R2C",'Riesgos de Gestión'!$V$21),"")</f>
        <v/>
      </c>
      <c r="AE27" s="36" t="str">
        <f>IF(AND('Riesgos de Gestión'!$AF$22="Media",'Riesgos de Gestión'!$AH$22="Mayor"),CONCATENATE("R2C",'Riesgos de Gestión'!$V$22),"")</f>
        <v/>
      </c>
      <c r="AF27" s="36" t="str">
        <f>IF(AND('Riesgos de Gestión'!$AF$23="Media",'Riesgos de Gestión'!$AH$23="Mayor"),CONCATENATE("R2C",'Riesgos de Gestión'!$V$23),"")</f>
        <v/>
      </c>
      <c r="AG27" s="37" t="str">
        <f>IF(AND('Riesgos de Gestión'!$AF$24="Media",'Riesgos de Gestión'!$AH$24="Mayor"),CONCATENATE("R2C",'Riesgos de Gestión'!$V$24),"")</f>
        <v/>
      </c>
      <c r="AH27" s="38" t="str">
        <f>IF(AND('Riesgos de Gestión'!$AF$19="Media",'Riesgos de Gestión'!$AH$19="Catastrófico"),CONCATENATE("R2C",'Riesgos de Gestión'!$V$19),"")</f>
        <v/>
      </c>
      <c r="AI27" s="39" t="str">
        <f>IF(AND('Riesgos de Gestión'!$AF$20="Media",'Riesgos de Gestión'!$AH$20="Catastrófico"),CONCATENATE("R2C",'Riesgos de Gestión'!$V$20),"")</f>
        <v/>
      </c>
      <c r="AJ27" s="39" t="str">
        <f>IF(AND('Riesgos de Gestión'!$AF$21="Media",'Riesgos de Gestión'!$AH$21="Catastrófico"),CONCATENATE("R2C",'Riesgos de Gestión'!$V$21),"")</f>
        <v/>
      </c>
      <c r="AK27" s="39" t="str">
        <f>IF(AND('Riesgos de Gestión'!$AF$22="Media",'Riesgos de Gestión'!$AH$22="Catastrófico"),CONCATENATE("R2C",'Riesgos de Gestión'!$V$22),"")</f>
        <v/>
      </c>
      <c r="AL27" s="39" t="str">
        <f>IF(AND('Riesgos de Gestión'!$AF$23="Media",'Riesgos de Gestión'!$AH$23="Catastrófico"),CONCATENATE("R2C",'Riesgos de Gestión'!$V$23),"")</f>
        <v/>
      </c>
      <c r="AM27" s="40" t="str">
        <f>IF(AND('Riesgos de Gestión'!$AF$24="Media",'Riesgos de Gestión'!$AH$24="Catastrófico"),CONCATENATE("R2C",'Riesgos de Gestión'!$V$24),"")</f>
        <v/>
      </c>
      <c r="AN27" s="66"/>
      <c r="AO27" s="591"/>
      <c r="AP27" s="592"/>
      <c r="AQ27" s="592"/>
      <c r="AR27" s="592"/>
      <c r="AS27" s="592"/>
      <c r="AT27" s="593"/>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510"/>
      <c r="C28" s="510"/>
      <c r="D28" s="511"/>
      <c r="E28" s="551"/>
      <c r="F28" s="552"/>
      <c r="G28" s="552"/>
      <c r="H28" s="552"/>
      <c r="I28" s="553"/>
      <c r="J28" s="50" t="str">
        <f>IF(AND('Riesgos de Gestión'!$AF$25="Media",'Riesgos de Gestión'!$AH$25="Leve"),CONCATENATE("R3C",'Riesgos de Gestión'!$V$25),"")</f>
        <v/>
      </c>
      <c r="K28" s="51" t="str">
        <f>IF(AND('Riesgos de Gestión'!$AF$26="Media",'Riesgos de Gestión'!$AH$26="Leve"),CONCATENATE("R3C",'Riesgos de Gestión'!$V$26),"")</f>
        <v/>
      </c>
      <c r="L28" s="51" t="str">
        <f>IF(AND('Riesgos de Gestión'!$AF$27="Media",'Riesgos de Gestión'!$AH$27="Leve"),CONCATENATE("R3C",'Riesgos de Gestión'!$V$27),"")</f>
        <v/>
      </c>
      <c r="M28" s="51" t="str">
        <f>IF(AND('Riesgos de Gestión'!$AF$28="Media",'Riesgos de Gestión'!$AH$28="Leve"),CONCATENATE("R3C",'Riesgos de Gestión'!$V$28),"")</f>
        <v/>
      </c>
      <c r="N28" s="51" t="str">
        <f>IF(AND('Riesgos de Gestión'!$AF$29="Media",'Riesgos de Gestión'!$AH$29="Leve"),CONCATENATE("R3C",'Riesgos de Gestión'!$V$29),"")</f>
        <v/>
      </c>
      <c r="O28" s="52" t="str">
        <f>IF(AND('Riesgos de Gestión'!$AF$30="Media",'Riesgos de Gestión'!$AH$30="Leve"),CONCATENATE("R3C",'Riesgos de Gestión'!$V$30),"")</f>
        <v/>
      </c>
      <c r="P28" s="50" t="str">
        <f>IF(AND('Riesgos de Gestión'!$AF$25="Media",'Riesgos de Gestión'!$AH$25="Menor"),CONCATENATE("R3C",'Riesgos de Gestión'!$V$25),"")</f>
        <v/>
      </c>
      <c r="Q28" s="51" t="str">
        <f>IF(AND('Riesgos de Gestión'!$AF$26="Media",'Riesgos de Gestión'!$AH$26="Menor"),CONCATENATE("R3C",'Riesgos de Gestión'!$V$26),"")</f>
        <v/>
      </c>
      <c r="R28" s="51" t="str">
        <f>IF(AND('Riesgos de Gestión'!$AF$27="Media",'Riesgos de Gestión'!$AH$27="Menor"),CONCATENATE("R3C",'Riesgos de Gestión'!$V$27),"")</f>
        <v/>
      </c>
      <c r="S28" s="51" t="str">
        <f>IF(AND('Riesgos de Gestión'!$AF$28="Media",'Riesgos de Gestión'!$AH$28="Menor"),CONCATENATE("R3C",'Riesgos de Gestión'!$V$28),"")</f>
        <v/>
      </c>
      <c r="T28" s="51" t="str">
        <f>IF(AND('Riesgos de Gestión'!$AF$29="Media",'Riesgos de Gestión'!$AH$29="Menor"),CONCATENATE("R3C",'Riesgos de Gestión'!$V$29),"")</f>
        <v/>
      </c>
      <c r="U28" s="52" t="str">
        <f>IF(AND('Riesgos de Gestión'!$AF$30="Media",'Riesgos de Gestión'!$AH$30="Menor"),CONCATENATE("R3C",'Riesgos de Gestión'!$V$30),"")</f>
        <v/>
      </c>
      <c r="V28" s="50" t="str">
        <f>IF(AND('Riesgos de Gestión'!$AF$25="Media",'Riesgos de Gestión'!$AH$25="Moderado"),CONCATENATE("R3C",'Riesgos de Gestión'!$V$25),"")</f>
        <v/>
      </c>
      <c r="W28" s="51" t="str">
        <f>IF(AND('Riesgos de Gestión'!$AF$26="Media",'Riesgos de Gestión'!$AH$26="Moderado"),CONCATENATE("R3C",'Riesgos de Gestión'!$V$26),"")</f>
        <v/>
      </c>
      <c r="X28" s="51" t="str">
        <f>IF(AND('Riesgos de Gestión'!$AF$27="Media",'Riesgos de Gestión'!$AH$27="Moderado"),CONCATENATE("R3C",'Riesgos de Gestión'!$V$27),"")</f>
        <v/>
      </c>
      <c r="Y28" s="51" t="str">
        <f>IF(AND('Riesgos de Gestión'!$AF$28="Media",'Riesgos de Gestión'!$AH$28="Moderado"),CONCATENATE("R3C",'Riesgos de Gestión'!$V$28),"")</f>
        <v/>
      </c>
      <c r="Z28" s="51" t="str">
        <f>IF(AND('Riesgos de Gestión'!$AF$29="Media",'Riesgos de Gestión'!$AH$29="Moderado"),CONCATENATE("R3C",'Riesgos de Gestión'!$V$29),"")</f>
        <v/>
      </c>
      <c r="AA28" s="52" t="str">
        <f>IF(AND('Riesgos de Gestión'!$AF$30="Media",'Riesgos de Gestión'!$AH$30="Moderado"),CONCATENATE("R3C",'Riesgos de Gestión'!$V$30),"")</f>
        <v/>
      </c>
      <c r="AB28" s="35" t="str">
        <f>IF(AND('Riesgos de Gestión'!$AF$25="Media",'Riesgos de Gestión'!$AH$25="Mayor"),CONCATENATE("R3C",'Riesgos de Gestión'!$V$25),"")</f>
        <v/>
      </c>
      <c r="AC28" s="36" t="str">
        <f>IF(AND('Riesgos de Gestión'!$AF$26="Media",'Riesgos de Gestión'!$AH$26="Mayor"),CONCATENATE("R3C",'Riesgos de Gestión'!$V$26),"")</f>
        <v/>
      </c>
      <c r="AD28" s="36" t="str">
        <f>IF(AND('Riesgos de Gestión'!$AF$27="Media",'Riesgos de Gestión'!$AH$27="Mayor"),CONCATENATE("R3C",'Riesgos de Gestión'!$V$27),"")</f>
        <v/>
      </c>
      <c r="AE28" s="36" t="str">
        <f>IF(AND('Riesgos de Gestión'!$AF$28="Media",'Riesgos de Gestión'!$AH$28="Mayor"),CONCATENATE("R3C",'Riesgos de Gestión'!$V$28),"")</f>
        <v/>
      </c>
      <c r="AF28" s="36" t="str">
        <f>IF(AND('Riesgos de Gestión'!$AF$29="Media",'Riesgos de Gestión'!$AH$29="Mayor"),CONCATENATE("R3C",'Riesgos de Gestión'!$V$29),"")</f>
        <v/>
      </c>
      <c r="AG28" s="37" t="str">
        <f>IF(AND('Riesgos de Gestión'!$AF$30="Media",'Riesgos de Gestión'!$AH$30="Mayor"),CONCATENATE("R3C",'Riesgos de Gestión'!$V$30),"")</f>
        <v/>
      </c>
      <c r="AH28" s="38" t="str">
        <f>IF(AND('Riesgos de Gestión'!$AF$25="Media",'Riesgos de Gestión'!$AH$25="Catastrófico"),CONCATENATE("R3C",'Riesgos de Gestión'!$V$25),"")</f>
        <v/>
      </c>
      <c r="AI28" s="39" t="str">
        <f>IF(AND('Riesgos de Gestión'!$AF$26="Media",'Riesgos de Gestión'!$AH$26="Catastrófico"),CONCATENATE("R3C",'Riesgos de Gestión'!$V$26),"")</f>
        <v/>
      </c>
      <c r="AJ28" s="39" t="str">
        <f>IF(AND('Riesgos de Gestión'!$AF$27="Media",'Riesgos de Gestión'!$AH$27="Catastrófico"),CONCATENATE("R3C",'Riesgos de Gestión'!$V$27),"")</f>
        <v/>
      </c>
      <c r="AK28" s="39" t="str">
        <f>IF(AND('Riesgos de Gestión'!$AF$28="Media",'Riesgos de Gestión'!$AH$28="Catastrófico"),CONCATENATE("R3C",'Riesgos de Gestión'!$V$28),"")</f>
        <v/>
      </c>
      <c r="AL28" s="39" t="str">
        <f>IF(AND('Riesgos de Gestión'!$AF$29="Media",'Riesgos de Gestión'!$AH$29="Catastrófico"),CONCATENATE("R3C",'Riesgos de Gestión'!$V$29),"")</f>
        <v/>
      </c>
      <c r="AM28" s="40" t="str">
        <f>IF(AND('Riesgos de Gestión'!$AF$30="Media",'Riesgos de Gestión'!$AH$30="Catastrófico"),CONCATENATE("R3C",'Riesgos de Gestión'!$V$30),"")</f>
        <v/>
      </c>
      <c r="AN28" s="66"/>
      <c r="AO28" s="591"/>
      <c r="AP28" s="592"/>
      <c r="AQ28" s="592"/>
      <c r="AR28" s="592"/>
      <c r="AS28" s="592"/>
      <c r="AT28" s="593"/>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510"/>
      <c r="C29" s="510"/>
      <c r="D29" s="511"/>
      <c r="E29" s="551"/>
      <c r="F29" s="552"/>
      <c r="G29" s="552"/>
      <c r="H29" s="552"/>
      <c r="I29" s="553"/>
      <c r="J29" s="50" t="str">
        <f>IF(AND('Riesgos de Gestión'!$AF$31="Media",'Riesgos de Gestión'!$AH$31="Leve"),CONCATENATE("R4C",'Riesgos de Gestión'!$V$31),"")</f>
        <v/>
      </c>
      <c r="K29" s="51" t="str">
        <f>IF(AND('Riesgos de Gestión'!$AF$32="Media",'Riesgos de Gestión'!$AH$32="Leve"),CONCATENATE("R4C",'Riesgos de Gestión'!$V$32),"")</f>
        <v/>
      </c>
      <c r="L29" s="51" t="str">
        <f>IF(AND('Riesgos de Gestión'!$AF$33="Media",'Riesgos de Gestión'!$AH$33="Leve"),CONCATENATE("R4C",'Riesgos de Gestión'!$V$33),"")</f>
        <v/>
      </c>
      <c r="M29" s="51" t="str">
        <f>IF(AND('Riesgos de Gestión'!$AF$34="Media",'Riesgos de Gestión'!$AH$34="Leve"),CONCATENATE("R4C",'Riesgos de Gestión'!$V$34),"")</f>
        <v/>
      </c>
      <c r="N29" s="51" t="str">
        <f>IF(AND('Riesgos de Gestión'!$AF$35="Media",'Riesgos de Gestión'!$AH$35="Leve"),CONCATENATE("R4C",'Riesgos de Gestión'!$V$35),"")</f>
        <v/>
      </c>
      <c r="O29" s="52" t="str">
        <f>IF(AND('Riesgos de Gestión'!$AF$36="Media",'Riesgos de Gestión'!$AH$36="Leve"),CONCATENATE("R4C",'Riesgos de Gestión'!$V$36),"")</f>
        <v/>
      </c>
      <c r="P29" s="50" t="str">
        <f>IF(AND('Riesgos de Gestión'!$AF$31="Media",'Riesgos de Gestión'!$AH$31="Menor"),CONCATENATE("R4C",'Riesgos de Gestión'!$V$31),"")</f>
        <v/>
      </c>
      <c r="Q29" s="51" t="str">
        <f>IF(AND('Riesgos de Gestión'!$AF$32="Media",'Riesgos de Gestión'!$AH$32="Menor"),CONCATENATE("R4C",'Riesgos de Gestión'!$V$32),"")</f>
        <v/>
      </c>
      <c r="R29" s="51" t="str">
        <f>IF(AND('Riesgos de Gestión'!$AF$33="Media",'Riesgos de Gestión'!$AH$33="Menor"),CONCATENATE("R4C",'Riesgos de Gestión'!$V$33),"")</f>
        <v/>
      </c>
      <c r="S29" s="51" t="str">
        <f>IF(AND('Riesgos de Gestión'!$AF$34="Media",'Riesgos de Gestión'!$AH$34="Menor"),CONCATENATE("R4C",'Riesgos de Gestión'!$V$34),"")</f>
        <v/>
      </c>
      <c r="T29" s="51" t="str">
        <f>IF(AND('Riesgos de Gestión'!$AF$35="Media",'Riesgos de Gestión'!$AH$35="Menor"),CONCATENATE("R4C",'Riesgos de Gestión'!$V$35),"")</f>
        <v/>
      </c>
      <c r="U29" s="52" t="str">
        <f>IF(AND('Riesgos de Gestión'!$AF$36="Media",'Riesgos de Gestión'!$AH$36="Menor"),CONCATENATE("R4C",'Riesgos de Gestión'!$V$36),"")</f>
        <v/>
      </c>
      <c r="V29" s="50" t="str">
        <f>IF(AND('Riesgos de Gestión'!$AF$31="Media",'Riesgos de Gestión'!$AH$31="Moderado"),CONCATENATE("R4C",'Riesgos de Gestión'!$V$31),"")</f>
        <v/>
      </c>
      <c r="W29" s="51" t="str">
        <f>IF(AND('Riesgos de Gestión'!$AF$32="Media",'Riesgos de Gestión'!$AH$32="Moderado"),CONCATENATE("R4C",'Riesgos de Gestión'!$V$32),"")</f>
        <v/>
      </c>
      <c r="X29" s="51" t="str">
        <f>IF(AND('Riesgos de Gestión'!$AF$33="Media",'Riesgos de Gestión'!$AH$33="Moderado"),CONCATENATE("R4C",'Riesgos de Gestión'!$V$33),"")</f>
        <v/>
      </c>
      <c r="Y29" s="51" t="str">
        <f>IF(AND('Riesgos de Gestión'!$AF$34="Media",'Riesgos de Gestión'!$AH$34="Moderado"),CONCATENATE("R4C",'Riesgos de Gestión'!$V$34),"")</f>
        <v/>
      </c>
      <c r="Z29" s="51" t="str">
        <f>IF(AND('Riesgos de Gestión'!$AF$35="Media",'Riesgos de Gestión'!$AH$35="Moderado"),CONCATENATE("R4C",'Riesgos de Gestión'!$V$35),"")</f>
        <v/>
      </c>
      <c r="AA29" s="52" t="str">
        <f>IF(AND('Riesgos de Gestión'!$AF$36="Media",'Riesgos de Gestión'!$AH$36="Moderado"),CONCATENATE("R4C",'Riesgos de Gestión'!$V$36),"")</f>
        <v/>
      </c>
      <c r="AB29" s="35" t="str">
        <f>IF(AND('Riesgos de Gestión'!$AF$31="Media",'Riesgos de Gestión'!$AH$31="Mayor"),CONCATENATE("R4C",'Riesgos de Gestión'!$V$31),"")</f>
        <v/>
      </c>
      <c r="AC29" s="36" t="str">
        <f>IF(AND('Riesgos de Gestión'!$AF$32="Media",'Riesgos de Gestión'!$AH$32="Mayor"),CONCATENATE("R4C",'Riesgos de Gestión'!$V$32),"")</f>
        <v/>
      </c>
      <c r="AD29" s="36" t="str">
        <f>IF(AND('Riesgos de Gestión'!$AF$33="Media",'Riesgos de Gestión'!$AH$33="Mayor"),CONCATENATE("R4C",'Riesgos de Gestión'!$V$33),"")</f>
        <v/>
      </c>
      <c r="AE29" s="36" t="str">
        <f>IF(AND('Riesgos de Gestión'!$AF$34="Media",'Riesgos de Gestión'!$AH$34="Mayor"),CONCATENATE("R4C",'Riesgos de Gestión'!$V$34),"")</f>
        <v/>
      </c>
      <c r="AF29" s="36" t="str">
        <f>IF(AND('Riesgos de Gestión'!$AF$35="Media",'Riesgos de Gestión'!$AH$35="Mayor"),CONCATENATE("R4C",'Riesgos de Gestión'!$V$35),"")</f>
        <v/>
      </c>
      <c r="AG29" s="37" t="str">
        <f>IF(AND('Riesgos de Gestión'!$AF$36="Media",'Riesgos de Gestión'!$AH$36="Mayor"),CONCATENATE("R4C",'Riesgos de Gestión'!$V$36),"")</f>
        <v/>
      </c>
      <c r="AH29" s="38" t="str">
        <f>IF(AND('Riesgos de Gestión'!$AF$31="Media",'Riesgos de Gestión'!$AH$31="Catastrófico"),CONCATENATE("R4C",'Riesgos de Gestión'!$V$31),"")</f>
        <v/>
      </c>
      <c r="AI29" s="39" t="str">
        <f>IF(AND('Riesgos de Gestión'!$AF$32="Media",'Riesgos de Gestión'!$AH$32="Catastrófico"),CONCATENATE("R4C",'Riesgos de Gestión'!$V$32),"")</f>
        <v/>
      </c>
      <c r="AJ29" s="39" t="str">
        <f>IF(AND('Riesgos de Gestión'!$AF$33="Media",'Riesgos de Gestión'!$AH$33="Catastrófico"),CONCATENATE("R4C",'Riesgos de Gestión'!$V$33),"")</f>
        <v/>
      </c>
      <c r="AK29" s="39" t="str">
        <f>IF(AND('Riesgos de Gestión'!$AF$34="Media",'Riesgos de Gestión'!$AH$34="Catastrófico"),CONCATENATE("R4C",'Riesgos de Gestión'!$V$34),"")</f>
        <v/>
      </c>
      <c r="AL29" s="39" t="str">
        <f>IF(AND('Riesgos de Gestión'!$AF$35="Media",'Riesgos de Gestión'!$AH$35="Catastrófico"),CONCATENATE("R4C",'Riesgos de Gestión'!$V$35),"")</f>
        <v/>
      </c>
      <c r="AM29" s="40" t="str">
        <f>IF(AND('Riesgos de Gestión'!$AF$36="Media",'Riesgos de Gestión'!$AH$36="Catastrófico"),CONCATENATE("R4C",'Riesgos de Gestión'!$V$36),"")</f>
        <v/>
      </c>
      <c r="AN29" s="66"/>
      <c r="AO29" s="591"/>
      <c r="AP29" s="592"/>
      <c r="AQ29" s="592"/>
      <c r="AR29" s="592"/>
      <c r="AS29" s="592"/>
      <c r="AT29" s="593"/>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510"/>
      <c r="C30" s="510"/>
      <c r="D30" s="511"/>
      <c r="E30" s="551"/>
      <c r="F30" s="552"/>
      <c r="G30" s="552"/>
      <c r="H30" s="552"/>
      <c r="I30" s="553"/>
      <c r="J30" s="50" t="str">
        <f>IF(AND('Riesgos de Gestión'!$AF$37="Media",'Riesgos de Gestión'!$AH$37="Leve"),CONCATENATE("R5C",'Riesgos de Gestión'!$V$37),"")</f>
        <v/>
      </c>
      <c r="K30" s="51" t="str">
        <f>IF(AND('Riesgos de Gestión'!$AF$38="Media",'Riesgos de Gestión'!$AH$38="Leve"),CONCATENATE("R5C",'Riesgos de Gestión'!$V$38),"")</f>
        <v/>
      </c>
      <c r="L30" s="51" t="str">
        <f>IF(AND('Riesgos de Gestión'!$AF$39="Media",'Riesgos de Gestión'!$AH$39="Leve"),CONCATENATE("R5C",'Riesgos de Gestión'!$V$39),"")</f>
        <v/>
      </c>
      <c r="M30" s="51" t="str">
        <f>IF(AND('Riesgos de Gestión'!$AF$40="Media",'Riesgos de Gestión'!$AH$40="Leve"),CONCATENATE("R5C",'Riesgos de Gestión'!$V$40),"")</f>
        <v/>
      </c>
      <c r="N30" s="51" t="str">
        <f>IF(AND('Riesgos de Gestión'!$AF$41="Media",'Riesgos de Gestión'!$AH$41="Leve"),CONCATENATE("R5C",'Riesgos de Gestión'!$V$41),"")</f>
        <v/>
      </c>
      <c r="O30" s="52" t="str">
        <f>IF(AND('Riesgos de Gestión'!$AF$42="Media",'Riesgos de Gestión'!$AH$42="Leve"),CONCATENATE("R5C",'Riesgos de Gestión'!$V$42),"")</f>
        <v/>
      </c>
      <c r="P30" s="50" t="str">
        <f>IF(AND('Riesgos de Gestión'!$AF$37="Media",'Riesgos de Gestión'!$AH$37="Menor"),CONCATENATE("R5C",'Riesgos de Gestión'!$V$37),"")</f>
        <v/>
      </c>
      <c r="Q30" s="51" t="str">
        <f>IF(AND('Riesgos de Gestión'!$AF$38="Media",'Riesgos de Gestión'!$AH$38="Menor"),CONCATENATE("R5C",'Riesgos de Gestión'!$V$38),"")</f>
        <v/>
      </c>
      <c r="R30" s="51" t="str">
        <f>IF(AND('Riesgos de Gestión'!$AF$39="Media",'Riesgos de Gestión'!$AH$39="Menor"),CONCATENATE("R5C",'Riesgos de Gestión'!$V$39),"")</f>
        <v/>
      </c>
      <c r="S30" s="51" t="str">
        <f>IF(AND('Riesgos de Gestión'!$AF$40="Media",'Riesgos de Gestión'!$AH$40="Menor"),CONCATENATE("R5C",'Riesgos de Gestión'!$V$40),"")</f>
        <v/>
      </c>
      <c r="T30" s="51" t="str">
        <f>IF(AND('Riesgos de Gestión'!$AF$41="Media",'Riesgos de Gestión'!$AH$41="Menor"),CONCATENATE("R5C",'Riesgos de Gestión'!$V$41),"")</f>
        <v/>
      </c>
      <c r="U30" s="52" t="str">
        <f>IF(AND('Riesgos de Gestión'!$AF$42="Media",'Riesgos de Gestión'!$AH$42="Menor"),CONCATENATE("R5C",'Riesgos de Gestión'!$V$42),"")</f>
        <v/>
      </c>
      <c r="V30" s="50" t="str">
        <f>IF(AND('Riesgos de Gestión'!$AF$37="Media",'Riesgos de Gestión'!$AH$37="Moderado"),CONCATENATE("R5C",'Riesgos de Gestión'!$V$37),"")</f>
        <v/>
      </c>
      <c r="W30" s="51" t="str">
        <f>IF(AND('Riesgos de Gestión'!$AF$38="Media",'Riesgos de Gestión'!$AH$38="Moderado"),CONCATENATE("R5C",'Riesgos de Gestión'!$V$38),"")</f>
        <v/>
      </c>
      <c r="X30" s="51" t="str">
        <f>IF(AND('Riesgos de Gestión'!$AF$39="Media",'Riesgos de Gestión'!$AH$39="Moderado"),CONCATENATE("R5C",'Riesgos de Gestión'!$V$39),"")</f>
        <v/>
      </c>
      <c r="Y30" s="51" t="str">
        <f>IF(AND('Riesgos de Gestión'!$AF$40="Media",'Riesgos de Gestión'!$AH$40="Moderado"),CONCATENATE("R5C",'Riesgos de Gestión'!$V$40),"")</f>
        <v/>
      </c>
      <c r="Z30" s="51" t="str">
        <f>IF(AND('Riesgos de Gestión'!$AF$41="Media",'Riesgos de Gestión'!$AH$41="Moderado"),CONCATENATE("R5C",'Riesgos de Gestión'!$V$41),"")</f>
        <v/>
      </c>
      <c r="AA30" s="52" t="str">
        <f>IF(AND('Riesgos de Gestión'!$AF$42="Media",'Riesgos de Gestión'!$AH$42="Moderado"),CONCATENATE("R5C",'Riesgos de Gestión'!$V$42),"")</f>
        <v/>
      </c>
      <c r="AB30" s="35" t="str">
        <f>IF(AND('Riesgos de Gestión'!$AF$37="Media",'Riesgos de Gestión'!$AH$37="Mayor"),CONCATENATE("R5C",'Riesgos de Gestión'!$V$37),"")</f>
        <v/>
      </c>
      <c r="AC30" s="36" t="str">
        <f>IF(AND('Riesgos de Gestión'!$AF$38="Media",'Riesgos de Gestión'!$AH$38="Mayor"),CONCATENATE("R5C",'Riesgos de Gestión'!$V$38),"")</f>
        <v/>
      </c>
      <c r="AD30" s="36" t="str">
        <f>IF(AND('Riesgos de Gestión'!$AF$39="Media",'Riesgos de Gestión'!$AH$39="Mayor"),CONCATENATE("R5C",'Riesgos de Gestión'!$V$39),"")</f>
        <v/>
      </c>
      <c r="AE30" s="36" t="str">
        <f>IF(AND('Riesgos de Gestión'!$AF$40="Media",'Riesgos de Gestión'!$AH$40="Mayor"),CONCATENATE("R5C",'Riesgos de Gestión'!$V$40),"")</f>
        <v/>
      </c>
      <c r="AF30" s="36" t="str">
        <f>IF(AND('Riesgos de Gestión'!$AF$41="Media",'Riesgos de Gestión'!$AH$41="Mayor"),CONCATENATE("R5C",'Riesgos de Gestión'!$V$41),"")</f>
        <v/>
      </c>
      <c r="AG30" s="37" t="str">
        <f>IF(AND('Riesgos de Gestión'!$AF$42="Media",'Riesgos de Gestión'!$AH$42="Mayor"),CONCATENATE("R5C",'Riesgos de Gestión'!$V$42),"")</f>
        <v/>
      </c>
      <c r="AH30" s="38" t="str">
        <f>IF(AND('Riesgos de Gestión'!$AF$37="Media",'Riesgos de Gestión'!$AH$37="Catastrófico"),CONCATENATE("R5C",'Riesgos de Gestión'!$V$37),"")</f>
        <v/>
      </c>
      <c r="AI30" s="39" t="str">
        <f>IF(AND('Riesgos de Gestión'!$AF$38="Media",'Riesgos de Gestión'!$AH$38="Catastrófico"),CONCATENATE("R5C",'Riesgos de Gestión'!$V$38),"")</f>
        <v/>
      </c>
      <c r="AJ30" s="39" t="str">
        <f>IF(AND('Riesgos de Gestión'!$AF$39="Media",'Riesgos de Gestión'!$AH$39="Catastrófico"),CONCATENATE("R5C",'Riesgos de Gestión'!$V$39),"")</f>
        <v/>
      </c>
      <c r="AK30" s="39" t="str">
        <f>IF(AND('Riesgos de Gestión'!$AF$40="Media",'Riesgos de Gestión'!$AH$40="Catastrófico"),CONCATENATE("R5C",'Riesgos de Gestión'!$V$40),"")</f>
        <v/>
      </c>
      <c r="AL30" s="39" t="str">
        <f>IF(AND('Riesgos de Gestión'!$AF$41="Media",'Riesgos de Gestión'!$AH$41="Catastrófico"),CONCATENATE("R5C",'Riesgos de Gestión'!$V$41),"")</f>
        <v/>
      </c>
      <c r="AM30" s="40" t="str">
        <f>IF(AND('Riesgos de Gestión'!$AF$42="Media",'Riesgos de Gestión'!$AH$42="Catastrófico"),CONCATENATE("R5C",'Riesgos de Gestión'!$V$42),"")</f>
        <v/>
      </c>
      <c r="AN30" s="66"/>
      <c r="AO30" s="591"/>
      <c r="AP30" s="592"/>
      <c r="AQ30" s="592"/>
      <c r="AR30" s="592"/>
      <c r="AS30" s="592"/>
      <c r="AT30" s="593"/>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510"/>
      <c r="C31" s="510"/>
      <c r="D31" s="511"/>
      <c r="E31" s="551"/>
      <c r="F31" s="552"/>
      <c r="G31" s="552"/>
      <c r="H31" s="552"/>
      <c r="I31" s="553"/>
      <c r="J31" s="50" t="str">
        <f>IF(AND('Riesgos de Gestión'!$AF$43="Media",'Riesgos de Gestión'!$AH$43="Leve"),CONCATENATE("R6C",'Riesgos de Gestión'!$V$43),"")</f>
        <v/>
      </c>
      <c r="K31" s="51" t="str">
        <f>IF(AND('Riesgos de Gestión'!$AF$44="Media",'Riesgos de Gestión'!$AH$44="Leve"),CONCATENATE("R6C",'Riesgos de Gestión'!$V$44),"")</f>
        <v/>
      </c>
      <c r="L31" s="51" t="str">
        <f>IF(AND('Riesgos de Gestión'!$AF$45="Media",'Riesgos de Gestión'!$AH$45="Leve"),CONCATENATE("R6C",'Riesgos de Gestión'!$V$45),"")</f>
        <v/>
      </c>
      <c r="M31" s="51" t="str">
        <f>IF(AND('Riesgos de Gestión'!$AF$46="Media",'Riesgos de Gestión'!$AH$46="Leve"),CONCATENATE("R6C",'Riesgos de Gestión'!$V$46),"")</f>
        <v/>
      </c>
      <c r="N31" s="51" t="str">
        <f>IF(AND('Riesgos de Gestión'!$AF$47="Media",'Riesgos de Gestión'!$AH$47="Leve"),CONCATENATE("R6C",'Riesgos de Gestión'!$V$47),"")</f>
        <v/>
      </c>
      <c r="O31" s="52" t="str">
        <f>IF(AND('Riesgos de Gestión'!$AF$48="Media",'Riesgos de Gestión'!$AH$48="Leve"),CONCATENATE("R6C",'Riesgos de Gestión'!$V$48),"")</f>
        <v/>
      </c>
      <c r="P31" s="50" t="str">
        <f>IF(AND('Riesgos de Gestión'!$AF$43="Media",'Riesgos de Gestión'!$AH$43="Menor"),CONCATENATE("R6C",'Riesgos de Gestión'!$V$43),"")</f>
        <v/>
      </c>
      <c r="Q31" s="51" t="str">
        <f>IF(AND('Riesgos de Gestión'!$AF$44="Media",'Riesgos de Gestión'!$AH$44="Menor"),CONCATENATE("R6C",'Riesgos de Gestión'!$V$44),"")</f>
        <v/>
      </c>
      <c r="R31" s="51" t="str">
        <f>IF(AND('Riesgos de Gestión'!$AF$45="Media",'Riesgos de Gestión'!$AH$45="Menor"),CONCATENATE("R6C",'Riesgos de Gestión'!$V$45),"")</f>
        <v/>
      </c>
      <c r="S31" s="51" t="str">
        <f>IF(AND('Riesgos de Gestión'!$AF$46="Media",'Riesgos de Gestión'!$AH$46="Menor"),CONCATENATE("R6C",'Riesgos de Gestión'!$V$46),"")</f>
        <v/>
      </c>
      <c r="T31" s="51" t="str">
        <f>IF(AND('Riesgos de Gestión'!$AF$47="Media",'Riesgos de Gestión'!$AH$47="Menor"),CONCATENATE("R6C",'Riesgos de Gestión'!$V$47),"")</f>
        <v/>
      </c>
      <c r="U31" s="52" t="str">
        <f>IF(AND('Riesgos de Gestión'!$AF$48="Media",'Riesgos de Gestión'!$AH$48="Menor"),CONCATENATE("R6C",'Riesgos de Gestión'!$V$48),"")</f>
        <v/>
      </c>
      <c r="V31" s="50" t="str">
        <f>IF(AND('Riesgos de Gestión'!$AF$43="Media",'Riesgos de Gestión'!$AH$43="Moderado"),CONCATENATE("R6C",'Riesgos de Gestión'!$V$43),"")</f>
        <v/>
      </c>
      <c r="W31" s="51" t="str">
        <f>IF(AND('Riesgos de Gestión'!$AF$44="Media",'Riesgos de Gestión'!$AH$44="Moderado"),CONCATENATE("R6C",'Riesgos de Gestión'!$V$44),"")</f>
        <v/>
      </c>
      <c r="X31" s="51" t="str">
        <f>IF(AND('Riesgos de Gestión'!$AF$45="Media",'Riesgos de Gestión'!$AH$45="Moderado"),CONCATENATE("R6C",'Riesgos de Gestión'!$V$45),"")</f>
        <v/>
      </c>
      <c r="Y31" s="51" t="str">
        <f>IF(AND('Riesgos de Gestión'!$AF$46="Media",'Riesgos de Gestión'!$AH$46="Moderado"),CONCATENATE("R6C",'Riesgos de Gestión'!$V$46),"")</f>
        <v/>
      </c>
      <c r="Z31" s="51" t="str">
        <f>IF(AND('Riesgos de Gestión'!$AF$47="Media",'Riesgos de Gestión'!$AH$47="Moderado"),CONCATENATE("R6C",'Riesgos de Gestión'!$V$47),"")</f>
        <v/>
      </c>
      <c r="AA31" s="52" t="str">
        <f>IF(AND('Riesgos de Gestión'!$AF$48="Media",'Riesgos de Gestión'!$AH$48="Moderado"),CONCATENATE("R6C",'Riesgos de Gestión'!$V$48),"")</f>
        <v/>
      </c>
      <c r="AB31" s="35" t="str">
        <f>IF(AND('Riesgos de Gestión'!$AF$43="Media",'Riesgos de Gestión'!$AH$43="Mayor"),CONCATENATE("R6C",'Riesgos de Gestión'!$V$43),"")</f>
        <v/>
      </c>
      <c r="AC31" s="36" t="str">
        <f>IF(AND('Riesgos de Gestión'!$AF$44="Media",'Riesgos de Gestión'!$AH$44="Mayor"),CONCATENATE("R6C",'Riesgos de Gestión'!$V$44),"")</f>
        <v/>
      </c>
      <c r="AD31" s="36" t="str">
        <f>IF(AND('Riesgos de Gestión'!$AF$45="Media",'Riesgos de Gestión'!$AH$45="Mayor"),CONCATENATE("R6C",'Riesgos de Gestión'!$V$45),"")</f>
        <v/>
      </c>
      <c r="AE31" s="36" t="str">
        <f>IF(AND('Riesgos de Gestión'!$AF$46="Media",'Riesgos de Gestión'!$AH$46="Mayor"),CONCATENATE("R6C",'Riesgos de Gestión'!$V$46),"")</f>
        <v/>
      </c>
      <c r="AF31" s="36" t="str">
        <f>IF(AND('Riesgos de Gestión'!$AF$47="Media",'Riesgos de Gestión'!$AH$47="Mayor"),CONCATENATE("R6C",'Riesgos de Gestión'!$V$47),"")</f>
        <v/>
      </c>
      <c r="AG31" s="37" t="str">
        <f>IF(AND('Riesgos de Gestión'!$AF$48="Media",'Riesgos de Gestión'!$AH$48="Mayor"),CONCATENATE("R6C",'Riesgos de Gestión'!$V$48),"")</f>
        <v/>
      </c>
      <c r="AH31" s="38" t="str">
        <f>IF(AND('Riesgos de Gestión'!$AF$43="Media",'Riesgos de Gestión'!$AH$43="Catastrófico"),CONCATENATE("R6C",'Riesgos de Gestión'!$V$43),"")</f>
        <v/>
      </c>
      <c r="AI31" s="39" t="str">
        <f>IF(AND('Riesgos de Gestión'!$AF$44="Media",'Riesgos de Gestión'!$AH$44="Catastrófico"),CONCATENATE("R6C",'Riesgos de Gestión'!$V$44),"")</f>
        <v/>
      </c>
      <c r="AJ31" s="39" t="str">
        <f>IF(AND('Riesgos de Gestión'!$AF$45="Media",'Riesgos de Gestión'!$AH$45="Catastrófico"),CONCATENATE("R6C",'Riesgos de Gestión'!$V$45),"")</f>
        <v/>
      </c>
      <c r="AK31" s="39" t="str">
        <f>IF(AND('Riesgos de Gestión'!$AF$46="Media",'Riesgos de Gestión'!$AH$46="Catastrófico"),CONCATENATE("R6C",'Riesgos de Gestión'!$V$46),"")</f>
        <v/>
      </c>
      <c r="AL31" s="39" t="str">
        <f>IF(AND('Riesgos de Gestión'!$AF$47="Media",'Riesgos de Gestión'!$AH$47="Catastrófico"),CONCATENATE("R6C",'Riesgos de Gestión'!$V$47),"")</f>
        <v/>
      </c>
      <c r="AM31" s="40" t="str">
        <f>IF(AND('Riesgos de Gestión'!$AF$48="Media",'Riesgos de Gestión'!$AH$48="Catastrófico"),CONCATENATE("R6C",'Riesgos de Gestión'!$V$48),"")</f>
        <v/>
      </c>
      <c r="AN31" s="66"/>
      <c r="AO31" s="591"/>
      <c r="AP31" s="592"/>
      <c r="AQ31" s="592"/>
      <c r="AR31" s="592"/>
      <c r="AS31" s="592"/>
      <c r="AT31" s="593"/>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510"/>
      <c r="C32" s="510"/>
      <c r="D32" s="511"/>
      <c r="E32" s="551"/>
      <c r="F32" s="552"/>
      <c r="G32" s="552"/>
      <c r="H32" s="552"/>
      <c r="I32" s="553"/>
      <c r="J32" s="50" t="str">
        <f>IF(AND('Riesgos de Gestión'!$AF$49="Media",'Riesgos de Gestión'!$AH$49="Leve"),CONCATENATE("R7C",'Riesgos de Gestión'!$V$49),"")</f>
        <v/>
      </c>
      <c r="K32" s="51" t="str">
        <f>IF(AND('Riesgos de Gestión'!$AF$50="Media",'Riesgos de Gestión'!$AH$50="Leve"),CONCATENATE("R7C",'Riesgos de Gestión'!$V$50),"")</f>
        <v/>
      </c>
      <c r="L32" s="51" t="str">
        <f>IF(AND('Riesgos de Gestión'!$AF$51="Media",'Riesgos de Gestión'!$AH$51="Leve"),CONCATENATE("R7C",'Riesgos de Gestión'!$V$51),"")</f>
        <v/>
      </c>
      <c r="M32" s="51" t="str">
        <f>IF(AND('Riesgos de Gestión'!$AF$52="Media",'Riesgos de Gestión'!$AH$52="Leve"),CONCATENATE("R7C",'Riesgos de Gestión'!$V$52),"")</f>
        <v/>
      </c>
      <c r="N32" s="51" t="str">
        <f>IF(AND('Riesgos de Gestión'!$AF$53="Media",'Riesgos de Gestión'!$AH$53="Leve"),CONCATENATE("R7C",'Riesgos de Gestión'!$V$53),"")</f>
        <v/>
      </c>
      <c r="O32" s="52" t="str">
        <f>IF(AND('Riesgos de Gestión'!$AF$54="Media",'Riesgos de Gestión'!$AH$54="Leve"),CONCATENATE("R7C",'Riesgos de Gestión'!$V$54),"")</f>
        <v/>
      </c>
      <c r="P32" s="50" t="str">
        <f>IF(AND('Riesgos de Gestión'!$AF$49="Media",'Riesgos de Gestión'!$AH$49="Menor"),CONCATENATE("R7C",'Riesgos de Gestión'!$V$49),"")</f>
        <v/>
      </c>
      <c r="Q32" s="51" t="str">
        <f>IF(AND('Riesgos de Gestión'!$AF$50="Media",'Riesgos de Gestión'!$AH$50="Menor"),CONCATENATE("R7C",'Riesgos de Gestión'!$V$50),"")</f>
        <v/>
      </c>
      <c r="R32" s="51" t="str">
        <f>IF(AND('Riesgos de Gestión'!$AF$51="Media",'Riesgos de Gestión'!$AH$51="Menor"),CONCATENATE("R7C",'Riesgos de Gestión'!$V$51),"")</f>
        <v/>
      </c>
      <c r="S32" s="51" t="str">
        <f>IF(AND('Riesgos de Gestión'!$AF$52="Media",'Riesgos de Gestión'!$AH$52="Menor"),CONCATENATE("R7C",'Riesgos de Gestión'!$V$52),"")</f>
        <v/>
      </c>
      <c r="T32" s="51" t="str">
        <f>IF(AND('Riesgos de Gestión'!$AF$53="Media",'Riesgos de Gestión'!$AH$53="Menor"),CONCATENATE("R7C",'Riesgos de Gestión'!$V$53),"")</f>
        <v/>
      </c>
      <c r="U32" s="52" t="str">
        <f>IF(AND('Riesgos de Gestión'!$AF$54="Media",'Riesgos de Gestión'!$AH$54="Menor"),CONCATENATE("R7C",'Riesgos de Gestión'!$V$54),"")</f>
        <v/>
      </c>
      <c r="V32" s="50" t="str">
        <f>IF(AND('Riesgos de Gestión'!$AF$49="Media",'Riesgos de Gestión'!$AH$49="Moderado"),CONCATENATE("R7C",'Riesgos de Gestión'!$V$49),"")</f>
        <v/>
      </c>
      <c r="W32" s="51" t="str">
        <f>IF(AND('Riesgos de Gestión'!$AF$50="Media",'Riesgos de Gestión'!$AH$50="Moderado"),CONCATENATE("R7C",'Riesgos de Gestión'!$V$50),"")</f>
        <v/>
      </c>
      <c r="X32" s="51" t="str">
        <f>IF(AND('Riesgos de Gestión'!$AF$51="Media",'Riesgos de Gestión'!$AH$51="Moderado"),CONCATENATE("R7C",'Riesgos de Gestión'!$V$51),"")</f>
        <v/>
      </c>
      <c r="Y32" s="51" t="str">
        <f>IF(AND('Riesgos de Gestión'!$AF$52="Media",'Riesgos de Gestión'!$AH$52="Moderado"),CONCATENATE("R7C",'Riesgos de Gestión'!$V$52),"")</f>
        <v/>
      </c>
      <c r="Z32" s="51" t="str">
        <f>IF(AND('Riesgos de Gestión'!$AF$53="Media",'Riesgos de Gestión'!$AH$53="Moderado"),CONCATENATE("R7C",'Riesgos de Gestión'!$V$53),"")</f>
        <v/>
      </c>
      <c r="AA32" s="52" t="str">
        <f>IF(AND('Riesgos de Gestión'!$AF$54="Media",'Riesgos de Gestión'!$AH$54="Moderado"),CONCATENATE("R7C",'Riesgos de Gestión'!$V$54),"")</f>
        <v/>
      </c>
      <c r="AB32" s="35" t="str">
        <f>IF(AND('Riesgos de Gestión'!$AF$49="Media",'Riesgos de Gestión'!$AH$49="Mayor"),CONCATENATE("R7C",'Riesgos de Gestión'!$V$49),"")</f>
        <v/>
      </c>
      <c r="AC32" s="36" t="str">
        <f>IF(AND('Riesgos de Gestión'!$AF$50="Media",'Riesgos de Gestión'!$AH$50="Mayor"),CONCATENATE("R7C",'Riesgos de Gestión'!$V$50),"")</f>
        <v/>
      </c>
      <c r="AD32" s="36" t="str">
        <f>IF(AND('Riesgos de Gestión'!$AF$51="Media",'Riesgos de Gestión'!$AH$51="Mayor"),CONCATENATE("R7C",'Riesgos de Gestión'!$V$51),"")</f>
        <v/>
      </c>
      <c r="AE32" s="36" t="str">
        <f>IF(AND('Riesgos de Gestión'!$AF$52="Media",'Riesgos de Gestión'!$AH$52="Mayor"),CONCATENATE("R7C",'Riesgos de Gestión'!$V$52),"")</f>
        <v/>
      </c>
      <c r="AF32" s="36" t="str">
        <f>IF(AND('Riesgos de Gestión'!$AF$53="Media",'Riesgos de Gestión'!$AH$53="Mayor"),CONCATENATE("R7C",'Riesgos de Gestión'!$V$53),"")</f>
        <v/>
      </c>
      <c r="AG32" s="37" t="str">
        <f>IF(AND('Riesgos de Gestión'!$AF$54="Media",'Riesgos de Gestión'!$AH$54="Mayor"),CONCATENATE("R7C",'Riesgos de Gestión'!$V$54),"")</f>
        <v/>
      </c>
      <c r="AH32" s="38" t="str">
        <f>IF(AND('Riesgos de Gestión'!$AF$49="Media",'Riesgos de Gestión'!$AH$49="Catastrófico"),CONCATENATE("R7C",'Riesgos de Gestión'!$V$49),"")</f>
        <v/>
      </c>
      <c r="AI32" s="39" t="str">
        <f>IF(AND('Riesgos de Gestión'!$AF$50="Media",'Riesgos de Gestión'!$AH$50="Catastrófico"),CONCATENATE("R7C",'Riesgos de Gestión'!$V$50),"")</f>
        <v/>
      </c>
      <c r="AJ32" s="39" t="str">
        <f>IF(AND('Riesgos de Gestión'!$AF$51="Media",'Riesgos de Gestión'!$AH$51="Catastrófico"),CONCATENATE("R7C",'Riesgos de Gestión'!$V$51),"")</f>
        <v/>
      </c>
      <c r="AK32" s="39" t="str">
        <f>IF(AND('Riesgos de Gestión'!$AF$52="Media",'Riesgos de Gestión'!$AH$52="Catastrófico"),CONCATENATE("R7C",'Riesgos de Gestión'!$V$52),"")</f>
        <v/>
      </c>
      <c r="AL32" s="39" t="str">
        <f>IF(AND('Riesgos de Gestión'!$AF$53="Media",'Riesgos de Gestión'!$AH$53="Catastrófico"),CONCATENATE("R7C",'Riesgos de Gestión'!$V$53),"")</f>
        <v/>
      </c>
      <c r="AM32" s="40" t="str">
        <f>IF(AND('Riesgos de Gestión'!$AF$54="Media",'Riesgos de Gestión'!$AH$54="Catastrófico"),CONCATENATE("R7C",'Riesgos de Gestión'!$V$54),"")</f>
        <v/>
      </c>
      <c r="AN32" s="66"/>
      <c r="AO32" s="591"/>
      <c r="AP32" s="592"/>
      <c r="AQ32" s="592"/>
      <c r="AR32" s="592"/>
      <c r="AS32" s="592"/>
      <c r="AT32" s="593"/>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510"/>
      <c r="C33" s="510"/>
      <c r="D33" s="511"/>
      <c r="E33" s="551"/>
      <c r="F33" s="552"/>
      <c r="G33" s="552"/>
      <c r="H33" s="552"/>
      <c r="I33" s="553"/>
      <c r="J33" s="50" t="str">
        <f>IF(AND('Riesgos de Gestión'!$AF$55="Media",'Riesgos de Gestión'!$AH$55="Leve"),CONCATENATE("R8C",'Riesgos de Gestión'!$V$55),"")</f>
        <v/>
      </c>
      <c r="K33" s="51" t="str">
        <f>IF(AND('Riesgos de Gestión'!$AF$56="Media",'Riesgos de Gestión'!$AH$56="Leve"),CONCATENATE("R8C",'Riesgos de Gestión'!$V$56),"")</f>
        <v/>
      </c>
      <c r="L33" s="51" t="str">
        <f>IF(AND('Riesgos de Gestión'!$AF$57="Media",'Riesgos de Gestión'!$AH$57="Leve"),CONCATENATE("R8C",'Riesgos de Gestión'!$V$57),"")</f>
        <v/>
      </c>
      <c r="M33" s="51" t="str">
        <f>IF(AND('Riesgos de Gestión'!$AF$58="Media",'Riesgos de Gestión'!$AH$58="Leve"),CONCATENATE("R8C",'Riesgos de Gestión'!$V$58),"")</f>
        <v/>
      </c>
      <c r="N33" s="51" t="str">
        <f>IF(AND('Riesgos de Gestión'!$AF$59="Media",'Riesgos de Gestión'!$AH$59="Leve"),CONCATENATE("R8C",'Riesgos de Gestión'!$V$59),"")</f>
        <v/>
      </c>
      <c r="O33" s="52" t="str">
        <f>IF(AND('Riesgos de Gestión'!$AF$60="Media",'Riesgos de Gestión'!$AH$60="Leve"),CONCATENATE("R8C",'Riesgos de Gestión'!$V$60),"")</f>
        <v/>
      </c>
      <c r="P33" s="50" t="str">
        <f>IF(AND('Riesgos de Gestión'!$AF$55="Media",'Riesgos de Gestión'!$AH$55="Menor"),CONCATENATE("R8C",'Riesgos de Gestión'!$V$55),"")</f>
        <v/>
      </c>
      <c r="Q33" s="51" t="str">
        <f>IF(AND('Riesgos de Gestión'!$AF$56="Media",'Riesgos de Gestión'!$AH$56="Menor"),CONCATENATE("R8C",'Riesgos de Gestión'!$V$56),"")</f>
        <v/>
      </c>
      <c r="R33" s="51" t="str">
        <f>IF(AND('Riesgos de Gestión'!$AF$57="Media",'Riesgos de Gestión'!$AH$57="Menor"),CONCATENATE("R8C",'Riesgos de Gestión'!$V$57),"")</f>
        <v/>
      </c>
      <c r="S33" s="51" t="str">
        <f>IF(AND('Riesgos de Gestión'!$AF$58="Media",'Riesgos de Gestión'!$AH$58="Menor"),CONCATENATE("R8C",'Riesgos de Gestión'!$V$58),"")</f>
        <v/>
      </c>
      <c r="T33" s="51" t="str">
        <f>IF(AND('Riesgos de Gestión'!$AF$59="Media",'Riesgos de Gestión'!$AH$59="Menor"),CONCATENATE("R8C",'Riesgos de Gestión'!$V$59),"")</f>
        <v/>
      </c>
      <c r="U33" s="52" t="str">
        <f>IF(AND('Riesgos de Gestión'!$AF$60="Media",'Riesgos de Gestión'!$AH$60="Menor"),CONCATENATE("R8C",'Riesgos de Gestión'!$V$60),"")</f>
        <v/>
      </c>
      <c r="V33" s="50" t="str">
        <f>IF(AND('Riesgos de Gestión'!$AF$55="Media",'Riesgos de Gestión'!$AH$55="Moderado"),CONCATENATE("R8C",'Riesgos de Gestión'!$V$55),"")</f>
        <v/>
      </c>
      <c r="W33" s="51" t="str">
        <f>IF(AND('Riesgos de Gestión'!$AF$56="Media",'Riesgos de Gestión'!$AH$56="Moderado"),CONCATENATE("R8C",'Riesgos de Gestión'!$V$56),"")</f>
        <v/>
      </c>
      <c r="X33" s="51" t="str">
        <f>IF(AND('Riesgos de Gestión'!$AF$57="Media",'Riesgos de Gestión'!$AH$57="Moderado"),CONCATENATE("R8C",'Riesgos de Gestión'!$V$57),"")</f>
        <v/>
      </c>
      <c r="Y33" s="51" t="str">
        <f>IF(AND('Riesgos de Gestión'!$AF$58="Media",'Riesgos de Gestión'!$AH$58="Moderado"),CONCATENATE("R8C",'Riesgos de Gestión'!$V$58),"")</f>
        <v/>
      </c>
      <c r="Z33" s="51" t="str">
        <f>IF(AND('Riesgos de Gestión'!$AF$59="Media",'Riesgos de Gestión'!$AH$59="Moderado"),CONCATENATE("R8C",'Riesgos de Gestión'!$V$59),"")</f>
        <v/>
      </c>
      <c r="AA33" s="52" t="str">
        <f>IF(AND('Riesgos de Gestión'!$AF$60="Media",'Riesgos de Gestión'!$AH$60="Moderado"),CONCATENATE("R8C",'Riesgos de Gestión'!$V$60),"")</f>
        <v/>
      </c>
      <c r="AB33" s="35" t="str">
        <f>IF(AND('Riesgos de Gestión'!$AF$55="Media",'Riesgos de Gestión'!$AH$55="Mayor"),CONCATENATE("R8C",'Riesgos de Gestión'!$V$55),"")</f>
        <v/>
      </c>
      <c r="AC33" s="36" t="str">
        <f>IF(AND('Riesgos de Gestión'!$AF$56="Media",'Riesgos de Gestión'!$AH$56="Mayor"),CONCATENATE("R8C",'Riesgos de Gestión'!$V$56),"")</f>
        <v/>
      </c>
      <c r="AD33" s="36" t="str">
        <f>IF(AND('Riesgos de Gestión'!$AF$57="Media",'Riesgos de Gestión'!$AH$57="Mayor"),CONCATENATE("R8C",'Riesgos de Gestión'!$V$57),"")</f>
        <v/>
      </c>
      <c r="AE33" s="36" t="str">
        <f>IF(AND('Riesgos de Gestión'!$AF$58="Media",'Riesgos de Gestión'!$AH$58="Mayor"),CONCATENATE("R8C",'Riesgos de Gestión'!$V$58),"")</f>
        <v/>
      </c>
      <c r="AF33" s="36" t="str">
        <f>IF(AND('Riesgos de Gestión'!$AF$59="Media",'Riesgos de Gestión'!$AH$59="Mayor"),CONCATENATE("R8C",'Riesgos de Gestión'!$V$59),"")</f>
        <v/>
      </c>
      <c r="AG33" s="37" t="str">
        <f>IF(AND('Riesgos de Gestión'!$AF$60="Media",'Riesgos de Gestión'!$AH$60="Mayor"),CONCATENATE("R8C",'Riesgos de Gestión'!$V$60),"")</f>
        <v/>
      </c>
      <c r="AH33" s="38" t="str">
        <f>IF(AND('Riesgos de Gestión'!$AF$55="Media",'Riesgos de Gestión'!$AH$55="Catastrófico"),CONCATENATE("R8C",'Riesgos de Gestión'!$V$55),"")</f>
        <v/>
      </c>
      <c r="AI33" s="39" t="str">
        <f>IF(AND('Riesgos de Gestión'!$AF$56="Media",'Riesgos de Gestión'!$AH$56="Catastrófico"),CONCATENATE("R8C",'Riesgos de Gestión'!$V$56),"")</f>
        <v/>
      </c>
      <c r="AJ33" s="39" t="str">
        <f>IF(AND('Riesgos de Gestión'!$AF$57="Media",'Riesgos de Gestión'!$AH$57="Catastrófico"),CONCATENATE("R8C",'Riesgos de Gestión'!$V$57),"")</f>
        <v/>
      </c>
      <c r="AK33" s="39" t="str">
        <f>IF(AND('Riesgos de Gestión'!$AF$58="Media",'Riesgos de Gestión'!$AH$58="Catastrófico"),CONCATENATE("R8C",'Riesgos de Gestión'!$V$58),"")</f>
        <v/>
      </c>
      <c r="AL33" s="39" t="str">
        <f>IF(AND('Riesgos de Gestión'!$AF$59="Media",'Riesgos de Gestión'!$AH$59="Catastrófico"),CONCATENATE("R8C",'Riesgos de Gestión'!$V$59),"")</f>
        <v/>
      </c>
      <c r="AM33" s="40" t="str">
        <f>IF(AND('Riesgos de Gestión'!$AF$60="Media",'Riesgos de Gestión'!$AH$60="Catastrófico"),CONCATENATE("R8C",'Riesgos de Gestión'!$V$60),"")</f>
        <v/>
      </c>
      <c r="AN33" s="66"/>
      <c r="AO33" s="591"/>
      <c r="AP33" s="592"/>
      <c r="AQ33" s="592"/>
      <c r="AR33" s="592"/>
      <c r="AS33" s="592"/>
      <c r="AT33" s="593"/>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510"/>
      <c r="C34" s="510"/>
      <c r="D34" s="511"/>
      <c r="E34" s="551"/>
      <c r="F34" s="552"/>
      <c r="G34" s="552"/>
      <c r="H34" s="552"/>
      <c r="I34" s="553"/>
      <c r="J34" s="50" t="str">
        <f>IF(AND('Riesgos de Gestión'!$AF$61="Media",'Riesgos de Gestión'!$AH$61="Leve"),CONCATENATE("R9C",'Riesgos de Gestión'!$V$61),"")</f>
        <v/>
      </c>
      <c r="K34" s="51" t="str">
        <f>IF(AND('Riesgos de Gestión'!$AF$62="Media",'Riesgos de Gestión'!$AH$62="Leve"),CONCATENATE("R9C",'Riesgos de Gestión'!$V$62),"")</f>
        <v/>
      </c>
      <c r="L34" s="51" t="str">
        <f>IF(AND('Riesgos de Gestión'!$AF$63="Media",'Riesgos de Gestión'!$AH$63="Leve"),CONCATENATE("R9C",'Riesgos de Gestión'!$V$63),"")</f>
        <v/>
      </c>
      <c r="M34" s="51" t="str">
        <f>IF(AND('Riesgos de Gestión'!$AF$64="Media",'Riesgos de Gestión'!$AH$64="Leve"),CONCATENATE("R9C",'Riesgos de Gestión'!$V$64),"")</f>
        <v/>
      </c>
      <c r="N34" s="51" t="str">
        <f>IF(AND('Riesgos de Gestión'!$AF$65="Media",'Riesgos de Gestión'!$AH$65="Leve"),CONCATENATE("R9C",'Riesgos de Gestión'!$V$65),"")</f>
        <v/>
      </c>
      <c r="O34" s="52" t="str">
        <f>IF(AND('Riesgos de Gestión'!$AF$66="Media",'Riesgos de Gestión'!$AH$66="Leve"),CONCATENATE("R9C",'Riesgos de Gestión'!$V$66),"")</f>
        <v/>
      </c>
      <c r="P34" s="50" t="str">
        <f>IF(AND('Riesgos de Gestión'!$AF$61="Media",'Riesgos de Gestión'!$AH$61="Menor"),CONCATENATE("R9C",'Riesgos de Gestión'!$V$61),"")</f>
        <v/>
      </c>
      <c r="Q34" s="51" t="str">
        <f>IF(AND('Riesgos de Gestión'!$AF$62="Media",'Riesgos de Gestión'!$AH$62="Menor"),CONCATENATE("R9C",'Riesgos de Gestión'!$V$62),"")</f>
        <v/>
      </c>
      <c r="R34" s="51" t="str">
        <f>IF(AND('Riesgos de Gestión'!$AF$63="Media",'Riesgos de Gestión'!$AH$63="Menor"),CONCATENATE("R9C",'Riesgos de Gestión'!$V$63),"")</f>
        <v/>
      </c>
      <c r="S34" s="51" t="str">
        <f>IF(AND('Riesgos de Gestión'!$AF$64="Media",'Riesgos de Gestión'!$AH$64="Menor"),CONCATENATE("R9C",'Riesgos de Gestión'!$V$64),"")</f>
        <v/>
      </c>
      <c r="T34" s="51" t="str">
        <f>IF(AND('Riesgos de Gestión'!$AF$65="Media",'Riesgos de Gestión'!$AH$65="Menor"),CONCATENATE("R9C",'Riesgos de Gestión'!$V$65),"")</f>
        <v/>
      </c>
      <c r="U34" s="52" t="str">
        <f>IF(AND('Riesgos de Gestión'!$AF$66="Media",'Riesgos de Gestión'!$AH$66="Menor"),CONCATENATE("R9C",'Riesgos de Gestión'!$V$66),"")</f>
        <v/>
      </c>
      <c r="V34" s="50" t="str">
        <f>IF(AND('Riesgos de Gestión'!$AF$61="Media",'Riesgos de Gestión'!$AH$61="Moderado"),CONCATENATE("R9C",'Riesgos de Gestión'!$V$61),"")</f>
        <v/>
      </c>
      <c r="W34" s="51" t="str">
        <f>IF(AND('Riesgos de Gestión'!$AF$62="Media",'Riesgos de Gestión'!$AH$62="Moderado"),CONCATENATE("R9C",'Riesgos de Gestión'!$V$62),"")</f>
        <v/>
      </c>
      <c r="X34" s="51" t="str">
        <f>IF(AND('Riesgos de Gestión'!$AF$63="Media",'Riesgos de Gestión'!$AH$63="Moderado"),CONCATENATE("R9C",'Riesgos de Gestión'!$V$63),"")</f>
        <v/>
      </c>
      <c r="Y34" s="51" t="str">
        <f>IF(AND('Riesgos de Gestión'!$AF$64="Media",'Riesgos de Gestión'!$AH$64="Moderado"),CONCATENATE("R9C",'Riesgos de Gestión'!$V$64),"")</f>
        <v/>
      </c>
      <c r="Z34" s="51" t="str">
        <f>IF(AND('Riesgos de Gestión'!$AF$65="Media",'Riesgos de Gestión'!$AH$65="Moderado"),CONCATENATE("R9C",'Riesgos de Gestión'!$V$65),"")</f>
        <v/>
      </c>
      <c r="AA34" s="52" t="str">
        <f>IF(AND('Riesgos de Gestión'!$AF$66="Media",'Riesgos de Gestión'!$AH$66="Moderado"),CONCATENATE("R9C",'Riesgos de Gestión'!$V$66),"")</f>
        <v/>
      </c>
      <c r="AB34" s="35" t="str">
        <f>IF(AND('Riesgos de Gestión'!$AF$61="Media",'Riesgos de Gestión'!$AH$61="Mayor"),CONCATENATE("R9C",'Riesgos de Gestión'!$V$61),"")</f>
        <v/>
      </c>
      <c r="AC34" s="36" t="str">
        <f>IF(AND('Riesgos de Gestión'!$AF$62="Media",'Riesgos de Gestión'!$AH$62="Mayor"),CONCATENATE("R9C",'Riesgos de Gestión'!$V$62),"")</f>
        <v/>
      </c>
      <c r="AD34" s="36" t="str">
        <f>IF(AND('Riesgos de Gestión'!$AF$63="Media",'Riesgos de Gestión'!$AH$63="Mayor"),CONCATENATE("R9C",'Riesgos de Gestión'!$V$63),"")</f>
        <v/>
      </c>
      <c r="AE34" s="36" t="str">
        <f>IF(AND('Riesgos de Gestión'!$AF$64="Media",'Riesgos de Gestión'!$AH$64="Mayor"),CONCATENATE("R9C",'Riesgos de Gestión'!$V$64),"")</f>
        <v/>
      </c>
      <c r="AF34" s="36" t="str">
        <f>IF(AND('Riesgos de Gestión'!$AF$65="Media",'Riesgos de Gestión'!$AH$65="Mayor"),CONCATENATE("R9C",'Riesgos de Gestión'!$V$65),"")</f>
        <v/>
      </c>
      <c r="AG34" s="37" t="str">
        <f>IF(AND('Riesgos de Gestión'!$AF$66="Media",'Riesgos de Gestión'!$AH$66="Mayor"),CONCATENATE("R9C",'Riesgos de Gestión'!$V$66),"")</f>
        <v/>
      </c>
      <c r="AH34" s="38" t="str">
        <f>IF(AND('Riesgos de Gestión'!$AF$61="Media",'Riesgos de Gestión'!$AH$61="Catastrófico"),CONCATENATE("R9C",'Riesgos de Gestión'!$V$61),"")</f>
        <v/>
      </c>
      <c r="AI34" s="39" t="str">
        <f>IF(AND('Riesgos de Gestión'!$AF$62="Media",'Riesgos de Gestión'!$AH$62="Catastrófico"),CONCATENATE("R9C",'Riesgos de Gestión'!$V$62),"")</f>
        <v/>
      </c>
      <c r="AJ34" s="39" t="str">
        <f>IF(AND('Riesgos de Gestión'!$AF$63="Media",'Riesgos de Gestión'!$AH$63="Catastrófico"),CONCATENATE("R9C",'Riesgos de Gestión'!$V$63),"")</f>
        <v/>
      </c>
      <c r="AK34" s="39" t="str">
        <f>IF(AND('Riesgos de Gestión'!$AF$64="Media",'Riesgos de Gestión'!$AH$64="Catastrófico"),CONCATENATE("R9C",'Riesgos de Gestión'!$V$64),"")</f>
        <v/>
      </c>
      <c r="AL34" s="39" t="str">
        <f>IF(AND('Riesgos de Gestión'!$AF$65="Media",'Riesgos de Gestión'!$AH$65="Catastrófico"),CONCATENATE("R9C",'Riesgos de Gestión'!$V$65),"")</f>
        <v/>
      </c>
      <c r="AM34" s="40" t="str">
        <f>IF(AND('Riesgos de Gestión'!$AF$66="Media",'Riesgos de Gestión'!$AH$66="Catastrófico"),CONCATENATE("R9C",'Riesgos de Gestión'!$V$66),"")</f>
        <v/>
      </c>
      <c r="AN34" s="66"/>
      <c r="AO34" s="591"/>
      <c r="AP34" s="592"/>
      <c r="AQ34" s="592"/>
      <c r="AR34" s="592"/>
      <c r="AS34" s="592"/>
      <c r="AT34" s="593"/>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510"/>
      <c r="C35" s="510"/>
      <c r="D35" s="511"/>
      <c r="E35" s="554"/>
      <c r="F35" s="555"/>
      <c r="G35" s="555"/>
      <c r="H35" s="555"/>
      <c r="I35" s="556"/>
      <c r="J35" s="50" t="str">
        <f>IF(AND('Riesgos de Gestión'!$AF$67="Media",'Riesgos de Gestión'!$AH$67="Leve"),CONCATENATE("R10C",'Riesgos de Gestión'!$V$67),"")</f>
        <v/>
      </c>
      <c r="K35" s="51" t="str">
        <f>IF(AND('Riesgos de Gestión'!$AF$68="Media",'Riesgos de Gestión'!$AH$68="Leve"),CONCATENATE("R10C",'Riesgos de Gestión'!$V$68),"")</f>
        <v/>
      </c>
      <c r="L35" s="51" t="str">
        <f>IF(AND('Riesgos de Gestión'!$AF$69="Media",'Riesgos de Gestión'!$AH$69="Leve"),CONCATENATE("R10C",'Riesgos de Gestión'!$V$69),"")</f>
        <v/>
      </c>
      <c r="M35" s="51" t="str">
        <f>IF(AND('Riesgos de Gestión'!$AF$70="Media",'Riesgos de Gestión'!$AH$70="Leve"),CONCATENATE("R10C",'Riesgos de Gestión'!$V$70),"")</f>
        <v/>
      </c>
      <c r="N35" s="51" t="str">
        <f>IF(AND('Riesgos de Gestión'!$AF$71="Media",'Riesgos de Gestión'!$AH$71="Leve"),CONCATENATE("R10C",'Riesgos de Gestión'!$V$71),"")</f>
        <v/>
      </c>
      <c r="O35" s="52" t="str">
        <f>IF(AND('Riesgos de Gestión'!$AF$72="Media",'Riesgos de Gestión'!$AH$72="Leve"),CONCATENATE("R10C",'Riesgos de Gestión'!$V$72),"")</f>
        <v/>
      </c>
      <c r="P35" s="50" t="str">
        <f>IF(AND('Riesgos de Gestión'!$AF$67="Media",'Riesgos de Gestión'!$AH$67="Menor"),CONCATENATE("R10C",'Riesgos de Gestión'!$V$67),"")</f>
        <v/>
      </c>
      <c r="Q35" s="51" t="str">
        <f>IF(AND('Riesgos de Gestión'!$AF$68="Media",'Riesgos de Gestión'!$AH$68="Menor"),CONCATENATE("R10C",'Riesgos de Gestión'!$V$68),"")</f>
        <v/>
      </c>
      <c r="R35" s="51" t="str">
        <f>IF(AND('Riesgos de Gestión'!$AF$69="Media",'Riesgos de Gestión'!$AH$69="Menor"),CONCATENATE("R10C",'Riesgos de Gestión'!$V$69),"")</f>
        <v/>
      </c>
      <c r="S35" s="51" t="str">
        <f>IF(AND('Riesgos de Gestión'!$AF$70="Media",'Riesgos de Gestión'!$AH$70="Menor"),CONCATENATE("R10C",'Riesgos de Gestión'!$V$70),"")</f>
        <v/>
      </c>
      <c r="T35" s="51" t="str">
        <f>IF(AND('Riesgos de Gestión'!$AF$71="Media",'Riesgos de Gestión'!$AH$71="Menor"),CONCATENATE("R10C",'Riesgos de Gestión'!$V$71),"")</f>
        <v/>
      </c>
      <c r="U35" s="52" t="str">
        <f>IF(AND('Riesgos de Gestión'!$AF$72="Media",'Riesgos de Gestión'!$AH$72="Menor"),CONCATENATE("R10C",'Riesgos de Gestión'!$V$72),"")</f>
        <v/>
      </c>
      <c r="V35" s="50" t="str">
        <f>IF(AND('Riesgos de Gestión'!$AF$67="Media",'Riesgos de Gestión'!$AH$67="Moderado"),CONCATENATE("R10C",'Riesgos de Gestión'!$V$67),"")</f>
        <v/>
      </c>
      <c r="W35" s="51" t="str">
        <f>IF(AND('Riesgos de Gestión'!$AF$68="Media",'Riesgos de Gestión'!$AH$68="Moderado"),CONCATENATE("R10C",'Riesgos de Gestión'!$V$68),"")</f>
        <v/>
      </c>
      <c r="X35" s="51" t="str">
        <f>IF(AND('Riesgos de Gestión'!$AF$69="Media",'Riesgos de Gestión'!$AH$69="Moderado"),CONCATENATE("R10C",'Riesgos de Gestión'!$V$69),"")</f>
        <v/>
      </c>
      <c r="Y35" s="51" t="str">
        <f>IF(AND('Riesgos de Gestión'!$AF$70="Media",'Riesgos de Gestión'!$AH$70="Moderado"),CONCATENATE("R10C",'Riesgos de Gestión'!$V$70),"")</f>
        <v/>
      </c>
      <c r="Z35" s="51" t="str">
        <f>IF(AND('Riesgos de Gestión'!$AF$71="Media",'Riesgos de Gestión'!$AH$71="Moderado"),CONCATENATE("R10C",'Riesgos de Gestión'!$V$71),"")</f>
        <v/>
      </c>
      <c r="AA35" s="52" t="str">
        <f>IF(AND('Riesgos de Gestión'!$AF$72="Media",'Riesgos de Gestión'!$AH$72="Moderado"),CONCATENATE("R10C",'Riesgos de Gestión'!$V$72),"")</f>
        <v/>
      </c>
      <c r="AB35" s="41" t="str">
        <f>IF(AND('Riesgos de Gestión'!$AF$67="Media",'Riesgos de Gestión'!$AH$67="Mayor"),CONCATENATE("R10C",'Riesgos de Gestión'!$V$67),"")</f>
        <v/>
      </c>
      <c r="AC35" s="42" t="str">
        <f>IF(AND('Riesgos de Gestión'!$AF$68="Media",'Riesgos de Gestión'!$AH$68="Mayor"),CONCATENATE("R10C",'Riesgos de Gestión'!$V$68),"")</f>
        <v/>
      </c>
      <c r="AD35" s="42" t="str">
        <f>IF(AND('Riesgos de Gestión'!$AF$69="Media",'Riesgos de Gestión'!$AH$69="Mayor"),CONCATENATE("R10C",'Riesgos de Gestión'!$V$69),"")</f>
        <v/>
      </c>
      <c r="AE35" s="42" t="str">
        <f>IF(AND('Riesgos de Gestión'!$AF$70="Media",'Riesgos de Gestión'!$AH$70="Mayor"),CONCATENATE("R10C",'Riesgos de Gestión'!$V$70),"")</f>
        <v/>
      </c>
      <c r="AF35" s="42" t="str">
        <f>IF(AND('Riesgos de Gestión'!$AF$71="Media",'Riesgos de Gestión'!$AH$71="Mayor"),CONCATENATE("R10C",'Riesgos de Gestión'!$V$71),"")</f>
        <v/>
      </c>
      <c r="AG35" s="43" t="str">
        <f>IF(AND('Riesgos de Gestión'!$AF$72="Media",'Riesgos de Gestión'!$AH$72="Mayor"),CONCATENATE("R10C",'Riesgos de Gestión'!$V$72),"")</f>
        <v/>
      </c>
      <c r="AH35" s="44" t="str">
        <f>IF(AND('Riesgos de Gestión'!$AF$67="Media",'Riesgos de Gestión'!$AH$67="Catastrófico"),CONCATENATE("R10C",'Riesgos de Gestión'!$V$67),"")</f>
        <v/>
      </c>
      <c r="AI35" s="45" t="str">
        <f>IF(AND('Riesgos de Gestión'!$AF$68="Media",'Riesgos de Gestión'!$AH$68="Catastrófico"),CONCATENATE("R10C",'Riesgos de Gestión'!$V$68),"")</f>
        <v/>
      </c>
      <c r="AJ35" s="45" t="str">
        <f>IF(AND('Riesgos de Gestión'!$AF$69="Media",'Riesgos de Gestión'!$AH$69="Catastrófico"),CONCATENATE("R10C",'Riesgos de Gestión'!$V$69),"")</f>
        <v/>
      </c>
      <c r="AK35" s="45" t="str">
        <f>IF(AND('Riesgos de Gestión'!$AF$70="Media",'Riesgos de Gestión'!$AH$70="Catastrófico"),CONCATENATE("R10C",'Riesgos de Gestión'!$V$70),"")</f>
        <v/>
      </c>
      <c r="AL35" s="45" t="str">
        <f>IF(AND('Riesgos de Gestión'!$AF$71="Media",'Riesgos de Gestión'!$AH$71="Catastrófico"),CONCATENATE("R10C",'Riesgos de Gestión'!$V$71),"")</f>
        <v/>
      </c>
      <c r="AM35" s="46" t="str">
        <f>IF(AND('Riesgos de Gestión'!$AF$72="Media",'Riesgos de Gestión'!$AH$72="Catastrófico"),CONCATENATE("R10C",'Riesgos de Gestión'!$V$72),"")</f>
        <v/>
      </c>
      <c r="AN35" s="66"/>
      <c r="AO35" s="594"/>
      <c r="AP35" s="595"/>
      <c r="AQ35" s="595"/>
      <c r="AR35" s="595"/>
      <c r="AS35" s="595"/>
      <c r="AT35" s="59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510"/>
      <c r="C36" s="510"/>
      <c r="D36" s="511"/>
      <c r="E36" s="548" t="s">
        <v>271</v>
      </c>
      <c r="F36" s="549"/>
      <c r="G36" s="549"/>
      <c r="H36" s="549"/>
      <c r="I36" s="549"/>
      <c r="J36" s="56" t="str">
        <f>IF(AND('Riesgos de Gestión'!$AF$13="Baja",'Riesgos de Gestión'!$AH$13="Leve"),CONCATENATE("R1C",'Riesgos de Gestión'!$V$13),"")</f>
        <v/>
      </c>
      <c r="K36" s="57" t="str">
        <f>IF(AND('Riesgos de Gestión'!$AF$14="Baja",'Riesgos de Gestión'!$AH$14="Leve"),CONCATENATE("R1C",'Riesgos de Gestión'!$V$14),"")</f>
        <v/>
      </c>
      <c r="L36" s="57" t="str">
        <f>IF(AND('Riesgos de Gestión'!$AF$15="Baja",'Riesgos de Gestión'!$AH$15="Leve"),CONCATENATE("R1C",'Riesgos de Gestión'!$V$15),"")</f>
        <v/>
      </c>
      <c r="M36" s="57" t="str">
        <f>IF(AND('Riesgos de Gestión'!$AF$16="Baja",'Riesgos de Gestión'!$AH$16="Leve"),CONCATENATE("R1C",'Riesgos de Gestión'!$V$16),"")</f>
        <v/>
      </c>
      <c r="N36" s="57" t="str">
        <f>IF(AND('Riesgos de Gestión'!$AF$17="Baja",'Riesgos de Gestión'!$AH$17="Leve"),CONCATENATE("R1C",'Riesgos de Gestión'!$V$17),"")</f>
        <v/>
      </c>
      <c r="O36" s="58" t="str">
        <f>IF(AND('Riesgos de Gestión'!$AF$18="Baja",'Riesgos de Gestión'!$AH$18="Leve"),CONCATENATE("R1C",'Riesgos de Gestión'!$V$18),"")</f>
        <v/>
      </c>
      <c r="P36" s="47" t="str">
        <f>IF(AND('Riesgos de Gestión'!$AF$13="Baja",'Riesgos de Gestión'!$AH$13="Menor"),CONCATENATE("R1C",'Riesgos de Gestión'!$V$13),"")</f>
        <v/>
      </c>
      <c r="Q36" s="48" t="str">
        <f>IF(AND('Riesgos de Gestión'!$AF$14="Baja",'Riesgos de Gestión'!$AH$14="Menor"),CONCATENATE("R1C",'Riesgos de Gestión'!$V$14),"")</f>
        <v/>
      </c>
      <c r="R36" s="48" t="str">
        <f>IF(AND('Riesgos de Gestión'!$AF$15="Baja",'Riesgos de Gestión'!$AH$15="Menor"),CONCATENATE("R1C",'Riesgos de Gestión'!$V$15),"")</f>
        <v/>
      </c>
      <c r="S36" s="48" t="str">
        <f>IF(AND('Riesgos de Gestión'!$AF$16="Baja",'Riesgos de Gestión'!$AH$16="Menor"),CONCATENATE("R1C",'Riesgos de Gestión'!$V$16),"")</f>
        <v/>
      </c>
      <c r="T36" s="48" t="str">
        <f>IF(AND('Riesgos de Gestión'!$AF$17="Baja",'Riesgos de Gestión'!$AH$17="Menor"),CONCATENATE("R1C",'Riesgos de Gestión'!$V$17),"")</f>
        <v/>
      </c>
      <c r="U36" s="49" t="str">
        <f>IF(AND('Riesgos de Gestión'!$AF$18="Baja",'Riesgos de Gestión'!$AH$18="Menor"),CONCATENATE("R1C",'Riesgos de Gestión'!$V$18),"")</f>
        <v/>
      </c>
      <c r="V36" s="47" t="str">
        <f>IF(AND('Riesgos de Gestión'!$AF$13="Baja",'Riesgos de Gestión'!$AH$13="Moderado"),CONCATENATE("R1C",'Riesgos de Gestión'!$V$13),"")</f>
        <v>R1C1</v>
      </c>
      <c r="W36" s="48" t="str">
        <f>IF(AND('Riesgos de Gestión'!$AF$14="Baja",'Riesgos de Gestión'!$AH$14="Moderado"),CONCATENATE("R1C",'Riesgos de Gestión'!$V$14),"")</f>
        <v>R1C2</v>
      </c>
      <c r="X36" s="48" t="str">
        <f>IF(AND('Riesgos de Gestión'!$AF$15="Baja",'Riesgos de Gestión'!$AH$15="Moderado"),CONCATENATE("R1C",'Riesgos de Gestión'!$V$15),"")</f>
        <v/>
      </c>
      <c r="Y36" s="48" t="str">
        <f>IF(AND('Riesgos de Gestión'!$AF$16="Baja",'Riesgos de Gestión'!$AH$16="Moderado"),CONCATENATE("R1C",'Riesgos de Gestión'!$V$16),"")</f>
        <v/>
      </c>
      <c r="Z36" s="48" t="str">
        <f>IF(AND('Riesgos de Gestión'!$AF$17="Baja",'Riesgos de Gestión'!$AH$17="Moderado"),CONCATENATE("R1C",'Riesgos de Gestión'!$V$17),"")</f>
        <v/>
      </c>
      <c r="AA36" s="49" t="str">
        <f>IF(AND('Riesgos de Gestión'!$AF$18="Baja",'Riesgos de Gestión'!$AH$18="Moderado"),CONCATENATE("R1C",'Riesgos de Gestión'!$V$18),"")</f>
        <v/>
      </c>
      <c r="AB36" s="29" t="str">
        <f>IF(AND('Riesgos de Gestión'!$AF$13="Baja",'Riesgos de Gestión'!$AH$13="Mayor"),CONCATENATE("R1C",'Riesgos de Gestión'!$V$13),"")</f>
        <v/>
      </c>
      <c r="AC36" s="30" t="str">
        <f>IF(AND('Riesgos de Gestión'!$AF$14="Baja",'Riesgos de Gestión'!$AH$14="Mayor"),CONCATENATE("R1C",'Riesgos de Gestión'!$V$14),"")</f>
        <v/>
      </c>
      <c r="AD36" s="30" t="str">
        <f>IF(AND('Riesgos de Gestión'!$AF$15="Baja",'Riesgos de Gestión'!$AH$15="Mayor"),CONCATENATE("R1C",'Riesgos de Gestión'!$V$15),"")</f>
        <v/>
      </c>
      <c r="AE36" s="30" t="str">
        <f>IF(AND('Riesgos de Gestión'!$AF$16="Baja",'Riesgos de Gestión'!$AH$16="Mayor"),CONCATENATE("R1C",'Riesgos de Gestión'!$V$16),"")</f>
        <v/>
      </c>
      <c r="AF36" s="30" t="str">
        <f>IF(AND('Riesgos de Gestión'!$AF$17="Baja",'Riesgos de Gestión'!$AH$17="Mayor"),CONCATENATE("R1C",'Riesgos de Gestión'!$V$17),"")</f>
        <v/>
      </c>
      <c r="AG36" s="31" t="str">
        <f>IF(AND('Riesgos de Gestión'!$AF$18="Baja",'Riesgos de Gestión'!$AH$18="Mayor"),CONCATENATE("R1C",'Riesgos de Gestión'!$V$18),"")</f>
        <v/>
      </c>
      <c r="AH36" s="32" t="str">
        <f>IF(AND('Riesgos de Gestión'!$AF$13="Baja",'Riesgos de Gestión'!$AH$13="Catastrófico"),CONCATENATE("R1C",'Riesgos de Gestión'!$V$13),"")</f>
        <v/>
      </c>
      <c r="AI36" s="33" t="str">
        <f>IF(AND('Riesgos de Gestión'!$AF$14="Baja",'Riesgos de Gestión'!$AH$14="Catastrófico"),CONCATENATE("R1C",'Riesgos de Gestión'!$V$14),"")</f>
        <v/>
      </c>
      <c r="AJ36" s="33" t="str">
        <f>IF(AND('Riesgos de Gestión'!$AF$15="Baja",'Riesgos de Gestión'!$AH$15="Catastrófico"),CONCATENATE("R1C",'Riesgos de Gestión'!$V$15),"")</f>
        <v/>
      </c>
      <c r="AK36" s="33" t="str">
        <f>IF(AND('Riesgos de Gestión'!$AF$16="Baja",'Riesgos de Gestión'!$AH$16="Catastrófico"),CONCATENATE("R1C",'Riesgos de Gestión'!$V$16),"")</f>
        <v/>
      </c>
      <c r="AL36" s="33" t="str">
        <f>IF(AND('Riesgos de Gestión'!$AF$17="Baja",'Riesgos de Gestión'!$AH$17="Catastrófico"),CONCATENATE("R1C",'Riesgos de Gestión'!$V$17),"")</f>
        <v/>
      </c>
      <c r="AM36" s="34" t="str">
        <f>IF(AND('Riesgos de Gestión'!$AF$18="Baja",'Riesgos de Gestión'!$AH$18="Catastrófico"),CONCATENATE("R1C",'Riesgos de Gestión'!$V$18),"")</f>
        <v/>
      </c>
      <c r="AN36" s="66"/>
      <c r="AO36" s="579" t="s">
        <v>272</v>
      </c>
      <c r="AP36" s="580"/>
      <c r="AQ36" s="580"/>
      <c r="AR36" s="580"/>
      <c r="AS36" s="580"/>
      <c r="AT36" s="581"/>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510"/>
      <c r="C37" s="510"/>
      <c r="D37" s="511"/>
      <c r="E37" s="567"/>
      <c r="F37" s="552"/>
      <c r="G37" s="552"/>
      <c r="H37" s="552"/>
      <c r="I37" s="552"/>
      <c r="J37" s="59" t="str">
        <f>IF(AND('Riesgos de Gestión'!$AF$19="Baja",'Riesgos de Gestión'!$AH$19="Leve"),CONCATENATE("R2C",'Riesgos de Gestión'!$V$19),"")</f>
        <v/>
      </c>
      <c r="K37" s="60" t="str">
        <f>IF(AND('Riesgos de Gestión'!$AF$20="Baja",'Riesgos de Gestión'!$AH$20="Leve"),CONCATENATE("R2C",'Riesgos de Gestión'!$V$20),"")</f>
        <v/>
      </c>
      <c r="L37" s="60" t="str">
        <f>IF(AND('Riesgos de Gestión'!$AF$21="Baja",'Riesgos de Gestión'!$AH$21="Leve"),CONCATENATE("R2C",'Riesgos de Gestión'!$V$21),"")</f>
        <v/>
      </c>
      <c r="M37" s="60" t="str">
        <f>IF(AND('Riesgos de Gestión'!$AF$22="Baja",'Riesgos de Gestión'!$AH$22="Leve"),CONCATENATE("R2C",'Riesgos de Gestión'!$V$22),"")</f>
        <v/>
      </c>
      <c r="N37" s="60" t="str">
        <f>IF(AND('Riesgos de Gestión'!$AF$23="Baja",'Riesgos de Gestión'!$AH$23="Leve"),CONCATENATE("R2C",'Riesgos de Gestión'!$V$23),"")</f>
        <v/>
      </c>
      <c r="O37" s="61" t="str">
        <f>IF(AND('Riesgos de Gestión'!$AF$24="Baja",'Riesgos de Gestión'!$AH$24="Leve"),CONCATENATE("R2C",'Riesgos de Gestión'!$V$24),"")</f>
        <v/>
      </c>
      <c r="P37" s="50" t="str">
        <f>IF(AND('Riesgos de Gestión'!$AF$19="Baja",'Riesgos de Gestión'!$AH$19="Menor"),CONCATENATE("R2C",'Riesgos de Gestión'!$V$19),"")</f>
        <v/>
      </c>
      <c r="Q37" s="51" t="str">
        <f>IF(AND('Riesgos de Gestión'!$AF$20="Baja",'Riesgos de Gestión'!$AH$20="Menor"),CONCATENATE("R2C",'Riesgos de Gestión'!$V$20),"")</f>
        <v/>
      </c>
      <c r="R37" s="51" t="str">
        <f>IF(AND('Riesgos de Gestión'!$AF$21="Baja",'Riesgos de Gestión'!$AH$21="Menor"),CONCATENATE("R2C",'Riesgos de Gestión'!$V$21),"")</f>
        <v/>
      </c>
      <c r="S37" s="51" t="str">
        <f>IF(AND('Riesgos de Gestión'!$AF$22="Baja",'Riesgos de Gestión'!$AH$22="Menor"),CONCATENATE("R2C",'Riesgos de Gestión'!$V$22),"")</f>
        <v/>
      </c>
      <c r="T37" s="51" t="str">
        <f>IF(AND('Riesgos de Gestión'!$AF$23="Baja",'Riesgos de Gestión'!$AH$23="Menor"),CONCATENATE("R2C",'Riesgos de Gestión'!$V$23),"")</f>
        <v/>
      </c>
      <c r="U37" s="52" t="str">
        <f>IF(AND('Riesgos de Gestión'!$AF$24="Baja",'Riesgos de Gestión'!$AH$24="Menor"),CONCATENATE("R2C",'Riesgos de Gestión'!$V$24),"")</f>
        <v/>
      </c>
      <c r="V37" s="50" t="str">
        <f>IF(AND('Riesgos de Gestión'!$AF$19="Baja",'Riesgos de Gestión'!$AH$19="Moderado"),CONCATENATE("R2C",'Riesgos de Gestión'!$V$19),"")</f>
        <v>R2C1</v>
      </c>
      <c r="W37" s="51" t="str">
        <f>IF(AND('Riesgos de Gestión'!$AF$20="Baja",'Riesgos de Gestión'!$AH$20="Moderado"),CONCATENATE("R2C",'Riesgos de Gestión'!$V$20),"")</f>
        <v>R2C2</v>
      </c>
      <c r="X37" s="51" t="str">
        <f>IF(AND('Riesgos de Gestión'!$AF$21="Baja",'Riesgos de Gestión'!$AH$21="Moderado"),CONCATENATE("R2C",'Riesgos de Gestión'!$V$21),"")</f>
        <v/>
      </c>
      <c r="Y37" s="51" t="str">
        <f>IF(AND('Riesgos de Gestión'!$AF$22="Baja",'Riesgos de Gestión'!$AH$22="Moderado"),CONCATENATE("R2C",'Riesgos de Gestión'!$V$22),"")</f>
        <v/>
      </c>
      <c r="Z37" s="51" t="str">
        <f>IF(AND('Riesgos de Gestión'!$AF$23="Baja",'Riesgos de Gestión'!$AH$23="Moderado"),CONCATENATE("R2C",'Riesgos de Gestión'!$V$23),"")</f>
        <v/>
      </c>
      <c r="AA37" s="52" t="str">
        <f>IF(AND('Riesgos de Gestión'!$AF$24="Baja",'Riesgos de Gestión'!$AH$24="Moderado"),CONCATENATE("R2C",'Riesgos de Gestión'!$V$24),"")</f>
        <v/>
      </c>
      <c r="AB37" s="35" t="str">
        <f>IF(AND('Riesgos de Gestión'!$AF$19="Baja",'Riesgos de Gestión'!$AH$19="Mayor"),CONCATENATE("R2C",'Riesgos de Gestión'!$V$19),"")</f>
        <v/>
      </c>
      <c r="AC37" s="36" t="str">
        <f>IF(AND('Riesgos de Gestión'!$AF$20="Baja",'Riesgos de Gestión'!$AH$20="Mayor"),CONCATENATE("R2C",'Riesgos de Gestión'!$V$20),"")</f>
        <v/>
      </c>
      <c r="AD37" s="36" t="str">
        <f>IF(AND('Riesgos de Gestión'!$AF$21="Baja",'Riesgos de Gestión'!$AH$21="Mayor"),CONCATENATE("R2C",'Riesgos de Gestión'!$V$21),"")</f>
        <v/>
      </c>
      <c r="AE37" s="36" t="str">
        <f>IF(AND('Riesgos de Gestión'!$AF$22="Baja",'Riesgos de Gestión'!$AH$22="Mayor"),CONCATENATE("R2C",'Riesgos de Gestión'!$V$22),"")</f>
        <v/>
      </c>
      <c r="AF37" s="36" t="str">
        <f>IF(AND('Riesgos de Gestión'!$AF$23="Baja",'Riesgos de Gestión'!$AH$23="Mayor"),CONCATENATE("R2C",'Riesgos de Gestión'!$V$23),"")</f>
        <v/>
      </c>
      <c r="AG37" s="37" t="str">
        <f>IF(AND('Riesgos de Gestión'!$AF$24="Baja",'Riesgos de Gestión'!$AH$24="Mayor"),CONCATENATE("R2C",'Riesgos de Gestión'!$V$24),"")</f>
        <v/>
      </c>
      <c r="AH37" s="38" t="str">
        <f>IF(AND('Riesgos de Gestión'!$AF$19="Baja",'Riesgos de Gestión'!$AH$19="Catastrófico"),CONCATENATE("R2C",'Riesgos de Gestión'!$V$19),"")</f>
        <v/>
      </c>
      <c r="AI37" s="39" t="str">
        <f>IF(AND('Riesgos de Gestión'!$AF$20="Baja",'Riesgos de Gestión'!$AH$20="Catastrófico"),CONCATENATE("R2C",'Riesgos de Gestión'!$V$20),"")</f>
        <v/>
      </c>
      <c r="AJ37" s="39" t="str">
        <f>IF(AND('Riesgos de Gestión'!$AF$21="Baja",'Riesgos de Gestión'!$AH$21="Catastrófico"),CONCATENATE("R2C",'Riesgos de Gestión'!$V$21),"")</f>
        <v/>
      </c>
      <c r="AK37" s="39" t="str">
        <f>IF(AND('Riesgos de Gestión'!$AF$22="Baja",'Riesgos de Gestión'!$AH$22="Catastrófico"),CONCATENATE("R2C",'Riesgos de Gestión'!$V$22),"")</f>
        <v/>
      </c>
      <c r="AL37" s="39" t="str">
        <f>IF(AND('Riesgos de Gestión'!$AF$23="Baja",'Riesgos de Gestión'!$AH$23="Catastrófico"),CONCATENATE("R2C",'Riesgos de Gestión'!$V$23),"")</f>
        <v/>
      </c>
      <c r="AM37" s="40" t="str">
        <f>IF(AND('Riesgos de Gestión'!$AF$24="Baja",'Riesgos de Gestión'!$AH$24="Catastrófico"),CONCATENATE("R2C",'Riesgos de Gestión'!$V$24),"")</f>
        <v/>
      </c>
      <c r="AN37" s="66"/>
      <c r="AO37" s="582"/>
      <c r="AP37" s="583"/>
      <c r="AQ37" s="583"/>
      <c r="AR37" s="583"/>
      <c r="AS37" s="583"/>
      <c r="AT37" s="584"/>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510"/>
      <c r="C38" s="510"/>
      <c r="D38" s="511"/>
      <c r="E38" s="551"/>
      <c r="F38" s="552"/>
      <c r="G38" s="552"/>
      <c r="H38" s="552"/>
      <c r="I38" s="552"/>
      <c r="J38" s="59" t="str">
        <f>IF(AND('Riesgos de Gestión'!$AF$25="Baja",'Riesgos de Gestión'!$AH$25="Leve"),CONCATENATE("R3C",'Riesgos de Gestión'!$V$25),"")</f>
        <v/>
      </c>
      <c r="K38" s="60" t="str">
        <f>IF(AND('Riesgos de Gestión'!$AF$26="Baja",'Riesgos de Gestión'!$AH$26="Leve"),CONCATENATE("R3C",'Riesgos de Gestión'!$V$26),"")</f>
        <v/>
      </c>
      <c r="L38" s="60" t="str">
        <f>IF(AND('Riesgos de Gestión'!$AF$27="Baja",'Riesgos de Gestión'!$AH$27="Leve"),CONCATENATE("R3C",'Riesgos de Gestión'!$V$27),"")</f>
        <v/>
      </c>
      <c r="M38" s="60" t="str">
        <f>IF(AND('Riesgos de Gestión'!$AF$28="Baja",'Riesgos de Gestión'!$AH$28="Leve"),CONCATENATE("R3C",'Riesgos de Gestión'!$V$28),"")</f>
        <v/>
      </c>
      <c r="N38" s="60" t="str">
        <f>IF(AND('Riesgos de Gestión'!$AF$29="Baja",'Riesgos de Gestión'!$AH$29="Leve"),CONCATENATE("R3C",'Riesgos de Gestión'!$V$29),"")</f>
        <v/>
      </c>
      <c r="O38" s="61" t="str">
        <f>IF(AND('Riesgos de Gestión'!$AF$30="Baja",'Riesgos de Gestión'!$AH$30="Leve"),CONCATENATE("R3C",'Riesgos de Gestión'!$V$30),"")</f>
        <v/>
      </c>
      <c r="P38" s="50" t="str">
        <f>IF(AND('Riesgos de Gestión'!$AF$25="Baja",'Riesgos de Gestión'!$AH$25="Menor"),CONCATENATE("R3C",'Riesgos de Gestión'!$V$25),"")</f>
        <v/>
      </c>
      <c r="Q38" s="51" t="str">
        <f>IF(AND('Riesgos de Gestión'!$AF$26="Baja",'Riesgos de Gestión'!$AH$26="Menor"),CONCATENATE("R3C",'Riesgos de Gestión'!$V$26),"")</f>
        <v/>
      </c>
      <c r="R38" s="51" t="str">
        <f>IF(AND('Riesgos de Gestión'!$AF$27="Baja",'Riesgos de Gestión'!$AH$27="Menor"),CONCATENATE("R3C",'Riesgos de Gestión'!$V$27),"")</f>
        <v/>
      </c>
      <c r="S38" s="51" t="str">
        <f>IF(AND('Riesgos de Gestión'!$AF$28="Baja",'Riesgos de Gestión'!$AH$28="Menor"),CONCATENATE("R3C",'Riesgos de Gestión'!$V$28),"")</f>
        <v/>
      </c>
      <c r="T38" s="51" t="str">
        <f>IF(AND('Riesgos de Gestión'!$AF$29="Baja",'Riesgos de Gestión'!$AH$29="Menor"),CONCATENATE("R3C",'Riesgos de Gestión'!$V$29),"")</f>
        <v/>
      </c>
      <c r="U38" s="52" t="str">
        <f>IF(AND('Riesgos de Gestión'!$AF$30="Baja",'Riesgos de Gestión'!$AH$30="Menor"),CONCATENATE("R3C",'Riesgos de Gestión'!$V$30),"")</f>
        <v/>
      </c>
      <c r="V38" s="50" t="str">
        <f>IF(AND('Riesgos de Gestión'!$AF$25="Baja",'Riesgos de Gestión'!$AH$25="Moderado"),CONCATENATE("R3C",'Riesgos de Gestión'!$V$25),"")</f>
        <v/>
      </c>
      <c r="W38" s="51" t="str">
        <f>IF(AND('Riesgos de Gestión'!$AF$26="Baja",'Riesgos de Gestión'!$AH$26="Moderado"),CONCATENATE("R3C",'Riesgos de Gestión'!$V$26),"")</f>
        <v/>
      </c>
      <c r="X38" s="51" t="str">
        <f>IF(AND('Riesgos de Gestión'!$AF$27="Baja",'Riesgos de Gestión'!$AH$27="Moderado"),CONCATENATE("R3C",'Riesgos de Gestión'!$V$27),"")</f>
        <v/>
      </c>
      <c r="Y38" s="51" t="str">
        <f>IF(AND('Riesgos de Gestión'!$AF$28="Baja",'Riesgos de Gestión'!$AH$28="Moderado"),CONCATENATE("R3C",'Riesgos de Gestión'!$V$28),"")</f>
        <v/>
      </c>
      <c r="Z38" s="51" t="str">
        <f>IF(AND('Riesgos de Gestión'!$AF$29="Baja",'Riesgos de Gestión'!$AH$29="Moderado"),CONCATENATE("R3C",'Riesgos de Gestión'!$V$29),"")</f>
        <v/>
      </c>
      <c r="AA38" s="52" t="str">
        <f>IF(AND('Riesgos de Gestión'!$AF$30="Baja",'Riesgos de Gestión'!$AH$30="Moderado"),CONCATENATE("R3C",'Riesgos de Gestión'!$V$30),"")</f>
        <v/>
      </c>
      <c r="AB38" s="35" t="str">
        <f>IF(AND('Riesgos de Gestión'!$AF$25="Baja",'Riesgos de Gestión'!$AH$25="Mayor"),CONCATENATE("R3C",'Riesgos de Gestión'!$V$25),"")</f>
        <v/>
      </c>
      <c r="AC38" s="36" t="str">
        <f>IF(AND('Riesgos de Gestión'!$AF$26="Baja",'Riesgos de Gestión'!$AH$26="Mayor"),CONCATENATE("R3C",'Riesgos de Gestión'!$V$26),"")</f>
        <v/>
      </c>
      <c r="AD38" s="36" t="str">
        <f>IF(AND('Riesgos de Gestión'!$AF$27="Baja",'Riesgos de Gestión'!$AH$27="Mayor"),CONCATENATE("R3C",'Riesgos de Gestión'!$V$27),"")</f>
        <v/>
      </c>
      <c r="AE38" s="36" t="str">
        <f>IF(AND('Riesgos de Gestión'!$AF$28="Baja",'Riesgos de Gestión'!$AH$28="Mayor"),CONCATENATE("R3C",'Riesgos de Gestión'!$V$28),"")</f>
        <v/>
      </c>
      <c r="AF38" s="36" t="str">
        <f>IF(AND('Riesgos de Gestión'!$AF$29="Baja",'Riesgos de Gestión'!$AH$29="Mayor"),CONCATENATE("R3C",'Riesgos de Gestión'!$V$29),"")</f>
        <v/>
      </c>
      <c r="AG38" s="37" t="str">
        <f>IF(AND('Riesgos de Gestión'!$AF$30="Baja",'Riesgos de Gestión'!$AH$30="Mayor"),CONCATENATE("R3C",'Riesgos de Gestión'!$V$30),"")</f>
        <v/>
      </c>
      <c r="AH38" s="38" t="str">
        <f>IF(AND('Riesgos de Gestión'!$AF$25="Baja",'Riesgos de Gestión'!$AH$25="Catastrófico"),CONCATENATE("R3C",'Riesgos de Gestión'!$V$25),"")</f>
        <v/>
      </c>
      <c r="AI38" s="39" t="str">
        <f>IF(AND('Riesgos de Gestión'!$AF$26="Baja",'Riesgos de Gestión'!$AH$26="Catastrófico"),CONCATENATE("R3C",'Riesgos de Gestión'!$V$26),"")</f>
        <v/>
      </c>
      <c r="AJ38" s="39" t="str">
        <f>IF(AND('Riesgos de Gestión'!$AF$27="Baja",'Riesgos de Gestión'!$AH$27="Catastrófico"),CONCATENATE("R3C",'Riesgos de Gestión'!$V$27),"")</f>
        <v/>
      </c>
      <c r="AK38" s="39" t="str">
        <f>IF(AND('Riesgos de Gestión'!$AF$28="Baja",'Riesgos de Gestión'!$AH$28="Catastrófico"),CONCATENATE("R3C",'Riesgos de Gestión'!$V$28),"")</f>
        <v/>
      </c>
      <c r="AL38" s="39" t="str">
        <f>IF(AND('Riesgos de Gestión'!$AF$29="Baja",'Riesgos de Gestión'!$AH$29="Catastrófico"),CONCATENATE("R3C",'Riesgos de Gestión'!$V$29),"")</f>
        <v/>
      </c>
      <c r="AM38" s="40" t="str">
        <f>IF(AND('Riesgos de Gestión'!$AF$30="Baja",'Riesgos de Gestión'!$AH$30="Catastrófico"),CONCATENATE("R3C",'Riesgos de Gestión'!$V$30),"")</f>
        <v/>
      </c>
      <c r="AN38" s="66"/>
      <c r="AO38" s="582"/>
      <c r="AP38" s="583"/>
      <c r="AQ38" s="583"/>
      <c r="AR38" s="583"/>
      <c r="AS38" s="583"/>
      <c r="AT38" s="584"/>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510"/>
      <c r="C39" s="510"/>
      <c r="D39" s="511"/>
      <c r="E39" s="551"/>
      <c r="F39" s="552"/>
      <c r="G39" s="552"/>
      <c r="H39" s="552"/>
      <c r="I39" s="552"/>
      <c r="J39" s="59" t="str">
        <f>IF(AND('Riesgos de Gestión'!$AF$31="Baja",'Riesgos de Gestión'!$AH$31="Leve"),CONCATENATE("R4C",'Riesgos de Gestión'!$V$31),"")</f>
        <v/>
      </c>
      <c r="K39" s="60" t="str">
        <f>IF(AND('Riesgos de Gestión'!$AF$32="Baja",'Riesgos de Gestión'!$AH$32="Leve"),CONCATENATE("R4C",'Riesgos de Gestión'!$V$32),"")</f>
        <v/>
      </c>
      <c r="L39" s="60" t="str">
        <f>IF(AND('Riesgos de Gestión'!$AF$33="Baja",'Riesgos de Gestión'!$AH$33="Leve"),CONCATENATE("R4C",'Riesgos de Gestión'!$V$33),"")</f>
        <v/>
      </c>
      <c r="M39" s="60" t="str">
        <f>IF(AND('Riesgos de Gestión'!$AF$34="Baja",'Riesgos de Gestión'!$AH$34="Leve"),CONCATENATE("R4C",'Riesgos de Gestión'!$V$34),"")</f>
        <v/>
      </c>
      <c r="N39" s="60" t="str">
        <f>IF(AND('Riesgos de Gestión'!$AF$35="Baja",'Riesgos de Gestión'!$AH$35="Leve"),CONCATENATE("R4C",'Riesgos de Gestión'!$V$35),"")</f>
        <v/>
      </c>
      <c r="O39" s="61" t="str">
        <f>IF(AND('Riesgos de Gestión'!$AF$36="Baja",'Riesgos de Gestión'!$AH$36="Leve"),CONCATENATE("R4C",'Riesgos de Gestión'!$V$36),"")</f>
        <v/>
      </c>
      <c r="P39" s="50" t="str">
        <f>IF(AND('Riesgos de Gestión'!$AF$31="Baja",'Riesgos de Gestión'!$AH$31="Menor"),CONCATENATE("R4C",'Riesgos de Gestión'!$V$31),"")</f>
        <v/>
      </c>
      <c r="Q39" s="51" t="str">
        <f>IF(AND('Riesgos de Gestión'!$AF$32="Baja",'Riesgos de Gestión'!$AH$32="Menor"),CONCATENATE("R4C",'Riesgos de Gestión'!$V$32),"")</f>
        <v/>
      </c>
      <c r="R39" s="51" t="str">
        <f>IF(AND('Riesgos de Gestión'!$AF$33="Baja",'Riesgos de Gestión'!$AH$33="Menor"),CONCATENATE("R4C",'Riesgos de Gestión'!$V$33),"")</f>
        <v/>
      </c>
      <c r="S39" s="51" t="str">
        <f>IF(AND('Riesgos de Gestión'!$AF$34="Baja",'Riesgos de Gestión'!$AH$34="Menor"),CONCATENATE("R4C",'Riesgos de Gestión'!$V$34),"")</f>
        <v/>
      </c>
      <c r="T39" s="51" t="str">
        <f>IF(AND('Riesgos de Gestión'!$AF$35="Baja",'Riesgos de Gestión'!$AH$35="Menor"),CONCATENATE("R4C",'Riesgos de Gestión'!$V$35),"")</f>
        <v/>
      </c>
      <c r="U39" s="52" t="str">
        <f>IF(AND('Riesgos de Gestión'!$AF$36="Baja",'Riesgos de Gestión'!$AH$36="Menor"),CONCATENATE("R4C",'Riesgos de Gestión'!$V$36),"")</f>
        <v/>
      </c>
      <c r="V39" s="50" t="str">
        <f>IF(AND('Riesgos de Gestión'!$AF$31="Baja",'Riesgos de Gestión'!$AH$31="Moderado"),CONCATENATE("R4C",'Riesgos de Gestión'!$V$31),"")</f>
        <v/>
      </c>
      <c r="W39" s="51" t="str">
        <f>IF(AND('Riesgos de Gestión'!$AF$32="Baja",'Riesgos de Gestión'!$AH$32="Moderado"),CONCATENATE("R4C",'Riesgos de Gestión'!$V$32),"")</f>
        <v/>
      </c>
      <c r="X39" s="51" t="str">
        <f>IF(AND('Riesgos de Gestión'!$AF$33="Baja",'Riesgos de Gestión'!$AH$33="Moderado"),CONCATENATE("R4C",'Riesgos de Gestión'!$V$33),"")</f>
        <v/>
      </c>
      <c r="Y39" s="51" t="str">
        <f>IF(AND('Riesgos de Gestión'!$AF$34="Baja",'Riesgos de Gestión'!$AH$34="Moderado"),CONCATENATE("R4C",'Riesgos de Gestión'!$V$34),"")</f>
        <v/>
      </c>
      <c r="Z39" s="51" t="str">
        <f>IF(AND('Riesgos de Gestión'!$AF$35="Baja",'Riesgos de Gestión'!$AH$35="Moderado"),CONCATENATE("R4C",'Riesgos de Gestión'!$V$35),"")</f>
        <v/>
      </c>
      <c r="AA39" s="52" t="str">
        <f>IF(AND('Riesgos de Gestión'!$AF$36="Baja",'Riesgos de Gestión'!$AH$36="Moderado"),CONCATENATE("R4C",'Riesgos de Gestión'!$V$36),"")</f>
        <v/>
      </c>
      <c r="AB39" s="35" t="str">
        <f>IF(AND('Riesgos de Gestión'!$AF$31="Baja",'Riesgos de Gestión'!$AH$31="Mayor"),CONCATENATE("R4C",'Riesgos de Gestión'!$V$31),"")</f>
        <v/>
      </c>
      <c r="AC39" s="36" t="str">
        <f>IF(AND('Riesgos de Gestión'!$AF$32="Baja",'Riesgos de Gestión'!$AH$32="Mayor"),CONCATENATE("R4C",'Riesgos de Gestión'!$V$32),"")</f>
        <v/>
      </c>
      <c r="AD39" s="36" t="str">
        <f>IF(AND('Riesgos de Gestión'!$AF$33="Baja",'Riesgos de Gestión'!$AH$33="Mayor"),CONCATENATE("R4C",'Riesgos de Gestión'!$V$33),"")</f>
        <v/>
      </c>
      <c r="AE39" s="36" t="str">
        <f>IF(AND('Riesgos de Gestión'!$AF$34="Baja",'Riesgos de Gestión'!$AH$34="Mayor"),CONCATENATE("R4C",'Riesgos de Gestión'!$V$34),"")</f>
        <v/>
      </c>
      <c r="AF39" s="36" t="str">
        <f>IF(AND('Riesgos de Gestión'!$AF$35="Baja",'Riesgos de Gestión'!$AH$35="Mayor"),CONCATENATE("R4C",'Riesgos de Gestión'!$V$35),"")</f>
        <v/>
      </c>
      <c r="AG39" s="37" t="str">
        <f>IF(AND('Riesgos de Gestión'!$AF$36="Baja",'Riesgos de Gestión'!$AH$36="Mayor"),CONCATENATE("R4C",'Riesgos de Gestión'!$V$36),"")</f>
        <v/>
      </c>
      <c r="AH39" s="38" t="str">
        <f>IF(AND('Riesgos de Gestión'!$AF$31="Baja",'Riesgos de Gestión'!$AH$31="Catastrófico"),CONCATENATE("R4C",'Riesgos de Gestión'!$V$31),"")</f>
        <v/>
      </c>
      <c r="AI39" s="39" t="str">
        <f>IF(AND('Riesgos de Gestión'!$AF$32="Baja",'Riesgos de Gestión'!$AH$32="Catastrófico"),CONCATENATE("R4C",'Riesgos de Gestión'!$V$32),"")</f>
        <v/>
      </c>
      <c r="AJ39" s="39" t="str">
        <f>IF(AND('Riesgos de Gestión'!$AF$33="Baja",'Riesgos de Gestión'!$AH$33="Catastrófico"),CONCATENATE("R4C",'Riesgos de Gestión'!$V$33),"")</f>
        <v/>
      </c>
      <c r="AK39" s="39" t="str">
        <f>IF(AND('Riesgos de Gestión'!$AF$34="Baja",'Riesgos de Gestión'!$AH$34="Catastrófico"),CONCATENATE("R4C",'Riesgos de Gestión'!$V$34),"")</f>
        <v/>
      </c>
      <c r="AL39" s="39" t="str">
        <f>IF(AND('Riesgos de Gestión'!$AF$35="Baja",'Riesgos de Gestión'!$AH$35="Catastrófico"),CONCATENATE("R4C",'Riesgos de Gestión'!$V$35),"")</f>
        <v/>
      </c>
      <c r="AM39" s="40" t="str">
        <f>IF(AND('Riesgos de Gestión'!$AF$36="Baja",'Riesgos de Gestión'!$AH$36="Catastrófico"),CONCATENATE("R4C",'Riesgos de Gestión'!$V$36),"")</f>
        <v/>
      </c>
      <c r="AN39" s="66"/>
      <c r="AO39" s="582"/>
      <c r="AP39" s="583"/>
      <c r="AQ39" s="583"/>
      <c r="AR39" s="583"/>
      <c r="AS39" s="583"/>
      <c r="AT39" s="584"/>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510"/>
      <c r="C40" s="510"/>
      <c r="D40" s="511"/>
      <c r="E40" s="551"/>
      <c r="F40" s="552"/>
      <c r="G40" s="552"/>
      <c r="H40" s="552"/>
      <c r="I40" s="552"/>
      <c r="J40" s="59" t="str">
        <f>IF(AND('Riesgos de Gestión'!$AF$37="Baja",'Riesgos de Gestión'!$AH$37="Leve"),CONCATENATE("R5C",'Riesgos de Gestión'!$V$37),"")</f>
        <v/>
      </c>
      <c r="K40" s="60" t="str">
        <f>IF(AND('Riesgos de Gestión'!$AF$38="Baja",'Riesgos de Gestión'!$AH$38="Leve"),CONCATENATE("R5C",'Riesgos de Gestión'!$V$38),"")</f>
        <v/>
      </c>
      <c r="L40" s="60" t="str">
        <f>IF(AND('Riesgos de Gestión'!$AF$39="Baja",'Riesgos de Gestión'!$AH$39="Leve"),CONCATENATE("R5C",'Riesgos de Gestión'!$V$39),"")</f>
        <v/>
      </c>
      <c r="M40" s="60" t="str">
        <f>IF(AND('Riesgos de Gestión'!$AF$40="Baja",'Riesgos de Gestión'!$AH$40="Leve"),CONCATENATE("R5C",'Riesgos de Gestión'!$V$40),"")</f>
        <v/>
      </c>
      <c r="N40" s="60" t="str">
        <f>IF(AND('Riesgos de Gestión'!$AF$41="Baja",'Riesgos de Gestión'!$AH$41="Leve"),CONCATENATE("R5C",'Riesgos de Gestión'!$V$41),"")</f>
        <v/>
      </c>
      <c r="O40" s="61" t="str">
        <f>IF(AND('Riesgos de Gestión'!$AF$42="Baja",'Riesgos de Gestión'!$AH$42="Leve"),CONCATENATE("R5C",'Riesgos de Gestión'!$V$42),"")</f>
        <v/>
      </c>
      <c r="P40" s="50" t="str">
        <f>IF(AND('Riesgos de Gestión'!$AF$37="Baja",'Riesgos de Gestión'!$AH$37="Menor"),CONCATENATE("R5C",'Riesgos de Gestión'!$V$37),"")</f>
        <v/>
      </c>
      <c r="Q40" s="51" t="str">
        <f>IF(AND('Riesgos de Gestión'!$AF$38="Baja",'Riesgos de Gestión'!$AH$38="Menor"),CONCATENATE("R5C",'Riesgos de Gestión'!$V$38),"")</f>
        <v/>
      </c>
      <c r="R40" s="51" t="str">
        <f>IF(AND('Riesgos de Gestión'!$AF$39="Baja",'Riesgos de Gestión'!$AH$39="Menor"),CONCATENATE("R5C",'Riesgos de Gestión'!$V$39),"")</f>
        <v/>
      </c>
      <c r="S40" s="51" t="str">
        <f>IF(AND('Riesgos de Gestión'!$AF$40="Baja",'Riesgos de Gestión'!$AH$40="Menor"),CONCATENATE("R5C",'Riesgos de Gestión'!$V$40),"")</f>
        <v/>
      </c>
      <c r="T40" s="51" t="str">
        <f>IF(AND('Riesgos de Gestión'!$AF$41="Baja",'Riesgos de Gestión'!$AH$41="Menor"),CONCATENATE("R5C",'Riesgos de Gestión'!$V$41),"")</f>
        <v/>
      </c>
      <c r="U40" s="52" t="str">
        <f>IF(AND('Riesgos de Gestión'!$AF$42="Baja",'Riesgos de Gestión'!$AH$42="Menor"),CONCATENATE("R5C",'Riesgos de Gestión'!$V$42),"")</f>
        <v/>
      </c>
      <c r="V40" s="50" t="str">
        <f>IF(AND('Riesgos de Gestión'!$AF$37="Baja",'Riesgos de Gestión'!$AH$37="Moderado"),CONCATENATE("R5C",'Riesgos de Gestión'!$V$37),"")</f>
        <v/>
      </c>
      <c r="W40" s="51" t="str">
        <f>IF(AND('Riesgos de Gestión'!$AF$38="Baja",'Riesgos de Gestión'!$AH$38="Moderado"),CONCATENATE("R5C",'Riesgos de Gestión'!$V$38),"")</f>
        <v/>
      </c>
      <c r="X40" s="51" t="str">
        <f>IF(AND('Riesgos de Gestión'!$AF$39="Baja",'Riesgos de Gestión'!$AH$39="Moderado"),CONCATENATE("R5C",'Riesgos de Gestión'!$V$39),"")</f>
        <v/>
      </c>
      <c r="Y40" s="51" t="str">
        <f>IF(AND('Riesgos de Gestión'!$AF$40="Baja",'Riesgos de Gestión'!$AH$40="Moderado"),CONCATENATE("R5C",'Riesgos de Gestión'!$V$40),"")</f>
        <v/>
      </c>
      <c r="Z40" s="51" t="str">
        <f>IF(AND('Riesgos de Gestión'!$AF$41="Baja",'Riesgos de Gestión'!$AH$41="Moderado"),CONCATENATE("R5C",'Riesgos de Gestión'!$V$41),"")</f>
        <v/>
      </c>
      <c r="AA40" s="52" t="str">
        <f>IF(AND('Riesgos de Gestión'!$AF$42="Baja",'Riesgos de Gestión'!$AH$42="Moderado"),CONCATENATE("R5C",'Riesgos de Gestión'!$V$42),"")</f>
        <v/>
      </c>
      <c r="AB40" s="35" t="str">
        <f>IF(AND('Riesgos de Gestión'!$AF$37="Baja",'Riesgos de Gestión'!$AH$37="Mayor"),CONCATENATE("R5C",'Riesgos de Gestión'!$V$37),"")</f>
        <v/>
      </c>
      <c r="AC40" s="36" t="str">
        <f>IF(AND('Riesgos de Gestión'!$AF$38="Baja",'Riesgos de Gestión'!$AH$38="Mayor"),CONCATENATE("R5C",'Riesgos de Gestión'!$V$38),"")</f>
        <v/>
      </c>
      <c r="AD40" s="36" t="str">
        <f>IF(AND('Riesgos de Gestión'!$AF$39="Baja",'Riesgos de Gestión'!$AH$39="Mayor"),CONCATENATE("R5C",'Riesgos de Gestión'!$V$39),"")</f>
        <v/>
      </c>
      <c r="AE40" s="36" t="str">
        <f>IF(AND('Riesgos de Gestión'!$AF$40="Baja",'Riesgos de Gestión'!$AH$40="Mayor"),CONCATENATE("R5C",'Riesgos de Gestión'!$V$40),"")</f>
        <v/>
      </c>
      <c r="AF40" s="36" t="str">
        <f>IF(AND('Riesgos de Gestión'!$AF$41="Baja",'Riesgos de Gestión'!$AH$41="Mayor"),CONCATENATE("R5C",'Riesgos de Gestión'!$V$41),"")</f>
        <v/>
      </c>
      <c r="AG40" s="37" t="str">
        <f>IF(AND('Riesgos de Gestión'!$AF$42="Baja",'Riesgos de Gestión'!$AH$42="Mayor"),CONCATENATE("R5C",'Riesgos de Gestión'!$V$42),"")</f>
        <v/>
      </c>
      <c r="AH40" s="38" t="str">
        <f>IF(AND('Riesgos de Gestión'!$AF$37="Baja",'Riesgos de Gestión'!$AH$37="Catastrófico"),CONCATENATE("R5C",'Riesgos de Gestión'!$V$37),"")</f>
        <v/>
      </c>
      <c r="AI40" s="39" t="str">
        <f>IF(AND('Riesgos de Gestión'!$AF$38="Baja",'Riesgos de Gestión'!$AH$38="Catastrófico"),CONCATENATE("R5C",'Riesgos de Gestión'!$V$38),"")</f>
        <v/>
      </c>
      <c r="AJ40" s="39" t="str">
        <f>IF(AND('Riesgos de Gestión'!$AF$39="Baja",'Riesgos de Gestión'!$AH$39="Catastrófico"),CONCATENATE("R5C",'Riesgos de Gestión'!$V$39),"")</f>
        <v/>
      </c>
      <c r="AK40" s="39" t="str">
        <f>IF(AND('Riesgos de Gestión'!$AF$40="Baja",'Riesgos de Gestión'!$AH$40="Catastrófico"),CONCATENATE("R5C",'Riesgos de Gestión'!$V$40),"")</f>
        <v/>
      </c>
      <c r="AL40" s="39" t="str">
        <f>IF(AND('Riesgos de Gestión'!$AF$41="Baja",'Riesgos de Gestión'!$AH$41="Catastrófico"),CONCATENATE("R5C",'Riesgos de Gestión'!$V$41),"")</f>
        <v/>
      </c>
      <c r="AM40" s="40" t="str">
        <f>IF(AND('Riesgos de Gestión'!$AF$42="Baja",'Riesgos de Gestión'!$AH$42="Catastrófico"),CONCATENATE("R5C",'Riesgos de Gestión'!$V$42),"")</f>
        <v/>
      </c>
      <c r="AN40" s="66"/>
      <c r="AO40" s="582"/>
      <c r="AP40" s="583"/>
      <c r="AQ40" s="583"/>
      <c r="AR40" s="583"/>
      <c r="AS40" s="583"/>
      <c r="AT40" s="584"/>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510"/>
      <c r="C41" s="510"/>
      <c r="D41" s="511"/>
      <c r="E41" s="551"/>
      <c r="F41" s="552"/>
      <c r="G41" s="552"/>
      <c r="H41" s="552"/>
      <c r="I41" s="552"/>
      <c r="J41" s="59" t="str">
        <f>IF(AND('Riesgos de Gestión'!$AF$43="Baja",'Riesgos de Gestión'!$AH$43="Leve"),CONCATENATE("R6C",'Riesgos de Gestión'!$V$43),"")</f>
        <v/>
      </c>
      <c r="K41" s="60" t="str">
        <f>IF(AND('Riesgos de Gestión'!$AF$44="Baja",'Riesgos de Gestión'!$AH$44="Leve"),CONCATENATE("R6C",'Riesgos de Gestión'!$V$44),"")</f>
        <v/>
      </c>
      <c r="L41" s="60" t="str">
        <f>IF(AND('Riesgos de Gestión'!$AF$45="Baja",'Riesgos de Gestión'!$AH$45="Leve"),CONCATENATE("R6C",'Riesgos de Gestión'!$V$45),"")</f>
        <v/>
      </c>
      <c r="M41" s="60" t="str">
        <f>IF(AND('Riesgos de Gestión'!$AF$46="Baja",'Riesgos de Gestión'!$AH$46="Leve"),CONCATENATE("R6C",'Riesgos de Gestión'!$V$46),"")</f>
        <v/>
      </c>
      <c r="N41" s="60" t="str">
        <f>IF(AND('Riesgos de Gestión'!$AF$47="Baja",'Riesgos de Gestión'!$AH$47="Leve"),CONCATENATE("R6C",'Riesgos de Gestión'!$V$47),"")</f>
        <v/>
      </c>
      <c r="O41" s="61" t="str">
        <f>IF(AND('Riesgos de Gestión'!$AF$48="Baja",'Riesgos de Gestión'!$AH$48="Leve"),CONCATENATE("R6C",'Riesgos de Gestión'!$V$48),"")</f>
        <v/>
      </c>
      <c r="P41" s="50" t="str">
        <f>IF(AND('Riesgos de Gestión'!$AF$43="Baja",'Riesgos de Gestión'!$AH$43="Menor"),CONCATENATE("R6C",'Riesgos de Gestión'!$V$43),"")</f>
        <v/>
      </c>
      <c r="Q41" s="51" t="str">
        <f>IF(AND('Riesgos de Gestión'!$AF$44="Baja",'Riesgos de Gestión'!$AH$44="Menor"),CONCATENATE("R6C",'Riesgos de Gestión'!$V$44),"")</f>
        <v/>
      </c>
      <c r="R41" s="51" t="str">
        <f>IF(AND('Riesgos de Gestión'!$AF$45="Baja",'Riesgos de Gestión'!$AH$45="Menor"),CONCATENATE("R6C",'Riesgos de Gestión'!$V$45),"")</f>
        <v/>
      </c>
      <c r="S41" s="51" t="str">
        <f>IF(AND('Riesgos de Gestión'!$AF$46="Baja",'Riesgos de Gestión'!$AH$46="Menor"),CONCATENATE("R6C",'Riesgos de Gestión'!$V$46),"")</f>
        <v/>
      </c>
      <c r="T41" s="51" t="str">
        <f>IF(AND('Riesgos de Gestión'!$AF$47="Baja",'Riesgos de Gestión'!$AH$47="Menor"),CONCATENATE("R6C",'Riesgos de Gestión'!$V$47),"")</f>
        <v/>
      </c>
      <c r="U41" s="52" t="str">
        <f>IF(AND('Riesgos de Gestión'!$AF$48="Baja",'Riesgos de Gestión'!$AH$48="Menor"),CONCATENATE("R6C",'Riesgos de Gestión'!$V$48),"")</f>
        <v/>
      </c>
      <c r="V41" s="50" t="str">
        <f>IF(AND('Riesgos de Gestión'!$AF$43="Baja",'Riesgos de Gestión'!$AH$43="Moderado"),CONCATENATE("R6C",'Riesgos de Gestión'!$V$43),"")</f>
        <v/>
      </c>
      <c r="W41" s="51" t="str">
        <f>IF(AND('Riesgos de Gestión'!$AF$44="Baja",'Riesgos de Gestión'!$AH$44="Moderado"),CONCATENATE("R6C",'Riesgos de Gestión'!$V$44),"")</f>
        <v/>
      </c>
      <c r="X41" s="51" t="str">
        <f>IF(AND('Riesgos de Gestión'!$AF$45="Baja",'Riesgos de Gestión'!$AH$45="Moderado"),CONCATENATE("R6C",'Riesgos de Gestión'!$V$45),"")</f>
        <v/>
      </c>
      <c r="Y41" s="51" t="str">
        <f>IF(AND('Riesgos de Gestión'!$AF$46="Baja",'Riesgos de Gestión'!$AH$46="Moderado"),CONCATENATE("R6C",'Riesgos de Gestión'!$V$46),"")</f>
        <v/>
      </c>
      <c r="Z41" s="51" t="str">
        <f>IF(AND('Riesgos de Gestión'!$AF$47="Baja",'Riesgos de Gestión'!$AH$47="Moderado"),CONCATENATE("R6C",'Riesgos de Gestión'!$V$47),"")</f>
        <v/>
      </c>
      <c r="AA41" s="52" t="str">
        <f>IF(AND('Riesgos de Gestión'!$AF$48="Baja",'Riesgos de Gestión'!$AH$48="Moderado"),CONCATENATE("R6C",'Riesgos de Gestión'!$V$48),"")</f>
        <v/>
      </c>
      <c r="AB41" s="35" t="str">
        <f>IF(AND('Riesgos de Gestión'!$AF$43="Baja",'Riesgos de Gestión'!$AH$43="Mayor"),CONCATENATE("R6C",'Riesgos de Gestión'!$V$43),"")</f>
        <v/>
      </c>
      <c r="AC41" s="36" t="str">
        <f>IF(AND('Riesgos de Gestión'!$AF$44="Baja",'Riesgos de Gestión'!$AH$44="Mayor"),CONCATENATE("R6C",'Riesgos de Gestión'!$V$44),"")</f>
        <v/>
      </c>
      <c r="AD41" s="36" t="str">
        <f>IF(AND('Riesgos de Gestión'!$AF$45="Baja",'Riesgos de Gestión'!$AH$45="Mayor"),CONCATENATE("R6C",'Riesgos de Gestión'!$V$45),"")</f>
        <v/>
      </c>
      <c r="AE41" s="36" t="str">
        <f>IF(AND('Riesgos de Gestión'!$AF$46="Baja",'Riesgos de Gestión'!$AH$46="Mayor"),CONCATENATE("R6C",'Riesgos de Gestión'!$V$46),"")</f>
        <v/>
      </c>
      <c r="AF41" s="36" t="str">
        <f>IF(AND('Riesgos de Gestión'!$AF$47="Baja",'Riesgos de Gestión'!$AH$47="Mayor"),CONCATENATE("R6C",'Riesgos de Gestión'!$V$47),"")</f>
        <v/>
      </c>
      <c r="AG41" s="37" t="str">
        <f>IF(AND('Riesgos de Gestión'!$AF$48="Baja",'Riesgos de Gestión'!$AH$48="Mayor"),CONCATENATE("R6C",'Riesgos de Gestión'!$V$48),"")</f>
        <v/>
      </c>
      <c r="AH41" s="38" t="str">
        <f>IF(AND('Riesgos de Gestión'!$AF$43="Baja",'Riesgos de Gestión'!$AH$43="Catastrófico"),CONCATENATE("R6C",'Riesgos de Gestión'!$V$43),"")</f>
        <v/>
      </c>
      <c r="AI41" s="39" t="str">
        <f>IF(AND('Riesgos de Gestión'!$AF$44="Baja",'Riesgos de Gestión'!$AH$44="Catastrófico"),CONCATENATE("R6C",'Riesgos de Gestión'!$V$44),"")</f>
        <v/>
      </c>
      <c r="AJ41" s="39" t="str">
        <f>IF(AND('Riesgos de Gestión'!$AF$45="Baja",'Riesgos de Gestión'!$AH$45="Catastrófico"),CONCATENATE("R6C",'Riesgos de Gestión'!$V$45),"")</f>
        <v/>
      </c>
      <c r="AK41" s="39" t="str">
        <f>IF(AND('Riesgos de Gestión'!$AF$46="Baja",'Riesgos de Gestión'!$AH$46="Catastrófico"),CONCATENATE("R6C",'Riesgos de Gestión'!$V$46),"")</f>
        <v/>
      </c>
      <c r="AL41" s="39" t="str">
        <f>IF(AND('Riesgos de Gestión'!$AF$47="Baja",'Riesgos de Gestión'!$AH$47="Catastrófico"),CONCATENATE("R6C",'Riesgos de Gestión'!$V$47),"")</f>
        <v/>
      </c>
      <c r="AM41" s="40" t="str">
        <f>IF(AND('Riesgos de Gestión'!$AF$48="Baja",'Riesgos de Gestión'!$AH$48="Catastrófico"),CONCATENATE("R6C",'Riesgos de Gestión'!$V$48),"")</f>
        <v/>
      </c>
      <c r="AN41" s="66"/>
      <c r="AO41" s="582"/>
      <c r="AP41" s="583"/>
      <c r="AQ41" s="583"/>
      <c r="AR41" s="583"/>
      <c r="AS41" s="583"/>
      <c r="AT41" s="584"/>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510"/>
      <c r="C42" s="510"/>
      <c r="D42" s="511"/>
      <c r="E42" s="551"/>
      <c r="F42" s="552"/>
      <c r="G42" s="552"/>
      <c r="H42" s="552"/>
      <c r="I42" s="552"/>
      <c r="J42" s="59" t="str">
        <f>IF(AND('Riesgos de Gestión'!$AF$49="Baja",'Riesgos de Gestión'!$AH$49="Leve"),CONCATENATE("R7C",'Riesgos de Gestión'!$V$49),"")</f>
        <v/>
      </c>
      <c r="K42" s="60" t="str">
        <f>IF(AND('Riesgos de Gestión'!$AF$50="Baja",'Riesgos de Gestión'!$AH$50="Leve"),CONCATENATE("R7C",'Riesgos de Gestión'!$V$50),"")</f>
        <v/>
      </c>
      <c r="L42" s="60" t="str">
        <f>IF(AND('Riesgos de Gestión'!$AF$51="Baja",'Riesgos de Gestión'!$AH$51="Leve"),CONCATENATE("R7C",'Riesgos de Gestión'!$V$51),"")</f>
        <v/>
      </c>
      <c r="M42" s="60" t="str">
        <f>IF(AND('Riesgos de Gestión'!$AF$52="Baja",'Riesgos de Gestión'!$AH$52="Leve"),CONCATENATE("R7C",'Riesgos de Gestión'!$V$52),"")</f>
        <v/>
      </c>
      <c r="N42" s="60" t="str">
        <f>IF(AND('Riesgos de Gestión'!$AF$53="Baja",'Riesgos de Gestión'!$AH$53="Leve"),CONCATENATE("R7C",'Riesgos de Gestión'!$V$53),"")</f>
        <v/>
      </c>
      <c r="O42" s="61" t="str">
        <f>IF(AND('Riesgos de Gestión'!$AF$54="Baja",'Riesgos de Gestión'!$AH$54="Leve"),CONCATENATE("R7C",'Riesgos de Gestión'!$V$54),"")</f>
        <v/>
      </c>
      <c r="P42" s="50" t="str">
        <f>IF(AND('Riesgos de Gestión'!$AF$49="Baja",'Riesgos de Gestión'!$AH$49="Menor"),CONCATENATE("R7C",'Riesgos de Gestión'!$V$49),"")</f>
        <v/>
      </c>
      <c r="Q42" s="51" t="str">
        <f>IF(AND('Riesgos de Gestión'!$AF$50="Baja",'Riesgos de Gestión'!$AH$50="Menor"),CONCATENATE("R7C",'Riesgos de Gestión'!$V$50),"")</f>
        <v/>
      </c>
      <c r="R42" s="51" t="str">
        <f>IF(AND('Riesgos de Gestión'!$AF$51="Baja",'Riesgos de Gestión'!$AH$51="Menor"),CONCATENATE("R7C",'Riesgos de Gestión'!$V$51),"")</f>
        <v/>
      </c>
      <c r="S42" s="51" t="str">
        <f>IF(AND('Riesgos de Gestión'!$AF$52="Baja",'Riesgos de Gestión'!$AH$52="Menor"),CONCATENATE("R7C",'Riesgos de Gestión'!$V$52),"")</f>
        <v/>
      </c>
      <c r="T42" s="51" t="str">
        <f>IF(AND('Riesgos de Gestión'!$AF$53="Baja",'Riesgos de Gestión'!$AH$53="Menor"),CONCATENATE("R7C",'Riesgos de Gestión'!$V$53),"")</f>
        <v/>
      </c>
      <c r="U42" s="52" t="str">
        <f>IF(AND('Riesgos de Gestión'!$AF$54="Baja",'Riesgos de Gestión'!$AH$54="Menor"),CONCATENATE("R7C",'Riesgos de Gestión'!$V$54),"")</f>
        <v/>
      </c>
      <c r="V42" s="50" t="str">
        <f>IF(AND('Riesgos de Gestión'!$AF$49="Baja",'Riesgos de Gestión'!$AH$49="Moderado"),CONCATENATE("R7C",'Riesgos de Gestión'!$V$49),"")</f>
        <v/>
      </c>
      <c r="W42" s="51" t="str">
        <f>IF(AND('Riesgos de Gestión'!$AF$50="Baja",'Riesgos de Gestión'!$AH$50="Moderado"),CONCATENATE("R7C",'Riesgos de Gestión'!$V$50),"")</f>
        <v/>
      </c>
      <c r="X42" s="51" t="str">
        <f>IF(AND('Riesgos de Gestión'!$AF$51="Baja",'Riesgos de Gestión'!$AH$51="Moderado"),CONCATENATE("R7C",'Riesgos de Gestión'!$V$51),"")</f>
        <v/>
      </c>
      <c r="Y42" s="51" t="str">
        <f>IF(AND('Riesgos de Gestión'!$AF$52="Baja",'Riesgos de Gestión'!$AH$52="Moderado"),CONCATENATE("R7C",'Riesgos de Gestión'!$V$52),"")</f>
        <v/>
      </c>
      <c r="Z42" s="51" t="str">
        <f>IF(AND('Riesgos de Gestión'!$AF$53="Baja",'Riesgos de Gestión'!$AH$53="Moderado"),CONCATENATE("R7C",'Riesgos de Gestión'!$V$53),"")</f>
        <v/>
      </c>
      <c r="AA42" s="52" t="str">
        <f>IF(AND('Riesgos de Gestión'!$AF$54="Baja",'Riesgos de Gestión'!$AH$54="Moderado"),CONCATENATE("R7C",'Riesgos de Gestión'!$V$54),"")</f>
        <v/>
      </c>
      <c r="AB42" s="35" t="str">
        <f>IF(AND('Riesgos de Gestión'!$AF$49="Baja",'Riesgos de Gestión'!$AH$49="Mayor"),CONCATENATE("R7C",'Riesgos de Gestión'!$V$49),"")</f>
        <v/>
      </c>
      <c r="AC42" s="36" t="str">
        <f>IF(AND('Riesgos de Gestión'!$AF$50="Baja",'Riesgos de Gestión'!$AH$50="Mayor"),CONCATENATE("R7C",'Riesgos de Gestión'!$V$50),"")</f>
        <v/>
      </c>
      <c r="AD42" s="36" t="str">
        <f>IF(AND('Riesgos de Gestión'!$AF$51="Baja",'Riesgos de Gestión'!$AH$51="Mayor"),CONCATENATE("R7C",'Riesgos de Gestión'!$V$51),"")</f>
        <v/>
      </c>
      <c r="AE42" s="36" t="str">
        <f>IF(AND('Riesgos de Gestión'!$AF$52="Baja",'Riesgos de Gestión'!$AH$52="Mayor"),CONCATENATE("R7C",'Riesgos de Gestión'!$V$52),"")</f>
        <v/>
      </c>
      <c r="AF42" s="36" t="str">
        <f>IF(AND('Riesgos de Gestión'!$AF$53="Baja",'Riesgos de Gestión'!$AH$53="Mayor"),CONCATENATE("R7C",'Riesgos de Gestión'!$V$53),"")</f>
        <v/>
      </c>
      <c r="AG42" s="37" t="str">
        <f>IF(AND('Riesgos de Gestión'!$AF$54="Baja",'Riesgos de Gestión'!$AH$54="Mayor"),CONCATENATE("R7C",'Riesgos de Gestión'!$V$54),"")</f>
        <v/>
      </c>
      <c r="AH42" s="38" t="str">
        <f>IF(AND('Riesgos de Gestión'!$AF$49="Baja",'Riesgos de Gestión'!$AH$49="Catastrófico"),CONCATENATE("R7C",'Riesgos de Gestión'!$V$49),"")</f>
        <v/>
      </c>
      <c r="AI42" s="39" t="str">
        <f>IF(AND('Riesgos de Gestión'!$AF$50="Baja",'Riesgos de Gestión'!$AH$50="Catastrófico"),CONCATENATE("R7C",'Riesgos de Gestión'!$V$50),"")</f>
        <v/>
      </c>
      <c r="AJ42" s="39" t="str">
        <f>IF(AND('Riesgos de Gestión'!$AF$51="Baja",'Riesgos de Gestión'!$AH$51="Catastrófico"),CONCATENATE("R7C",'Riesgos de Gestión'!$V$51),"")</f>
        <v/>
      </c>
      <c r="AK42" s="39" t="str">
        <f>IF(AND('Riesgos de Gestión'!$AF$52="Baja",'Riesgos de Gestión'!$AH$52="Catastrófico"),CONCATENATE("R7C",'Riesgos de Gestión'!$V$52),"")</f>
        <v/>
      </c>
      <c r="AL42" s="39" t="str">
        <f>IF(AND('Riesgos de Gestión'!$AF$53="Baja",'Riesgos de Gestión'!$AH$53="Catastrófico"),CONCATENATE("R7C",'Riesgos de Gestión'!$V$53),"")</f>
        <v/>
      </c>
      <c r="AM42" s="40" t="str">
        <f>IF(AND('Riesgos de Gestión'!$AF$54="Baja",'Riesgos de Gestión'!$AH$54="Catastrófico"),CONCATENATE("R7C",'Riesgos de Gestión'!$V$54),"")</f>
        <v/>
      </c>
      <c r="AN42" s="66"/>
      <c r="AO42" s="582"/>
      <c r="AP42" s="583"/>
      <c r="AQ42" s="583"/>
      <c r="AR42" s="583"/>
      <c r="AS42" s="583"/>
      <c r="AT42" s="584"/>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510"/>
      <c r="C43" s="510"/>
      <c r="D43" s="511"/>
      <c r="E43" s="551"/>
      <c r="F43" s="552"/>
      <c r="G43" s="552"/>
      <c r="H43" s="552"/>
      <c r="I43" s="552"/>
      <c r="J43" s="59" t="str">
        <f>IF(AND('Riesgos de Gestión'!$AF$55="Baja",'Riesgos de Gestión'!$AH$55="Leve"),CONCATENATE("R8C",'Riesgos de Gestión'!$V$55),"")</f>
        <v/>
      </c>
      <c r="K43" s="60" t="str">
        <f>IF(AND('Riesgos de Gestión'!$AF$56="Baja",'Riesgos de Gestión'!$AH$56="Leve"),CONCATENATE("R8C",'Riesgos de Gestión'!$V$56),"")</f>
        <v/>
      </c>
      <c r="L43" s="60" t="str">
        <f>IF(AND('Riesgos de Gestión'!$AF$57="Baja",'Riesgos de Gestión'!$AH$57="Leve"),CONCATENATE("R8C",'Riesgos de Gestión'!$V$57),"")</f>
        <v/>
      </c>
      <c r="M43" s="60" t="str">
        <f>IF(AND('Riesgos de Gestión'!$AF$58="Baja",'Riesgos de Gestión'!$AH$58="Leve"),CONCATENATE("R8C",'Riesgos de Gestión'!$V$58),"")</f>
        <v/>
      </c>
      <c r="N43" s="60" t="str">
        <f>IF(AND('Riesgos de Gestión'!$AF$59="Baja",'Riesgos de Gestión'!$AH$59="Leve"),CONCATENATE("R8C",'Riesgos de Gestión'!$V$59),"")</f>
        <v/>
      </c>
      <c r="O43" s="61" t="str">
        <f>IF(AND('Riesgos de Gestión'!$AF$60="Baja",'Riesgos de Gestión'!$AH$60="Leve"),CONCATENATE("R8C",'Riesgos de Gestión'!$V$60),"")</f>
        <v/>
      </c>
      <c r="P43" s="50" t="str">
        <f>IF(AND('Riesgos de Gestión'!$AF$55="Baja",'Riesgos de Gestión'!$AH$55="Menor"),CONCATENATE("R8C",'Riesgos de Gestión'!$V$55),"")</f>
        <v/>
      </c>
      <c r="Q43" s="51" t="str">
        <f>IF(AND('Riesgos de Gestión'!$AF$56="Baja",'Riesgos de Gestión'!$AH$56="Menor"),CONCATENATE("R8C",'Riesgos de Gestión'!$V$56),"")</f>
        <v/>
      </c>
      <c r="R43" s="51" t="str">
        <f>IF(AND('Riesgos de Gestión'!$AF$57="Baja",'Riesgos de Gestión'!$AH$57="Menor"),CONCATENATE("R8C",'Riesgos de Gestión'!$V$57),"")</f>
        <v/>
      </c>
      <c r="S43" s="51" t="str">
        <f>IF(AND('Riesgos de Gestión'!$AF$58="Baja",'Riesgos de Gestión'!$AH$58="Menor"),CONCATENATE("R8C",'Riesgos de Gestión'!$V$58),"")</f>
        <v/>
      </c>
      <c r="T43" s="51" t="str">
        <f>IF(AND('Riesgos de Gestión'!$AF$59="Baja",'Riesgos de Gestión'!$AH$59="Menor"),CONCATENATE("R8C",'Riesgos de Gestión'!$V$59),"")</f>
        <v/>
      </c>
      <c r="U43" s="52" t="str">
        <f>IF(AND('Riesgos de Gestión'!$AF$60="Baja",'Riesgos de Gestión'!$AH$60="Menor"),CONCATENATE("R8C",'Riesgos de Gestión'!$V$60),"")</f>
        <v/>
      </c>
      <c r="V43" s="50" t="str">
        <f>IF(AND('Riesgos de Gestión'!$AF$55="Baja",'Riesgos de Gestión'!$AH$55="Moderado"),CONCATENATE("R8C",'Riesgos de Gestión'!$V$55),"")</f>
        <v/>
      </c>
      <c r="W43" s="51" t="str">
        <f>IF(AND('Riesgos de Gestión'!$AF$56="Baja",'Riesgos de Gestión'!$AH$56="Moderado"),CONCATENATE("R8C",'Riesgos de Gestión'!$V$56),"")</f>
        <v/>
      </c>
      <c r="X43" s="51" t="str">
        <f>IF(AND('Riesgos de Gestión'!$AF$57="Baja",'Riesgos de Gestión'!$AH$57="Moderado"),CONCATENATE("R8C",'Riesgos de Gestión'!$V$57),"")</f>
        <v/>
      </c>
      <c r="Y43" s="51" t="str">
        <f>IF(AND('Riesgos de Gestión'!$AF$58="Baja",'Riesgos de Gestión'!$AH$58="Moderado"),CONCATENATE("R8C",'Riesgos de Gestión'!$V$58),"")</f>
        <v/>
      </c>
      <c r="Z43" s="51" t="str">
        <f>IF(AND('Riesgos de Gestión'!$AF$59="Baja",'Riesgos de Gestión'!$AH$59="Moderado"),CONCATENATE("R8C",'Riesgos de Gestión'!$V$59),"")</f>
        <v/>
      </c>
      <c r="AA43" s="52" t="str">
        <f>IF(AND('Riesgos de Gestión'!$AF$60="Baja",'Riesgos de Gestión'!$AH$60="Moderado"),CONCATENATE("R8C",'Riesgos de Gestión'!$V$60),"")</f>
        <v/>
      </c>
      <c r="AB43" s="35" t="str">
        <f>IF(AND('Riesgos de Gestión'!$AF$55="Baja",'Riesgos de Gestión'!$AH$55="Mayor"),CONCATENATE("R8C",'Riesgos de Gestión'!$V$55),"")</f>
        <v/>
      </c>
      <c r="AC43" s="36" t="str">
        <f>IF(AND('Riesgos de Gestión'!$AF$56="Baja",'Riesgos de Gestión'!$AH$56="Mayor"),CONCATENATE("R8C",'Riesgos de Gestión'!$V$56),"")</f>
        <v/>
      </c>
      <c r="AD43" s="36" t="str">
        <f>IF(AND('Riesgos de Gestión'!$AF$57="Baja",'Riesgos de Gestión'!$AH$57="Mayor"),CONCATENATE("R8C",'Riesgos de Gestión'!$V$57),"")</f>
        <v/>
      </c>
      <c r="AE43" s="36" t="str">
        <f>IF(AND('Riesgos de Gestión'!$AF$58="Baja",'Riesgos de Gestión'!$AH$58="Mayor"),CONCATENATE("R8C",'Riesgos de Gestión'!$V$58),"")</f>
        <v/>
      </c>
      <c r="AF43" s="36" t="str">
        <f>IF(AND('Riesgos de Gestión'!$AF$59="Baja",'Riesgos de Gestión'!$AH$59="Mayor"),CONCATENATE("R8C",'Riesgos de Gestión'!$V$59),"")</f>
        <v/>
      </c>
      <c r="AG43" s="37" t="str">
        <f>IF(AND('Riesgos de Gestión'!$AF$60="Baja",'Riesgos de Gestión'!$AH$60="Mayor"),CONCATENATE("R8C",'Riesgos de Gestión'!$V$60),"")</f>
        <v/>
      </c>
      <c r="AH43" s="38" t="str">
        <f>IF(AND('Riesgos de Gestión'!$AF$55="Baja",'Riesgos de Gestión'!$AH$55="Catastrófico"),CONCATENATE("R8C",'Riesgos de Gestión'!$V$55),"")</f>
        <v/>
      </c>
      <c r="AI43" s="39" t="str">
        <f>IF(AND('Riesgos de Gestión'!$AF$56="Baja",'Riesgos de Gestión'!$AH$56="Catastrófico"),CONCATENATE("R8C",'Riesgos de Gestión'!$V$56),"")</f>
        <v/>
      </c>
      <c r="AJ43" s="39" t="str">
        <f>IF(AND('Riesgos de Gestión'!$AF$57="Baja",'Riesgos de Gestión'!$AH$57="Catastrófico"),CONCATENATE("R8C",'Riesgos de Gestión'!$V$57),"")</f>
        <v/>
      </c>
      <c r="AK43" s="39" t="str">
        <f>IF(AND('Riesgos de Gestión'!$AF$58="Baja",'Riesgos de Gestión'!$AH$58="Catastrófico"),CONCATENATE("R8C",'Riesgos de Gestión'!$V$58),"")</f>
        <v/>
      </c>
      <c r="AL43" s="39" t="str">
        <f>IF(AND('Riesgos de Gestión'!$AF$59="Baja",'Riesgos de Gestión'!$AH$59="Catastrófico"),CONCATENATE("R8C",'Riesgos de Gestión'!$V$59),"")</f>
        <v/>
      </c>
      <c r="AM43" s="40" t="str">
        <f>IF(AND('Riesgos de Gestión'!$AF$60="Baja",'Riesgos de Gestión'!$AH$60="Catastrófico"),CONCATENATE("R8C",'Riesgos de Gestión'!$V$60),"")</f>
        <v/>
      </c>
      <c r="AN43" s="66"/>
      <c r="AO43" s="582"/>
      <c r="AP43" s="583"/>
      <c r="AQ43" s="583"/>
      <c r="AR43" s="583"/>
      <c r="AS43" s="583"/>
      <c r="AT43" s="584"/>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510"/>
      <c r="C44" s="510"/>
      <c r="D44" s="511"/>
      <c r="E44" s="551"/>
      <c r="F44" s="552"/>
      <c r="G44" s="552"/>
      <c r="H44" s="552"/>
      <c r="I44" s="552"/>
      <c r="J44" s="59" t="str">
        <f>IF(AND('Riesgos de Gestión'!$AF$61="Baja",'Riesgos de Gestión'!$AH$61="Leve"),CONCATENATE("R9C",'Riesgos de Gestión'!$V$61),"")</f>
        <v/>
      </c>
      <c r="K44" s="60" t="str">
        <f>IF(AND('Riesgos de Gestión'!$AF$62="Baja",'Riesgos de Gestión'!$AH$62="Leve"),CONCATENATE("R9C",'Riesgos de Gestión'!$V$62),"")</f>
        <v/>
      </c>
      <c r="L44" s="60" t="str">
        <f>IF(AND('Riesgos de Gestión'!$AF$63="Baja",'Riesgos de Gestión'!$AH$63="Leve"),CONCATENATE("R9C",'Riesgos de Gestión'!$V$63),"")</f>
        <v/>
      </c>
      <c r="M44" s="60" t="str">
        <f>IF(AND('Riesgos de Gestión'!$AF$64="Baja",'Riesgos de Gestión'!$AH$64="Leve"),CONCATENATE("R9C",'Riesgos de Gestión'!$V$64),"")</f>
        <v/>
      </c>
      <c r="N44" s="60" t="str">
        <f>IF(AND('Riesgos de Gestión'!$AF$65="Baja",'Riesgos de Gestión'!$AH$65="Leve"),CONCATENATE("R9C",'Riesgos de Gestión'!$V$65),"")</f>
        <v/>
      </c>
      <c r="O44" s="61" t="str">
        <f>IF(AND('Riesgos de Gestión'!$AF$66="Baja",'Riesgos de Gestión'!$AH$66="Leve"),CONCATENATE("R9C",'Riesgos de Gestión'!$V$66),"")</f>
        <v/>
      </c>
      <c r="P44" s="50" t="str">
        <f>IF(AND('Riesgos de Gestión'!$AF$61="Baja",'Riesgos de Gestión'!$AH$61="Menor"),CONCATENATE("R9C",'Riesgos de Gestión'!$V$61),"")</f>
        <v/>
      </c>
      <c r="Q44" s="51" t="str">
        <f>IF(AND('Riesgos de Gestión'!$AF$62="Baja",'Riesgos de Gestión'!$AH$62="Menor"),CONCATENATE("R9C",'Riesgos de Gestión'!$V$62),"")</f>
        <v/>
      </c>
      <c r="R44" s="51" t="str">
        <f>IF(AND('Riesgos de Gestión'!$AF$63="Baja",'Riesgos de Gestión'!$AH$63="Menor"),CONCATENATE("R9C",'Riesgos de Gestión'!$V$63),"")</f>
        <v/>
      </c>
      <c r="S44" s="51" t="str">
        <f>IF(AND('Riesgos de Gestión'!$AF$64="Baja",'Riesgos de Gestión'!$AH$64="Menor"),CONCATENATE("R9C",'Riesgos de Gestión'!$V$64),"")</f>
        <v/>
      </c>
      <c r="T44" s="51" t="str">
        <f>IF(AND('Riesgos de Gestión'!$AF$65="Baja",'Riesgos de Gestión'!$AH$65="Menor"),CONCATENATE("R9C",'Riesgos de Gestión'!$V$65),"")</f>
        <v/>
      </c>
      <c r="U44" s="52" t="str">
        <f>IF(AND('Riesgos de Gestión'!$AF$66="Baja",'Riesgos de Gestión'!$AH$66="Menor"),CONCATENATE("R9C",'Riesgos de Gestión'!$V$66),"")</f>
        <v/>
      </c>
      <c r="V44" s="50" t="str">
        <f>IF(AND('Riesgos de Gestión'!$AF$61="Baja",'Riesgos de Gestión'!$AH$61="Moderado"),CONCATENATE("R9C",'Riesgos de Gestión'!$V$61),"")</f>
        <v/>
      </c>
      <c r="W44" s="51" t="str">
        <f>IF(AND('Riesgos de Gestión'!$AF$62="Baja",'Riesgos de Gestión'!$AH$62="Moderado"),CONCATENATE("R9C",'Riesgos de Gestión'!$V$62),"")</f>
        <v/>
      </c>
      <c r="X44" s="51" t="str">
        <f>IF(AND('Riesgos de Gestión'!$AF$63="Baja",'Riesgos de Gestión'!$AH$63="Moderado"),CONCATENATE("R9C",'Riesgos de Gestión'!$V$63),"")</f>
        <v/>
      </c>
      <c r="Y44" s="51" t="str">
        <f>IF(AND('Riesgos de Gestión'!$AF$64="Baja",'Riesgos de Gestión'!$AH$64="Moderado"),CONCATENATE("R9C",'Riesgos de Gestión'!$V$64),"")</f>
        <v/>
      </c>
      <c r="Z44" s="51" t="str">
        <f>IF(AND('Riesgos de Gestión'!$AF$65="Baja",'Riesgos de Gestión'!$AH$65="Moderado"),CONCATENATE("R9C",'Riesgos de Gestión'!$V$65),"")</f>
        <v/>
      </c>
      <c r="AA44" s="52" t="str">
        <f>IF(AND('Riesgos de Gestión'!$AF$66="Baja",'Riesgos de Gestión'!$AH$66="Moderado"),CONCATENATE("R9C",'Riesgos de Gestión'!$V$66),"")</f>
        <v/>
      </c>
      <c r="AB44" s="35" t="str">
        <f>IF(AND('Riesgos de Gestión'!$AF$61="Baja",'Riesgos de Gestión'!$AH$61="Mayor"),CONCATENATE("R9C",'Riesgos de Gestión'!$V$61),"")</f>
        <v/>
      </c>
      <c r="AC44" s="36" t="str">
        <f>IF(AND('Riesgos de Gestión'!$AF$62="Baja",'Riesgos de Gestión'!$AH$62="Mayor"),CONCATENATE("R9C",'Riesgos de Gestión'!$V$62),"")</f>
        <v/>
      </c>
      <c r="AD44" s="36" t="str">
        <f>IF(AND('Riesgos de Gestión'!$AF$63="Baja",'Riesgos de Gestión'!$AH$63="Mayor"),CONCATENATE("R9C",'Riesgos de Gestión'!$V$63),"")</f>
        <v/>
      </c>
      <c r="AE44" s="36" t="str">
        <f>IF(AND('Riesgos de Gestión'!$AF$64="Baja",'Riesgos de Gestión'!$AH$64="Mayor"),CONCATENATE("R9C",'Riesgos de Gestión'!$V$64),"")</f>
        <v/>
      </c>
      <c r="AF44" s="36" t="str">
        <f>IF(AND('Riesgos de Gestión'!$AF$65="Baja",'Riesgos de Gestión'!$AH$65="Mayor"),CONCATENATE("R9C",'Riesgos de Gestión'!$V$65),"")</f>
        <v/>
      </c>
      <c r="AG44" s="37" t="str">
        <f>IF(AND('Riesgos de Gestión'!$AF$66="Baja",'Riesgos de Gestión'!$AH$66="Mayor"),CONCATENATE("R9C",'Riesgos de Gestión'!$V$66),"")</f>
        <v/>
      </c>
      <c r="AH44" s="38" t="str">
        <f>IF(AND('Riesgos de Gestión'!$AF$61="Baja",'Riesgos de Gestión'!$AH$61="Catastrófico"),CONCATENATE("R9C",'Riesgos de Gestión'!$V$61),"")</f>
        <v/>
      </c>
      <c r="AI44" s="39" t="str">
        <f>IF(AND('Riesgos de Gestión'!$AF$62="Baja",'Riesgos de Gestión'!$AH$62="Catastrófico"),CONCATENATE("R9C",'Riesgos de Gestión'!$V$62),"")</f>
        <v/>
      </c>
      <c r="AJ44" s="39" t="str">
        <f>IF(AND('Riesgos de Gestión'!$AF$63="Baja",'Riesgos de Gestión'!$AH$63="Catastrófico"),CONCATENATE("R9C",'Riesgos de Gestión'!$V$63),"")</f>
        <v/>
      </c>
      <c r="AK44" s="39" t="str">
        <f>IF(AND('Riesgos de Gestión'!$AF$64="Baja",'Riesgos de Gestión'!$AH$64="Catastrófico"),CONCATENATE("R9C",'Riesgos de Gestión'!$V$64),"")</f>
        <v/>
      </c>
      <c r="AL44" s="39" t="str">
        <f>IF(AND('Riesgos de Gestión'!$AF$65="Baja",'Riesgos de Gestión'!$AH$65="Catastrófico"),CONCATENATE("R9C",'Riesgos de Gestión'!$V$65),"")</f>
        <v/>
      </c>
      <c r="AM44" s="40" t="str">
        <f>IF(AND('Riesgos de Gestión'!$AF$66="Baja",'Riesgos de Gestión'!$AH$66="Catastrófico"),CONCATENATE("R9C",'Riesgos de Gestión'!$V$66),"")</f>
        <v/>
      </c>
      <c r="AN44" s="66"/>
      <c r="AO44" s="582"/>
      <c r="AP44" s="583"/>
      <c r="AQ44" s="583"/>
      <c r="AR44" s="583"/>
      <c r="AS44" s="583"/>
      <c r="AT44" s="584"/>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510"/>
      <c r="C45" s="510"/>
      <c r="D45" s="511"/>
      <c r="E45" s="554"/>
      <c r="F45" s="555"/>
      <c r="G45" s="555"/>
      <c r="H45" s="555"/>
      <c r="I45" s="555"/>
      <c r="J45" s="62" t="str">
        <f>IF(AND('Riesgos de Gestión'!$AF$67="Baja",'Riesgos de Gestión'!$AH$67="Leve"),CONCATENATE("R10C",'Riesgos de Gestión'!$V$67),"")</f>
        <v/>
      </c>
      <c r="K45" s="63" t="str">
        <f>IF(AND('Riesgos de Gestión'!$AF$68="Baja",'Riesgos de Gestión'!$AH$68="Leve"),CONCATENATE("R10C",'Riesgos de Gestión'!$V$68),"")</f>
        <v/>
      </c>
      <c r="L45" s="63" t="str">
        <f>IF(AND('Riesgos de Gestión'!$AF$69="Baja",'Riesgos de Gestión'!$AH$69="Leve"),CONCATENATE("R10C",'Riesgos de Gestión'!$V$69),"")</f>
        <v/>
      </c>
      <c r="M45" s="63" t="str">
        <f>IF(AND('Riesgos de Gestión'!$AF$70="Baja",'Riesgos de Gestión'!$AH$70="Leve"),CONCATENATE("R10C",'Riesgos de Gestión'!$V$70),"")</f>
        <v/>
      </c>
      <c r="N45" s="63" t="str">
        <f>IF(AND('Riesgos de Gestión'!$AF$71="Baja",'Riesgos de Gestión'!$AH$71="Leve"),CONCATENATE("R10C",'Riesgos de Gestión'!$V$71),"")</f>
        <v/>
      </c>
      <c r="O45" s="64" t="str">
        <f>IF(AND('Riesgos de Gestión'!$AF$72="Baja",'Riesgos de Gestión'!$AH$72="Leve"),CONCATENATE("R10C",'Riesgos de Gestión'!$V$72),"")</f>
        <v/>
      </c>
      <c r="P45" s="50" t="str">
        <f>IF(AND('Riesgos de Gestión'!$AF$67="Baja",'Riesgos de Gestión'!$AH$67="Menor"),CONCATENATE("R10C",'Riesgos de Gestión'!$V$67),"")</f>
        <v/>
      </c>
      <c r="Q45" s="51" t="str">
        <f>IF(AND('Riesgos de Gestión'!$AF$68="Baja",'Riesgos de Gestión'!$AH$68="Menor"),CONCATENATE("R10C",'Riesgos de Gestión'!$V$68),"")</f>
        <v/>
      </c>
      <c r="R45" s="51" t="str">
        <f>IF(AND('Riesgos de Gestión'!$AF$69="Baja",'Riesgos de Gestión'!$AH$69="Menor"),CONCATENATE("R10C",'Riesgos de Gestión'!$V$69),"")</f>
        <v/>
      </c>
      <c r="S45" s="51" t="str">
        <f>IF(AND('Riesgos de Gestión'!$AF$70="Baja",'Riesgos de Gestión'!$AH$70="Menor"),CONCATENATE("R10C",'Riesgos de Gestión'!$V$70),"")</f>
        <v/>
      </c>
      <c r="T45" s="51" t="str">
        <f>IF(AND('Riesgos de Gestión'!$AF$71="Baja",'Riesgos de Gestión'!$AH$71="Menor"),CONCATENATE("R10C",'Riesgos de Gestión'!$V$71),"")</f>
        <v/>
      </c>
      <c r="U45" s="52" t="str">
        <f>IF(AND('Riesgos de Gestión'!$AF$72="Baja",'Riesgos de Gestión'!$AH$72="Menor"),CONCATENATE("R10C",'Riesgos de Gestión'!$V$72),"")</f>
        <v/>
      </c>
      <c r="V45" s="53" t="str">
        <f>IF(AND('Riesgos de Gestión'!$AF$67="Baja",'Riesgos de Gestión'!$AH$67="Moderado"),CONCATENATE("R10C",'Riesgos de Gestión'!$V$67),"")</f>
        <v/>
      </c>
      <c r="W45" s="54" t="str">
        <f>IF(AND('Riesgos de Gestión'!$AF$68="Baja",'Riesgos de Gestión'!$AH$68="Moderado"),CONCATENATE("R10C",'Riesgos de Gestión'!$V$68),"")</f>
        <v/>
      </c>
      <c r="X45" s="54" t="str">
        <f>IF(AND('Riesgos de Gestión'!$AF$69="Baja",'Riesgos de Gestión'!$AH$69="Moderado"),CONCATENATE("R10C",'Riesgos de Gestión'!$V$69),"")</f>
        <v/>
      </c>
      <c r="Y45" s="54" t="str">
        <f>IF(AND('Riesgos de Gestión'!$AF$70="Baja",'Riesgos de Gestión'!$AH$70="Moderado"),CONCATENATE("R10C",'Riesgos de Gestión'!$V$70),"")</f>
        <v/>
      </c>
      <c r="Z45" s="54" t="str">
        <f>IF(AND('Riesgos de Gestión'!$AF$71="Baja",'Riesgos de Gestión'!$AH$71="Moderado"),CONCATENATE("R10C",'Riesgos de Gestión'!$V$71),"")</f>
        <v/>
      </c>
      <c r="AA45" s="55" t="str">
        <f>IF(AND('Riesgos de Gestión'!$AF$72="Baja",'Riesgos de Gestión'!$AH$72="Moderado"),CONCATENATE("R10C",'Riesgos de Gestión'!$V$72),"")</f>
        <v/>
      </c>
      <c r="AB45" s="41" t="str">
        <f>IF(AND('Riesgos de Gestión'!$AF$67="Baja",'Riesgos de Gestión'!$AH$67="Mayor"),CONCATENATE("R10C",'Riesgos de Gestión'!$V$67),"")</f>
        <v/>
      </c>
      <c r="AC45" s="42" t="str">
        <f>IF(AND('Riesgos de Gestión'!$AF$68="Baja",'Riesgos de Gestión'!$AH$68="Mayor"),CONCATENATE("R10C",'Riesgos de Gestión'!$V$68),"")</f>
        <v/>
      </c>
      <c r="AD45" s="42" t="str">
        <f>IF(AND('Riesgos de Gestión'!$AF$69="Baja",'Riesgos de Gestión'!$AH$69="Mayor"),CONCATENATE("R10C",'Riesgos de Gestión'!$V$69),"")</f>
        <v/>
      </c>
      <c r="AE45" s="42" t="str">
        <f>IF(AND('Riesgos de Gestión'!$AF$70="Baja",'Riesgos de Gestión'!$AH$70="Mayor"),CONCATENATE("R10C",'Riesgos de Gestión'!$V$70),"")</f>
        <v/>
      </c>
      <c r="AF45" s="42" t="str">
        <f>IF(AND('Riesgos de Gestión'!$AF$71="Baja",'Riesgos de Gestión'!$AH$71="Mayor"),CONCATENATE("R10C",'Riesgos de Gestión'!$V$71),"")</f>
        <v/>
      </c>
      <c r="AG45" s="43" t="str">
        <f>IF(AND('Riesgos de Gestión'!$AF$72="Baja",'Riesgos de Gestión'!$AH$72="Mayor"),CONCATENATE("R10C",'Riesgos de Gestión'!$V$72),"")</f>
        <v/>
      </c>
      <c r="AH45" s="44" t="str">
        <f>IF(AND('Riesgos de Gestión'!$AF$67="Baja",'Riesgos de Gestión'!$AH$67="Catastrófico"),CONCATENATE("R10C",'Riesgos de Gestión'!$V$67),"")</f>
        <v/>
      </c>
      <c r="AI45" s="45" t="str">
        <f>IF(AND('Riesgos de Gestión'!$AF$68="Baja",'Riesgos de Gestión'!$AH$68="Catastrófico"),CONCATENATE("R10C",'Riesgos de Gestión'!$V$68),"")</f>
        <v/>
      </c>
      <c r="AJ45" s="45" t="str">
        <f>IF(AND('Riesgos de Gestión'!$AF$69="Baja",'Riesgos de Gestión'!$AH$69="Catastrófico"),CONCATENATE("R10C",'Riesgos de Gestión'!$V$69),"")</f>
        <v/>
      </c>
      <c r="AK45" s="45" t="str">
        <f>IF(AND('Riesgos de Gestión'!$AF$70="Baja",'Riesgos de Gestión'!$AH$70="Catastrófico"),CONCATENATE("R10C",'Riesgos de Gestión'!$V$70),"")</f>
        <v/>
      </c>
      <c r="AL45" s="45" t="str">
        <f>IF(AND('Riesgos de Gestión'!$AF$71="Baja",'Riesgos de Gestión'!$AH$71="Catastrófico"),CONCATENATE("R10C",'Riesgos de Gestión'!$V$71),"")</f>
        <v/>
      </c>
      <c r="AM45" s="46" t="str">
        <f>IF(AND('Riesgos de Gestión'!$AF$72="Baja",'Riesgos de Gestión'!$AH$72="Catastrófico"),CONCATENATE("R10C",'Riesgos de Gestión'!$V$72),"")</f>
        <v/>
      </c>
      <c r="AN45" s="66"/>
      <c r="AO45" s="585"/>
      <c r="AP45" s="586"/>
      <c r="AQ45" s="586"/>
      <c r="AR45" s="586"/>
      <c r="AS45" s="586"/>
      <c r="AT45" s="587"/>
    </row>
    <row r="46" spans="1:80" ht="46.5" customHeight="1" x14ac:dyDescent="0.35">
      <c r="A46" s="66"/>
      <c r="B46" s="510"/>
      <c r="C46" s="510"/>
      <c r="D46" s="511"/>
      <c r="E46" s="548" t="s">
        <v>273</v>
      </c>
      <c r="F46" s="549"/>
      <c r="G46" s="549"/>
      <c r="H46" s="549"/>
      <c r="I46" s="550"/>
      <c r="J46" s="56" t="str">
        <f>IF(AND('Riesgos de Gestión'!$AF$13="Muy Baja",'Riesgos de Gestión'!$AH$13="Leve"),CONCATENATE("R1C",'Riesgos de Gestión'!$V$13),"")</f>
        <v/>
      </c>
      <c r="K46" s="57" t="str">
        <f>IF(AND('Riesgos de Gestión'!$AF$14="Muy Baja",'Riesgos de Gestión'!$AH$14="Leve"),CONCATENATE("R1C",'Riesgos de Gestión'!$V$14),"")</f>
        <v/>
      </c>
      <c r="L46" s="57" t="str">
        <f>IF(AND('Riesgos de Gestión'!$AF$15="Muy Baja",'Riesgos de Gestión'!$AH$15="Leve"),CONCATENATE("R1C",'Riesgos de Gestión'!$V$15),"")</f>
        <v/>
      </c>
      <c r="M46" s="57" t="str">
        <f>IF(AND('Riesgos de Gestión'!$AF$16="Muy Baja",'Riesgos de Gestión'!$AH$16="Leve"),CONCATENATE("R1C",'Riesgos de Gestión'!$V$16),"")</f>
        <v/>
      </c>
      <c r="N46" s="57" t="str">
        <f>IF(AND('Riesgos de Gestión'!$AF$17="Muy Baja",'Riesgos de Gestión'!$AH$17="Leve"),CONCATENATE("R1C",'Riesgos de Gestión'!$V$17),"")</f>
        <v/>
      </c>
      <c r="O46" s="58" t="str">
        <f>IF(AND('Riesgos de Gestión'!$AF$18="Muy Baja",'Riesgos de Gestión'!$AH$18="Leve"),CONCATENATE("R1C",'Riesgos de Gestión'!$V$18),"")</f>
        <v/>
      </c>
      <c r="P46" s="56" t="str">
        <f>IF(AND('Riesgos de Gestión'!$AF$13="Muy Baja",'Riesgos de Gestión'!$AH$13="Menor"),CONCATENATE("R1C",'Riesgos de Gestión'!$V$13),"")</f>
        <v/>
      </c>
      <c r="Q46" s="57" t="str">
        <f>IF(AND('Riesgos de Gestión'!$AF$14="Muy Baja",'Riesgos de Gestión'!$AH$14="Menor"),CONCATENATE("R1C",'Riesgos de Gestión'!$V$14),"")</f>
        <v/>
      </c>
      <c r="R46" s="57" t="str">
        <f>IF(AND('Riesgos de Gestión'!$AF$15="Muy Baja",'Riesgos de Gestión'!$AH$15="Menor"),CONCATENATE("R1C",'Riesgos de Gestión'!$V$15),"")</f>
        <v/>
      </c>
      <c r="S46" s="57" t="str">
        <f>IF(AND('Riesgos de Gestión'!$AF$16="Muy Baja",'Riesgos de Gestión'!$AH$16="Menor"),CONCATENATE("R1C",'Riesgos de Gestión'!$V$16),"")</f>
        <v/>
      </c>
      <c r="T46" s="57" t="str">
        <f>IF(AND('Riesgos de Gestión'!$AF$17="Muy Baja",'Riesgos de Gestión'!$AH$17="Menor"),CONCATENATE("R1C",'Riesgos de Gestión'!$V$17),"")</f>
        <v/>
      </c>
      <c r="U46" s="58" t="str">
        <f>IF(AND('Riesgos de Gestión'!$AF$18="Muy Baja",'Riesgos de Gestión'!$AH$18="Menor"),CONCATENATE("R1C",'Riesgos de Gestión'!$V$18),"")</f>
        <v/>
      </c>
      <c r="V46" s="47" t="str">
        <f>IF(AND('Riesgos de Gestión'!$AF$13="Muy Baja",'Riesgos de Gestión'!$AH$13="Moderado"),CONCATENATE("R1C",'Riesgos de Gestión'!$V$13),"")</f>
        <v/>
      </c>
      <c r="W46" s="65" t="str">
        <f>IF(AND('Riesgos de Gestión'!$AF$14="Muy Baja",'Riesgos de Gestión'!$AH$14="Moderado"),CONCATENATE("R1C",'Riesgos de Gestión'!$V$14),"")</f>
        <v/>
      </c>
      <c r="X46" s="48" t="str">
        <f>IF(AND('Riesgos de Gestión'!$AF$15="Muy Baja",'Riesgos de Gestión'!$AH$15="Moderado"),CONCATENATE("R1C",'Riesgos de Gestión'!$V$15),"")</f>
        <v>R1C3</v>
      </c>
      <c r="Y46" s="48" t="str">
        <f>IF(AND('Riesgos de Gestión'!$AF$16="Muy Baja",'Riesgos de Gestión'!$AH$16="Moderado"),CONCATENATE("R1C",'Riesgos de Gestión'!$V$16),"")</f>
        <v/>
      </c>
      <c r="Z46" s="48" t="str">
        <f>IF(AND('Riesgos de Gestión'!$AF$17="Muy Baja",'Riesgos de Gestión'!$AH$17="Moderado"),CONCATENATE("R1C",'Riesgos de Gestión'!$V$17),"")</f>
        <v/>
      </c>
      <c r="AA46" s="49" t="str">
        <f>IF(AND('Riesgos de Gestión'!$AF$18="Muy Baja",'Riesgos de Gestión'!$AH$18="Moderado"),CONCATENATE("R1C",'Riesgos de Gestión'!$V$18),"")</f>
        <v/>
      </c>
      <c r="AB46" s="29" t="str">
        <f>IF(AND('Riesgos de Gestión'!$AF$13="Muy Baja",'Riesgos de Gestión'!$AH$13="Mayor"),CONCATENATE("R1C",'Riesgos de Gestión'!$V$13),"")</f>
        <v/>
      </c>
      <c r="AC46" s="30" t="str">
        <f>IF(AND('Riesgos de Gestión'!$AF$14="Muy Baja",'Riesgos de Gestión'!$AH$14="Mayor"),CONCATENATE("R1C",'Riesgos de Gestión'!$V$14),"")</f>
        <v/>
      </c>
      <c r="AD46" s="30" t="str">
        <f>IF(AND('Riesgos de Gestión'!$AF$15="Muy Baja",'Riesgos de Gestión'!$AH$15="Mayor"),CONCATENATE("R1C",'Riesgos de Gestión'!$V$15),"")</f>
        <v/>
      </c>
      <c r="AE46" s="30" t="str">
        <f>IF(AND('Riesgos de Gestión'!$AF$16="Muy Baja",'Riesgos de Gestión'!$AH$16="Mayor"),CONCATENATE("R1C",'Riesgos de Gestión'!$V$16),"")</f>
        <v/>
      </c>
      <c r="AF46" s="30" t="str">
        <f>IF(AND('Riesgos de Gestión'!$AF$17="Muy Baja",'Riesgos de Gestión'!$AH$17="Mayor"),CONCATENATE("R1C",'Riesgos de Gestión'!$V$17),"")</f>
        <v/>
      </c>
      <c r="AG46" s="31" t="str">
        <f>IF(AND('Riesgos de Gestión'!$AF$18="Muy Baja",'Riesgos de Gestión'!$AH$18="Mayor"),CONCATENATE("R1C",'Riesgos de Gestión'!$V$18),"")</f>
        <v/>
      </c>
      <c r="AH46" s="32" t="str">
        <f>IF(AND('Riesgos de Gestión'!$AF$13="Muy Baja",'Riesgos de Gestión'!$AH$13="Catastrófico"),CONCATENATE("R1C",'Riesgos de Gestión'!$V$13),"")</f>
        <v/>
      </c>
      <c r="AI46" s="33" t="str">
        <f>IF(AND('Riesgos de Gestión'!$AF$14="Muy Baja",'Riesgos de Gestión'!$AH$14="Catastrófico"),CONCATENATE("R1C",'Riesgos de Gestión'!$V$14),"")</f>
        <v/>
      </c>
      <c r="AJ46" s="33" t="str">
        <f>IF(AND('Riesgos de Gestión'!$AF$15="Muy Baja",'Riesgos de Gestión'!$AH$15="Catastrófico"),CONCATENATE("R1C",'Riesgos de Gestión'!$V$15),"")</f>
        <v/>
      </c>
      <c r="AK46" s="33" t="str">
        <f>IF(AND('Riesgos de Gestión'!$AF$16="Muy Baja",'Riesgos de Gestión'!$AH$16="Catastrófico"),CONCATENATE("R1C",'Riesgos de Gestión'!$V$16),"")</f>
        <v/>
      </c>
      <c r="AL46" s="33" t="str">
        <f>IF(AND('Riesgos de Gestión'!$AF$17="Muy Baja",'Riesgos de Gestión'!$AH$17="Catastrófico"),CONCATENATE("R1C",'Riesgos de Gestión'!$V$17),"")</f>
        <v/>
      </c>
      <c r="AM46" s="34" t="str">
        <f>IF(AND('Riesgos de Gestión'!$AF$18="Muy Baja",'Riesgos de Gestión'!$AH$18="Catastrófico"),CONCATENATE("R1C",'Riesgos de Gestión'!$V$18),"")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510"/>
      <c r="C47" s="510"/>
      <c r="D47" s="511"/>
      <c r="E47" s="567"/>
      <c r="F47" s="552"/>
      <c r="G47" s="552"/>
      <c r="H47" s="552"/>
      <c r="I47" s="553"/>
      <c r="J47" s="59" t="str">
        <f>IF(AND('Riesgos de Gestión'!$AF$19="Muy Baja",'Riesgos de Gestión'!$AH$19="Leve"),CONCATENATE("R2C",'Riesgos de Gestión'!$V$19),"")</f>
        <v/>
      </c>
      <c r="K47" s="60" t="str">
        <f>IF(AND('Riesgos de Gestión'!$AF$20="Muy Baja",'Riesgos de Gestión'!$AH$20="Leve"),CONCATENATE("R2C",'Riesgos de Gestión'!$V$20),"")</f>
        <v/>
      </c>
      <c r="L47" s="60" t="str">
        <f>IF(AND('Riesgos de Gestión'!$AF$21="Muy Baja",'Riesgos de Gestión'!$AH$21="Leve"),CONCATENATE("R2C",'Riesgos de Gestión'!$V$21),"")</f>
        <v/>
      </c>
      <c r="M47" s="60" t="str">
        <f>IF(AND('Riesgos de Gestión'!$AF$22="Muy Baja",'Riesgos de Gestión'!$AH$22="Leve"),CONCATENATE("R2C",'Riesgos de Gestión'!$V$22),"")</f>
        <v/>
      </c>
      <c r="N47" s="60" t="str">
        <f>IF(AND('Riesgos de Gestión'!$AF$23="Muy Baja",'Riesgos de Gestión'!$AH$23="Leve"),CONCATENATE("R2C",'Riesgos de Gestión'!$V$23),"")</f>
        <v/>
      </c>
      <c r="O47" s="61" t="str">
        <f>IF(AND('Riesgos de Gestión'!$AF$24="Muy Baja",'Riesgos de Gestión'!$AH$24="Leve"),CONCATENATE("R2C",'Riesgos de Gestión'!$V$24),"")</f>
        <v/>
      </c>
      <c r="P47" s="59" t="str">
        <f>IF(AND('Riesgos de Gestión'!$AF$19="Muy Baja",'Riesgos de Gestión'!$AH$19="Menor"),CONCATENATE("R2C",'Riesgos de Gestión'!$V$19),"")</f>
        <v/>
      </c>
      <c r="Q47" s="60" t="str">
        <f>IF(AND('Riesgos de Gestión'!$AF$20="Muy Baja",'Riesgos de Gestión'!$AH$20="Menor"),CONCATENATE("R2C",'Riesgos de Gestión'!$V$20),"")</f>
        <v/>
      </c>
      <c r="R47" s="60" t="str">
        <f>IF(AND('Riesgos de Gestión'!$AF$21="Muy Baja",'Riesgos de Gestión'!$AH$21="Menor"),CONCATENATE("R2C",'Riesgos de Gestión'!$V$21),"")</f>
        <v/>
      </c>
      <c r="S47" s="60" t="str">
        <f>IF(AND('Riesgos de Gestión'!$AF$22="Muy Baja",'Riesgos de Gestión'!$AH$22="Menor"),CONCATENATE("R2C",'Riesgos de Gestión'!$V$22),"")</f>
        <v/>
      </c>
      <c r="T47" s="60" t="str">
        <f>IF(AND('Riesgos de Gestión'!$AF$23="Muy Baja",'Riesgos de Gestión'!$AH$23="Menor"),CONCATENATE("R2C",'Riesgos de Gestión'!$V$23),"")</f>
        <v/>
      </c>
      <c r="U47" s="61" t="str">
        <f>IF(AND('Riesgos de Gestión'!$AF$24="Muy Baja",'Riesgos de Gestión'!$AH$24="Menor"),CONCATENATE("R2C",'Riesgos de Gestión'!$V$24),"")</f>
        <v/>
      </c>
      <c r="V47" s="50" t="str">
        <f>IF(AND('Riesgos de Gestión'!$AF$19="Muy Baja",'Riesgos de Gestión'!$AH$19="Moderado"),CONCATENATE("R2C",'Riesgos de Gestión'!$V$19),"")</f>
        <v/>
      </c>
      <c r="W47" s="51" t="str">
        <f>IF(AND('Riesgos de Gestión'!$AF$20="Muy Baja",'Riesgos de Gestión'!$AH$20="Moderado"),CONCATENATE("R2C",'Riesgos de Gestión'!$V$20),"")</f>
        <v/>
      </c>
      <c r="X47" s="51" t="str">
        <f>IF(AND('Riesgos de Gestión'!$AF$21="Muy Baja",'Riesgos de Gestión'!$AH$21="Moderado"),CONCATENATE("R2C",'Riesgos de Gestión'!$V$21),"")</f>
        <v/>
      </c>
      <c r="Y47" s="51" t="str">
        <f>IF(AND('Riesgos de Gestión'!$AF$22="Muy Baja",'Riesgos de Gestión'!$AH$22="Moderado"),CONCATENATE("R2C",'Riesgos de Gestión'!$V$22),"")</f>
        <v/>
      </c>
      <c r="Z47" s="51" t="str">
        <f>IF(AND('Riesgos de Gestión'!$AF$23="Muy Baja",'Riesgos de Gestión'!$AH$23="Moderado"),CONCATENATE("R2C",'Riesgos de Gestión'!$V$23),"")</f>
        <v/>
      </c>
      <c r="AA47" s="52" t="str">
        <f>IF(AND('Riesgos de Gestión'!$AF$24="Muy Baja",'Riesgos de Gestión'!$AH$24="Moderado"),CONCATENATE("R2C",'Riesgos de Gestión'!$V$24),"")</f>
        <v/>
      </c>
      <c r="AB47" s="35" t="str">
        <f>IF(AND('Riesgos de Gestión'!$AF$19="Muy Baja",'Riesgos de Gestión'!$AH$19="Mayor"),CONCATENATE("R2C",'Riesgos de Gestión'!$V$19),"")</f>
        <v/>
      </c>
      <c r="AC47" s="36" t="str">
        <f>IF(AND('Riesgos de Gestión'!$AF$20="Muy Baja",'Riesgos de Gestión'!$AH$20="Mayor"),CONCATENATE("R2C",'Riesgos de Gestión'!$V$20),"")</f>
        <v/>
      </c>
      <c r="AD47" s="36" t="str">
        <f>IF(AND('Riesgos de Gestión'!$AF$21="Muy Baja",'Riesgos de Gestión'!$AH$21="Mayor"),CONCATENATE("R2C",'Riesgos de Gestión'!$V$21),"")</f>
        <v/>
      </c>
      <c r="AE47" s="36" t="str">
        <f>IF(AND('Riesgos de Gestión'!$AF$22="Muy Baja",'Riesgos de Gestión'!$AH$22="Mayor"),CONCATENATE("R2C",'Riesgos de Gestión'!$V$22),"")</f>
        <v/>
      </c>
      <c r="AF47" s="36" t="str">
        <f>IF(AND('Riesgos de Gestión'!$AF$23="Muy Baja",'Riesgos de Gestión'!$AH$23="Mayor"),CONCATENATE("R2C",'Riesgos de Gestión'!$V$23),"")</f>
        <v/>
      </c>
      <c r="AG47" s="37" t="str">
        <f>IF(AND('Riesgos de Gestión'!$AF$24="Muy Baja",'Riesgos de Gestión'!$AH$24="Mayor"),CONCATENATE("R2C",'Riesgos de Gestión'!$V$24),"")</f>
        <v/>
      </c>
      <c r="AH47" s="38" t="str">
        <f>IF(AND('Riesgos de Gestión'!$AF$19="Muy Baja",'Riesgos de Gestión'!$AH$19="Catastrófico"),CONCATENATE("R2C",'Riesgos de Gestión'!$V$19),"")</f>
        <v/>
      </c>
      <c r="AI47" s="39" t="str">
        <f>IF(AND('Riesgos de Gestión'!$AF$20="Muy Baja",'Riesgos de Gestión'!$AH$20="Catastrófico"),CONCATENATE("R2C",'Riesgos de Gestión'!$V$20),"")</f>
        <v/>
      </c>
      <c r="AJ47" s="39" t="str">
        <f>IF(AND('Riesgos de Gestión'!$AF$21="Muy Baja",'Riesgos de Gestión'!$AH$21="Catastrófico"),CONCATENATE("R2C",'Riesgos de Gestión'!$V$21),"")</f>
        <v/>
      </c>
      <c r="AK47" s="39" t="str">
        <f>IF(AND('Riesgos de Gestión'!$AF$22="Muy Baja",'Riesgos de Gestión'!$AH$22="Catastrófico"),CONCATENATE("R2C",'Riesgos de Gestión'!$V$22),"")</f>
        <v/>
      </c>
      <c r="AL47" s="39" t="str">
        <f>IF(AND('Riesgos de Gestión'!$AF$23="Muy Baja",'Riesgos de Gestión'!$AH$23="Catastrófico"),CONCATENATE("R2C",'Riesgos de Gestión'!$V$23),"")</f>
        <v/>
      </c>
      <c r="AM47" s="40" t="str">
        <f>IF(AND('Riesgos de Gestión'!$AF$24="Muy Baja",'Riesgos de Gestión'!$AH$24="Catastrófico"),CONCATENATE("R2C",'Riesgos de Gestión'!$V$24),"")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510"/>
      <c r="C48" s="510"/>
      <c r="D48" s="511"/>
      <c r="E48" s="567"/>
      <c r="F48" s="552"/>
      <c r="G48" s="552"/>
      <c r="H48" s="552"/>
      <c r="I48" s="553"/>
      <c r="J48" s="59" t="str">
        <f>IF(AND('Riesgos de Gestión'!$AF$25="Muy Baja",'Riesgos de Gestión'!$AH$25="Leve"),CONCATENATE("R3C",'Riesgos de Gestión'!$V$25),"")</f>
        <v/>
      </c>
      <c r="K48" s="60" t="str">
        <f>IF(AND('Riesgos de Gestión'!$AF$26="Muy Baja",'Riesgos de Gestión'!$AH$26="Leve"),CONCATENATE("R3C",'Riesgos de Gestión'!$V$26),"")</f>
        <v/>
      </c>
      <c r="L48" s="60" t="str">
        <f>IF(AND('Riesgos de Gestión'!$AF$27="Muy Baja",'Riesgos de Gestión'!$AH$27="Leve"),CONCATENATE("R3C",'Riesgos de Gestión'!$V$27),"")</f>
        <v/>
      </c>
      <c r="M48" s="60" t="str">
        <f>IF(AND('Riesgos de Gestión'!$AF$28="Muy Baja",'Riesgos de Gestión'!$AH$28="Leve"),CONCATENATE("R3C",'Riesgos de Gestión'!$V$28),"")</f>
        <v/>
      </c>
      <c r="N48" s="60" t="str">
        <f>IF(AND('Riesgos de Gestión'!$AF$29="Muy Baja",'Riesgos de Gestión'!$AH$29="Leve"),CONCATENATE("R3C",'Riesgos de Gestión'!$V$29),"")</f>
        <v/>
      </c>
      <c r="O48" s="61" t="str">
        <f>IF(AND('Riesgos de Gestión'!$AF$30="Muy Baja",'Riesgos de Gestión'!$AH$30="Leve"),CONCATENATE("R3C",'Riesgos de Gestión'!$V$30),"")</f>
        <v/>
      </c>
      <c r="P48" s="59" t="str">
        <f>IF(AND('Riesgos de Gestión'!$AF$25="Muy Baja",'Riesgos de Gestión'!$AH$25="Menor"),CONCATENATE("R3C",'Riesgos de Gestión'!$V$25),"")</f>
        <v/>
      </c>
      <c r="Q48" s="60" t="str">
        <f>IF(AND('Riesgos de Gestión'!$AF$26="Muy Baja",'Riesgos de Gestión'!$AH$26="Menor"),CONCATENATE("R3C",'Riesgos de Gestión'!$V$26),"")</f>
        <v/>
      </c>
      <c r="R48" s="60" t="str">
        <f>IF(AND('Riesgos de Gestión'!$AF$27="Muy Baja",'Riesgos de Gestión'!$AH$27="Menor"),CONCATENATE("R3C",'Riesgos de Gestión'!$V$27),"")</f>
        <v/>
      </c>
      <c r="S48" s="60" t="str">
        <f>IF(AND('Riesgos de Gestión'!$AF$28="Muy Baja",'Riesgos de Gestión'!$AH$28="Menor"),CONCATENATE("R3C",'Riesgos de Gestión'!$V$28),"")</f>
        <v/>
      </c>
      <c r="T48" s="60" t="str">
        <f>IF(AND('Riesgos de Gestión'!$AF$29="Muy Baja",'Riesgos de Gestión'!$AH$29="Menor"),CONCATENATE("R3C",'Riesgos de Gestión'!$V$29),"")</f>
        <v/>
      </c>
      <c r="U48" s="61" t="str">
        <f>IF(AND('Riesgos de Gestión'!$AF$30="Muy Baja",'Riesgos de Gestión'!$AH$30="Menor"),CONCATENATE("R3C",'Riesgos de Gestión'!$V$30),"")</f>
        <v/>
      </c>
      <c r="V48" s="50" t="str">
        <f>IF(AND('Riesgos de Gestión'!$AF$25="Muy Baja",'Riesgos de Gestión'!$AH$25="Moderado"),CONCATENATE("R3C",'Riesgos de Gestión'!$V$25),"")</f>
        <v/>
      </c>
      <c r="W48" s="51" t="str">
        <f>IF(AND('Riesgos de Gestión'!$AF$26="Muy Baja",'Riesgos de Gestión'!$AH$26="Moderado"),CONCATENATE("R3C",'Riesgos de Gestión'!$V$26),"")</f>
        <v/>
      </c>
      <c r="X48" s="51" t="str">
        <f>IF(AND('Riesgos de Gestión'!$AF$27="Muy Baja",'Riesgos de Gestión'!$AH$27="Moderado"),CONCATENATE("R3C",'Riesgos de Gestión'!$V$27),"")</f>
        <v/>
      </c>
      <c r="Y48" s="51" t="str">
        <f>IF(AND('Riesgos de Gestión'!$AF$28="Muy Baja",'Riesgos de Gestión'!$AH$28="Moderado"),CONCATENATE("R3C",'Riesgos de Gestión'!$V$28),"")</f>
        <v/>
      </c>
      <c r="Z48" s="51" t="str">
        <f>IF(AND('Riesgos de Gestión'!$AF$29="Muy Baja",'Riesgos de Gestión'!$AH$29="Moderado"),CONCATENATE("R3C",'Riesgos de Gestión'!$V$29),"")</f>
        <v/>
      </c>
      <c r="AA48" s="52" t="str">
        <f>IF(AND('Riesgos de Gestión'!$AF$30="Muy Baja",'Riesgos de Gestión'!$AH$30="Moderado"),CONCATENATE("R3C",'Riesgos de Gestión'!$V$30),"")</f>
        <v/>
      </c>
      <c r="AB48" s="35" t="str">
        <f>IF(AND('Riesgos de Gestión'!$AF$25="Muy Baja",'Riesgos de Gestión'!$AH$25="Mayor"),CONCATENATE("R3C",'Riesgos de Gestión'!$V$25),"")</f>
        <v/>
      </c>
      <c r="AC48" s="36" t="str">
        <f>IF(AND('Riesgos de Gestión'!$AF$26="Muy Baja",'Riesgos de Gestión'!$AH$26="Mayor"),CONCATENATE("R3C",'Riesgos de Gestión'!$V$26),"")</f>
        <v/>
      </c>
      <c r="AD48" s="36" t="str">
        <f>IF(AND('Riesgos de Gestión'!$AF$27="Muy Baja",'Riesgos de Gestión'!$AH$27="Mayor"),CONCATENATE("R3C",'Riesgos de Gestión'!$V$27),"")</f>
        <v/>
      </c>
      <c r="AE48" s="36" t="str">
        <f>IF(AND('Riesgos de Gestión'!$AF$28="Muy Baja",'Riesgos de Gestión'!$AH$28="Mayor"),CONCATENATE("R3C",'Riesgos de Gestión'!$V$28),"")</f>
        <v/>
      </c>
      <c r="AF48" s="36" t="str">
        <f>IF(AND('Riesgos de Gestión'!$AF$29="Muy Baja",'Riesgos de Gestión'!$AH$29="Mayor"),CONCATENATE("R3C",'Riesgos de Gestión'!$V$29),"")</f>
        <v/>
      </c>
      <c r="AG48" s="37" t="str">
        <f>IF(AND('Riesgos de Gestión'!$AF$30="Muy Baja",'Riesgos de Gestión'!$AH$30="Mayor"),CONCATENATE("R3C",'Riesgos de Gestión'!$V$30),"")</f>
        <v/>
      </c>
      <c r="AH48" s="38" t="str">
        <f>IF(AND('Riesgos de Gestión'!$AF$25="Muy Baja",'Riesgos de Gestión'!$AH$25="Catastrófico"),CONCATENATE("R3C",'Riesgos de Gestión'!$V$25),"")</f>
        <v/>
      </c>
      <c r="AI48" s="39" t="str">
        <f>IF(AND('Riesgos de Gestión'!$AF$26="Muy Baja",'Riesgos de Gestión'!$AH$26="Catastrófico"),CONCATENATE("R3C",'Riesgos de Gestión'!$V$26),"")</f>
        <v/>
      </c>
      <c r="AJ48" s="39" t="str">
        <f>IF(AND('Riesgos de Gestión'!$AF$27="Muy Baja",'Riesgos de Gestión'!$AH$27="Catastrófico"),CONCATENATE("R3C",'Riesgos de Gestión'!$V$27),"")</f>
        <v/>
      </c>
      <c r="AK48" s="39" t="str">
        <f>IF(AND('Riesgos de Gestión'!$AF$28="Muy Baja",'Riesgos de Gestión'!$AH$28="Catastrófico"),CONCATENATE("R3C",'Riesgos de Gestión'!$V$28),"")</f>
        <v/>
      </c>
      <c r="AL48" s="39" t="str">
        <f>IF(AND('Riesgos de Gestión'!$AF$29="Muy Baja",'Riesgos de Gestión'!$AH$29="Catastrófico"),CONCATENATE("R3C",'Riesgos de Gestión'!$V$29),"")</f>
        <v/>
      </c>
      <c r="AM48" s="40" t="str">
        <f>IF(AND('Riesgos de Gestión'!$AF$30="Muy Baja",'Riesgos de Gestión'!$AH$30="Catastrófico"),CONCATENATE("R3C",'Riesgos de Gestión'!$V$30),"")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510"/>
      <c r="C49" s="510"/>
      <c r="D49" s="511"/>
      <c r="E49" s="551"/>
      <c r="F49" s="552"/>
      <c r="G49" s="552"/>
      <c r="H49" s="552"/>
      <c r="I49" s="553"/>
      <c r="J49" s="59" t="str">
        <f>IF(AND('Riesgos de Gestión'!$AF$31="Muy Baja",'Riesgos de Gestión'!$AH$31="Leve"),CONCATENATE("R4C",'Riesgos de Gestión'!$V$31),"")</f>
        <v/>
      </c>
      <c r="K49" s="60" t="str">
        <f>IF(AND('Riesgos de Gestión'!$AF$32="Muy Baja",'Riesgos de Gestión'!$AH$32="Leve"),CONCATENATE("R4C",'Riesgos de Gestión'!$V$32),"")</f>
        <v/>
      </c>
      <c r="L49" s="60" t="str">
        <f>IF(AND('Riesgos de Gestión'!$AF$33="Muy Baja",'Riesgos de Gestión'!$AH$33="Leve"),CONCATENATE("R4C",'Riesgos de Gestión'!$V$33),"")</f>
        <v/>
      </c>
      <c r="M49" s="60" t="str">
        <f>IF(AND('Riesgos de Gestión'!$AF$34="Muy Baja",'Riesgos de Gestión'!$AH$34="Leve"),CONCATENATE("R4C",'Riesgos de Gestión'!$V$34),"")</f>
        <v/>
      </c>
      <c r="N49" s="60" t="str">
        <f>IF(AND('Riesgos de Gestión'!$AF$35="Muy Baja",'Riesgos de Gestión'!$AH$35="Leve"),CONCATENATE("R4C",'Riesgos de Gestión'!$V$35),"")</f>
        <v/>
      </c>
      <c r="O49" s="61" t="str">
        <f>IF(AND('Riesgos de Gestión'!$AF$36="Muy Baja",'Riesgos de Gestión'!$AH$36="Leve"),CONCATENATE("R4C",'Riesgos de Gestión'!$V$36),"")</f>
        <v/>
      </c>
      <c r="P49" s="59" t="str">
        <f>IF(AND('Riesgos de Gestión'!$AF$31="Muy Baja",'Riesgos de Gestión'!$AH$31="Menor"),CONCATENATE("R4C",'Riesgos de Gestión'!$V$31),"")</f>
        <v/>
      </c>
      <c r="Q49" s="60" t="str">
        <f>IF(AND('Riesgos de Gestión'!$AF$32="Muy Baja",'Riesgos de Gestión'!$AH$32="Menor"),CONCATENATE("R4C",'Riesgos de Gestión'!$V$32),"")</f>
        <v/>
      </c>
      <c r="R49" s="60" t="str">
        <f>IF(AND('Riesgos de Gestión'!$AF$33="Muy Baja",'Riesgos de Gestión'!$AH$33="Menor"),CONCATENATE("R4C",'Riesgos de Gestión'!$V$33),"")</f>
        <v/>
      </c>
      <c r="S49" s="60" t="str">
        <f>IF(AND('Riesgos de Gestión'!$AF$34="Muy Baja",'Riesgos de Gestión'!$AH$34="Menor"),CONCATENATE("R4C",'Riesgos de Gestión'!$V$34),"")</f>
        <v/>
      </c>
      <c r="T49" s="60" t="str">
        <f>IF(AND('Riesgos de Gestión'!$AF$35="Muy Baja",'Riesgos de Gestión'!$AH$35="Menor"),CONCATENATE("R4C",'Riesgos de Gestión'!$V$35),"")</f>
        <v/>
      </c>
      <c r="U49" s="61" t="str">
        <f>IF(AND('Riesgos de Gestión'!$AF$36="Muy Baja",'Riesgos de Gestión'!$AH$36="Menor"),CONCATENATE("R4C",'Riesgos de Gestión'!$V$36),"")</f>
        <v/>
      </c>
      <c r="V49" s="50" t="str">
        <f>IF(AND('Riesgos de Gestión'!$AF$31="Muy Baja",'Riesgos de Gestión'!$AH$31="Moderado"),CONCATENATE("R4C",'Riesgos de Gestión'!$V$31),"")</f>
        <v/>
      </c>
      <c r="W49" s="51" t="str">
        <f>IF(AND('Riesgos de Gestión'!$AF$32="Muy Baja",'Riesgos de Gestión'!$AH$32="Moderado"),CONCATENATE("R4C",'Riesgos de Gestión'!$V$32),"")</f>
        <v/>
      </c>
      <c r="X49" s="51" t="str">
        <f>IF(AND('Riesgos de Gestión'!$AF$33="Muy Baja",'Riesgos de Gestión'!$AH$33="Moderado"),CONCATENATE("R4C",'Riesgos de Gestión'!$V$33),"")</f>
        <v/>
      </c>
      <c r="Y49" s="51" t="str">
        <f>IF(AND('Riesgos de Gestión'!$AF$34="Muy Baja",'Riesgos de Gestión'!$AH$34="Moderado"),CONCATENATE("R4C",'Riesgos de Gestión'!$V$34),"")</f>
        <v/>
      </c>
      <c r="Z49" s="51" t="str">
        <f>IF(AND('Riesgos de Gestión'!$AF$35="Muy Baja",'Riesgos de Gestión'!$AH$35="Moderado"),CONCATENATE("R4C",'Riesgos de Gestión'!$V$35),"")</f>
        <v/>
      </c>
      <c r="AA49" s="52" t="str">
        <f>IF(AND('Riesgos de Gestión'!$AF$36="Muy Baja",'Riesgos de Gestión'!$AH$36="Moderado"),CONCATENATE("R4C",'Riesgos de Gestión'!$V$36),"")</f>
        <v/>
      </c>
      <c r="AB49" s="35" t="str">
        <f>IF(AND('Riesgos de Gestión'!$AF$31="Muy Baja",'Riesgos de Gestión'!$AH$31="Mayor"),CONCATENATE("R4C",'Riesgos de Gestión'!$V$31),"")</f>
        <v/>
      </c>
      <c r="AC49" s="36" t="str">
        <f>IF(AND('Riesgos de Gestión'!$AF$32="Muy Baja",'Riesgos de Gestión'!$AH$32="Mayor"),CONCATENATE("R4C",'Riesgos de Gestión'!$V$32),"")</f>
        <v/>
      </c>
      <c r="AD49" s="36" t="str">
        <f>IF(AND('Riesgos de Gestión'!$AF$33="Muy Baja",'Riesgos de Gestión'!$AH$33="Mayor"),CONCATENATE("R4C",'Riesgos de Gestión'!$V$33),"")</f>
        <v/>
      </c>
      <c r="AE49" s="36" t="str">
        <f>IF(AND('Riesgos de Gestión'!$AF$34="Muy Baja",'Riesgos de Gestión'!$AH$34="Mayor"),CONCATENATE("R4C",'Riesgos de Gestión'!$V$34),"")</f>
        <v/>
      </c>
      <c r="AF49" s="36" t="str">
        <f>IF(AND('Riesgos de Gestión'!$AF$35="Muy Baja",'Riesgos de Gestión'!$AH$35="Mayor"),CONCATENATE("R4C",'Riesgos de Gestión'!$V$35),"")</f>
        <v/>
      </c>
      <c r="AG49" s="37" t="str">
        <f>IF(AND('Riesgos de Gestión'!$AF$36="Muy Baja",'Riesgos de Gestión'!$AH$36="Mayor"),CONCATENATE("R4C",'Riesgos de Gestión'!$V$36),"")</f>
        <v/>
      </c>
      <c r="AH49" s="38" t="str">
        <f>IF(AND('Riesgos de Gestión'!$AF$31="Muy Baja",'Riesgos de Gestión'!$AH$31="Catastrófico"),CONCATENATE("R4C",'Riesgos de Gestión'!$V$31),"")</f>
        <v/>
      </c>
      <c r="AI49" s="39" t="str">
        <f>IF(AND('Riesgos de Gestión'!$AF$32="Muy Baja",'Riesgos de Gestión'!$AH$32="Catastrófico"),CONCATENATE("R4C",'Riesgos de Gestión'!$V$32),"")</f>
        <v/>
      </c>
      <c r="AJ49" s="39" t="str">
        <f>IF(AND('Riesgos de Gestión'!$AF$33="Muy Baja",'Riesgos de Gestión'!$AH$33="Catastrófico"),CONCATENATE("R4C",'Riesgos de Gestión'!$V$33),"")</f>
        <v/>
      </c>
      <c r="AK49" s="39" t="str">
        <f>IF(AND('Riesgos de Gestión'!$AF$34="Muy Baja",'Riesgos de Gestión'!$AH$34="Catastrófico"),CONCATENATE("R4C",'Riesgos de Gestión'!$V$34),"")</f>
        <v/>
      </c>
      <c r="AL49" s="39" t="str">
        <f>IF(AND('Riesgos de Gestión'!$AF$35="Muy Baja",'Riesgos de Gestión'!$AH$35="Catastrófico"),CONCATENATE("R4C",'Riesgos de Gestión'!$V$35),"")</f>
        <v/>
      </c>
      <c r="AM49" s="40" t="str">
        <f>IF(AND('Riesgos de Gestión'!$AF$36="Muy Baja",'Riesgos de Gestión'!$AH$36="Catastrófico"),CONCATENATE("R4C",'Riesgos de Gestión'!$V$36),"")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510"/>
      <c r="C50" s="510"/>
      <c r="D50" s="511"/>
      <c r="E50" s="551"/>
      <c r="F50" s="552"/>
      <c r="G50" s="552"/>
      <c r="H50" s="552"/>
      <c r="I50" s="553"/>
      <c r="J50" s="59" t="str">
        <f>IF(AND('Riesgos de Gestión'!$AF$37="Muy Baja",'Riesgos de Gestión'!$AH$37="Leve"),CONCATENATE("R5C",'Riesgos de Gestión'!$V$37),"")</f>
        <v/>
      </c>
      <c r="K50" s="60" t="str">
        <f>IF(AND('Riesgos de Gestión'!$AF$38="Muy Baja",'Riesgos de Gestión'!$AH$38="Leve"),CONCATENATE("R5C",'Riesgos de Gestión'!$V$38),"")</f>
        <v/>
      </c>
      <c r="L50" s="60" t="str">
        <f>IF(AND('Riesgos de Gestión'!$AF$39="Muy Baja",'Riesgos de Gestión'!$AH$39="Leve"),CONCATENATE("R5C",'Riesgos de Gestión'!$V$39),"")</f>
        <v/>
      </c>
      <c r="M50" s="60" t="str">
        <f>IF(AND('Riesgos de Gestión'!$AF$40="Muy Baja",'Riesgos de Gestión'!$AH$40="Leve"),CONCATENATE("R5C",'Riesgos de Gestión'!$V$40),"")</f>
        <v/>
      </c>
      <c r="N50" s="60" t="str">
        <f>IF(AND('Riesgos de Gestión'!$AF$41="Muy Baja",'Riesgos de Gestión'!$AH$41="Leve"),CONCATENATE("R5C",'Riesgos de Gestión'!$V$41),"")</f>
        <v/>
      </c>
      <c r="O50" s="61" t="str">
        <f>IF(AND('Riesgos de Gestión'!$AF$42="Muy Baja",'Riesgos de Gestión'!$AH$42="Leve"),CONCATENATE("R5C",'Riesgos de Gestión'!$V$42),"")</f>
        <v/>
      </c>
      <c r="P50" s="59" t="str">
        <f>IF(AND('Riesgos de Gestión'!$AF$37="Muy Baja",'Riesgos de Gestión'!$AH$37="Menor"),CONCATENATE("R5C",'Riesgos de Gestión'!$V$37),"")</f>
        <v/>
      </c>
      <c r="Q50" s="60" t="str">
        <f>IF(AND('Riesgos de Gestión'!$AF$38="Muy Baja",'Riesgos de Gestión'!$AH$38="Menor"),CONCATENATE("R5C",'Riesgos de Gestión'!$V$38),"")</f>
        <v/>
      </c>
      <c r="R50" s="60" t="str">
        <f>IF(AND('Riesgos de Gestión'!$AF$39="Muy Baja",'Riesgos de Gestión'!$AH$39="Menor"),CONCATENATE("R5C",'Riesgos de Gestión'!$V$39),"")</f>
        <v/>
      </c>
      <c r="S50" s="60" t="str">
        <f>IF(AND('Riesgos de Gestión'!$AF$40="Muy Baja",'Riesgos de Gestión'!$AH$40="Menor"),CONCATENATE("R5C",'Riesgos de Gestión'!$V$40),"")</f>
        <v/>
      </c>
      <c r="T50" s="60" t="str">
        <f>IF(AND('Riesgos de Gestión'!$AF$41="Muy Baja",'Riesgos de Gestión'!$AH$41="Menor"),CONCATENATE("R5C",'Riesgos de Gestión'!$V$41),"")</f>
        <v/>
      </c>
      <c r="U50" s="61" t="str">
        <f>IF(AND('Riesgos de Gestión'!$AF$42="Muy Baja",'Riesgos de Gestión'!$AH$42="Menor"),CONCATENATE("R5C",'Riesgos de Gestión'!$V$42),"")</f>
        <v/>
      </c>
      <c r="V50" s="50" t="str">
        <f>IF(AND('Riesgos de Gestión'!$AF$37="Muy Baja",'Riesgos de Gestión'!$AH$37="Moderado"),CONCATENATE("R5C",'Riesgos de Gestión'!$V$37),"")</f>
        <v/>
      </c>
      <c r="W50" s="51" t="str">
        <f>IF(AND('Riesgos de Gestión'!$AF$38="Muy Baja",'Riesgos de Gestión'!$AH$38="Moderado"),CONCATENATE("R5C",'Riesgos de Gestión'!$V$38),"")</f>
        <v/>
      </c>
      <c r="X50" s="51" t="str">
        <f>IF(AND('Riesgos de Gestión'!$AF$39="Muy Baja",'Riesgos de Gestión'!$AH$39="Moderado"),CONCATENATE("R5C",'Riesgos de Gestión'!$V$39),"")</f>
        <v/>
      </c>
      <c r="Y50" s="51" t="str">
        <f>IF(AND('Riesgos de Gestión'!$AF$40="Muy Baja",'Riesgos de Gestión'!$AH$40="Moderado"),CONCATENATE("R5C",'Riesgos de Gestión'!$V$40),"")</f>
        <v/>
      </c>
      <c r="Z50" s="51" t="str">
        <f>IF(AND('Riesgos de Gestión'!$AF$41="Muy Baja",'Riesgos de Gestión'!$AH$41="Moderado"),CONCATENATE("R5C",'Riesgos de Gestión'!$V$41),"")</f>
        <v/>
      </c>
      <c r="AA50" s="52" t="str">
        <f>IF(AND('Riesgos de Gestión'!$AF$42="Muy Baja",'Riesgos de Gestión'!$AH$42="Moderado"),CONCATENATE("R5C",'Riesgos de Gestión'!$V$42),"")</f>
        <v/>
      </c>
      <c r="AB50" s="35" t="str">
        <f>IF(AND('Riesgos de Gestión'!$AF$37="Muy Baja",'Riesgos de Gestión'!$AH$37="Mayor"),CONCATENATE("R5C",'Riesgos de Gestión'!$V$37),"")</f>
        <v/>
      </c>
      <c r="AC50" s="36" t="str">
        <f>IF(AND('Riesgos de Gestión'!$AF$38="Muy Baja",'Riesgos de Gestión'!$AH$38="Mayor"),CONCATENATE("R5C",'Riesgos de Gestión'!$V$38),"")</f>
        <v/>
      </c>
      <c r="AD50" s="36" t="str">
        <f>IF(AND('Riesgos de Gestión'!$AF$39="Muy Baja",'Riesgos de Gestión'!$AH$39="Mayor"),CONCATENATE("R5C",'Riesgos de Gestión'!$V$39),"")</f>
        <v/>
      </c>
      <c r="AE50" s="36" t="str">
        <f>IF(AND('Riesgos de Gestión'!$AF$40="Muy Baja",'Riesgos de Gestión'!$AH$40="Mayor"),CONCATENATE("R5C",'Riesgos de Gestión'!$V$40),"")</f>
        <v/>
      </c>
      <c r="AF50" s="36" t="str">
        <f>IF(AND('Riesgos de Gestión'!$AF$41="Muy Baja",'Riesgos de Gestión'!$AH$41="Mayor"),CONCATENATE("R5C",'Riesgos de Gestión'!$V$41),"")</f>
        <v/>
      </c>
      <c r="AG50" s="37" t="str">
        <f>IF(AND('Riesgos de Gestión'!$AF$42="Muy Baja",'Riesgos de Gestión'!$AH$42="Mayor"),CONCATENATE("R5C",'Riesgos de Gestión'!$V$42),"")</f>
        <v/>
      </c>
      <c r="AH50" s="38" t="str">
        <f>IF(AND('Riesgos de Gestión'!$AF$37="Muy Baja",'Riesgos de Gestión'!$AH$37="Catastrófico"),CONCATENATE("R5C",'Riesgos de Gestión'!$V$37),"")</f>
        <v/>
      </c>
      <c r="AI50" s="39" t="str">
        <f>IF(AND('Riesgos de Gestión'!$AF$38="Muy Baja",'Riesgos de Gestión'!$AH$38="Catastrófico"),CONCATENATE("R5C",'Riesgos de Gestión'!$V$38),"")</f>
        <v/>
      </c>
      <c r="AJ50" s="39" t="str">
        <f>IF(AND('Riesgos de Gestión'!$AF$39="Muy Baja",'Riesgos de Gestión'!$AH$39="Catastrófico"),CONCATENATE("R5C",'Riesgos de Gestión'!$V$39),"")</f>
        <v/>
      </c>
      <c r="AK50" s="39" t="str">
        <f>IF(AND('Riesgos de Gestión'!$AF$40="Muy Baja",'Riesgos de Gestión'!$AH$40="Catastrófico"),CONCATENATE("R5C",'Riesgos de Gestión'!$V$40),"")</f>
        <v/>
      </c>
      <c r="AL50" s="39" t="str">
        <f>IF(AND('Riesgos de Gestión'!$AF$41="Muy Baja",'Riesgos de Gestión'!$AH$41="Catastrófico"),CONCATENATE("R5C",'Riesgos de Gestión'!$V$41),"")</f>
        <v/>
      </c>
      <c r="AM50" s="40" t="str">
        <f>IF(AND('Riesgos de Gestión'!$AF$42="Muy Baja",'Riesgos de Gestión'!$AH$42="Catastrófico"),CONCATENATE("R5C",'Riesgos de Gestión'!$V$42),"")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510"/>
      <c r="C51" s="510"/>
      <c r="D51" s="511"/>
      <c r="E51" s="551"/>
      <c r="F51" s="552"/>
      <c r="G51" s="552"/>
      <c r="H51" s="552"/>
      <c r="I51" s="553"/>
      <c r="J51" s="59" t="str">
        <f>IF(AND('Riesgos de Gestión'!$AF$43="Muy Baja",'Riesgos de Gestión'!$AH$43="Leve"),CONCATENATE("R6C",'Riesgos de Gestión'!$V$43),"")</f>
        <v/>
      </c>
      <c r="K51" s="60" t="str">
        <f>IF(AND('Riesgos de Gestión'!$AF$44="Muy Baja",'Riesgos de Gestión'!$AH$44="Leve"),CONCATENATE("R6C",'Riesgos de Gestión'!$V$44),"")</f>
        <v/>
      </c>
      <c r="L51" s="60" t="str">
        <f>IF(AND('Riesgos de Gestión'!$AF$45="Muy Baja",'Riesgos de Gestión'!$AH$45="Leve"),CONCATENATE("R6C",'Riesgos de Gestión'!$V$45),"")</f>
        <v/>
      </c>
      <c r="M51" s="60" t="str">
        <f>IF(AND('Riesgos de Gestión'!$AF$46="Muy Baja",'Riesgos de Gestión'!$AH$46="Leve"),CONCATENATE("R6C",'Riesgos de Gestión'!$V$46),"")</f>
        <v/>
      </c>
      <c r="N51" s="60" t="str">
        <f>IF(AND('Riesgos de Gestión'!$AF$47="Muy Baja",'Riesgos de Gestión'!$AH$47="Leve"),CONCATENATE("R6C",'Riesgos de Gestión'!$V$47),"")</f>
        <v/>
      </c>
      <c r="O51" s="61" t="str">
        <f>IF(AND('Riesgos de Gestión'!$AF$48="Muy Baja",'Riesgos de Gestión'!$AH$48="Leve"),CONCATENATE("R6C",'Riesgos de Gestión'!$V$48),"")</f>
        <v/>
      </c>
      <c r="P51" s="59" t="str">
        <f>IF(AND('Riesgos de Gestión'!$AF$43="Muy Baja",'Riesgos de Gestión'!$AH$43="Menor"),CONCATENATE("R6C",'Riesgos de Gestión'!$V$43),"")</f>
        <v/>
      </c>
      <c r="Q51" s="60" t="str">
        <f>IF(AND('Riesgos de Gestión'!$AF$44="Muy Baja",'Riesgos de Gestión'!$AH$44="Menor"),CONCATENATE("R6C",'Riesgos de Gestión'!$V$44),"")</f>
        <v/>
      </c>
      <c r="R51" s="60" t="str">
        <f>IF(AND('Riesgos de Gestión'!$AF$45="Muy Baja",'Riesgos de Gestión'!$AH$45="Menor"),CONCATENATE("R6C",'Riesgos de Gestión'!$V$45),"")</f>
        <v/>
      </c>
      <c r="S51" s="60" t="str">
        <f>IF(AND('Riesgos de Gestión'!$AF$46="Muy Baja",'Riesgos de Gestión'!$AH$46="Menor"),CONCATENATE("R6C",'Riesgos de Gestión'!$V$46),"")</f>
        <v/>
      </c>
      <c r="T51" s="60" t="str">
        <f>IF(AND('Riesgos de Gestión'!$AF$47="Muy Baja",'Riesgos de Gestión'!$AH$47="Menor"),CONCATENATE("R6C",'Riesgos de Gestión'!$V$47),"")</f>
        <v/>
      </c>
      <c r="U51" s="61" t="str">
        <f>IF(AND('Riesgos de Gestión'!$AF$48="Muy Baja",'Riesgos de Gestión'!$AH$48="Menor"),CONCATENATE("R6C",'Riesgos de Gestión'!$V$48),"")</f>
        <v/>
      </c>
      <c r="V51" s="50" t="str">
        <f>IF(AND('Riesgos de Gestión'!$AF$43="Muy Baja",'Riesgos de Gestión'!$AH$43="Moderado"),CONCATENATE("R6C",'Riesgos de Gestión'!$V$43),"")</f>
        <v/>
      </c>
      <c r="W51" s="51" t="str">
        <f>IF(AND('Riesgos de Gestión'!$AF$44="Muy Baja",'Riesgos de Gestión'!$AH$44="Moderado"),CONCATENATE("R6C",'Riesgos de Gestión'!$V$44),"")</f>
        <v/>
      </c>
      <c r="X51" s="51" t="str">
        <f>IF(AND('Riesgos de Gestión'!$AF$45="Muy Baja",'Riesgos de Gestión'!$AH$45="Moderado"),CONCATENATE("R6C",'Riesgos de Gestión'!$V$45),"")</f>
        <v/>
      </c>
      <c r="Y51" s="51" t="str">
        <f>IF(AND('Riesgos de Gestión'!$AF$46="Muy Baja",'Riesgos de Gestión'!$AH$46="Moderado"),CONCATENATE("R6C",'Riesgos de Gestión'!$V$46),"")</f>
        <v/>
      </c>
      <c r="Z51" s="51" t="str">
        <f>IF(AND('Riesgos de Gestión'!$AF$47="Muy Baja",'Riesgos de Gestión'!$AH$47="Moderado"),CONCATENATE("R6C",'Riesgos de Gestión'!$V$47),"")</f>
        <v/>
      </c>
      <c r="AA51" s="52" t="str">
        <f>IF(AND('Riesgos de Gestión'!$AF$48="Muy Baja",'Riesgos de Gestión'!$AH$48="Moderado"),CONCATENATE("R6C",'Riesgos de Gestión'!$V$48),"")</f>
        <v/>
      </c>
      <c r="AB51" s="35" t="str">
        <f>IF(AND('Riesgos de Gestión'!$AF$43="Muy Baja",'Riesgos de Gestión'!$AH$43="Mayor"),CONCATENATE("R6C",'Riesgos de Gestión'!$V$43),"")</f>
        <v/>
      </c>
      <c r="AC51" s="36" t="str">
        <f>IF(AND('Riesgos de Gestión'!$AF$44="Muy Baja",'Riesgos de Gestión'!$AH$44="Mayor"),CONCATENATE("R6C",'Riesgos de Gestión'!$V$44),"")</f>
        <v/>
      </c>
      <c r="AD51" s="36" t="str">
        <f>IF(AND('Riesgos de Gestión'!$AF$45="Muy Baja",'Riesgos de Gestión'!$AH$45="Mayor"),CONCATENATE("R6C",'Riesgos de Gestión'!$V$45),"")</f>
        <v/>
      </c>
      <c r="AE51" s="36" t="str">
        <f>IF(AND('Riesgos de Gestión'!$AF$46="Muy Baja",'Riesgos de Gestión'!$AH$46="Mayor"),CONCATENATE("R6C",'Riesgos de Gestión'!$V$46),"")</f>
        <v/>
      </c>
      <c r="AF51" s="36" t="str">
        <f>IF(AND('Riesgos de Gestión'!$AF$47="Muy Baja",'Riesgos de Gestión'!$AH$47="Mayor"),CONCATENATE("R6C",'Riesgos de Gestión'!$V$47),"")</f>
        <v/>
      </c>
      <c r="AG51" s="37" t="str">
        <f>IF(AND('Riesgos de Gestión'!$AF$48="Muy Baja",'Riesgos de Gestión'!$AH$48="Mayor"),CONCATENATE("R6C",'Riesgos de Gestión'!$V$48),"")</f>
        <v/>
      </c>
      <c r="AH51" s="38" t="str">
        <f>IF(AND('Riesgos de Gestión'!$AF$43="Muy Baja",'Riesgos de Gestión'!$AH$43="Catastrófico"),CONCATENATE("R6C",'Riesgos de Gestión'!$V$43),"")</f>
        <v/>
      </c>
      <c r="AI51" s="39" t="str">
        <f>IF(AND('Riesgos de Gestión'!$AF$44="Muy Baja",'Riesgos de Gestión'!$AH$44="Catastrófico"),CONCATENATE("R6C",'Riesgos de Gestión'!$V$44),"")</f>
        <v/>
      </c>
      <c r="AJ51" s="39" t="str">
        <f>IF(AND('Riesgos de Gestión'!$AF$45="Muy Baja",'Riesgos de Gestión'!$AH$45="Catastrófico"),CONCATENATE("R6C",'Riesgos de Gestión'!$V$45),"")</f>
        <v/>
      </c>
      <c r="AK51" s="39" t="str">
        <f>IF(AND('Riesgos de Gestión'!$AF$46="Muy Baja",'Riesgos de Gestión'!$AH$46="Catastrófico"),CONCATENATE("R6C",'Riesgos de Gestión'!$V$46),"")</f>
        <v/>
      </c>
      <c r="AL51" s="39" t="str">
        <f>IF(AND('Riesgos de Gestión'!$AF$47="Muy Baja",'Riesgos de Gestión'!$AH$47="Catastrófico"),CONCATENATE("R6C",'Riesgos de Gestión'!$V$47),"")</f>
        <v/>
      </c>
      <c r="AM51" s="40" t="str">
        <f>IF(AND('Riesgos de Gestión'!$AF$48="Muy Baja",'Riesgos de Gestión'!$AH$48="Catastrófico"),CONCATENATE("R6C",'Riesgos de Gestión'!$V$48),"")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510"/>
      <c r="C52" s="510"/>
      <c r="D52" s="511"/>
      <c r="E52" s="551"/>
      <c r="F52" s="552"/>
      <c r="G52" s="552"/>
      <c r="H52" s="552"/>
      <c r="I52" s="553"/>
      <c r="J52" s="59" t="str">
        <f>IF(AND('Riesgos de Gestión'!$AF$49="Muy Baja",'Riesgos de Gestión'!$AH$49="Leve"),CONCATENATE("R7C",'Riesgos de Gestión'!$V$49),"")</f>
        <v/>
      </c>
      <c r="K52" s="60" t="str">
        <f>IF(AND('Riesgos de Gestión'!$AF$50="Muy Baja",'Riesgos de Gestión'!$AH$50="Leve"),CONCATENATE("R7C",'Riesgos de Gestión'!$V$50),"")</f>
        <v/>
      </c>
      <c r="L52" s="60" t="str">
        <f>IF(AND('Riesgos de Gestión'!$AF$51="Muy Baja",'Riesgos de Gestión'!$AH$51="Leve"),CONCATENATE("R7C",'Riesgos de Gestión'!$V$51),"")</f>
        <v/>
      </c>
      <c r="M52" s="60" t="str">
        <f>IF(AND('Riesgos de Gestión'!$AF$52="Muy Baja",'Riesgos de Gestión'!$AH$52="Leve"),CONCATENATE("R7C",'Riesgos de Gestión'!$V$52),"")</f>
        <v/>
      </c>
      <c r="N52" s="60" t="str">
        <f>IF(AND('Riesgos de Gestión'!$AF$53="Muy Baja",'Riesgos de Gestión'!$AH$53="Leve"),CONCATENATE("R7C",'Riesgos de Gestión'!$V$53),"")</f>
        <v/>
      </c>
      <c r="O52" s="61" t="str">
        <f>IF(AND('Riesgos de Gestión'!$AF$54="Muy Baja",'Riesgos de Gestión'!$AH$54="Leve"),CONCATENATE("R7C",'Riesgos de Gestión'!$V$54),"")</f>
        <v/>
      </c>
      <c r="P52" s="59" t="str">
        <f>IF(AND('Riesgos de Gestión'!$AF$49="Muy Baja",'Riesgos de Gestión'!$AH$49="Menor"),CONCATENATE("R7C",'Riesgos de Gestión'!$V$49),"")</f>
        <v/>
      </c>
      <c r="Q52" s="60" t="str">
        <f>IF(AND('Riesgos de Gestión'!$AF$50="Muy Baja",'Riesgos de Gestión'!$AH$50="Menor"),CONCATENATE("R7C",'Riesgos de Gestión'!$V$50),"")</f>
        <v/>
      </c>
      <c r="R52" s="60" t="str">
        <f>IF(AND('Riesgos de Gestión'!$AF$51="Muy Baja",'Riesgos de Gestión'!$AH$51="Menor"),CONCATENATE("R7C",'Riesgos de Gestión'!$V$51),"")</f>
        <v/>
      </c>
      <c r="S52" s="60" t="str">
        <f>IF(AND('Riesgos de Gestión'!$AF$52="Muy Baja",'Riesgos de Gestión'!$AH$52="Menor"),CONCATENATE("R7C",'Riesgos de Gestión'!$V$52),"")</f>
        <v/>
      </c>
      <c r="T52" s="60" t="str">
        <f>IF(AND('Riesgos de Gestión'!$AF$53="Muy Baja",'Riesgos de Gestión'!$AH$53="Menor"),CONCATENATE("R7C",'Riesgos de Gestión'!$V$53),"")</f>
        <v/>
      </c>
      <c r="U52" s="61" t="str">
        <f>IF(AND('Riesgos de Gestión'!$AF$54="Muy Baja",'Riesgos de Gestión'!$AH$54="Menor"),CONCATENATE("R7C",'Riesgos de Gestión'!$V$54),"")</f>
        <v/>
      </c>
      <c r="V52" s="50" t="str">
        <f>IF(AND('Riesgos de Gestión'!$AF$49="Muy Baja",'Riesgos de Gestión'!$AH$49="Moderado"),CONCATENATE("R7C",'Riesgos de Gestión'!$V$49),"")</f>
        <v/>
      </c>
      <c r="W52" s="51" t="str">
        <f>IF(AND('Riesgos de Gestión'!$AF$50="Muy Baja",'Riesgos de Gestión'!$AH$50="Moderado"),CONCATENATE("R7C",'Riesgos de Gestión'!$V$50),"")</f>
        <v/>
      </c>
      <c r="X52" s="51" t="str">
        <f>IF(AND('Riesgos de Gestión'!$AF$51="Muy Baja",'Riesgos de Gestión'!$AH$51="Moderado"),CONCATENATE("R7C",'Riesgos de Gestión'!$V$51),"")</f>
        <v/>
      </c>
      <c r="Y52" s="51" t="str">
        <f>IF(AND('Riesgos de Gestión'!$AF$52="Muy Baja",'Riesgos de Gestión'!$AH$52="Moderado"),CONCATENATE("R7C",'Riesgos de Gestión'!$V$52),"")</f>
        <v/>
      </c>
      <c r="Z52" s="51" t="str">
        <f>IF(AND('Riesgos de Gestión'!$AF$53="Muy Baja",'Riesgos de Gestión'!$AH$53="Moderado"),CONCATENATE("R7C",'Riesgos de Gestión'!$V$53),"")</f>
        <v/>
      </c>
      <c r="AA52" s="52" t="str">
        <f>IF(AND('Riesgos de Gestión'!$AF$54="Muy Baja",'Riesgos de Gestión'!$AH$54="Moderado"),CONCATENATE("R7C",'Riesgos de Gestión'!$V$54),"")</f>
        <v/>
      </c>
      <c r="AB52" s="35" t="str">
        <f>IF(AND('Riesgos de Gestión'!$AF$49="Muy Baja",'Riesgos de Gestión'!$AH$49="Mayor"),CONCATENATE("R7C",'Riesgos de Gestión'!$V$49),"")</f>
        <v/>
      </c>
      <c r="AC52" s="36" t="str">
        <f>IF(AND('Riesgos de Gestión'!$AF$50="Muy Baja",'Riesgos de Gestión'!$AH$50="Mayor"),CONCATENATE("R7C",'Riesgos de Gestión'!$V$50),"")</f>
        <v/>
      </c>
      <c r="AD52" s="36" t="str">
        <f>IF(AND('Riesgos de Gestión'!$AF$51="Muy Baja",'Riesgos de Gestión'!$AH$51="Mayor"),CONCATENATE("R7C",'Riesgos de Gestión'!$V$51),"")</f>
        <v/>
      </c>
      <c r="AE52" s="36" t="str">
        <f>IF(AND('Riesgos de Gestión'!$AF$52="Muy Baja",'Riesgos de Gestión'!$AH$52="Mayor"),CONCATENATE("R7C",'Riesgos de Gestión'!$V$52),"")</f>
        <v/>
      </c>
      <c r="AF52" s="36" t="str">
        <f>IF(AND('Riesgos de Gestión'!$AF$53="Muy Baja",'Riesgos de Gestión'!$AH$53="Mayor"),CONCATENATE("R7C",'Riesgos de Gestión'!$V$53),"")</f>
        <v/>
      </c>
      <c r="AG52" s="37" t="str">
        <f>IF(AND('Riesgos de Gestión'!$AF$54="Muy Baja",'Riesgos de Gestión'!$AH$54="Mayor"),CONCATENATE("R7C",'Riesgos de Gestión'!$V$54),"")</f>
        <v/>
      </c>
      <c r="AH52" s="38" t="str">
        <f>IF(AND('Riesgos de Gestión'!$AF$49="Muy Baja",'Riesgos de Gestión'!$AH$49="Catastrófico"),CONCATENATE("R7C",'Riesgos de Gestión'!$V$49),"")</f>
        <v/>
      </c>
      <c r="AI52" s="39" t="str">
        <f>IF(AND('Riesgos de Gestión'!$AF$50="Muy Baja",'Riesgos de Gestión'!$AH$50="Catastrófico"),CONCATENATE("R7C",'Riesgos de Gestión'!$V$50),"")</f>
        <v/>
      </c>
      <c r="AJ52" s="39" t="str">
        <f>IF(AND('Riesgos de Gestión'!$AF$51="Muy Baja",'Riesgos de Gestión'!$AH$51="Catastrófico"),CONCATENATE("R7C",'Riesgos de Gestión'!$V$51),"")</f>
        <v/>
      </c>
      <c r="AK52" s="39" t="str">
        <f>IF(AND('Riesgos de Gestión'!$AF$52="Muy Baja",'Riesgos de Gestión'!$AH$52="Catastrófico"),CONCATENATE("R7C",'Riesgos de Gestión'!$V$52),"")</f>
        <v/>
      </c>
      <c r="AL52" s="39" t="str">
        <f>IF(AND('Riesgos de Gestión'!$AF$53="Muy Baja",'Riesgos de Gestión'!$AH$53="Catastrófico"),CONCATENATE("R7C",'Riesgos de Gestión'!$V$53),"")</f>
        <v/>
      </c>
      <c r="AM52" s="40" t="str">
        <f>IF(AND('Riesgos de Gestión'!$AF$54="Muy Baja",'Riesgos de Gestión'!$AH$54="Catastrófico"),CONCATENATE("R7C",'Riesgos de Gestión'!$V$54),"")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510"/>
      <c r="C53" s="510"/>
      <c r="D53" s="511"/>
      <c r="E53" s="551"/>
      <c r="F53" s="552"/>
      <c r="G53" s="552"/>
      <c r="H53" s="552"/>
      <c r="I53" s="553"/>
      <c r="J53" s="59" t="str">
        <f>IF(AND('Riesgos de Gestión'!$AF$55="Muy Baja",'Riesgos de Gestión'!$AH$55="Leve"),CONCATENATE("R8C",'Riesgos de Gestión'!$V$55),"")</f>
        <v/>
      </c>
      <c r="K53" s="60" t="str">
        <f>IF(AND('Riesgos de Gestión'!$AF$56="Muy Baja",'Riesgos de Gestión'!$AH$56="Leve"),CONCATENATE("R8C",'Riesgos de Gestión'!$V$56),"")</f>
        <v/>
      </c>
      <c r="L53" s="60" t="str">
        <f>IF(AND('Riesgos de Gestión'!$AF$57="Muy Baja",'Riesgos de Gestión'!$AH$57="Leve"),CONCATENATE("R8C",'Riesgos de Gestión'!$V$57),"")</f>
        <v/>
      </c>
      <c r="M53" s="60" t="str">
        <f>IF(AND('Riesgos de Gestión'!$AF$58="Muy Baja",'Riesgos de Gestión'!$AH$58="Leve"),CONCATENATE("R8C",'Riesgos de Gestión'!$V$58),"")</f>
        <v/>
      </c>
      <c r="N53" s="60" t="str">
        <f>IF(AND('Riesgos de Gestión'!$AF$59="Muy Baja",'Riesgos de Gestión'!$AH$59="Leve"),CONCATENATE("R8C",'Riesgos de Gestión'!$V$59),"")</f>
        <v/>
      </c>
      <c r="O53" s="61" t="str">
        <f>IF(AND('Riesgos de Gestión'!$AF$60="Muy Baja",'Riesgos de Gestión'!$AH$60="Leve"),CONCATENATE("R8C",'Riesgos de Gestión'!$V$60),"")</f>
        <v/>
      </c>
      <c r="P53" s="59" t="str">
        <f>IF(AND('Riesgos de Gestión'!$AF$55="Muy Baja",'Riesgos de Gestión'!$AH$55="Menor"),CONCATENATE("R8C",'Riesgos de Gestión'!$V$55),"")</f>
        <v/>
      </c>
      <c r="Q53" s="60" t="str">
        <f>IF(AND('Riesgos de Gestión'!$AF$56="Muy Baja",'Riesgos de Gestión'!$AH$56="Menor"),CONCATENATE("R8C",'Riesgos de Gestión'!$V$56),"")</f>
        <v/>
      </c>
      <c r="R53" s="60" t="str">
        <f>IF(AND('Riesgos de Gestión'!$AF$57="Muy Baja",'Riesgos de Gestión'!$AH$57="Menor"),CONCATENATE("R8C",'Riesgos de Gestión'!$V$57),"")</f>
        <v/>
      </c>
      <c r="S53" s="60" t="str">
        <f>IF(AND('Riesgos de Gestión'!$AF$58="Muy Baja",'Riesgos de Gestión'!$AH$58="Menor"),CONCATENATE("R8C",'Riesgos de Gestión'!$V$58),"")</f>
        <v/>
      </c>
      <c r="T53" s="60" t="str">
        <f>IF(AND('Riesgos de Gestión'!$AF$59="Muy Baja",'Riesgos de Gestión'!$AH$59="Menor"),CONCATENATE("R8C",'Riesgos de Gestión'!$V$59),"")</f>
        <v/>
      </c>
      <c r="U53" s="61" t="str">
        <f>IF(AND('Riesgos de Gestión'!$AF$60="Muy Baja",'Riesgos de Gestión'!$AH$60="Menor"),CONCATENATE("R8C",'Riesgos de Gestión'!$V$60),"")</f>
        <v/>
      </c>
      <c r="V53" s="50" t="str">
        <f>IF(AND('Riesgos de Gestión'!$AF$55="Muy Baja",'Riesgos de Gestión'!$AH$55="Moderado"),CONCATENATE("R8C",'Riesgos de Gestión'!$V$55),"")</f>
        <v/>
      </c>
      <c r="W53" s="51" t="str">
        <f>IF(AND('Riesgos de Gestión'!$AF$56="Muy Baja",'Riesgos de Gestión'!$AH$56="Moderado"),CONCATENATE("R8C",'Riesgos de Gestión'!$V$56),"")</f>
        <v/>
      </c>
      <c r="X53" s="51" t="str">
        <f>IF(AND('Riesgos de Gestión'!$AF$57="Muy Baja",'Riesgos de Gestión'!$AH$57="Moderado"),CONCATENATE("R8C",'Riesgos de Gestión'!$V$57),"")</f>
        <v/>
      </c>
      <c r="Y53" s="51" t="str">
        <f>IF(AND('Riesgos de Gestión'!$AF$58="Muy Baja",'Riesgos de Gestión'!$AH$58="Moderado"),CONCATENATE("R8C",'Riesgos de Gestión'!$V$58),"")</f>
        <v/>
      </c>
      <c r="Z53" s="51" t="str">
        <f>IF(AND('Riesgos de Gestión'!$AF$59="Muy Baja",'Riesgos de Gestión'!$AH$59="Moderado"),CONCATENATE("R8C",'Riesgos de Gestión'!$V$59),"")</f>
        <v/>
      </c>
      <c r="AA53" s="52" t="str">
        <f>IF(AND('Riesgos de Gestión'!$AF$60="Muy Baja",'Riesgos de Gestión'!$AH$60="Moderado"),CONCATENATE("R8C",'Riesgos de Gestión'!$V$60),"")</f>
        <v/>
      </c>
      <c r="AB53" s="35" t="str">
        <f>IF(AND('Riesgos de Gestión'!$AF$55="Muy Baja",'Riesgos de Gestión'!$AH$55="Mayor"),CONCATENATE("R8C",'Riesgos de Gestión'!$V$55),"")</f>
        <v/>
      </c>
      <c r="AC53" s="36" t="str">
        <f>IF(AND('Riesgos de Gestión'!$AF$56="Muy Baja",'Riesgos de Gestión'!$AH$56="Mayor"),CONCATENATE("R8C",'Riesgos de Gestión'!$V$56),"")</f>
        <v/>
      </c>
      <c r="AD53" s="36" t="str">
        <f>IF(AND('Riesgos de Gestión'!$AF$57="Muy Baja",'Riesgos de Gestión'!$AH$57="Mayor"),CONCATENATE("R8C",'Riesgos de Gestión'!$V$57),"")</f>
        <v/>
      </c>
      <c r="AE53" s="36" t="str">
        <f>IF(AND('Riesgos de Gestión'!$AF$58="Muy Baja",'Riesgos de Gestión'!$AH$58="Mayor"),CONCATENATE("R8C",'Riesgos de Gestión'!$V$58),"")</f>
        <v/>
      </c>
      <c r="AF53" s="36" t="str">
        <f>IF(AND('Riesgos de Gestión'!$AF$59="Muy Baja",'Riesgos de Gestión'!$AH$59="Mayor"),CONCATENATE("R8C",'Riesgos de Gestión'!$V$59),"")</f>
        <v/>
      </c>
      <c r="AG53" s="37" t="str">
        <f>IF(AND('Riesgos de Gestión'!$AF$60="Muy Baja",'Riesgos de Gestión'!$AH$60="Mayor"),CONCATENATE("R8C",'Riesgos de Gestión'!$V$60),"")</f>
        <v/>
      </c>
      <c r="AH53" s="38" t="str">
        <f>IF(AND('Riesgos de Gestión'!$AF$55="Muy Baja",'Riesgos de Gestión'!$AH$55="Catastrófico"),CONCATENATE("R8C",'Riesgos de Gestión'!$V$55),"")</f>
        <v/>
      </c>
      <c r="AI53" s="39" t="str">
        <f>IF(AND('Riesgos de Gestión'!$AF$56="Muy Baja",'Riesgos de Gestión'!$AH$56="Catastrófico"),CONCATENATE("R8C",'Riesgos de Gestión'!$V$56),"")</f>
        <v/>
      </c>
      <c r="AJ53" s="39" t="str">
        <f>IF(AND('Riesgos de Gestión'!$AF$57="Muy Baja",'Riesgos de Gestión'!$AH$57="Catastrófico"),CONCATENATE("R8C",'Riesgos de Gestión'!$V$57),"")</f>
        <v/>
      </c>
      <c r="AK53" s="39" t="str">
        <f>IF(AND('Riesgos de Gestión'!$AF$58="Muy Baja",'Riesgos de Gestión'!$AH$58="Catastrófico"),CONCATENATE("R8C",'Riesgos de Gestión'!$V$58),"")</f>
        <v/>
      </c>
      <c r="AL53" s="39" t="str">
        <f>IF(AND('Riesgos de Gestión'!$AF$59="Muy Baja",'Riesgos de Gestión'!$AH$59="Catastrófico"),CONCATENATE("R8C",'Riesgos de Gestión'!$V$59),"")</f>
        <v/>
      </c>
      <c r="AM53" s="40" t="str">
        <f>IF(AND('Riesgos de Gestión'!$AF$60="Muy Baja",'Riesgos de Gestión'!$AH$60="Catastrófico"),CONCATENATE("R8C",'Riesgos de Gestión'!$V$60),"")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510"/>
      <c r="C54" s="510"/>
      <c r="D54" s="511"/>
      <c r="E54" s="551"/>
      <c r="F54" s="552"/>
      <c r="G54" s="552"/>
      <c r="H54" s="552"/>
      <c r="I54" s="553"/>
      <c r="J54" s="59" t="str">
        <f>IF(AND('Riesgos de Gestión'!$AF$61="Muy Baja",'Riesgos de Gestión'!$AH$61="Leve"),CONCATENATE("R9C",'Riesgos de Gestión'!$V$61),"")</f>
        <v/>
      </c>
      <c r="K54" s="60" t="str">
        <f>IF(AND('Riesgos de Gestión'!$AF$62="Muy Baja",'Riesgos de Gestión'!$AH$62="Leve"),CONCATENATE("R9C",'Riesgos de Gestión'!$V$62),"")</f>
        <v/>
      </c>
      <c r="L54" s="60" t="str">
        <f>IF(AND('Riesgos de Gestión'!$AF$63="Muy Baja",'Riesgos de Gestión'!$AH$63="Leve"),CONCATENATE("R9C",'Riesgos de Gestión'!$V$63),"")</f>
        <v/>
      </c>
      <c r="M54" s="60" t="str">
        <f>IF(AND('Riesgos de Gestión'!$AF$64="Muy Baja",'Riesgos de Gestión'!$AH$64="Leve"),CONCATENATE("R9C",'Riesgos de Gestión'!$V$64),"")</f>
        <v/>
      </c>
      <c r="N54" s="60" t="str">
        <f>IF(AND('Riesgos de Gestión'!$AF$65="Muy Baja",'Riesgos de Gestión'!$AH$65="Leve"),CONCATENATE("R9C",'Riesgos de Gestión'!$V$65),"")</f>
        <v/>
      </c>
      <c r="O54" s="61" t="str">
        <f>IF(AND('Riesgos de Gestión'!$AF$66="Muy Baja",'Riesgos de Gestión'!$AH$66="Leve"),CONCATENATE("R9C",'Riesgos de Gestión'!$V$66),"")</f>
        <v/>
      </c>
      <c r="P54" s="59" t="str">
        <f>IF(AND('Riesgos de Gestión'!$AF$61="Muy Baja",'Riesgos de Gestión'!$AH$61="Menor"),CONCATENATE("R9C",'Riesgos de Gestión'!$V$61),"")</f>
        <v/>
      </c>
      <c r="Q54" s="60" t="str">
        <f>IF(AND('Riesgos de Gestión'!$AF$62="Muy Baja",'Riesgos de Gestión'!$AH$62="Menor"),CONCATENATE("R9C",'Riesgos de Gestión'!$V$62),"")</f>
        <v/>
      </c>
      <c r="R54" s="60" t="str">
        <f>IF(AND('Riesgos de Gestión'!$AF$63="Muy Baja",'Riesgos de Gestión'!$AH$63="Menor"),CONCATENATE("R9C",'Riesgos de Gestión'!$V$63),"")</f>
        <v/>
      </c>
      <c r="S54" s="60" t="str">
        <f>IF(AND('Riesgos de Gestión'!$AF$64="Muy Baja",'Riesgos de Gestión'!$AH$64="Menor"),CONCATENATE("R9C",'Riesgos de Gestión'!$V$64),"")</f>
        <v/>
      </c>
      <c r="T54" s="60" t="str">
        <f>IF(AND('Riesgos de Gestión'!$AF$65="Muy Baja",'Riesgos de Gestión'!$AH$65="Menor"),CONCATENATE("R9C",'Riesgos de Gestión'!$V$65),"")</f>
        <v/>
      </c>
      <c r="U54" s="61" t="str">
        <f>IF(AND('Riesgos de Gestión'!$AF$66="Muy Baja",'Riesgos de Gestión'!$AH$66="Menor"),CONCATENATE("R9C",'Riesgos de Gestión'!$V$66),"")</f>
        <v/>
      </c>
      <c r="V54" s="50" t="str">
        <f>IF(AND('Riesgos de Gestión'!$AF$61="Muy Baja",'Riesgos de Gestión'!$AH$61="Moderado"),CONCATENATE("R9C",'Riesgos de Gestión'!$V$61),"")</f>
        <v/>
      </c>
      <c r="W54" s="51" t="str">
        <f>IF(AND('Riesgos de Gestión'!$AF$62="Muy Baja",'Riesgos de Gestión'!$AH$62="Moderado"),CONCATENATE("R9C",'Riesgos de Gestión'!$V$62),"")</f>
        <v/>
      </c>
      <c r="X54" s="51" t="str">
        <f>IF(AND('Riesgos de Gestión'!$AF$63="Muy Baja",'Riesgos de Gestión'!$AH$63="Moderado"),CONCATENATE("R9C",'Riesgos de Gestión'!$V$63),"")</f>
        <v/>
      </c>
      <c r="Y54" s="51" t="str">
        <f>IF(AND('Riesgos de Gestión'!$AF$64="Muy Baja",'Riesgos de Gestión'!$AH$64="Moderado"),CONCATENATE("R9C",'Riesgos de Gestión'!$V$64),"")</f>
        <v/>
      </c>
      <c r="Z54" s="51" t="str">
        <f>IF(AND('Riesgos de Gestión'!$AF$65="Muy Baja",'Riesgos de Gestión'!$AH$65="Moderado"),CONCATENATE("R9C",'Riesgos de Gestión'!$V$65),"")</f>
        <v/>
      </c>
      <c r="AA54" s="52" t="str">
        <f>IF(AND('Riesgos de Gestión'!$AF$66="Muy Baja",'Riesgos de Gestión'!$AH$66="Moderado"),CONCATENATE("R9C",'Riesgos de Gestión'!$V$66),"")</f>
        <v/>
      </c>
      <c r="AB54" s="35" t="str">
        <f>IF(AND('Riesgos de Gestión'!$AF$61="Muy Baja",'Riesgos de Gestión'!$AH$61="Mayor"),CONCATENATE("R9C",'Riesgos de Gestión'!$V$61),"")</f>
        <v/>
      </c>
      <c r="AC54" s="36" t="str">
        <f>IF(AND('Riesgos de Gestión'!$AF$62="Muy Baja",'Riesgos de Gestión'!$AH$62="Mayor"),CONCATENATE("R9C",'Riesgos de Gestión'!$V$62),"")</f>
        <v/>
      </c>
      <c r="AD54" s="36" t="str">
        <f>IF(AND('Riesgos de Gestión'!$AF$63="Muy Baja",'Riesgos de Gestión'!$AH$63="Mayor"),CONCATENATE("R9C",'Riesgos de Gestión'!$V$63),"")</f>
        <v/>
      </c>
      <c r="AE54" s="36" t="str">
        <f>IF(AND('Riesgos de Gestión'!$AF$64="Muy Baja",'Riesgos de Gestión'!$AH$64="Mayor"),CONCATENATE("R9C",'Riesgos de Gestión'!$V$64),"")</f>
        <v/>
      </c>
      <c r="AF54" s="36" t="str">
        <f>IF(AND('Riesgos de Gestión'!$AF$65="Muy Baja",'Riesgos de Gestión'!$AH$65="Mayor"),CONCATENATE("R9C",'Riesgos de Gestión'!$V$65),"")</f>
        <v/>
      </c>
      <c r="AG54" s="37" t="str">
        <f>IF(AND('Riesgos de Gestión'!$AF$66="Muy Baja",'Riesgos de Gestión'!$AH$66="Mayor"),CONCATENATE("R9C",'Riesgos de Gestión'!$V$66),"")</f>
        <v/>
      </c>
      <c r="AH54" s="38" t="str">
        <f>IF(AND('Riesgos de Gestión'!$AF$61="Muy Baja",'Riesgos de Gestión'!$AH$61="Catastrófico"),CONCATENATE("R9C",'Riesgos de Gestión'!$V$61),"")</f>
        <v/>
      </c>
      <c r="AI54" s="39" t="str">
        <f>IF(AND('Riesgos de Gestión'!$AF$62="Muy Baja",'Riesgos de Gestión'!$AH$62="Catastrófico"),CONCATENATE("R9C",'Riesgos de Gestión'!$V$62),"")</f>
        <v/>
      </c>
      <c r="AJ54" s="39" t="str">
        <f>IF(AND('Riesgos de Gestión'!$AF$63="Muy Baja",'Riesgos de Gestión'!$AH$63="Catastrófico"),CONCATENATE("R9C",'Riesgos de Gestión'!$V$63),"")</f>
        <v/>
      </c>
      <c r="AK54" s="39" t="str">
        <f>IF(AND('Riesgos de Gestión'!$AF$64="Muy Baja",'Riesgos de Gestión'!$AH$64="Catastrófico"),CONCATENATE("R9C",'Riesgos de Gestión'!$V$64),"")</f>
        <v/>
      </c>
      <c r="AL54" s="39" t="str">
        <f>IF(AND('Riesgos de Gestión'!$AF$65="Muy Baja",'Riesgos de Gestión'!$AH$65="Catastrófico"),CONCATENATE("R9C",'Riesgos de Gestión'!$V$65),"")</f>
        <v/>
      </c>
      <c r="AM54" s="40" t="str">
        <f>IF(AND('Riesgos de Gestión'!$AF$66="Muy Baja",'Riesgos de Gestión'!$AH$66="Catastrófico"),CONCATENATE("R9C",'Riesgos de Gestión'!$V$66),"")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510"/>
      <c r="C55" s="510"/>
      <c r="D55" s="511"/>
      <c r="E55" s="554"/>
      <c r="F55" s="555"/>
      <c r="G55" s="555"/>
      <c r="H55" s="555"/>
      <c r="I55" s="556"/>
      <c r="J55" s="62" t="str">
        <f>IF(AND('Riesgos de Gestión'!$AF$67="Muy Baja",'Riesgos de Gestión'!$AH$67="Leve"),CONCATENATE("R10C",'Riesgos de Gestión'!$V$67),"")</f>
        <v/>
      </c>
      <c r="K55" s="63" t="str">
        <f>IF(AND('Riesgos de Gestión'!$AF$68="Muy Baja",'Riesgos de Gestión'!$AH$68="Leve"),CONCATENATE("R10C",'Riesgos de Gestión'!$V$68),"")</f>
        <v/>
      </c>
      <c r="L55" s="63" t="str">
        <f>IF(AND('Riesgos de Gestión'!$AF$69="Muy Baja",'Riesgos de Gestión'!$AH$69="Leve"),CONCATENATE("R10C",'Riesgos de Gestión'!$V$69),"")</f>
        <v/>
      </c>
      <c r="M55" s="63" t="str">
        <f>IF(AND('Riesgos de Gestión'!$AF$70="Muy Baja",'Riesgos de Gestión'!$AH$70="Leve"),CONCATENATE("R10C",'Riesgos de Gestión'!$V$70),"")</f>
        <v/>
      </c>
      <c r="N55" s="63" t="str">
        <f>IF(AND('Riesgos de Gestión'!$AF$71="Muy Baja",'Riesgos de Gestión'!$AH$71="Leve"),CONCATENATE("R10C",'Riesgos de Gestión'!$V$71),"")</f>
        <v/>
      </c>
      <c r="O55" s="64" t="str">
        <f>IF(AND('Riesgos de Gestión'!$AF$72="Muy Baja",'Riesgos de Gestión'!$AH$72="Leve"),CONCATENATE("R10C",'Riesgos de Gestión'!$V$72),"")</f>
        <v/>
      </c>
      <c r="P55" s="62" t="str">
        <f>IF(AND('Riesgos de Gestión'!$AF$67="Muy Baja",'Riesgos de Gestión'!$AH$67="Menor"),CONCATENATE("R10C",'Riesgos de Gestión'!$V$67),"")</f>
        <v/>
      </c>
      <c r="Q55" s="63" t="str">
        <f>IF(AND('Riesgos de Gestión'!$AF$68="Muy Baja",'Riesgos de Gestión'!$AH$68="Menor"),CONCATENATE("R10C",'Riesgos de Gestión'!$V$68),"")</f>
        <v/>
      </c>
      <c r="R55" s="63" t="str">
        <f>IF(AND('Riesgos de Gestión'!$AF$69="Muy Baja",'Riesgos de Gestión'!$AH$69="Menor"),CONCATENATE("R10C",'Riesgos de Gestión'!$V$69),"")</f>
        <v/>
      </c>
      <c r="S55" s="63" t="str">
        <f>IF(AND('Riesgos de Gestión'!$AF$70="Muy Baja",'Riesgos de Gestión'!$AH$70="Menor"),CONCATENATE("R10C",'Riesgos de Gestión'!$V$70),"")</f>
        <v/>
      </c>
      <c r="T55" s="63" t="str">
        <f>IF(AND('Riesgos de Gestión'!$AF$71="Muy Baja",'Riesgos de Gestión'!$AH$71="Menor"),CONCATENATE("R10C",'Riesgos de Gestión'!$V$71),"")</f>
        <v/>
      </c>
      <c r="U55" s="64" t="str">
        <f>IF(AND('Riesgos de Gestión'!$AF$72="Muy Baja",'Riesgos de Gestión'!$AH$72="Menor"),CONCATENATE("R10C",'Riesgos de Gestión'!$V$72),"")</f>
        <v/>
      </c>
      <c r="V55" s="53" t="str">
        <f>IF(AND('Riesgos de Gestión'!$AF$67="Muy Baja",'Riesgos de Gestión'!$AH$67="Moderado"),CONCATENATE("R10C",'Riesgos de Gestión'!$V$67),"")</f>
        <v/>
      </c>
      <c r="W55" s="54" t="str">
        <f>IF(AND('Riesgos de Gestión'!$AF$68="Muy Baja",'Riesgos de Gestión'!$AH$68="Moderado"),CONCATENATE("R10C",'Riesgos de Gestión'!$V$68),"")</f>
        <v/>
      </c>
      <c r="X55" s="54" t="str">
        <f>IF(AND('Riesgos de Gestión'!$AF$69="Muy Baja",'Riesgos de Gestión'!$AH$69="Moderado"),CONCATENATE("R10C",'Riesgos de Gestión'!$V$69),"")</f>
        <v/>
      </c>
      <c r="Y55" s="54" t="str">
        <f>IF(AND('Riesgos de Gestión'!$AF$70="Muy Baja",'Riesgos de Gestión'!$AH$70="Moderado"),CONCATENATE("R10C",'Riesgos de Gestión'!$V$70),"")</f>
        <v/>
      </c>
      <c r="Z55" s="54" t="str">
        <f>IF(AND('Riesgos de Gestión'!$AF$71="Muy Baja",'Riesgos de Gestión'!$AH$71="Moderado"),CONCATENATE("R10C",'Riesgos de Gestión'!$V$71),"")</f>
        <v/>
      </c>
      <c r="AA55" s="55" t="str">
        <f>IF(AND('Riesgos de Gestión'!$AF$72="Muy Baja",'Riesgos de Gestión'!$AH$72="Moderado"),CONCATENATE("R10C",'Riesgos de Gestión'!$V$72),"")</f>
        <v/>
      </c>
      <c r="AB55" s="41" t="str">
        <f>IF(AND('Riesgos de Gestión'!$AF$67="Muy Baja",'Riesgos de Gestión'!$AH$67="Mayor"),CONCATENATE("R10C",'Riesgos de Gestión'!$V$67),"")</f>
        <v/>
      </c>
      <c r="AC55" s="42" t="str">
        <f>IF(AND('Riesgos de Gestión'!$AF$68="Muy Baja",'Riesgos de Gestión'!$AH$68="Mayor"),CONCATENATE("R10C",'Riesgos de Gestión'!$V$68),"")</f>
        <v/>
      </c>
      <c r="AD55" s="42" t="str">
        <f>IF(AND('Riesgos de Gestión'!$AF$69="Muy Baja",'Riesgos de Gestión'!$AH$69="Mayor"),CONCATENATE("R10C",'Riesgos de Gestión'!$V$69),"")</f>
        <v/>
      </c>
      <c r="AE55" s="42" t="str">
        <f>IF(AND('Riesgos de Gestión'!$AF$70="Muy Baja",'Riesgos de Gestión'!$AH$70="Mayor"),CONCATENATE("R10C",'Riesgos de Gestión'!$V$70),"")</f>
        <v/>
      </c>
      <c r="AF55" s="42" t="str">
        <f>IF(AND('Riesgos de Gestión'!$AF$71="Muy Baja",'Riesgos de Gestión'!$AH$71="Mayor"),CONCATENATE("R10C",'Riesgos de Gestión'!$V$71),"")</f>
        <v/>
      </c>
      <c r="AG55" s="43" t="str">
        <f>IF(AND('Riesgos de Gestión'!$AF$72="Muy Baja",'Riesgos de Gestión'!$AH$72="Mayor"),CONCATENATE("R10C",'Riesgos de Gestión'!$V$72),"")</f>
        <v/>
      </c>
      <c r="AH55" s="44" t="str">
        <f>IF(AND('Riesgos de Gestión'!$AF$67="Muy Baja",'Riesgos de Gestión'!$AH$67="Catastrófico"),CONCATENATE("R10C",'Riesgos de Gestión'!$V$67),"")</f>
        <v/>
      </c>
      <c r="AI55" s="45" t="str">
        <f>IF(AND('Riesgos de Gestión'!$AF$68="Muy Baja",'Riesgos de Gestión'!$AH$68="Catastrófico"),CONCATENATE("R10C",'Riesgos de Gestión'!$V$68),"")</f>
        <v/>
      </c>
      <c r="AJ55" s="45" t="str">
        <f>IF(AND('Riesgos de Gestión'!$AF$69="Muy Baja",'Riesgos de Gestión'!$AH$69="Catastrófico"),CONCATENATE("R10C",'Riesgos de Gestión'!$V$69),"")</f>
        <v/>
      </c>
      <c r="AK55" s="45" t="str">
        <f>IF(AND('Riesgos de Gestión'!$AF$70="Muy Baja",'Riesgos de Gestión'!$AH$70="Catastrófico"),CONCATENATE("R10C",'Riesgos de Gestión'!$V$70),"")</f>
        <v/>
      </c>
      <c r="AL55" s="45" t="str">
        <f>IF(AND('Riesgos de Gestión'!$AF$71="Muy Baja",'Riesgos de Gestión'!$AH$71="Catastrófico"),CONCATENATE("R10C",'Riesgos de Gestión'!$V$71),"")</f>
        <v/>
      </c>
      <c r="AM55" s="46" t="str">
        <f>IF(AND('Riesgos de Gestión'!$AF$72="Muy Baja",'Riesgos de Gestión'!$AH$72="Catastrófico"),CONCATENATE("R10C",'Riesgos de Gestión'!$V$72),"")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548" t="s">
        <v>274</v>
      </c>
      <c r="K56" s="549"/>
      <c r="L56" s="549"/>
      <c r="M56" s="549"/>
      <c r="N56" s="549"/>
      <c r="O56" s="550"/>
      <c r="P56" s="548" t="s">
        <v>275</v>
      </c>
      <c r="Q56" s="549"/>
      <c r="R56" s="549"/>
      <c r="S56" s="549"/>
      <c r="T56" s="549"/>
      <c r="U56" s="550"/>
      <c r="V56" s="548" t="s">
        <v>276</v>
      </c>
      <c r="W56" s="549"/>
      <c r="X56" s="549"/>
      <c r="Y56" s="549"/>
      <c r="Z56" s="549"/>
      <c r="AA56" s="550"/>
      <c r="AB56" s="548" t="s">
        <v>277</v>
      </c>
      <c r="AC56" s="557"/>
      <c r="AD56" s="549"/>
      <c r="AE56" s="549"/>
      <c r="AF56" s="549"/>
      <c r="AG56" s="550"/>
      <c r="AH56" s="548" t="s">
        <v>278</v>
      </c>
      <c r="AI56" s="549"/>
      <c r="AJ56" s="549"/>
      <c r="AK56" s="549"/>
      <c r="AL56" s="549"/>
      <c r="AM56" s="550"/>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551"/>
      <c r="K57" s="552"/>
      <c r="L57" s="552"/>
      <c r="M57" s="552"/>
      <c r="N57" s="552"/>
      <c r="O57" s="553"/>
      <c r="P57" s="551"/>
      <c r="Q57" s="552"/>
      <c r="R57" s="552"/>
      <c r="S57" s="552"/>
      <c r="T57" s="552"/>
      <c r="U57" s="553"/>
      <c r="V57" s="551"/>
      <c r="W57" s="552"/>
      <c r="X57" s="552"/>
      <c r="Y57" s="552"/>
      <c r="Z57" s="552"/>
      <c r="AA57" s="553"/>
      <c r="AB57" s="551"/>
      <c r="AC57" s="552"/>
      <c r="AD57" s="552"/>
      <c r="AE57" s="552"/>
      <c r="AF57" s="552"/>
      <c r="AG57" s="553"/>
      <c r="AH57" s="551"/>
      <c r="AI57" s="552"/>
      <c r="AJ57" s="552"/>
      <c r="AK57" s="552"/>
      <c r="AL57" s="552"/>
      <c r="AM57" s="553"/>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551"/>
      <c r="K58" s="552"/>
      <c r="L58" s="552"/>
      <c r="M58" s="552"/>
      <c r="N58" s="552"/>
      <c r="O58" s="553"/>
      <c r="P58" s="551"/>
      <c r="Q58" s="552"/>
      <c r="R58" s="552"/>
      <c r="S58" s="552"/>
      <c r="T58" s="552"/>
      <c r="U58" s="553"/>
      <c r="V58" s="551"/>
      <c r="W58" s="552"/>
      <c r="X58" s="552"/>
      <c r="Y58" s="552"/>
      <c r="Z58" s="552"/>
      <c r="AA58" s="553"/>
      <c r="AB58" s="551"/>
      <c r="AC58" s="552"/>
      <c r="AD58" s="552"/>
      <c r="AE58" s="552"/>
      <c r="AF58" s="552"/>
      <c r="AG58" s="553"/>
      <c r="AH58" s="551"/>
      <c r="AI58" s="552"/>
      <c r="AJ58" s="552"/>
      <c r="AK58" s="552"/>
      <c r="AL58" s="552"/>
      <c r="AM58" s="553"/>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551"/>
      <c r="K59" s="552"/>
      <c r="L59" s="552"/>
      <c r="M59" s="552"/>
      <c r="N59" s="552"/>
      <c r="O59" s="553"/>
      <c r="P59" s="551"/>
      <c r="Q59" s="552"/>
      <c r="R59" s="552"/>
      <c r="S59" s="552"/>
      <c r="T59" s="552"/>
      <c r="U59" s="553"/>
      <c r="V59" s="551"/>
      <c r="W59" s="552"/>
      <c r="X59" s="552"/>
      <c r="Y59" s="552"/>
      <c r="Z59" s="552"/>
      <c r="AA59" s="553"/>
      <c r="AB59" s="551"/>
      <c r="AC59" s="552"/>
      <c r="AD59" s="552"/>
      <c r="AE59" s="552"/>
      <c r="AF59" s="552"/>
      <c r="AG59" s="553"/>
      <c r="AH59" s="551"/>
      <c r="AI59" s="552"/>
      <c r="AJ59" s="552"/>
      <c r="AK59" s="552"/>
      <c r="AL59" s="552"/>
      <c r="AM59" s="553"/>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551"/>
      <c r="K60" s="552"/>
      <c r="L60" s="552"/>
      <c r="M60" s="552"/>
      <c r="N60" s="552"/>
      <c r="O60" s="553"/>
      <c r="P60" s="551"/>
      <c r="Q60" s="552"/>
      <c r="R60" s="552"/>
      <c r="S60" s="552"/>
      <c r="T60" s="552"/>
      <c r="U60" s="553"/>
      <c r="V60" s="551"/>
      <c r="W60" s="552"/>
      <c r="X60" s="552"/>
      <c r="Y60" s="552"/>
      <c r="Z60" s="552"/>
      <c r="AA60" s="553"/>
      <c r="AB60" s="551"/>
      <c r="AC60" s="552"/>
      <c r="AD60" s="552"/>
      <c r="AE60" s="552"/>
      <c r="AF60" s="552"/>
      <c r="AG60" s="553"/>
      <c r="AH60" s="551"/>
      <c r="AI60" s="552"/>
      <c r="AJ60" s="552"/>
      <c r="AK60" s="552"/>
      <c r="AL60" s="552"/>
      <c r="AM60" s="553"/>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554"/>
      <c r="K61" s="555"/>
      <c r="L61" s="555"/>
      <c r="M61" s="555"/>
      <c r="N61" s="555"/>
      <c r="O61" s="556"/>
      <c r="P61" s="554"/>
      <c r="Q61" s="555"/>
      <c r="R61" s="555"/>
      <c r="S61" s="555"/>
      <c r="T61" s="555"/>
      <c r="U61" s="556"/>
      <c r="V61" s="554"/>
      <c r="W61" s="555"/>
      <c r="X61" s="555"/>
      <c r="Y61" s="555"/>
      <c r="Z61" s="555"/>
      <c r="AA61" s="556"/>
      <c r="AB61" s="554"/>
      <c r="AC61" s="555"/>
      <c r="AD61" s="555"/>
      <c r="AE61" s="555"/>
      <c r="AF61" s="555"/>
      <c r="AG61" s="556"/>
      <c r="AH61" s="554"/>
      <c r="AI61" s="555"/>
      <c r="AJ61" s="555"/>
      <c r="AK61" s="555"/>
      <c r="AL61" s="555"/>
      <c r="AM61" s="55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L75"/>
  <sheetViews>
    <sheetView zoomScale="70" zoomScaleNormal="70" zoomScaleSheetLayoutView="40" zoomScalePageLayoutView="60" workbookViewId="0">
      <selection activeCell="V13" sqref="A13:XFD72"/>
    </sheetView>
  </sheetViews>
  <sheetFormatPr baseColWidth="10" defaultColWidth="11.42578125" defaultRowHeight="15" x14ac:dyDescent="0.2"/>
  <cols>
    <col min="1" max="1" width="6.5703125" style="218" customWidth="1"/>
    <col min="2" max="2" width="16" style="218" customWidth="1"/>
    <col min="3" max="3" width="19.140625" style="218" customWidth="1"/>
    <col min="4" max="4" width="25.28515625" style="218" customWidth="1"/>
    <col min="5" max="5" width="40.140625" style="218" customWidth="1"/>
    <col min="6" max="6" width="17.7109375" style="198" customWidth="1"/>
    <col min="7" max="7" width="16" style="198" customWidth="1"/>
    <col min="8" max="8" width="24.28515625" style="198" customWidth="1"/>
    <col min="9" max="10" width="28.42578125" style="198" customWidth="1"/>
    <col min="11" max="11" width="24.28515625" style="198" customWidth="1"/>
    <col min="12" max="12" width="19.42578125" style="198" customWidth="1"/>
    <col min="13" max="13" width="20.5703125" style="198" customWidth="1"/>
    <col min="14" max="14" width="14.7109375" style="219" customWidth="1"/>
    <col min="15" max="15" width="16.7109375" style="198" customWidth="1"/>
    <col min="16" max="16" width="10.42578125" style="198" hidden="1" customWidth="1"/>
    <col min="17" max="17" width="12.85546875" style="198" customWidth="1"/>
    <col min="18" max="18" width="35.85546875" style="198" hidden="1" customWidth="1"/>
    <col min="19" max="19" width="17.140625" style="198" customWidth="1"/>
    <col min="20" max="20" width="17.5703125" style="198" hidden="1" customWidth="1"/>
    <col min="21" max="21" width="15" style="198" customWidth="1"/>
    <col min="22" max="22" width="16" style="198" customWidth="1"/>
    <col min="23" max="23" width="32.7109375" style="198" customWidth="1"/>
    <col min="24" max="24" width="26.85546875" style="198" hidden="1" customWidth="1"/>
    <col min="25" max="25" width="5.85546875" style="198" customWidth="1"/>
    <col min="26" max="26" width="6.85546875" style="198" customWidth="1"/>
    <col min="27" max="27" width="5" style="198" hidden="1" customWidth="1"/>
    <col min="28" max="28" width="5.5703125" style="198" customWidth="1"/>
    <col min="29" max="29" width="7.140625" style="198" customWidth="1"/>
    <col min="30" max="30" width="6.7109375" style="198" customWidth="1"/>
    <col min="31" max="31" width="7.5703125" style="198" hidden="1" customWidth="1"/>
    <col min="32" max="32" width="8.5703125" style="198" customWidth="1"/>
    <col min="33" max="37" width="10.85546875" style="198" customWidth="1"/>
    <col min="38" max="38" width="10.85546875" style="217" customWidth="1"/>
    <col min="39" max="39" width="23" style="198" customWidth="1"/>
    <col min="40" max="40" width="18.85546875" style="198" customWidth="1"/>
    <col min="41" max="41" width="21.5703125" style="198" customWidth="1"/>
    <col min="42" max="42" width="22.42578125" style="198" customWidth="1"/>
    <col min="43" max="43" width="16.42578125" style="198" customWidth="1"/>
    <col min="44" max="44" width="20.5703125" style="198" customWidth="1"/>
    <col min="45" max="16384" width="11.42578125" style="198"/>
  </cols>
  <sheetData>
    <row r="1" spans="1:272" s="201" customFormat="1" ht="20.25" x14ac:dyDescent="0.3">
      <c r="A1" s="453"/>
      <c r="B1" s="454"/>
      <c r="C1" s="455"/>
      <c r="D1" s="443" t="s">
        <v>208</v>
      </c>
      <c r="E1" s="444"/>
      <c r="F1" s="444"/>
      <c r="G1" s="444"/>
      <c r="H1" s="444"/>
      <c r="I1" s="444"/>
      <c r="J1" s="444"/>
      <c r="K1" s="444"/>
      <c r="L1" s="444"/>
      <c r="M1" s="444"/>
      <c r="N1" s="444"/>
      <c r="O1" s="444"/>
      <c r="P1" s="444"/>
      <c r="Q1" s="444"/>
      <c r="R1" s="444"/>
      <c r="S1" s="444"/>
      <c r="T1" s="445"/>
      <c r="U1" s="252"/>
      <c r="V1" s="252"/>
      <c r="W1" s="252"/>
      <c r="X1" s="425"/>
      <c r="Y1" s="425"/>
      <c r="Z1" s="425"/>
      <c r="AA1" s="425"/>
      <c r="AB1" s="425"/>
      <c r="AC1" s="425"/>
      <c r="AD1" s="425"/>
      <c r="AE1" s="425"/>
      <c r="AF1" s="425"/>
      <c r="AG1" s="425"/>
      <c r="AH1" s="425"/>
      <c r="AI1" s="425"/>
      <c r="AJ1" s="425"/>
      <c r="AK1" s="425"/>
      <c r="AL1" s="425"/>
      <c r="AM1" s="425"/>
      <c r="AN1" s="425"/>
      <c r="AO1" s="425"/>
      <c r="AP1" s="425"/>
      <c r="AQ1" s="425"/>
      <c r="AR1" s="425"/>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2" s="201" customFormat="1" ht="21" thickBot="1" x14ac:dyDescent="0.35">
      <c r="A2" s="456"/>
      <c r="B2" s="457"/>
      <c r="C2" s="458"/>
      <c r="D2" s="446"/>
      <c r="E2" s="447"/>
      <c r="F2" s="447"/>
      <c r="G2" s="447"/>
      <c r="H2" s="447"/>
      <c r="I2" s="447"/>
      <c r="J2" s="447"/>
      <c r="K2" s="447"/>
      <c r="L2" s="447"/>
      <c r="M2" s="447"/>
      <c r="N2" s="447"/>
      <c r="O2" s="447"/>
      <c r="P2" s="447"/>
      <c r="Q2" s="447"/>
      <c r="R2" s="447"/>
      <c r="S2" s="447"/>
      <c r="T2" s="448"/>
      <c r="U2" s="252"/>
      <c r="V2" s="252"/>
      <c r="W2" s="252"/>
      <c r="X2" s="425"/>
      <c r="Y2" s="425"/>
      <c r="Z2" s="425"/>
      <c r="AA2" s="425"/>
      <c r="AB2" s="425"/>
      <c r="AC2" s="425"/>
      <c r="AD2" s="425"/>
      <c r="AE2" s="425"/>
      <c r="AF2" s="425"/>
      <c r="AG2" s="425"/>
      <c r="AH2" s="425"/>
      <c r="AI2" s="425"/>
      <c r="AJ2" s="425"/>
      <c r="AK2" s="425"/>
      <c r="AL2" s="425"/>
      <c r="AM2" s="425"/>
      <c r="AN2" s="425"/>
      <c r="AO2" s="425"/>
      <c r="AP2" s="425"/>
      <c r="AQ2" s="425"/>
      <c r="AR2" s="425"/>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2" s="201" customFormat="1" ht="27.75" customHeight="1" thickBot="1" x14ac:dyDescent="0.35">
      <c r="A3" s="456"/>
      <c r="B3" s="457"/>
      <c r="C3" s="458"/>
      <c r="D3" s="449" t="s">
        <v>209</v>
      </c>
      <c r="E3" s="450"/>
      <c r="F3" s="450"/>
      <c r="G3" s="450"/>
      <c r="H3" s="450"/>
      <c r="I3" s="451"/>
      <c r="J3" s="449" t="s">
        <v>210</v>
      </c>
      <c r="K3" s="450"/>
      <c r="L3" s="450"/>
      <c r="M3" s="450"/>
      <c r="N3" s="450"/>
      <c r="O3" s="450"/>
      <c r="P3" s="450"/>
      <c r="Q3" s="450"/>
      <c r="R3" s="450"/>
      <c r="S3" s="450"/>
      <c r="T3" s="451"/>
      <c r="U3" s="253"/>
      <c r="V3" s="253"/>
      <c r="W3" s="252"/>
      <c r="X3" s="426"/>
      <c r="Y3" s="426"/>
      <c r="Z3" s="426"/>
      <c r="AA3" s="426"/>
      <c r="AB3" s="426"/>
      <c r="AC3" s="426"/>
      <c r="AD3" s="426"/>
      <c r="AE3" s="426"/>
      <c r="AF3" s="426"/>
      <c r="AG3" s="426"/>
      <c r="AH3" s="426"/>
      <c r="AI3" s="426"/>
      <c r="AJ3" s="426"/>
      <c r="AK3" s="426"/>
      <c r="AL3" s="426"/>
      <c r="AM3" s="426"/>
      <c r="AN3" s="426"/>
      <c r="AO3" s="426"/>
      <c r="AP3" s="426"/>
      <c r="AQ3" s="426"/>
      <c r="AR3" s="426"/>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2" s="201" customFormat="1" ht="27.75" customHeight="1" thickBot="1" x14ac:dyDescent="0.35">
      <c r="A4" s="459"/>
      <c r="B4" s="460"/>
      <c r="C4" s="461"/>
      <c r="D4" s="449" t="s">
        <v>422</v>
      </c>
      <c r="E4" s="450"/>
      <c r="F4" s="450"/>
      <c r="G4" s="450"/>
      <c r="H4" s="450"/>
      <c r="I4" s="450"/>
      <c r="J4" s="450"/>
      <c r="K4" s="450"/>
      <c r="L4" s="450"/>
      <c r="M4" s="450"/>
      <c r="N4" s="450"/>
      <c r="O4" s="450"/>
      <c r="P4" s="450"/>
      <c r="Q4" s="450"/>
      <c r="R4" s="450"/>
      <c r="S4" s="450"/>
      <c r="T4" s="451"/>
      <c r="U4" s="252"/>
      <c r="V4" s="252"/>
      <c r="W4" s="252"/>
      <c r="X4" s="426"/>
      <c r="Y4" s="426"/>
      <c r="Z4" s="426"/>
      <c r="AA4" s="426"/>
      <c r="AB4" s="426"/>
      <c r="AC4" s="426"/>
      <c r="AD4" s="426"/>
      <c r="AE4" s="426"/>
      <c r="AF4" s="426"/>
      <c r="AG4" s="426"/>
      <c r="AH4" s="426"/>
      <c r="AI4" s="426"/>
      <c r="AJ4" s="426"/>
      <c r="AK4" s="426"/>
      <c r="AL4" s="426"/>
      <c r="AM4" s="426"/>
      <c r="AN4" s="426"/>
      <c r="AO4" s="426"/>
      <c r="AP4" s="426"/>
      <c r="AQ4" s="426"/>
      <c r="AR4" s="426"/>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2" ht="15.75" thickBot="1" x14ac:dyDescent="0.25">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2" ht="27" customHeight="1" thickBot="1" x14ac:dyDescent="0.25">
      <c r="A6" s="427" t="s">
        <v>211</v>
      </c>
      <c r="B6" s="428"/>
      <c r="C6" s="434"/>
      <c r="D6" s="435"/>
      <c r="E6" s="435"/>
      <c r="F6" s="435"/>
      <c r="G6" s="435"/>
      <c r="H6" s="435"/>
      <c r="I6" s="435"/>
      <c r="J6" s="435"/>
      <c r="K6" s="435"/>
      <c r="L6" s="435"/>
      <c r="M6" s="435"/>
      <c r="N6" s="435"/>
      <c r="O6" s="435"/>
      <c r="P6" s="435"/>
      <c r="Q6" s="435"/>
      <c r="R6" s="435"/>
      <c r="S6" s="435"/>
      <c r="T6" s="436"/>
      <c r="U6" s="255"/>
      <c r="V6" s="255"/>
      <c r="W6" s="433"/>
      <c r="X6" s="433"/>
      <c r="Y6" s="433"/>
      <c r="Z6" s="424"/>
      <c r="AA6" s="424"/>
      <c r="AB6" s="424"/>
      <c r="AC6" s="424"/>
      <c r="AD6" s="424"/>
      <c r="AE6" s="424"/>
      <c r="AF6" s="424"/>
      <c r="AG6" s="424"/>
      <c r="AH6" s="424"/>
      <c r="AI6" s="424"/>
      <c r="AJ6" s="424"/>
      <c r="AK6" s="424"/>
      <c r="AL6" s="424"/>
      <c r="AM6" s="424"/>
      <c r="AN6" s="424"/>
      <c r="AO6" s="424"/>
      <c r="AP6" s="424"/>
      <c r="AQ6" s="424"/>
      <c r="AR6" s="42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2" ht="27" customHeight="1" thickBot="1" x14ac:dyDescent="0.3">
      <c r="A7" s="429" t="s">
        <v>212</v>
      </c>
      <c r="B7" s="430"/>
      <c r="C7" s="437"/>
      <c r="D7" s="438"/>
      <c r="E7" s="438"/>
      <c r="F7" s="438"/>
      <c r="G7" s="438"/>
      <c r="H7" s="438"/>
      <c r="I7" s="438"/>
      <c r="J7" s="438"/>
      <c r="K7" s="438"/>
      <c r="L7" s="438"/>
      <c r="M7" s="438"/>
      <c r="N7" s="438"/>
      <c r="O7" s="438"/>
      <c r="P7" s="438"/>
      <c r="Q7" s="438"/>
      <c r="R7" s="438"/>
      <c r="S7" s="438"/>
      <c r="T7" s="439"/>
      <c r="U7" s="256"/>
      <c r="V7" s="256"/>
      <c r="W7" s="257"/>
      <c r="X7" s="257"/>
      <c r="Y7" s="257"/>
      <c r="Z7" s="424"/>
      <c r="AA7" s="424"/>
      <c r="AB7" s="424"/>
      <c r="AC7" s="424"/>
      <c r="AD7" s="424"/>
      <c r="AE7" s="424"/>
      <c r="AF7" s="424"/>
      <c r="AG7" s="424"/>
      <c r="AH7" s="424"/>
      <c r="AI7" s="424"/>
      <c r="AJ7" s="424"/>
      <c r="AK7" s="424"/>
      <c r="AL7" s="424"/>
      <c r="AM7" s="424"/>
      <c r="AN7" s="424"/>
      <c r="AO7" s="424"/>
      <c r="AP7" s="424"/>
      <c r="AQ7" s="424"/>
      <c r="AR7" s="42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2" ht="27" customHeight="1" thickBot="1" x14ac:dyDescent="0.3">
      <c r="A8" s="431" t="s">
        <v>213</v>
      </c>
      <c r="B8" s="432"/>
      <c r="C8" s="437"/>
      <c r="D8" s="438"/>
      <c r="E8" s="438"/>
      <c r="F8" s="438"/>
      <c r="G8" s="438"/>
      <c r="H8" s="438"/>
      <c r="I8" s="438"/>
      <c r="J8" s="438"/>
      <c r="K8" s="438"/>
      <c r="L8" s="438"/>
      <c r="M8" s="438"/>
      <c r="N8" s="438"/>
      <c r="O8" s="438"/>
      <c r="P8" s="438"/>
      <c r="Q8" s="438"/>
      <c r="R8" s="438"/>
      <c r="S8" s="438"/>
      <c r="T8" s="439"/>
      <c r="U8" s="256"/>
      <c r="V8" s="256"/>
      <c r="W8" s="257"/>
      <c r="X8" s="257"/>
      <c r="Y8" s="257"/>
      <c r="Z8" s="424"/>
      <c r="AA8" s="424"/>
      <c r="AB8" s="424"/>
      <c r="AC8" s="424"/>
      <c r="AD8" s="424"/>
      <c r="AE8" s="424"/>
      <c r="AF8" s="424"/>
      <c r="AG8" s="424"/>
      <c r="AH8" s="424"/>
      <c r="AI8" s="424"/>
      <c r="AJ8" s="424"/>
      <c r="AK8" s="424"/>
      <c r="AL8" s="424"/>
      <c r="AM8" s="424"/>
      <c r="AN8" s="424"/>
      <c r="AO8" s="424"/>
      <c r="AP8" s="424"/>
      <c r="AQ8" s="424"/>
      <c r="AR8" s="42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2" ht="15.75" x14ac:dyDescent="0.25">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2" ht="39" customHeight="1" x14ac:dyDescent="0.2">
      <c r="A10" s="440" t="s">
        <v>214</v>
      </c>
      <c r="B10" s="441"/>
      <c r="C10" s="441"/>
      <c r="D10" s="441"/>
      <c r="E10" s="441"/>
      <c r="F10" s="442"/>
      <c r="G10" s="383" t="s">
        <v>215</v>
      </c>
      <c r="H10" s="384"/>
      <c r="I10" s="384"/>
      <c r="J10" s="384"/>
      <c r="K10" s="385"/>
      <c r="L10" s="354" t="s">
        <v>216</v>
      </c>
      <c r="M10" s="355"/>
      <c r="N10" s="224"/>
      <c r="O10" s="224"/>
      <c r="P10" s="376" t="s">
        <v>217</v>
      </c>
      <c r="Q10" s="376"/>
      <c r="R10" s="376"/>
      <c r="S10" s="376"/>
      <c r="T10" s="376"/>
      <c r="U10" s="376"/>
      <c r="V10" s="376"/>
      <c r="W10" s="376" t="s">
        <v>218</v>
      </c>
      <c r="X10" s="376"/>
      <c r="Y10" s="376"/>
      <c r="Z10" s="376"/>
      <c r="AA10" s="376"/>
      <c r="AB10" s="376"/>
      <c r="AC10" s="376"/>
      <c r="AD10" s="376"/>
      <c r="AE10" s="376"/>
      <c r="AF10" s="356" t="s">
        <v>219</v>
      </c>
      <c r="AG10" s="357"/>
      <c r="AH10" s="357"/>
      <c r="AI10" s="357"/>
      <c r="AJ10" s="358"/>
      <c r="AK10" s="356" t="s">
        <v>423</v>
      </c>
      <c r="AL10" s="357"/>
      <c r="AM10" s="357"/>
      <c r="AN10" s="357"/>
      <c r="AO10" s="358"/>
      <c r="AP10" s="356" t="s">
        <v>424</v>
      </c>
      <c r="AQ10" s="357"/>
      <c r="AR10" s="358"/>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row>
    <row r="11" spans="1:272" ht="26.25" customHeight="1" x14ac:dyDescent="0.2">
      <c r="A11" s="409" t="s">
        <v>222</v>
      </c>
      <c r="B11" s="411" t="s">
        <v>15</v>
      </c>
      <c r="C11" s="413" t="s">
        <v>17</v>
      </c>
      <c r="D11" s="413" t="s">
        <v>19</v>
      </c>
      <c r="E11" s="411" t="s">
        <v>21</v>
      </c>
      <c r="F11" s="413" t="s">
        <v>23</v>
      </c>
      <c r="G11" s="416" t="s">
        <v>124</v>
      </c>
      <c r="H11" s="416" t="s">
        <v>280</v>
      </c>
      <c r="I11" s="416" t="s">
        <v>224</v>
      </c>
      <c r="J11" s="416" t="s">
        <v>225</v>
      </c>
      <c r="K11" s="416" t="s">
        <v>226</v>
      </c>
      <c r="L11" s="354"/>
      <c r="M11" s="355"/>
      <c r="N11" s="351" t="s">
        <v>227</v>
      </c>
      <c r="O11" s="351" t="s">
        <v>228</v>
      </c>
      <c r="P11" s="396" t="s">
        <v>229</v>
      </c>
      <c r="Q11" s="351" t="s">
        <v>230</v>
      </c>
      <c r="R11" s="351" t="s">
        <v>231</v>
      </c>
      <c r="S11" s="351" t="s">
        <v>232</v>
      </c>
      <c r="T11" s="396" t="s">
        <v>229</v>
      </c>
      <c r="U11" s="351" t="s">
        <v>29</v>
      </c>
      <c r="V11" s="371" t="s">
        <v>233</v>
      </c>
      <c r="W11" s="351" t="s">
        <v>31</v>
      </c>
      <c r="X11" s="351" t="s">
        <v>33</v>
      </c>
      <c r="Y11" s="351" t="s">
        <v>234</v>
      </c>
      <c r="Z11" s="351"/>
      <c r="AA11" s="351"/>
      <c r="AB11" s="351"/>
      <c r="AC11" s="351"/>
      <c r="AD11" s="351"/>
      <c r="AE11" s="371" t="s">
        <v>235</v>
      </c>
      <c r="AF11" s="371" t="s">
        <v>236</v>
      </c>
      <c r="AG11" s="371" t="s">
        <v>229</v>
      </c>
      <c r="AH11" s="371" t="s">
        <v>237</v>
      </c>
      <c r="AI11" s="371" t="s">
        <v>229</v>
      </c>
      <c r="AJ11" s="371" t="s">
        <v>238</v>
      </c>
      <c r="AK11" s="371" t="s">
        <v>49</v>
      </c>
      <c r="AL11" s="351" t="s">
        <v>239</v>
      </c>
      <c r="AM11" s="351" t="s">
        <v>240</v>
      </c>
      <c r="AN11" s="351" t="s">
        <v>241</v>
      </c>
      <c r="AO11" s="351" t="s">
        <v>242</v>
      </c>
      <c r="AP11" s="351" t="s">
        <v>239</v>
      </c>
      <c r="AQ11" s="351" t="s">
        <v>241</v>
      </c>
      <c r="AR11" s="351" t="s">
        <v>240</v>
      </c>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row>
    <row r="12" spans="1:272" s="213" customFormat="1" ht="73.5" customHeight="1" x14ac:dyDescent="0.25">
      <c r="A12" s="409"/>
      <c r="B12" s="411"/>
      <c r="C12" s="413"/>
      <c r="D12" s="413"/>
      <c r="E12" s="411"/>
      <c r="F12" s="413"/>
      <c r="G12" s="597"/>
      <c r="H12" s="597"/>
      <c r="I12" s="597"/>
      <c r="J12" s="597"/>
      <c r="K12" s="597"/>
      <c r="L12" s="250" t="s">
        <v>425</v>
      </c>
      <c r="M12" s="250" t="s">
        <v>246</v>
      </c>
      <c r="N12" s="351"/>
      <c r="O12" s="351"/>
      <c r="P12" s="396"/>
      <c r="Q12" s="396"/>
      <c r="R12" s="351"/>
      <c r="S12" s="396"/>
      <c r="T12" s="396"/>
      <c r="U12" s="351"/>
      <c r="V12" s="371"/>
      <c r="W12" s="351"/>
      <c r="X12" s="351"/>
      <c r="Y12" s="210" t="s">
        <v>247</v>
      </c>
      <c r="Z12" s="210" t="s">
        <v>248</v>
      </c>
      <c r="AA12" s="210" t="s">
        <v>249</v>
      </c>
      <c r="AB12" s="210" t="s">
        <v>250</v>
      </c>
      <c r="AC12" s="210" t="s">
        <v>251</v>
      </c>
      <c r="AD12" s="210" t="s">
        <v>252</v>
      </c>
      <c r="AE12" s="371"/>
      <c r="AF12" s="371"/>
      <c r="AG12" s="371"/>
      <c r="AH12" s="371"/>
      <c r="AI12" s="371"/>
      <c r="AJ12" s="371"/>
      <c r="AK12" s="371"/>
      <c r="AL12" s="351"/>
      <c r="AM12" s="351"/>
      <c r="AN12" s="351"/>
      <c r="AO12" s="351"/>
      <c r="AP12" s="351"/>
      <c r="AQ12" s="351"/>
      <c r="AR12" s="35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row>
    <row r="13" spans="1:272" s="215" customFormat="1" x14ac:dyDescent="0.25">
      <c r="A13" s="418">
        <v>1</v>
      </c>
      <c r="B13" s="387"/>
      <c r="C13" s="387"/>
      <c r="D13" s="387"/>
      <c r="E13" s="390"/>
      <c r="F13" s="387"/>
      <c r="G13" s="392"/>
      <c r="H13" s="392"/>
      <c r="I13" s="392"/>
      <c r="J13" s="392"/>
      <c r="K13" s="392"/>
      <c r="L13" s="392"/>
      <c r="M13" s="392"/>
      <c r="N13" s="381"/>
      <c r="O13" s="367" t="str">
        <f>IF(N13&lt;=0,"",IF(N13&lt;=2,"Muy Baja",IF(N13&lt;=24,"Baja",IF(N13&lt;=500,"Media",IF(N13&lt;=5000,"Alta","Muy Alta")))))</f>
        <v/>
      </c>
      <c r="P13" s="364" t="str">
        <f>IF(O13="","",IF(O13="Muy Baja",0.2,IF(O13="Baja",0.4,IF(O13="Media",0.6,IF(O13="Alta",0.8,IF(O13="Muy Alta",1,))))))</f>
        <v/>
      </c>
      <c r="Q13" s="353"/>
      <c r="R13" s="364">
        <f>IF(NOT(ISERROR(MATCH(Q13,'Tabla Impacto'!$B$222:$B$224,0))),'Tabla Impacto'!$F$224&amp;"Por favor no seleccionar los criterios de impacto(Afectación Económica o presupuestal y Pérdida Reputacional)",Q13)</f>
        <v>0</v>
      </c>
      <c r="S13" s="367" t="str">
        <f>IF(OR(R13='Tabla Impacto'!$C$12,R13='Tabla Impacto'!$D$12),"Leve",IF(OR(R13='Tabla Impacto'!$C$13,R13='Tabla Impacto'!$D$13),"Menor",IF(OR(R13='Tabla Impacto'!$C$14,R13='Tabla Impacto'!$D$14),"Moderado",IF(OR(R13='Tabla Impacto'!$C$15,R13='Tabla Impacto'!$D$15),"Mayor",IF(OR(R13='Tabla Impacto'!$C$16,R13='Tabla Impacto'!$D$16),"Catastrófico","")))))</f>
        <v/>
      </c>
      <c r="T13" s="364" t="str">
        <f>IF(S13="","",IF(S13="Leve",0.2,IF(S13="Menor",0.4,IF(S13="Moderado",0.6,IF(S13="Mayor",0.8,IF(S13="Catastrófico",1,))))))</f>
        <v/>
      </c>
      <c r="U13" s="362"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
      </c>
      <c r="V13" s="214">
        <v>1</v>
      </c>
      <c r="W13" s="240"/>
      <c r="X13" s="189" t="str">
        <f t="shared" ref="X13:X18" si="0">IF(OR(Y13="Preventivo",Y13="Detectivo"),"Probabilidad",IF(Y13="Correctivo","Impacto",""))</f>
        <v/>
      </c>
      <c r="Y13" s="190"/>
      <c r="Z13" s="190"/>
      <c r="AA13" s="191" t="str">
        <f>IF(AND(Y13="Preventivo",Z13="Automático"),"50%",IF(AND(Y13="Preventivo",Z13="Manual"),"40%",IF(AND(Y13="Detectivo",Z13="Automático"),"40%",IF(AND(Y13="Detectivo",Z13="Manual"),"30%",IF(AND(Y13="Correctivo",Z13="Automático"),"35%",IF(AND(Y13="Correctivo",Z13="Manual"),"25%",""))))))</f>
        <v/>
      </c>
      <c r="AB13" s="190"/>
      <c r="AC13" s="190"/>
      <c r="AD13" s="190"/>
      <c r="AE13" s="192" t="str">
        <f>IFERROR(IF(X13="Probabilidad",(P13-(+P13*AA13)),IF(X13="Impacto",P13,"")),"")</f>
        <v/>
      </c>
      <c r="AF13" s="193" t="str">
        <f>IFERROR(IF(AE13="","",IF(AE13&lt;=0.2,"Muy Baja",IF(AE13&lt;=0.4,"Baja",IF(AE13&lt;=0.6,"Media",IF(AE13&lt;=0.8,"Alta","Muy Alta"))))),"")</f>
        <v/>
      </c>
      <c r="AG13" s="191" t="str">
        <f>+AE13</f>
        <v/>
      </c>
      <c r="AH13" s="193" t="str">
        <f>IFERROR(IF(AI13="","",IF(AI13&lt;=0.2,"Leve",IF(AI13&lt;=0.4,"Menor",IF(AI13&lt;=0.6,"Moderado",IF(AI13&lt;=0.8,"Mayor","Catastrófico"))))),"")</f>
        <v/>
      </c>
      <c r="AI13" s="191" t="str">
        <f>IFERROR(IF(X13="Impacto",(T13-(+T13*AA13)),IF(X13="Probabilidad",T13,"")),"")</f>
        <v/>
      </c>
      <c r="AJ13" s="194"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
      </c>
      <c r="AK13" s="195"/>
      <c r="AL13" s="186"/>
      <c r="AM13" s="196"/>
      <c r="AN13" s="196"/>
      <c r="AO13" s="197"/>
      <c r="AP13" s="387"/>
      <c r="AQ13" s="387"/>
      <c r="AR13" s="387"/>
    </row>
    <row r="14" spans="1:272" x14ac:dyDescent="0.2">
      <c r="A14" s="418"/>
      <c r="B14" s="387"/>
      <c r="C14" s="387"/>
      <c r="D14" s="387"/>
      <c r="E14" s="390"/>
      <c r="F14" s="387"/>
      <c r="G14" s="360"/>
      <c r="H14" s="360"/>
      <c r="I14" s="360"/>
      <c r="J14" s="360"/>
      <c r="K14" s="360"/>
      <c r="L14" s="360"/>
      <c r="M14" s="360"/>
      <c r="N14" s="381"/>
      <c r="O14" s="367"/>
      <c r="P14" s="364"/>
      <c r="Q14" s="353"/>
      <c r="R14" s="364">
        <f>IF(NOT(ISERROR(MATCH(Q14,_xlfn.ANCHORARRAY(E25),0))),P27&amp;"Por favor no seleccionar los criterios de impacto",Q14)</f>
        <v>0</v>
      </c>
      <c r="S14" s="367"/>
      <c r="T14" s="364"/>
      <c r="U14" s="362"/>
      <c r="V14" s="214">
        <v>2</v>
      </c>
      <c r="W14" s="240"/>
      <c r="X14" s="189" t="str">
        <f t="shared" si="0"/>
        <v/>
      </c>
      <c r="Y14" s="190"/>
      <c r="Z14" s="190"/>
      <c r="AA14" s="191" t="str">
        <f t="shared" ref="AA14:AA18" si="1">IF(AND(Y14="Preventivo",Z14="Automático"),"50%",IF(AND(Y14="Preventivo",Z14="Manual"),"40%",IF(AND(Y14="Detectivo",Z14="Automático"),"40%",IF(AND(Y14="Detectivo",Z14="Manual"),"30%",IF(AND(Y14="Correctivo",Z14="Automático"),"35%",IF(AND(Y14="Correctivo",Z14="Manual"),"25%",""))))))</f>
        <v/>
      </c>
      <c r="AB14" s="190"/>
      <c r="AC14" s="190"/>
      <c r="AD14" s="190"/>
      <c r="AE14" s="192" t="str">
        <f>IFERROR(IF(AND(X13="Probabilidad",X14="Probabilidad"),(AG13-(+AG13*AA14)),IF(X14="Probabilidad",(P13-(+P13*AA14)),IF(X14="Impacto",AG13,""))),"")</f>
        <v/>
      </c>
      <c r="AF14" s="193" t="str">
        <f t="shared" ref="AF14:AF72" si="2">IFERROR(IF(AE14="","",IF(AE14&lt;=0.2,"Muy Baja",IF(AE14&lt;=0.4,"Baja",IF(AE14&lt;=0.6,"Media",IF(AE14&lt;=0.8,"Alta","Muy Alta"))))),"")</f>
        <v/>
      </c>
      <c r="AG14" s="191" t="str">
        <f t="shared" ref="AG14:AG18" si="3">+AE14</f>
        <v/>
      </c>
      <c r="AH14" s="193" t="str">
        <f t="shared" ref="AH14:AH72" si="4">IFERROR(IF(AI14="","",IF(AI14&lt;=0.2,"Leve",IF(AI14&lt;=0.4,"Menor",IF(AI14&lt;=0.6,"Moderado",IF(AI14&lt;=0.8,"Mayor","Catastrófico"))))),"")</f>
        <v/>
      </c>
      <c r="AI14" s="191" t="str">
        <f>IFERROR(IF(AND(X13="Impacto",X14="Impacto"),(AI13-(+AI13*AA14)),IF(X14="Impacto",($T$13-(+$T$13*AA14)),IF(X14="Probabilidad",AI13,""))),"")</f>
        <v/>
      </c>
      <c r="AJ14" s="194"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
      </c>
      <c r="AK14" s="195"/>
      <c r="AL14" s="186"/>
      <c r="AM14" s="196"/>
      <c r="AN14" s="186"/>
      <c r="AO14" s="197"/>
      <c r="AP14" s="387"/>
      <c r="AQ14" s="387"/>
      <c r="AR14" s="387"/>
    </row>
    <row r="15" spans="1:272" x14ac:dyDescent="0.2">
      <c r="A15" s="418"/>
      <c r="B15" s="387"/>
      <c r="C15" s="387"/>
      <c r="D15" s="387"/>
      <c r="E15" s="390"/>
      <c r="F15" s="387"/>
      <c r="G15" s="360"/>
      <c r="H15" s="360"/>
      <c r="I15" s="360"/>
      <c r="J15" s="360"/>
      <c r="K15" s="360"/>
      <c r="L15" s="360"/>
      <c r="M15" s="360"/>
      <c r="N15" s="381"/>
      <c r="O15" s="367"/>
      <c r="P15" s="364"/>
      <c r="Q15" s="353"/>
      <c r="R15" s="364">
        <f>IF(NOT(ISERROR(MATCH(Q15,_xlfn.ANCHORARRAY(E26),0))),P28&amp;"Por favor no seleccionar los criterios de impacto",Q15)</f>
        <v>0</v>
      </c>
      <c r="S15" s="367"/>
      <c r="T15" s="364"/>
      <c r="U15" s="362"/>
      <c r="V15" s="214">
        <v>3</v>
      </c>
      <c r="W15" s="188"/>
      <c r="X15" s="189" t="str">
        <f t="shared" si="0"/>
        <v/>
      </c>
      <c r="Y15" s="190"/>
      <c r="Z15" s="190"/>
      <c r="AA15" s="191" t="str">
        <f t="shared" si="1"/>
        <v/>
      </c>
      <c r="AB15" s="190"/>
      <c r="AC15" s="190"/>
      <c r="AD15" s="190"/>
      <c r="AE15" s="192" t="str">
        <f>IFERROR(IF(AND(X14="Probabilidad",X15="Probabilidad"),(AG14-(+AG14*AA15)),IF(AND(X14="Impacto",X15="Probabilidad"),(AG13-(+AG13*AA15)),IF(X15="Impacto",AG14,""))),"")</f>
        <v/>
      </c>
      <c r="AF15" s="193" t="str">
        <f t="shared" si="2"/>
        <v/>
      </c>
      <c r="AG15" s="191" t="str">
        <f t="shared" si="3"/>
        <v/>
      </c>
      <c r="AH15" s="193" t="str">
        <f t="shared" si="4"/>
        <v/>
      </c>
      <c r="AI15" s="191" t="str">
        <f>IFERROR(IF(AND(X14="Impacto",X15="Impacto"),(AI14-(+AI14*AA15)),IF(AND(X14="Probabilidad",X15="Impacto"),(AI13-(+AI13*AA15)),IF(X15="Probabilidad",AI14,""))),"")</f>
        <v/>
      </c>
      <c r="AJ15" s="194" t="str">
        <f t="shared" si="5"/>
        <v/>
      </c>
      <c r="AK15" s="195"/>
      <c r="AL15" s="186"/>
      <c r="AM15" s="196"/>
      <c r="AN15" s="196"/>
      <c r="AO15" s="197"/>
      <c r="AP15" s="387"/>
      <c r="AQ15" s="387"/>
      <c r="AR15" s="387"/>
    </row>
    <row r="16" spans="1:272" x14ac:dyDescent="0.2">
      <c r="A16" s="418"/>
      <c r="B16" s="387"/>
      <c r="C16" s="387"/>
      <c r="D16" s="387"/>
      <c r="E16" s="390"/>
      <c r="F16" s="387"/>
      <c r="G16" s="360"/>
      <c r="H16" s="360"/>
      <c r="I16" s="360"/>
      <c r="J16" s="360"/>
      <c r="K16" s="360"/>
      <c r="L16" s="360"/>
      <c r="M16" s="360"/>
      <c r="N16" s="381"/>
      <c r="O16" s="367"/>
      <c r="P16" s="364"/>
      <c r="Q16" s="353"/>
      <c r="R16" s="364">
        <f>IF(NOT(ISERROR(MATCH(Q16,_xlfn.ANCHORARRAY(E27),0))),P29&amp;"Por favor no seleccionar los criterios de impacto",Q16)</f>
        <v>0</v>
      </c>
      <c r="S16" s="367"/>
      <c r="T16" s="364"/>
      <c r="U16" s="362"/>
      <c r="V16" s="214">
        <v>4</v>
      </c>
      <c r="W16" s="187"/>
      <c r="X16" s="189" t="str">
        <f t="shared" si="0"/>
        <v/>
      </c>
      <c r="Y16" s="190"/>
      <c r="Z16" s="190"/>
      <c r="AA16" s="191" t="str">
        <f t="shared" si="1"/>
        <v/>
      </c>
      <c r="AB16" s="190"/>
      <c r="AC16" s="190"/>
      <c r="AD16" s="190"/>
      <c r="AE16" s="192" t="str">
        <f t="shared" ref="AE16:AE18" si="6">IFERROR(IF(AND(X15="Probabilidad",X16="Probabilidad"),(AG15-(+AG15*AA16)),IF(AND(X15="Impacto",X16="Probabilidad"),(AG14-(+AG14*AA16)),IF(X16="Impacto",AG15,""))),"")</f>
        <v/>
      </c>
      <c r="AF16" s="193" t="str">
        <f t="shared" si="2"/>
        <v/>
      </c>
      <c r="AG16" s="191" t="str">
        <f t="shared" si="3"/>
        <v/>
      </c>
      <c r="AH16" s="193" t="str">
        <f t="shared" si="4"/>
        <v/>
      </c>
      <c r="AI16" s="191" t="str">
        <f t="shared" ref="AI16:AI18" si="7">IFERROR(IF(AND(X15="Impacto",X16="Impacto"),(AI15-(+AI15*AA16)),IF(AND(X15="Probabilidad",X16="Impacto"),(AI14-(+AI14*AA16)),IF(X16="Probabilidad",AI15,""))),"")</f>
        <v/>
      </c>
      <c r="AJ16" s="194"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95"/>
      <c r="AL16" s="186"/>
      <c r="AM16" s="196"/>
      <c r="AN16" s="196"/>
      <c r="AO16" s="197"/>
      <c r="AP16" s="387"/>
      <c r="AQ16" s="387"/>
      <c r="AR16" s="387"/>
    </row>
    <row r="17" spans="1:44" x14ac:dyDescent="0.2">
      <c r="A17" s="418"/>
      <c r="B17" s="387"/>
      <c r="C17" s="387"/>
      <c r="D17" s="387"/>
      <c r="E17" s="390"/>
      <c r="F17" s="387"/>
      <c r="G17" s="360"/>
      <c r="H17" s="360"/>
      <c r="I17" s="360"/>
      <c r="J17" s="360"/>
      <c r="K17" s="360"/>
      <c r="L17" s="360"/>
      <c r="M17" s="360"/>
      <c r="N17" s="381"/>
      <c r="O17" s="367"/>
      <c r="P17" s="364"/>
      <c r="Q17" s="353"/>
      <c r="R17" s="364">
        <f>IF(NOT(ISERROR(MATCH(Q17,_xlfn.ANCHORARRAY(E28),0))),P30&amp;"Por favor no seleccionar los criterios de impacto",Q17)</f>
        <v>0</v>
      </c>
      <c r="S17" s="367"/>
      <c r="T17" s="364"/>
      <c r="U17" s="362"/>
      <c r="V17" s="214">
        <v>5</v>
      </c>
      <c r="W17" s="187"/>
      <c r="X17" s="189" t="str">
        <f t="shared" si="0"/>
        <v/>
      </c>
      <c r="Y17" s="190"/>
      <c r="Z17" s="190"/>
      <c r="AA17" s="191" t="str">
        <f t="shared" si="1"/>
        <v/>
      </c>
      <c r="AB17" s="190"/>
      <c r="AC17" s="190"/>
      <c r="AD17" s="190"/>
      <c r="AE17" s="192" t="str">
        <f t="shared" si="6"/>
        <v/>
      </c>
      <c r="AF17" s="193" t="str">
        <f t="shared" si="2"/>
        <v/>
      </c>
      <c r="AG17" s="191" t="str">
        <f t="shared" si="3"/>
        <v/>
      </c>
      <c r="AH17" s="193" t="str">
        <f t="shared" si="4"/>
        <v/>
      </c>
      <c r="AI17" s="191" t="str">
        <f t="shared" si="7"/>
        <v/>
      </c>
      <c r="AJ17" s="194" t="str">
        <f t="shared" si="5"/>
        <v/>
      </c>
      <c r="AK17" s="195"/>
      <c r="AL17" s="186"/>
      <c r="AM17" s="196"/>
      <c r="AN17" s="196"/>
      <c r="AO17" s="197"/>
      <c r="AP17" s="387"/>
      <c r="AQ17" s="387"/>
      <c r="AR17" s="387"/>
    </row>
    <row r="18" spans="1:44" x14ac:dyDescent="0.2">
      <c r="A18" s="418"/>
      <c r="B18" s="387"/>
      <c r="C18" s="387"/>
      <c r="D18" s="387"/>
      <c r="E18" s="390"/>
      <c r="F18" s="387"/>
      <c r="G18" s="373"/>
      <c r="H18" s="373"/>
      <c r="I18" s="373"/>
      <c r="J18" s="373"/>
      <c r="K18" s="373"/>
      <c r="L18" s="373"/>
      <c r="M18" s="373"/>
      <c r="N18" s="381"/>
      <c r="O18" s="367"/>
      <c r="P18" s="364"/>
      <c r="Q18" s="353"/>
      <c r="R18" s="364">
        <f>IF(NOT(ISERROR(MATCH(Q18,_xlfn.ANCHORARRAY(E29),0))),P31&amp;"Por favor no seleccionar los criterios de impacto",Q18)</f>
        <v>0</v>
      </c>
      <c r="S18" s="367"/>
      <c r="T18" s="364"/>
      <c r="U18" s="362"/>
      <c r="V18" s="214">
        <v>6</v>
      </c>
      <c r="W18" s="187"/>
      <c r="X18" s="189" t="str">
        <f t="shared" si="0"/>
        <v/>
      </c>
      <c r="Y18" s="190"/>
      <c r="Z18" s="190"/>
      <c r="AA18" s="191" t="str">
        <f t="shared" si="1"/>
        <v/>
      </c>
      <c r="AB18" s="190"/>
      <c r="AC18" s="190"/>
      <c r="AD18" s="190"/>
      <c r="AE18" s="192" t="str">
        <f t="shared" si="6"/>
        <v/>
      </c>
      <c r="AF18" s="193" t="str">
        <f t="shared" si="2"/>
        <v/>
      </c>
      <c r="AG18" s="191" t="str">
        <f t="shared" si="3"/>
        <v/>
      </c>
      <c r="AH18" s="193" t="str">
        <f t="shared" si="4"/>
        <v/>
      </c>
      <c r="AI18" s="191" t="str">
        <f t="shared" si="7"/>
        <v/>
      </c>
      <c r="AJ18" s="194" t="str">
        <f t="shared" si="5"/>
        <v/>
      </c>
      <c r="AK18" s="195"/>
      <c r="AL18" s="186"/>
      <c r="AM18" s="196"/>
      <c r="AN18" s="196"/>
      <c r="AO18" s="197"/>
      <c r="AP18" s="387"/>
      <c r="AQ18" s="387"/>
      <c r="AR18" s="387"/>
    </row>
    <row r="19" spans="1:44" x14ac:dyDescent="0.2">
      <c r="A19" s="418">
        <v>2</v>
      </c>
      <c r="B19" s="387"/>
      <c r="C19" s="387"/>
      <c r="D19" s="387"/>
      <c r="E19" s="390"/>
      <c r="F19" s="387"/>
      <c r="G19" s="392"/>
      <c r="H19" s="392"/>
      <c r="I19" s="392"/>
      <c r="J19" s="392"/>
      <c r="K19" s="392"/>
      <c r="L19" s="392"/>
      <c r="M19" s="392"/>
      <c r="N19" s="381"/>
      <c r="O19" s="367" t="str">
        <f>IF(N19&lt;=0,"",IF(N19&lt;=2,"Muy Baja",IF(N19&lt;=24,"Baja",IF(N19&lt;=500,"Media",IF(N19&lt;=5000,"Alta","Muy Alta")))))</f>
        <v/>
      </c>
      <c r="P19" s="364" t="str">
        <f>IF(O19="","",IF(O19="Muy Baja",0.2,IF(O19="Baja",0.4,IF(O19="Media",0.6,IF(O19="Alta",0.8,IF(O19="Muy Alta",1,))))))</f>
        <v/>
      </c>
      <c r="Q19" s="353"/>
      <c r="R19" s="364">
        <f>IF(NOT(ISERROR(MATCH(Q19,'Tabla Impacto'!$B$222:$B$224,0))),'Tabla Impacto'!$F$224&amp;"Por favor no seleccionar los criterios de impacto(Afectación Económica o presupuestal y Pérdida Reputacional)",Q19)</f>
        <v>0</v>
      </c>
      <c r="S19" s="367" t="str">
        <f>IF(OR(R19='Tabla Impacto'!$C$12,R19='Tabla Impacto'!$D$12),"Leve",IF(OR(R19='Tabla Impacto'!$C$13,R19='Tabla Impacto'!$D$13),"Menor",IF(OR(R19='Tabla Impacto'!$C$14,R19='Tabla Impacto'!$D$14),"Moderado",IF(OR(R19='Tabla Impacto'!$C$15,R19='Tabla Impacto'!$D$15),"Mayor",IF(OR(R19='Tabla Impacto'!$C$16,R19='Tabla Impacto'!$D$16),"Catastrófico","")))))</f>
        <v/>
      </c>
      <c r="T19" s="364" t="str">
        <f>IF(S19="","",IF(S19="Leve",0.2,IF(S19="Menor",0.4,IF(S19="Moderado",0.6,IF(S19="Mayor",0.8,IF(S19="Catastrófico",1,))))))</f>
        <v/>
      </c>
      <c r="U19" s="362"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214">
        <v>1</v>
      </c>
      <c r="W19" s="187"/>
      <c r="X19" s="189" t="str">
        <f>IF(OR(Y19="Preventivo",Y19="Detectivo"),"Probabilidad",IF(Y19="Correctivo","Impacto",""))</f>
        <v/>
      </c>
      <c r="Y19" s="190"/>
      <c r="Z19" s="190"/>
      <c r="AA19" s="191" t="str">
        <f>IF(AND(Y19="Preventivo",Z19="Automático"),"50%",IF(AND(Y19="Preventivo",Z19="Manual"),"40%",IF(AND(Y19="Detectivo",Z19="Automático"),"40%",IF(AND(Y19="Detectivo",Z19="Manual"),"30%",IF(AND(Y19="Correctivo",Z19="Automático"),"35%",IF(AND(Y19="Correctivo",Z19="Manual"),"25%",""))))))</f>
        <v/>
      </c>
      <c r="AB19" s="190"/>
      <c r="AC19" s="190"/>
      <c r="AD19" s="190"/>
      <c r="AE19" s="192" t="str">
        <f>IFERROR(IF(X19="Probabilidad",(P19-(+P19*AA19)),IF(X19="Impacto",P19,"")),"")</f>
        <v/>
      </c>
      <c r="AF19" s="193" t="str">
        <f>IFERROR(IF(AE19="","",IF(AE19&lt;=0.2,"Muy Baja",IF(AE19&lt;=0.4,"Baja",IF(AE19&lt;=0.6,"Media",IF(AE19&lt;=0.8,"Alta","Muy Alta"))))),"")</f>
        <v/>
      </c>
      <c r="AG19" s="191" t="str">
        <f>+AE19</f>
        <v/>
      </c>
      <c r="AH19" s="193" t="str">
        <f>IFERROR(IF(AI19="","",IF(AI19&lt;=0.2,"Leve",IF(AI19&lt;=0.4,"Menor",IF(AI19&lt;=0.6,"Moderado",IF(AI19&lt;=0.8,"Mayor","Catastrófico"))))),"")</f>
        <v/>
      </c>
      <c r="AI19" s="191" t="str">
        <f t="shared" ref="AI19" si="8">IFERROR(IF(X19="Impacto",(T19-(+T19*AA19)),IF(X19="Probabilidad",T19,"")),"")</f>
        <v/>
      </c>
      <c r="AJ19" s="194"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
      </c>
      <c r="AK19" s="195"/>
      <c r="AL19" s="186"/>
      <c r="AM19" s="196"/>
      <c r="AN19" s="196"/>
      <c r="AO19" s="197"/>
      <c r="AP19" s="381"/>
      <c r="AQ19" s="381"/>
      <c r="AR19" s="381"/>
    </row>
    <row r="20" spans="1:44" x14ac:dyDescent="0.2">
      <c r="A20" s="418"/>
      <c r="B20" s="387"/>
      <c r="C20" s="387"/>
      <c r="D20" s="387"/>
      <c r="E20" s="390"/>
      <c r="F20" s="387"/>
      <c r="G20" s="360"/>
      <c r="H20" s="360"/>
      <c r="I20" s="360"/>
      <c r="J20" s="360"/>
      <c r="K20" s="360"/>
      <c r="L20" s="360"/>
      <c r="M20" s="360"/>
      <c r="N20" s="381"/>
      <c r="O20" s="367"/>
      <c r="P20" s="364"/>
      <c r="Q20" s="353"/>
      <c r="R20" s="364">
        <f>IF(NOT(ISERROR(MATCH(Q20,_xlfn.ANCHORARRAY(E31),0))),P33&amp;"Por favor no seleccionar los criterios de impacto",Q20)</f>
        <v>0</v>
      </c>
      <c r="S20" s="367"/>
      <c r="T20" s="364"/>
      <c r="U20" s="362"/>
      <c r="V20" s="214">
        <v>2</v>
      </c>
      <c r="W20" s="187"/>
      <c r="X20" s="189" t="str">
        <f>IF(OR(Y20="Preventivo",Y20="Detectivo"),"Probabilidad",IF(Y20="Correctivo","Impacto",""))</f>
        <v/>
      </c>
      <c r="Y20" s="190"/>
      <c r="Z20" s="190"/>
      <c r="AA20" s="191" t="str">
        <f t="shared" ref="AA20:AA24" si="9">IF(AND(Y20="Preventivo",Z20="Automático"),"50%",IF(AND(Y20="Preventivo",Z20="Manual"),"40%",IF(AND(Y20="Detectivo",Z20="Automático"),"40%",IF(AND(Y20="Detectivo",Z20="Manual"),"30%",IF(AND(Y20="Correctivo",Z20="Automático"),"35%",IF(AND(Y20="Correctivo",Z20="Manual"),"25%",""))))))</f>
        <v/>
      </c>
      <c r="AB20" s="190"/>
      <c r="AC20" s="190"/>
      <c r="AD20" s="190"/>
      <c r="AE20" s="192" t="str">
        <f>IFERROR(IF(AND(X19="Probabilidad",X20="Probabilidad"),(AG19-(+AG19*AA20)),IF(X20="Probabilidad",(P19-(+P19*AA20)),IF(X20="Impacto",AG19,""))),"")</f>
        <v/>
      </c>
      <c r="AF20" s="193" t="str">
        <f t="shared" si="2"/>
        <v/>
      </c>
      <c r="AG20" s="191" t="str">
        <f t="shared" ref="AG20:AG24" si="10">+AE20</f>
        <v/>
      </c>
      <c r="AH20" s="193" t="str">
        <f t="shared" si="4"/>
        <v/>
      </c>
      <c r="AI20" s="191" t="str">
        <f t="shared" ref="AI20" si="11">IFERROR(IF(AND(X19="Impacto",X20="Impacto"),(AI19-(+AI19*AA20)),IF(X20="Impacto",($T$13-(+$T$13*AA20)),IF(X20="Probabilidad",AI19,""))),"")</f>
        <v/>
      </c>
      <c r="AJ20" s="194" t="str">
        <f t="shared" ref="AJ20:AJ21" si="12">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
      </c>
      <c r="AK20" s="195"/>
      <c r="AL20" s="186"/>
      <c r="AM20" s="196"/>
      <c r="AN20" s="186"/>
      <c r="AO20" s="197"/>
      <c r="AP20" s="381"/>
      <c r="AQ20" s="381"/>
      <c r="AR20" s="381"/>
    </row>
    <row r="21" spans="1:44" x14ac:dyDescent="0.2">
      <c r="A21" s="418"/>
      <c r="B21" s="387"/>
      <c r="C21" s="387"/>
      <c r="D21" s="387"/>
      <c r="E21" s="390"/>
      <c r="F21" s="387"/>
      <c r="G21" s="360"/>
      <c r="H21" s="360"/>
      <c r="I21" s="360"/>
      <c r="J21" s="360"/>
      <c r="K21" s="360"/>
      <c r="L21" s="360"/>
      <c r="M21" s="360"/>
      <c r="N21" s="381"/>
      <c r="O21" s="367"/>
      <c r="P21" s="364"/>
      <c r="Q21" s="353"/>
      <c r="R21" s="364">
        <f>IF(NOT(ISERROR(MATCH(Q21,_xlfn.ANCHORARRAY(E32),0))),P34&amp;"Por favor no seleccionar los criterios de impacto",Q21)</f>
        <v>0</v>
      </c>
      <c r="S21" s="367"/>
      <c r="T21" s="364"/>
      <c r="U21" s="362"/>
      <c r="V21" s="214">
        <v>3</v>
      </c>
      <c r="W21" s="188"/>
      <c r="X21" s="189" t="str">
        <f>IF(OR(Y21="Preventivo",Y21="Detectivo"),"Probabilidad",IF(Y21="Correctivo","Impacto",""))</f>
        <v/>
      </c>
      <c r="Y21" s="190"/>
      <c r="Z21" s="190"/>
      <c r="AA21" s="191" t="str">
        <f t="shared" si="9"/>
        <v/>
      </c>
      <c r="AB21" s="190"/>
      <c r="AC21" s="190"/>
      <c r="AD21" s="190"/>
      <c r="AE21" s="192" t="str">
        <f>IFERROR(IF(AND(X20="Probabilidad",X21="Probabilidad"),(AG20-(+AG20*AA21)),IF(AND(X20="Impacto",X21="Probabilidad"),(AG19-(+AG19*AA21)),IF(X21="Impacto",AG20,""))),"")</f>
        <v/>
      </c>
      <c r="AF21" s="193" t="str">
        <f t="shared" si="2"/>
        <v/>
      </c>
      <c r="AG21" s="191" t="str">
        <f t="shared" si="10"/>
        <v/>
      </c>
      <c r="AH21" s="193" t="str">
        <f t="shared" si="4"/>
        <v/>
      </c>
      <c r="AI21" s="191" t="str">
        <f t="shared" ref="AI21:AI72" si="13">IFERROR(IF(AND(X20="Impacto",X21="Impacto"),(AI20-(+AI20*AA21)),IF(AND(X20="Probabilidad",X21="Impacto"),(AI19-(+AI19*AA21)),IF(X21="Probabilidad",AI20,""))),"")</f>
        <v/>
      </c>
      <c r="AJ21" s="194" t="str">
        <f t="shared" si="12"/>
        <v/>
      </c>
      <c r="AK21" s="195"/>
      <c r="AL21" s="186"/>
      <c r="AM21" s="196"/>
      <c r="AN21" s="196"/>
      <c r="AO21" s="197"/>
      <c r="AP21" s="381"/>
      <c r="AQ21" s="381"/>
      <c r="AR21" s="381"/>
    </row>
    <row r="22" spans="1:44" x14ac:dyDescent="0.2">
      <c r="A22" s="418"/>
      <c r="B22" s="387"/>
      <c r="C22" s="387"/>
      <c r="D22" s="387"/>
      <c r="E22" s="390"/>
      <c r="F22" s="387"/>
      <c r="G22" s="360"/>
      <c r="H22" s="360"/>
      <c r="I22" s="360"/>
      <c r="J22" s="360"/>
      <c r="K22" s="360"/>
      <c r="L22" s="360"/>
      <c r="M22" s="360"/>
      <c r="N22" s="381"/>
      <c r="O22" s="367"/>
      <c r="P22" s="364"/>
      <c r="Q22" s="353"/>
      <c r="R22" s="364">
        <f>IF(NOT(ISERROR(MATCH(Q22,_xlfn.ANCHORARRAY(E33),0))),P35&amp;"Por favor no seleccionar los criterios de impacto",Q22)</f>
        <v>0</v>
      </c>
      <c r="S22" s="367"/>
      <c r="T22" s="364"/>
      <c r="U22" s="362"/>
      <c r="V22" s="214">
        <v>4</v>
      </c>
      <c r="W22" s="187"/>
      <c r="X22" s="189" t="str">
        <f t="shared" ref="X22:X24" si="14">IF(OR(Y22="Preventivo",Y22="Detectivo"),"Probabilidad",IF(Y22="Correctivo","Impacto",""))</f>
        <v/>
      </c>
      <c r="Y22" s="190"/>
      <c r="Z22" s="190"/>
      <c r="AA22" s="191" t="str">
        <f t="shared" si="9"/>
        <v/>
      </c>
      <c r="AB22" s="190"/>
      <c r="AC22" s="190"/>
      <c r="AD22" s="190"/>
      <c r="AE22" s="192" t="str">
        <f t="shared" ref="AE22:AE24" si="15">IFERROR(IF(AND(X21="Probabilidad",X22="Probabilidad"),(AG21-(+AG21*AA22)),IF(AND(X21="Impacto",X22="Probabilidad"),(AG20-(+AG20*AA22)),IF(X22="Impacto",AG21,""))),"")</f>
        <v/>
      </c>
      <c r="AF22" s="193" t="str">
        <f t="shared" si="2"/>
        <v/>
      </c>
      <c r="AG22" s="191" t="str">
        <f t="shared" si="10"/>
        <v/>
      </c>
      <c r="AH22" s="193" t="str">
        <f t="shared" si="4"/>
        <v/>
      </c>
      <c r="AI22" s="191" t="str">
        <f t="shared" si="13"/>
        <v/>
      </c>
      <c r="AJ22" s="194"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95"/>
      <c r="AL22" s="186"/>
      <c r="AM22" s="196"/>
      <c r="AN22" s="196"/>
      <c r="AO22" s="197"/>
      <c r="AP22" s="381"/>
      <c r="AQ22" s="381"/>
      <c r="AR22" s="381"/>
    </row>
    <row r="23" spans="1:44" x14ac:dyDescent="0.2">
      <c r="A23" s="418"/>
      <c r="B23" s="387"/>
      <c r="C23" s="387"/>
      <c r="D23" s="387"/>
      <c r="E23" s="390"/>
      <c r="F23" s="387"/>
      <c r="G23" s="360"/>
      <c r="H23" s="360"/>
      <c r="I23" s="360"/>
      <c r="J23" s="360"/>
      <c r="K23" s="360"/>
      <c r="L23" s="360"/>
      <c r="M23" s="360"/>
      <c r="N23" s="381"/>
      <c r="O23" s="367"/>
      <c r="P23" s="364"/>
      <c r="Q23" s="353"/>
      <c r="R23" s="364">
        <f>IF(NOT(ISERROR(MATCH(Q23,_xlfn.ANCHORARRAY(E34),0))),P36&amp;"Por favor no seleccionar los criterios de impacto",Q23)</f>
        <v>0</v>
      </c>
      <c r="S23" s="367"/>
      <c r="T23" s="364"/>
      <c r="U23" s="362"/>
      <c r="V23" s="214">
        <v>5</v>
      </c>
      <c r="W23" s="187"/>
      <c r="X23" s="189" t="str">
        <f t="shared" si="14"/>
        <v/>
      </c>
      <c r="Y23" s="190"/>
      <c r="Z23" s="190"/>
      <c r="AA23" s="191" t="str">
        <f t="shared" si="9"/>
        <v/>
      </c>
      <c r="AB23" s="190"/>
      <c r="AC23" s="190"/>
      <c r="AD23" s="190"/>
      <c r="AE23" s="192" t="str">
        <f t="shared" si="15"/>
        <v/>
      </c>
      <c r="AF23" s="193" t="str">
        <f t="shared" si="2"/>
        <v/>
      </c>
      <c r="AG23" s="191" t="str">
        <f t="shared" si="10"/>
        <v/>
      </c>
      <c r="AH23" s="193" t="str">
        <f t="shared" si="4"/>
        <v/>
      </c>
      <c r="AI23" s="191" t="str">
        <f t="shared" si="13"/>
        <v/>
      </c>
      <c r="AJ23" s="194" t="str">
        <f t="shared" ref="AJ23:AJ24" si="16">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95"/>
      <c r="AL23" s="186"/>
      <c r="AM23" s="196"/>
      <c r="AN23" s="196"/>
      <c r="AO23" s="197"/>
      <c r="AP23" s="381"/>
      <c r="AQ23" s="381"/>
      <c r="AR23" s="381"/>
    </row>
    <row r="24" spans="1:44" x14ac:dyDescent="0.2">
      <c r="A24" s="418"/>
      <c r="B24" s="387"/>
      <c r="C24" s="387"/>
      <c r="D24" s="387"/>
      <c r="E24" s="390"/>
      <c r="F24" s="387"/>
      <c r="G24" s="373"/>
      <c r="H24" s="373"/>
      <c r="I24" s="373"/>
      <c r="J24" s="373"/>
      <c r="K24" s="373"/>
      <c r="L24" s="373"/>
      <c r="M24" s="373"/>
      <c r="N24" s="381"/>
      <c r="O24" s="367"/>
      <c r="P24" s="364"/>
      <c r="Q24" s="353"/>
      <c r="R24" s="364">
        <f>IF(NOT(ISERROR(MATCH(Q24,_xlfn.ANCHORARRAY(E35),0))),P37&amp;"Por favor no seleccionar los criterios de impacto",Q24)</f>
        <v>0</v>
      </c>
      <c r="S24" s="367"/>
      <c r="T24" s="364"/>
      <c r="U24" s="362"/>
      <c r="V24" s="214">
        <v>6</v>
      </c>
      <c r="W24" s="187"/>
      <c r="X24" s="189" t="str">
        <f t="shared" si="14"/>
        <v/>
      </c>
      <c r="Y24" s="190"/>
      <c r="Z24" s="190"/>
      <c r="AA24" s="191" t="str">
        <f t="shared" si="9"/>
        <v/>
      </c>
      <c r="AB24" s="190"/>
      <c r="AC24" s="190"/>
      <c r="AD24" s="190"/>
      <c r="AE24" s="192" t="str">
        <f t="shared" si="15"/>
        <v/>
      </c>
      <c r="AF24" s="193" t="str">
        <f t="shared" si="2"/>
        <v/>
      </c>
      <c r="AG24" s="191" t="str">
        <f t="shared" si="10"/>
        <v/>
      </c>
      <c r="AH24" s="193" t="str">
        <f t="shared" si="4"/>
        <v/>
      </c>
      <c r="AI24" s="191" t="str">
        <f t="shared" si="13"/>
        <v/>
      </c>
      <c r="AJ24" s="194" t="str">
        <f t="shared" si="16"/>
        <v/>
      </c>
      <c r="AK24" s="195"/>
      <c r="AL24" s="186"/>
      <c r="AM24" s="196"/>
      <c r="AN24" s="196"/>
      <c r="AO24" s="197"/>
      <c r="AP24" s="381"/>
      <c r="AQ24" s="381"/>
      <c r="AR24" s="381"/>
    </row>
    <row r="25" spans="1:44" x14ac:dyDescent="0.2">
      <c r="A25" s="418">
        <v>3</v>
      </c>
      <c r="B25" s="387"/>
      <c r="C25" s="387"/>
      <c r="D25" s="387"/>
      <c r="E25" s="390"/>
      <c r="F25" s="387"/>
      <c r="G25" s="392"/>
      <c r="H25" s="392"/>
      <c r="I25" s="392"/>
      <c r="J25" s="392"/>
      <c r="K25" s="392"/>
      <c r="L25" s="392"/>
      <c r="M25" s="392"/>
      <c r="N25" s="381"/>
      <c r="O25" s="367" t="str">
        <f>IF(N25&lt;=0,"",IF(N25&lt;=2,"Muy Baja",IF(N25&lt;=24,"Baja",IF(N25&lt;=500,"Media",IF(N25&lt;=5000,"Alta","Muy Alta")))))</f>
        <v/>
      </c>
      <c r="P25" s="364" t="str">
        <f>IF(O25="","",IF(O25="Muy Baja",0.2,IF(O25="Baja",0.4,IF(O25="Media",0.6,IF(O25="Alta",0.8,IF(O25="Muy Alta",1,))))))</f>
        <v/>
      </c>
      <c r="Q25" s="353"/>
      <c r="R25" s="364">
        <f>IF(NOT(ISERROR(MATCH(Q25,'Tabla Impacto'!$B$222:$B$224,0))),'Tabla Impacto'!$F$224&amp;"Por favor no seleccionar los criterios de impacto(Afectación Económica o presupuestal y Pérdida Reputacional)",Q25)</f>
        <v>0</v>
      </c>
      <c r="S25" s="367" t="str">
        <f>IF(OR(R25='Tabla Impacto'!$C$12,R25='Tabla Impacto'!$D$12),"Leve",IF(OR(R25='Tabla Impacto'!$C$13,R25='Tabla Impacto'!$D$13),"Menor",IF(OR(R25='Tabla Impacto'!$C$14,R25='Tabla Impacto'!$D$14),"Moderado",IF(OR(R25='Tabla Impacto'!$C$15,R25='Tabla Impacto'!$D$15),"Mayor",IF(OR(R25='Tabla Impacto'!$C$16,R25='Tabla Impacto'!$D$16),"Catastrófico","")))))</f>
        <v/>
      </c>
      <c r="T25" s="364" t="str">
        <f>IF(S25="","",IF(S25="Leve",0.2,IF(S25="Menor",0.4,IF(S25="Moderado",0.6,IF(S25="Mayor",0.8,IF(S25="Catastrófico",1,))))))</f>
        <v/>
      </c>
      <c r="U25" s="362"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14">
        <v>1</v>
      </c>
      <c r="W25" s="187"/>
      <c r="X25" s="189" t="str">
        <f>IF(OR(Y25="Preventivo",Y25="Detectivo"),"Probabilidad",IF(Y25="Correctivo","Impacto",""))</f>
        <v/>
      </c>
      <c r="Y25" s="190"/>
      <c r="Z25" s="190"/>
      <c r="AA25" s="191" t="str">
        <f>IF(AND(Y25="Preventivo",Z25="Automático"),"50%",IF(AND(Y25="Preventivo",Z25="Manual"),"40%",IF(AND(Y25="Detectivo",Z25="Automático"),"40%",IF(AND(Y25="Detectivo",Z25="Manual"),"30%",IF(AND(Y25="Correctivo",Z25="Automático"),"35%",IF(AND(Y25="Correctivo",Z25="Manual"),"25%",""))))))</f>
        <v/>
      </c>
      <c r="AB25" s="190"/>
      <c r="AC25" s="190"/>
      <c r="AD25" s="190"/>
      <c r="AE25" s="192" t="str">
        <f>IFERROR(IF(X25="Probabilidad",(P25-(+P25*AA25)),IF(X25="Impacto",P25,"")),"")</f>
        <v/>
      </c>
      <c r="AF25" s="193" t="str">
        <f>IFERROR(IF(AE25="","",IF(AE25&lt;=0.2,"Muy Baja",IF(AE25&lt;=0.4,"Baja",IF(AE25&lt;=0.6,"Media",IF(AE25&lt;=0.8,"Alta","Muy Alta"))))),"")</f>
        <v/>
      </c>
      <c r="AG25" s="191" t="str">
        <f>+AE25</f>
        <v/>
      </c>
      <c r="AH25" s="193" t="str">
        <f>IFERROR(IF(AI25="","",IF(AI25&lt;=0.2,"Leve",IF(AI25&lt;=0.4,"Menor",IF(AI25&lt;=0.6,"Moderado",IF(AI25&lt;=0.8,"Mayor","Catastrófico"))))),"")</f>
        <v/>
      </c>
      <c r="AI25" s="191" t="str">
        <f t="shared" ref="AI25" si="17">IFERROR(IF(X25="Impacto",(T25-(+T25*AA25)),IF(X25="Probabilidad",T25,"")),"")</f>
        <v/>
      </c>
      <c r="AJ25" s="194"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95"/>
      <c r="AL25" s="186"/>
      <c r="AM25" s="196"/>
      <c r="AN25" s="196"/>
      <c r="AO25" s="197"/>
      <c r="AP25" s="381"/>
      <c r="AQ25" s="381"/>
      <c r="AR25" s="381"/>
    </row>
    <row r="26" spans="1:44" x14ac:dyDescent="0.2">
      <c r="A26" s="418"/>
      <c r="B26" s="387"/>
      <c r="C26" s="387"/>
      <c r="D26" s="387"/>
      <c r="E26" s="390"/>
      <c r="F26" s="387"/>
      <c r="G26" s="360"/>
      <c r="H26" s="360"/>
      <c r="I26" s="360"/>
      <c r="J26" s="360"/>
      <c r="K26" s="360"/>
      <c r="L26" s="360"/>
      <c r="M26" s="360"/>
      <c r="N26" s="381"/>
      <c r="O26" s="367"/>
      <c r="P26" s="364"/>
      <c r="Q26" s="353"/>
      <c r="R26" s="364">
        <f>IF(NOT(ISERROR(MATCH(Q26,_xlfn.ANCHORARRAY(E37),0))),P39&amp;"Por favor no seleccionar los criterios de impacto",Q26)</f>
        <v>0</v>
      </c>
      <c r="S26" s="367"/>
      <c r="T26" s="364"/>
      <c r="U26" s="362"/>
      <c r="V26" s="214">
        <v>2</v>
      </c>
      <c r="W26" s="187"/>
      <c r="X26" s="189" t="str">
        <f>IF(OR(Y26="Preventivo",Y26="Detectivo"),"Probabilidad",IF(Y26="Correctivo","Impacto",""))</f>
        <v/>
      </c>
      <c r="Y26" s="190"/>
      <c r="Z26" s="190"/>
      <c r="AA26" s="191" t="str">
        <f t="shared" ref="AA26:AA30" si="18">IF(AND(Y26="Preventivo",Z26="Automático"),"50%",IF(AND(Y26="Preventivo",Z26="Manual"),"40%",IF(AND(Y26="Detectivo",Z26="Automático"),"40%",IF(AND(Y26="Detectivo",Z26="Manual"),"30%",IF(AND(Y26="Correctivo",Z26="Automático"),"35%",IF(AND(Y26="Correctivo",Z26="Manual"),"25%",""))))))</f>
        <v/>
      </c>
      <c r="AB26" s="190"/>
      <c r="AC26" s="190"/>
      <c r="AD26" s="190"/>
      <c r="AE26" s="192" t="str">
        <f>IFERROR(IF(AND(X25="Probabilidad",X26="Probabilidad"),(AG25-(+AG25*AA26)),IF(X26="Probabilidad",(P25-(+P25*AA26)),IF(X26="Impacto",AG25,""))),"")</f>
        <v/>
      </c>
      <c r="AF26" s="193" t="str">
        <f t="shared" si="2"/>
        <v/>
      </c>
      <c r="AG26" s="191" t="str">
        <f t="shared" ref="AG26:AG30" si="19">+AE26</f>
        <v/>
      </c>
      <c r="AH26" s="193" t="str">
        <f t="shared" si="4"/>
        <v/>
      </c>
      <c r="AI26" s="191" t="str">
        <f t="shared" ref="AI26" si="20">IFERROR(IF(AND(X25="Impacto",X26="Impacto"),(AI25-(+AI25*AA26)),IF(X26="Impacto",($T$13-(+$T$13*AA26)),IF(X26="Probabilidad",AI25,""))),"")</f>
        <v/>
      </c>
      <c r="AJ26" s="194" t="str">
        <f t="shared" ref="AJ26:AJ27" si="21">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95"/>
      <c r="AL26" s="186"/>
      <c r="AM26" s="196"/>
      <c r="AN26" s="196"/>
      <c r="AO26" s="197"/>
      <c r="AP26" s="381"/>
      <c r="AQ26" s="381"/>
      <c r="AR26" s="381"/>
    </row>
    <row r="27" spans="1:44" x14ac:dyDescent="0.2">
      <c r="A27" s="418"/>
      <c r="B27" s="387"/>
      <c r="C27" s="387"/>
      <c r="D27" s="387"/>
      <c r="E27" s="390"/>
      <c r="F27" s="387"/>
      <c r="G27" s="360"/>
      <c r="H27" s="360"/>
      <c r="I27" s="360"/>
      <c r="J27" s="360"/>
      <c r="K27" s="360"/>
      <c r="L27" s="360"/>
      <c r="M27" s="360"/>
      <c r="N27" s="381"/>
      <c r="O27" s="367"/>
      <c r="P27" s="364"/>
      <c r="Q27" s="353"/>
      <c r="R27" s="364">
        <f>IF(NOT(ISERROR(MATCH(Q27,_xlfn.ANCHORARRAY(E38),0))),P40&amp;"Por favor no seleccionar los criterios de impacto",Q27)</f>
        <v>0</v>
      </c>
      <c r="S27" s="367"/>
      <c r="T27" s="364"/>
      <c r="U27" s="362"/>
      <c r="V27" s="214">
        <v>3</v>
      </c>
      <c r="W27" s="187"/>
      <c r="X27" s="189" t="str">
        <f>IF(OR(Y27="Preventivo",Y27="Detectivo"),"Probabilidad",IF(Y27="Correctivo","Impacto",""))</f>
        <v/>
      </c>
      <c r="Y27" s="190"/>
      <c r="Z27" s="190"/>
      <c r="AA27" s="191" t="str">
        <f t="shared" si="18"/>
        <v/>
      </c>
      <c r="AB27" s="190"/>
      <c r="AC27" s="190"/>
      <c r="AD27" s="190"/>
      <c r="AE27" s="192" t="str">
        <f>IFERROR(IF(AND(X26="Probabilidad",X27="Probabilidad"),(AG26-(+AG26*AA27)),IF(AND(X26="Impacto",X27="Probabilidad"),(AG25-(+AG25*AA27)),IF(X27="Impacto",AG26,""))),"")</f>
        <v/>
      </c>
      <c r="AF27" s="193" t="str">
        <f t="shared" si="2"/>
        <v/>
      </c>
      <c r="AG27" s="191" t="str">
        <f t="shared" si="19"/>
        <v/>
      </c>
      <c r="AH27" s="193" t="str">
        <f t="shared" si="4"/>
        <v/>
      </c>
      <c r="AI27" s="191" t="str">
        <f t="shared" ref="AI27" si="22">IFERROR(IF(AND(X26="Impacto",X27="Impacto"),(AI26-(+AI26*AA27)),IF(AND(X26="Probabilidad",X27="Impacto"),(AI25-(+AI25*AA27)),IF(X27="Probabilidad",AI26,""))),"")</f>
        <v/>
      </c>
      <c r="AJ27" s="194" t="str">
        <f t="shared" si="21"/>
        <v/>
      </c>
      <c r="AK27" s="195"/>
      <c r="AL27" s="186"/>
      <c r="AM27" s="196"/>
      <c r="AN27" s="196"/>
      <c r="AO27" s="197"/>
      <c r="AP27" s="381"/>
      <c r="AQ27" s="381"/>
      <c r="AR27" s="381"/>
    </row>
    <row r="28" spans="1:44" x14ac:dyDescent="0.2">
      <c r="A28" s="418"/>
      <c r="B28" s="387"/>
      <c r="C28" s="387"/>
      <c r="D28" s="387"/>
      <c r="E28" s="390"/>
      <c r="F28" s="387"/>
      <c r="G28" s="360"/>
      <c r="H28" s="360"/>
      <c r="I28" s="360"/>
      <c r="J28" s="360"/>
      <c r="K28" s="360"/>
      <c r="L28" s="360"/>
      <c r="M28" s="360"/>
      <c r="N28" s="381"/>
      <c r="O28" s="367"/>
      <c r="P28" s="364"/>
      <c r="Q28" s="353"/>
      <c r="R28" s="364">
        <f>IF(NOT(ISERROR(MATCH(Q28,_xlfn.ANCHORARRAY(E39),0))),P41&amp;"Por favor no seleccionar los criterios de impacto",Q28)</f>
        <v>0</v>
      </c>
      <c r="S28" s="367"/>
      <c r="T28" s="364"/>
      <c r="U28" s="362"/>
      <c r="V28" s="214">
        <v>4</v>
      </c>
      <c r="W28" s="187"/>
      <c r="X28" s="189" t="str">
        <f t="shared" ref="X28:X30" si="23">IF(OR(Y28="Preventivo",Y28="Detectivo"),"Probabilidad",IF(Y28="Correctivo","Impacto",""))</f>
        <v/>
      </c>
      <c r="Y28" s="190"/>
      <c r="Z28" s="190"/>
      <c r="AA28" s="191" t="str">
        <f t="shared" si="18"/>
        <v/>
      </c>
      <c r="AB28" s="190"/>
      <c r="AC28" s="190"/>
      <c r="AD28" s="190"/>
      <c r="AE28" s="192" t="str">
        <f t="shared" ref="AE28:AE30" si="24">IFERROR(IF(AND(X27="Probabilidad",X28="Probabilidad"),(AG27-(+AG27*AA28)),IF(AND(X27="Impacto",X28="Probabilidad"),(AG26-(+AG26*AA28)),IF(X28="Impacto",AG27,""))),"")</f>
        <v/>
      </c>
      <c r="AF28" s="193" t="str">
        <f t="shared" si="2"/>
        <v/>
      </c>
      <c r="AG28" s="191" t="str">
        <f t="shared" si="19"/>
        <v/>
      </c>
      <c r="AH28" s="193" t="str">
        <f t="shared" si="4"/>
        <v/>
      </c>
      <c r="AI28" s="191" t="str">
        <f t="shared" si="13"/>
        <v/>
      </c>
      <c r="AJ28" s="194"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5"/>
      <c r="AL28" s="186"/>
      <c r="AM28" s="196"/>
      <c r="AN28" s="196"/>
      <c r="AO28" s="197"/>
      <c r="AP28" s="381"/>
      <c r="AQ28" s="381"/>
      <c r="AR28" s="381"/>
    </row>
    <row r="29" spans="1:44" x14ac:dyDescent="0.2">
      <c r="A29" s="418"/>
      <c r="B29" s="387"/>
      <c r="C29" s="387"/>
      <c r="D29" s="387"/>
      <c r="E29" s="390"/>
      <c r="F29" s="387"/>
      <c r="G29" s="360"/>
      <c r="H29" s="360"/>
      <c r="I29" s="360"/>
      <c r="J29" s="360"/>
      <c r="K29" s="360"/>
      <c r="L29" s="360"/>
      <c r="M29" s="360"/>
      <c r="N29" s="381"/>
      <c r="O29" s="367"/>
      <c r="P29" s="364"/>
      <c r="Q29" s="353"/>
      <c r="R29" s="364">
        <f>IF(NOT(ISERROR(MATCH(Q29,_xlfn.ANCHORARRAY(E40),0))),P42&amp;"Por favor no seleccionar los criterios de impacto",Q29)</f>
        <v>0</v>
      </c>
      <c r="S29" s="367"/>
      <c r="T29" s="364"/>
      <c r="U29" s="362"/>
      <c r="V29" s="214">
        <v>5</v>
      </c>
      <c r="W29" s="187"/>
      <c r="X29" s="189" t="str">
        <f t="shared" si="23"/>
        <v/>
      </c>
      <c r="Y29" s="190"/>
      <c r="Z29" s="190"/>
      <c r="AA29" s="191" t="str">
        <f t="shared" si="18"/>
        <v/>
      </c>
      <c r="AB29" s="190"/>
      <c r="AC29" s="190"/>
      <c r="AD29" s="190"/>
      <c r="AE29" s="192" t="str">
        <f t="shared" si="24"/>
        <v/>
      </c>
      <c r="AF29" s="193" t="str">
        <f t="shared" si="2"/>
        <v/>
      </c>
      <c r="AG29" s="191" t="str">
        <f t="shared" si="19"/>
        <v/>
      </c>
      <c r="AH29" s="193" t="str">
        <f t="shared" si="4"/>
        <v/>
      </c>
      <c r="AI29" s="191" t="str">
        <f t="shared" si="13"/>
        <v/>
      </c>
      <c r="AJ29" s="194" t="str">
        <f t="shared" ref="AJ29:AJ30" si="25">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95"/>
      <c r="AL29" s="186"/>
      <c r="AM29" s="196"/>
      <c r="AN29" s="196"/>
      <c r="AO29" s="197"/>
      <c r="AP29" s="381"/>
      <c r="AQ29" s="381"/>
      <c r="AR29" s="381"/>
    </row>
    <row r="30" spans="1:44" x14ac:dyDescent="0.2">
      <c r="A30" s="418"/>
      <c r="B30" s="387"/>
      <c r="C30" s="387"/>
      <c r="D30" s="387"/>
      <c r="E30" s="390"/>
      <c r="F30" s="387"/>
      <c r="G30" s="373"/>
      <c r="H30" s="373"/>
      <c r="I30" s="373"/>
      <c r="J30" s="373"/>
      <c r="K30" s="373"/>
      <c r="L30" s="373"/>
      <c r="M30" s="373"/>
      <c r="N30" s="381"/>
      <c r="O30" s="367"/>
      <c r="P30" s="364"/>
      <c r="Q30" s="353"/>
      <c r="R30" s="364">
        <f>IF(NOT(ISERROR(MATCH(Q30,_xlfn.ANCHORARRAY(E41),0))),P43&amp;"Por favor no seleccionar los criterios de impacto",Q30)</f>
        <v>0</v>
      </c>
      <c r="S30" s="367"/>
      <c r="T30" s="364"/>
      <c r="U30" s="362"/>
      <c r="V30" s="214">
        <v>6</v>
      </c>
      <c r="W30" s="187"/>
      <c r="X30" s="189" t="str">
        <f t="shared" si="23"/>
        <v/>
      </c>
      <c r="Y30" s="190"/>
      <c r="Z30" s="190"/>
      <c r="AA30" s="191" t="str">
        <f t="shared" si="18"/>
        <v/>
      </c>
      <c r="AB30" s="190"/>
      <c r="AC30" s="190"/>
      <c r="AD30" s="190"/>
      <c r="AE30" s="192" t="str">
        <f t="shared" si="24"/>
        <v/>
      </c>
      <c r="AF30" s="193" t="str">
        <f t="shared" si="2"/>
        <v/>
      </c>
      <c r="AG30" s="191" t="str">
        <f t="shared" si="19"/>
        <v/>
      </c>
      <c r="AH30" s="193" t="str">
        <f t="shared" si="4"/>
        <v/>
      </c>
      <c r="AI30" s="191" t="str">
        <f t="shared" si="13"/>
        <v/>
      </c>
      <c r="AJ30" s="194" t="str">
        <f t="shared" si="25"/>
        <v/>
      </c>
      <c r="AK30" s="195"/>
      <c r="AL30" s="186"/>
      <c r="AM30" s="196"/>
      <c r="AN30" s="196"/>
      <c r="AO30" s="197"/>
      <c r="AP30" s="381"/>
      <c r="AQ30" s="381"/>
      <c r="AR30" s="381"/>
    </row>
    <row r="31" spans="1:44" x14ac:dyDescent="0.2">
      <c r="A31" s="418">
        <v>4</v>
      </c>
      <c r="B31" s="387"/>
      <c r="C31" s="387"/>
      <c r="D31" s="387"/>
      <c r="E31" s="387"/>
      <c r="F31" s="387"/>
      <c r="G31" s="392"/>
      <c r="H31" s="392"/>
      <c r="I31" s="392"/>
      <c r="J31" s="392"/>
      <c r="K31" s="392"/>
      <c r="L31" s="392"/>
      <c r="M31" s="392"/>
      <c r="N31" s="381"/>
      <c r="O31" s="367" t="str">
        <f>IF(N31&lt;=0,"",IF(N31&lt;=2,"Muy Baja",IF(N31&lt;=24,"Baja",IF(N31&lt;=500,"Media",IF(N31&lt;=5000,"Alta","Muy Alta")))))</f>
        <v/>
      </c>
      <c r="P31" s="364" t="str">
        <f>IF(O31="","",IF(O31="Muy Baja",0.2,IF(O31="Baja",0.4,IF(O31="Media",0.6,IF(O31="Alta",0.8,IF(O31="Muy Alta",1,))))))</f>
        <v/>
      </c>
      <c r="Q31" s="353"/>
      <c r="R31" s="364">
        <f>IF(NOT(ISERROR(MATCH(Q31,'Tabla Impacto'!$B$222:$B$224,0))),'Tabla Impacto'!$F$224&amp;"Por favor no seleccionar los criterios de impacto(Afectación Económica o presupuestal y Pérdida Reputacional)",Q31)</f>
        <v>0</v>
      </c>
      <c r="S31" s="367" t="str">
        <f>IF(OR(R31='Tabla Impacto'!$C$12,R31='Tabla Impacto'!$D$12),"Leve",IF(OR(R31='Tabla Impacto'!$C$13,R31='Tabla Impacto'!$D$13),"Menor",IF(OR(R31='Tabla Impacto'!$C$14,R31='Tabla Impacto'!$D$14),"Moderado",IF(OR(R31='Tabla Impacto'!$C$15,R31='Tabla Impacto'!$D$15),"Mayor",IF(OR(R31='Tabla Impacto'!$C$16,R31='Tabla Impacto'!$D$16),"Catastrófico","")))))</f>
        <v/>
      </c>
      <c r="T31" s="364" t="str">
        <f>IF(S31="","",IF(S31="Leve",0.2,IF(S31="Menor",0.4,IF(S31="Moderado",0.6,IF(S31="Mayor",0.8,IF(S31="Catastrófico",1,))))))</f>
        <v/>
      </c>
      <c r="U31" s="362"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14">
        <v>1</v>
      </c>
      <c r="W31" s="187"/>
      <c r="X31" s="189" t="str">
        <f>IF(OR(Y31="Preventivo",Y31="Detectivo"),"Probabilidad",IF(Y31="Correctivo","Impacto",""))</f>
        <v/>
      </c>
      <c r="Y31" s="190"/>
      <c r="Z31" s="190"/>
      <c r="AA31" s="191" t="str">
        <f>IF(AND(Y31="Preventivo",Z31="Automático"),"50%",IF(AND(Y31="Preventivo",Z31="Manual"),"40%",IF(AND(Y31="Detectivo",Z31="Automático"),"40%",IF(AND(Y31="Detectivo",Z31="Manual"),"30%",IF(AND(Y31="Correctivo",Z31="Automático"),"35%",IF(AND(Y31="Correctivo",Z31="Manual"),"25%",""))))))</f>
        <v/>
      </c>
      <c r="AB31" s="190"/>
      <c r="AC31" s="190"/>
      <c r="AD31" s="190"/>
      <c r="AE31" s="192" t="str">
        <f>IFERROR(IF(X31="Probabilidad",(P31-(+P31*AA31)),IF(X31="Impacto",P31,"")),"")</f>
        <v/>
      </c>
      <c r="AF31" s="193" t="str">
        <f>IFERROR(IF(AE31="","",IF(AE31&lt;=0.2,"Muy Baja",IF(AE31&lt;=0.4,"Baja",IF(AE31&lt;=0.6,"Media",IF(AE31&lt;=0.8,"Alta","Muy Alta"))))),"")</f>
        <v/>
      </c>
      <c r="AG31" s="191" t="str">
        <f>+AE31</f>
        <v/>
      </c>
      <c r="AH31" s="193" t="str">
        <f>IFERROR(IF(AI31="","",IF(AI31&lt;=0.2,"Leve",IF(AI31&lt;=0.4,"Menor",IF(AI31&lt;=0.6,"Moderado",IF(AI31&lt;=0.8,"Mayor","Catastrófico"))))),"")</f>
        <v/>
      </c>
      <c r="AI31" s="191" t="str">
        <f t="shared" ref="AI31" si="26">IFERROR(IF(X31="Impacto",(T31-(+T31*AA31)),IF(X31="Probabilidad",T31,"")),"")</f>
        <v/>
      </c>
      <c r="AJ31" s="194"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5"/>
      <c r="AL31" s="186"/>
      <c r="AM31" s="196"/>
      <c r="AN31" s="196"/>
      <c r="AO31" s="197"/>
      <c r="AP31" s="381"/>
      <c r="AQ31" s="381"/>
      <c r="AR31" s="381"/>
    </row>
    <row r="32" spans="1:44" x14ac:dyDescent="0.2">
      <c r="A32" s="418"/>
      <c r="B32" s="387"/>
      <c r="C32" s="387"/>
      <c r="D32" s="387"/>
      <c r="E32" s="387"/>
      <c r="F32" s="387"/>
      <c r="G32" s="360"/>
      <c r="H32" s="360"/>
      <c r="I32" s="360"/>
      <c r="J32" s="360"/>
      <c r="K32" s="360"/>
      <c r="L32" s="360"/>
      <c r="M32" s="360"/>
      <c r="N32" s="381"/>
      <c r="O32" s="367"/>
      <c r="P32" s="364"/>
      <c r="Q32" s="353"/>
      <c r="R32" s="364">
        <f>IF(NOT(ISERROR(MATCH(Q32,_xlfn.ANCHORARRAY(E43),0))),P45&amp;"Por favor no seleccionar los criterios de impacto",Q32)</f>
        <v>0</v>
      </c>
      <c r="S32" s="367"/>
      <c r="T32" s="364"/>
      <c r="U32" s="362"/>
      <c r="V32" s="214">
        <v>2</v>
      </c>
      <c r="W32" s="187"/>
      <c r="X32" s="189" t="str">
        <f>IF(OR(Y32="Preventivo",Y32="Detectivo"),"Probabilidad",IF(Y32="Correctivo","Impacto",""))</f>
        <v/>
      </c>
      <c r="Y32" s="190"/>
      <c r="Z32" s="190"/>
      <c r="AA32" s="191" t="str">
        <f t="shared" ref="AA32:AA36" si="27">IF(AND(Y32="Preventivo",Z32="Automático"),"50%",IF(AND(Y32="Preventivo",Z32="Manual"),"40%",IF(AND(Y32="Detectivo",Z32="Automático"),"40%",IF(AND(Y32="Detectivo",Z32="Manual"),"30%",IF(AND(Y32="Correctivo",Z32="Automático"),"35%",IF(AND(Y32="Correctivo",Z32="Manual"),"25%",""))))))</f>
        <v/>
      </c>
      <c r="AB32" s="190"/>
      <c r="AC32" s="190"/>
      <c r="AD32" s="190"/>
      <c r="AE32" s="192" t="str">
        <f>IFERROR(IF(AND(X31="Probabilidad",X32="Probabilidad"),(AG31-(+AG31*AA32)),IF(X32="Probabilidad",(P31-(+P31*AA32)),IF(X32="Impacto",AG31,""))),"")</f>
        <v/>
      </c>
      <c r="AF32" s="193" t="str">
        <f t="shared" si="2"/>
        <v/>
      </c>
      <c r="AG32" s="191" t="str">
        <f t="shared" ref="AG32:AG36" si="28">+AE32</f>
        <v/>
      </c>
      <c r="AH32" s="193" t="str">
        <f t="shared" si="4"/>
        <v/>
      </c>
      <c r="AI32" s="191" t="str">
        <f t="shared" ref="AI32" si="29">IFERROR(IF(AND(X31="Impacto",X32="Impacto"),(AI31-(+AI31*AA32)),IF(X32="Impacto",($T$13-(+$T$13*AA32)),IF(X32="Probabilidad",AI31,""))),"")</f>
        <v/>
      </c>
      <c r="AJ32" s="194" t="str">
        <f t="shared" ref="AJ32:AJ33" si="30">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95"/>
      <c r="AL32" s="186"/>
      <c r="AM32" s="196"/>
      <c r="AN32" s="196"/>
      <c r="AO32" s="197"/>
      <c r="AP32" s="381"/>
      <c r="AQ32" s="381"/>
      <c r="AR32" s="381"/>
    </row>
    <row r="33" spans="1:44" x14ac:dyDescent="0.2">
      <c r="A33" s="418"/>
      <c r="B33" s="387"/>
      <c r="C33" s="387"/>
      <c r="D33" s="387"/>
      <c r="E33" s="387"/>
      <c r="F33" s="387"/>
      <c r="G33" s="360"/>
      <c r="H33" s="360"/>
      <c r="I33" s="360"/>
      <c r="J33" s="360"/>
      <c r="K33" s="360"/>
      <c r="L33" s="360"/>
      <c r="M33" s="360"/>
      <c r="N33" s="381"/>
      <c r="O33" s="367"/>
      <c r="P33" s="364"/>
      <c r="Q33" s="353"/>
      <c r="R33" s="364">
        <f>IF(NOT(ISERROR(MATCH(Q33,_xlfn.ANCHORARRAY(E44),0))),P46&amp;"Por favor no seleccionar los criterios de impacto",Q33)</f>
        <v>0</v>
      </c>
      <c r="S33" s="367"/>
      <c r="T33" s="364"/>
      <c r="U33" s="362"/>
      <c r="V33" s="214">
        <v>3</v>
      </c>
      <c r="W33" s="188"/>
      <c r="X33" s="189" t="str">
        <f>IF(OR(Y33="Preventivo",Y33="Detectivo"),"Probabilidad",IF(Y33="Correctivo","Impacto",""))</f>
        <v/>
      </c>
      <c r="Y33" s="190"/>
      <c r="Z33" s="190"/>
      <c r="AA33" s="191" t="str">
        <f t="shared" si="27"/>
        <v/>
      </c>
      <c r="AB33" s="190"/>
      <c r="AC33" s="190"/>
      <c r="AD33" s="190"/>
      <c r="AE33" s="192" t="str">
        <f>IFERROR(IF(AND(X32="Probabilidad",X33="Probabilidad"),(AG32-(+AG32*AA33)),IF(AND(X32="Impacto",X33="Probabilidad"),(AG31-(+AG31*AA33)),IF(X33="Impacto",AG32,""))),"")</f>
        <v/>
      </c>
      <c r="AF33" s="193" t="str">
        <f t="shared" si="2"/>
        <v/>
      </c>
      <c r="AG33" s="191" t="str">
        <f t="shared" si="28"/>
        <v/>
      </c>
      <c r="AH33" s="193" t="str">
        <f t="shared" si="4"/>
        <v/>
      </c>
      <c r="AI33" s="191" t="str">
        <f t="shared" ref="AI33" si="31">IFERROR(IF(AND(X32="Impacto",X33="Impacto"),(AI32-(+AI32*AA33)),IF(AND(X32="Probabilidad",X33="Impacto"),(AI31-(+AI31*AA33)),IF(X33="Probabilidad",AI32,""))),"")</f>
        <v/>
      </c>
      <c r="AJ33" s="194" t="str">
        <f t="shared" si="30"/>
        <v/>
      </c>
      <c r="AK33" s="195"/>
      <c r="AL33" s="186"/>
      <c r="AM33" s="196"/>
      <c r="AN33" s="196"/>
      <c r="AO33" s="197"/>
      <c r="AP33" s="381"/>
      <c r="AQ33" s="381"/>
      <c r="AR33" s="381"/>
    </row>
    <row r="34" spans="1:44" x14ac:dyDescent="0.2">
      <c r="A34" s="418"/>
      <c r="B34" s="387"/>
      <c r="C34" s="387"/>
      <c r="D34" s="387"/>
      <c r="E34" s="387"/>
      <c r="F34" s="387"/>
      <c r="G34" s="360"/>
      <c r="H34" s="360"/>
      <c r="I34" s="360"/>
      <c r="J34" s="360"/>
      <c r="K34" s="360"/>
      <c r="L34" s="360"/>
      <c r="M34" s="360"/>
      <c r="N34" s="381"/>
      <c r="O34" s="367"/>
      <c r="P34" s="364"/>
      <c r="Q34" s="353"/>
      <c r="R34" s="364">
        <f>IF(NOT(ISERROR(MATCH(Q34,_xlfn.ANCHORARRAY(E45),0))),P47&amp;"Por favor no seleccionar los criterios de impacto",Q34)</f>
        <v>0</v>
      </c>
      <c r="S34" s="367"/>
      <c r="T34" s="364"/>
      <c r="U34" s="362"/>
      <c r="V34" s="214">
        <v>4</v>
      </c>
      <c r="W34" s="187"/>
      <c r="X34" s="189" t="str">
        <f t="shared" ref="X34:X36" si="32">IF(OR(Y34="Preventivo",Y34="Detectivo"),"Probabilidad",IF(Y34="Correctivo","Impacto",""))</f>
        <v/>
      </c>
      <c r="Y34" s="190"/>
      <c r="Z34" s="190"/>
      <c r="AA34" s="191" t="str">
        <f t="shared" si="27"/>
        <v/>
      </c>
      <c r="AB34" s="190"/>
      <c r="AC34" s="190"/>
      <c r="AD34" s="190"/>
      <c r="AE34" s="192" t="str">
        <f t="shared" ref="AE34:AE36" si="33">IFERROR(IF(AND(X33="Probabilidad",X34="Probabilidad"),(AG33-(+AG33*AA34)),IF(AND(X33="Impacto",X34="Probabilidad"),(AG32-(+AG32*AA34)),IF(X34="Impacto",AG33,""))),"")</f>
        <v/>
      </c>
      <c r="AF34" s="193" t="str">
        <f t="shared" si="2"/>
        <v/>
      </c>
      <c r="AG34" s="191" t="str">
        <f t="shared" si="28"/>
        <v/>
      </c>
      <c r="AH34" s="193" t="str">
        <f t="shared" si="4"/>
        <v/>
      </c>
      <c r="AI34" s="191" t="str">
        <f t="shared" si="13"/>
        <v/>
      </c>
      <c r="AJ34" s="194"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5"/>
      <c r="AL34" s="186"/>
      <c r="AM34" s="196"/>
      <c r="AN34" s="196"/>
      <c r="AO34" s="197"/>
      <c r="AP34" s="381"/>
      <c r="AQ34" s="381"/>
      <c r="AR34" s="381"/>
    </row>
    <row r="35" spans="1:44" x14ac:dyDescent="0.2">
      <c r="A35" s="418"/>
      <c r="B35" s="387"/>
      <c r="C35" s="387"/>
      <c r="D35" s="387"/>
      <c r="E35" s="387"/>
      <c r="F35" s="387"/>
      <c r="G35" s="360"/>
      <c r="H35" s="360"/>
      <c r="I35" s="360"/>
      <c r="J35" s="360"/>
      <c r="K35" s="360"/>
      <c r="L35" s="360"/>
      <c r="M35" s="360"/>
      <c r="N35" s="381"/>
      <c r="O35" s="367"/>
      <c r="P35" s="364"/>
      <c r="Q35" s="353"/>
      <c r="R35" s="364">
        <f>IF(NOT(ISERROR(MATCH(Q35,_xlfn.ANCHORARRAY(E46),0))),P48&amp;"Por favor no seleccionar los criterios de impacto",Q35)</f>
        <v>0</v>
      </c>
      <c r="S35" s="367"/>
      <c r="T35" s="364"/>
      <c r="U35" s="362"/>
      <c r="V35" s="214">
        <v>5</v>
      </c>
      <c r="W35" s="187"/>
      <c r="X35" s="189" t="str">
        <f t="shared" si="32"/>
        <v/>
      </c>
      <c r="Y35" s="190"/>
      <c r="Z35" s="190"/>
      <c r="AA35" s="191" t="str">
        <f t="shared" si="27"/>
        <v/>
      </c>
      <c r="AB35" s="190"/>
      <c r="AC35" s="190"/>
      <c r="AD35" s="190"/>
      <c r="AE35" s="192" t="str">
        <f t="shared" si="33"/>
        <v/>
      </c>
      <c r="AF35" s="193" t="str">
        <f>IFERROR(IF(AE35="","",IF(AE35&lt;=0.2,"Muy Baja",IF(AE35&lt;=0.4,"Baja",IF(AE35&lt;=0.6,"Media",IF(AE35&lt;=0.8,"Alta","Muy Alta"))))),"")</f>
        <v/>
      </c>
      <c r="AG35" s="191" t="str">
        <f t="shared" si="28"/>
        <v/>
      </c>
      <c r="AH35" s="193" t="str">
        <f t="shared" si="4"/>
        <v/>
      </c>
      <c r="AI35" s="191" t="str">
        <f t="shared" si="13"/>
        <v/>
      </c>
      <c r="AJ35" s="194" t="str">
        <f t="shared" ref="AJ35:AJ36" si="34">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95"/>
      <c r="AL35" s="186"/>
      <c r="AM35" s="196"/>
      <c r="AN35" s="196"/>
      <c r="AO35" s="197"/>
      <c r="AP35" s="381"/>
      <c r="AQ35" s="381"/>
      <c r="AR35" s="381"/>
    </row>
    <row r="36" spans="1:44" x14ac:dyDescent="0.2">
      <c r="A36" s="418"/>
      <c r="B36" s="387"/>
      <c r="C36" s="387"/>
      <c r="D36" s="387"/>
      <c r="E36" s="387"/>
      <c r="F36" s="387"/>
      <c r="G36" s="373"/>
      <c r="H36" s="373"/>
      <c r="I36" s="373"/>
      <c r="J36" s="373"/>
      <c r="K36" s="373"/>
      <c r="L36" s="373"/>
      <c r="M36" s="373"/>
      <c r="N36" s="381"/>
      <c r="O36" s="367"/>
      <c r="P36" s="364"/>
      <c r="Q36" s="353"/>
      <c r="R36" s="364">
        <f>IF(NOT(ISERROR(MATCH(Q36,_xlfn.ANCHORARRAY(E47),0))),P49&amp;"Por favor no seleccionar los criterios de impacto",Q36)</f>
        <v>0</v>
      </c>
      <c r="S36" s="367"/>
      <c r="T36" s="364"/>
      <c r="U36" s="362"/>
      <c r="V36" s="214">
        <v>6</v>
      </c>
      <c r="W36" s="187"/>
      <c r="X36" s="189" t="str">
        <f t="shared" si="32"/>
        <v/>
      </c>
      <c r="Y36" s="190"/>
      <c r="Z36" s="190"/>
      <c r="AA36" s="191" t="str">
        <f t="shared" si="27"/>
        <v/>
      </c>
      <c r="AB36" s="190"/>
      <c r="AC36" s="190"/>
      <c r="AD36" s="190"/>
      <c r="AE36" s="192" t="str">
        <f t="shared" si="33"/>
        <v/>
      </c>
      <c r="AF36" s="193" t="str">
        <f t="shared" si="2"/>
        <v/>
      </c>
      <c r="AG36" s="191" t="str">
        <f t="shared" si="28"/>
        <v/>
      </c>
      <c r="AH36" s="193" t="str">
        <f t="shared" si="4"/>
        <v/>
      </c>
      <c r="AI36" s="191" t="str">
        <f t="shared" si="13"/>
        <v/>
      </c>
      <c r="AJ36" s="194" t="str">
        <f t="shared" si="34"/>
        <v/>
      </c>
      <c r="AK36" s="195"/>
      <c r="AL36" s="186"/>
      <c r="AM36" s="196"/>
      <c r="AN36" s="196"/>
      <c r="AO36" s="197"/>
      <c r="AP36" s="381"/>
      <c r="AQ36" s="381"/>
      <c r="AR36" s="381"/>
    </row>
    <row r="37" spans="1:44" x14ac:dyDescent="0.2">
      <c r="A37" s="418">
        <v>5</v>
      </c>
      <c r="B37" s="387"/>
      <c r="C37" s="387"/>
      <c r="D37" s="387"/>
      <c r="E37" s="387"/>
      <c r="F37" s="387"/>
      <c r="G37" s="392"/>
      <c r="H37" s="392"/>
      <c r="I37" s="392"/>
      <c r="J37" s="392"/>
      <c r="K37" s="392"/>
      <c r="L37" s="392"/>
      <c r="M37" s="392"/>
      <c r="N37" s="381"/>
      <c r="O37" s="367" t="str">
        <f>IF(N37&lt;=0,"",IF(N37&lt;=2,"Muy Baja",IF(N37&lt;=24,"Baja",IF(N37&lt;=500,"Media",IF(N37&lt;=5000,"Alta","Muy Alta")))))</f>
        <v/>
      </c>
      <c r="P37" s="364" t="str">
        <f>IF(O37="","",IF(O37="Muy Baja",0.2,IF(O37="Baja",0.4,IF(O37="Media",0.6,IF(O37="Alta",0.8,IF(O37="Muy Alta",1,))))))</f>
        <v/>
      </c>
      <c r="Q37" s="353"/>
      <c r="R37" s="364">
        <f>IF(NOT(ISERROR(MATCH(Q37,'Tabla Impacto'!$B$222:$B$224,0))),'Tabla Impacto'!$F$224&amp;"Por favor no seleccionar los criterios de impacto(Afectación Económica o presupuestal y Pérdida Reputacional)",Q37)</f>
        <v>0</v>
      </c>
      <c r="S37" s="367" t="str">
        <f>IF(OR(R37='Tabla Impacto'!$C$12,R37='Tabla Impacto'!$D$12),"Leve",IF(OR(R37='Tabla Impacto'!$C$13,R37='Tabla Impacto'!$D$13),"Menor",IF(OR(R37='Tabla Impacto'!$C$14,R37='Tabla Impacto'!$D$14),"Moderado",IF(OR(R37='Tabla Impacto'!$C$15,R37='Tabla Impacto'!$D$15),"Mayor",IF(OR(R37='Tabla Impacto'!$C$16,R37='Tabla Impacto'!$D$16),"Catastrófico","")))))</f>
        <v/>
      </c>
      <c r="T37" s="364" t="str">
        <f>IF(S37="","",IF(S37="Leve",0.2,IF(S37="Menor",0.4,IF(S37="Moderado",0.6,IF(S37="Mayor",0.8,IF(S37="Catastrófico",1,))))))</f>
        <v/>
      </c>
      <c r="U37" s="362"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14">
        <v>1</v>
      </c>
      <c r="W37" s="187"/>
      <c r="X37" s="189" t="str">
        <f>IF(OR(Y37="Preventivo",Y37="Detectivo"),"Probabilidad",IF(Y37="Correctivo","Impacto",""))</f>
        <v/>
      </c>
      <c r="Y37" s="190"/>
      <c r="Z37" s="190"/>
      <c r="AA37" s="191" t="str">
        <f>IF(AND(Y37="Preventivo",Z37="Automático"),"50%",IF(AND(Y37="Preventivo",Z37="Manual"),"40%",IF(AND(Y37="Detectivo",Z37="Automático"),"40%",IF(AND(Y37="Detectivo",Z37="Manual"),"30%",IF(AND(Y37="Correctivo",Z37="Automático"),"35%",IF(AND(Y37="Correctivo",Z37="Manual"),"25%",""))))))</f>
        <v/>
      </c>
      <c r="AB37" s="190"/>
      <c r="AC37" s="190"/>
      <c r="AD37" s="190"/>
      <c r="AE37" s="192" t="str">
        <f>IFERROR(IF(X37="Probabilidad",(P37-(+P37*AA37)),IF(X37="Impacto",P37,"")),"")</f>
        <v/>
      </c>
      <c r="AF37" s="193" t="str">
        <f>IFERROR(IF(AE37="","",IF(AE37&lt;=0.2,"Muy Baja",IF(AE37&lt;=0.4,"Baja",IF(AE37&lt;=0.6,"Media",IF(AE37&lt;=0.8,"Alta","Muy Alta"))))),"")</f>
        <v/>
      </c>
      <c r="AG37" s="191" t="str">
        <f>+AE37</f>
        <v/>
      </c>
      <c r="AH37" s="193" t="str">
        <f>IFERROR(IF(AI37="","",IF(AI37&lt;=0.2,"Leve",IF(AI37&lt;=0.4,"Menor",IF(AI37&lt;=0.6,"Moderado",IF(AI37&lt;=0.8,"Mayor","Catastrófico"))))),"")</f>
        <v/>
      </c>
      <c r="AI37" s="191" t="str">
        <f t="shared" ref="AI37" si="35">IFERROR(IF(X37="Impacto",(T37-(+T37*AA37)),IF(X37="Probabilidad",T37,"")),"")</f>
        <v/>
      </c>
      <c r="AJ37" s="194"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95"/>
      <c r="AL37" s="186"/>
      <c r="AM37" s="196"/>
      <c r="AN37" s="196"/>
      <c r="AO37" s="197"/>
      <c r="AP37" s="381"/>
      <c r="AQ37" s="381"/>
      <c r="AR37" s="381"/>
    </row>
    <row r="38" spans="1:44" x14ac:dyDescent="0.2">
      <c r="A38" s="418"/>
      <c r="B38" s="387"/>
      <c r="C38" s="387"/>
      <c r="D38" s="387"/>
      <c r="E38" s="387"/>
      <c r="F38" s="387"/>
      <c r="G38" s="360"/>
      <c r="H38" s="360"/>
      <c r="I38" s="360"/>
      <c r="J38" s="360"/>
      <c r="K38" s="360"/>
      <c r="L38" s="360"/>
      <c r="M38" s="360"/>
      <c r="N38" s="381"/>
      <c r="O38" s="367"/>
      <c r="P38" s="364"/>
      <c r="Q38" s="353"/>
      <c r="R38" s="364">
        <f>IF(NOT(ISERROR(MATCH(Q38,_xlfn.ANCHORARRAY(E49),0))),P51&amp;"Por favor no seleccionar los criterios de impacto",Q38)</f>
        <v>0</v>
      </c>
      <c r="S38" s="367"/>
      <c r="T38" s="364"/>
      <c r="U38" s="362"/>
      <c r="V38" s="214">
        <v>2</v>
      </c>
      <c r="W38" s="187"/>
      <c r="X38" s="189" t="str">
        <f>IF(OR(Y38="Preventivo",Y38="Detectivo"),"Probabilidad",IF(Y38="Correctivo","Impacto",""))</f>
        <v/>
      </c>
      <c r="Y38" s="190"/>
      <c r="Z38" s="190"/>
      <c r="AA38" s="191" t="str">
        <f t="shared" ref="AA38:AA42" si="36">IF(AND(Y38="Preventivo",Z38="Automático"),"50%",IF(AND(Y38="Preventivo",Z38="Manual"),"40%",IF(AND(Y38="Detectivo",Z38="Automático"),"40%",IF(AND(Y38="Detectivo",Z38="Manual"),"30%",IF(AND(Y38="Correctivo",Z38="Automático"),"35%",IF(AND(Y38="Correctivo",Z38="Manual"),"25%",""))))))</f>
        <v/>
      </c>
      <c r="AB38" s="190"/>
      <c r="AC38" s="190"/>
      <c r="AD38" s="190"/>
      <c r="AE38" s="192" t="str">
        <f>IFERROR(IF(AND(X37="Probabilidad",X38="Probabilidad"),(AG37-(+AG37*AA38)),IF(X38="Probabilidad",(P37-(+P37*AA38)),IF(X38="Impacto",AG37,""))),"")</f>
        <v/>
      </c>
      <c r="AF38" s="193" t="str">
        <f t="shared" si="2"/>
        <v/>
      </c>
      <c r="AG38" s="191" t="str">
        <f t="shared" ref="AG38:AG42" si="37">+AE38</f>
        <v/>
      </c>
      <c r="AH38" s="193" t="str">
        <f t="shared" si="4"/>
        <v/>
      </c>
      <c r="AI38" s="191" t="str">
        <f t="shared" ref="AI38" si="38">IFERROR(IF(AND(X37="Impacto",X38="Impacto"),(AI37-(+AI37*AA38)),IF(X38="Impacto",($T$13-(+$T$13*AA38)),IF(X38="Probabilidad",AI37,""))),"")</f>
        <v/>
      </c>
      <c r="AJ38" s="194" t="str">
        <f t="shared" ref="AJ38:AJ39" si="39">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95"/>
      <c r="AL38" s="186"/>
      <c r="AM38" s="196"/>
      <c r="AN38" s="196"/>
      <c r="AO38" s="197"/>
      <c r="AP38" s="381"/>
      <c r="AQ38" s="381"/>
      <c r="AR38" s="381"/>
    </row>
    <row r="39" spans="1:44" x14ac:dyDescent="0.2">
      <c r="A39" s="418"/>
      <c r="B39" s="387"/>
      <c r="C39" s="387"/>
      <c r="D39" s="387"/>
      <c r="E39" s="387"/>
      <c r="F39" s="387"/>
      <c r="G39" s="360"/>
      <c r="H39" s="360"/>
      <c r="I39" s="360"/>
      <c r="J39" s="360"/>
      <c r="K39" s="360"/>
      <c r="L39" s="360"/>
      <c r="M39" s="360"/>
      <c r="N39" s="381"/>
      <c r="O39" s="367"/>
      <c r="P39" s="364"/>
      <c r="Q39" s="353"/>
      <c r="R39" s="364">
        <f>IF(NOT(ISERROR(MATCH(Q39,_xlfn.ANCHORARRAY(E50),0))),P52&amp;"Por favor no seleccionar los criterios de impacto",Q39)</f>
        <v>0</v>
      </c>
      <c r="S39" s="367"/>
      <c r="T39" s="364"/>
      <c r="U39" s="362"/>
      <c r="V39" s="214">
        <v>3</v>
      </c>
      <c r="W39" s="188"/>
      <c r="X39" s="189" t="str">
        <f>IF(OR(Y39="Preventivo",Y39="Detectivo"),"Probabilidad",IF(Y39="Correctivo","Impacto",""))</f>
        <v/>
      </c>
      <c r="Y39" s="190"/>
      <c r="Z39" s="190"/>
      <c r="AA39" s="191" t="str">
        <f t="shared" si="36"/>
        <v/>
      </c>
      <c r="AB39" s="190"/>
      <c r="AC39" s="190"/>
      <c r="AD39" s="190"/>
      <c r="AE39" s="192" t="str">
        <f>IFERROR(IF(AND(X38="Probabilidad",X39="Probabilidad"),(AG38-(+AG38*AA39)),IF(AND(X38="Impacto",X39="Probabilidad"),(AG37-(+AG37*AA39)),IF(X39="Impacto",AG38,""))),"")</f>
        <v/>
      </c>
      <c r="AF39" s="193" t="str">
        <f t="shared" si="2"/>
        <v/>
      </c>
      <c r="AG39" s="191" t="str">
        <f t="shared" si="37"/>
        <v/>
      </c>
      <c r="AH39" s="193" t="str">
        <f t="shared" si="4"/>
        <v/>
      </c>
      <c r="AI39" s="191" t="str">
        <f t="shared" ref="AI39" si="40">IFERROR(IF(AND(X38="Impacto",X39="Impacto"),(AI38-(+AI38*AA39)),IF(AND(X38="Probabilidad",X39="Impacto"),(AI37-(+AI37*AA39)),IF(X39="Probabilidad",AI38,""))),"")</f>
        <v/>
      </c>
      <c r="AJ39" s="194" t="str">
        <f t="shared" si="39"/>
        <v/>
      </c>
      <c r="AK39" s="195"/>
      <c r="AL39" s="186"/>
      <c r="AM39" s="196"/>
      <c r="AN39" s="196"/>
      <c r="AO39" s="197"/>
      <c r="AP39" s="381"/>
      <c r="AQ39" s="381"/>
      <c r="AR39" s="381"/>
    </row>
    <row r="40" spans="1:44" x14ac:dyDescent="0.2">
      <c r="A40" s="418"/>
      <c r="B40" s="387"/>
      <c r="C40" s="387"/>
      <c r="D40" s="387"/>
      <c r="E40" s="387"/>
      <c r="F40" s="387"/>
      <c r="G40" s="360"/>
      <c r="H40" s="360"/>
      <c r="I40" s="360"/>
      <c r="J40" s="360"/>
      <c r="K40" s="360"/>
      <c r="L40" s="360"/>
      <c r="M40" s="360"/>
      <c r="N40" s="381"/>
      <c r="O40" s="367"/>
      <c r="P40" s="364"/>
      <c r="Q40" s="353"/>
      <c r="R40" s="364">
        <f>IF(NOT(ISERROR(MATCH(Q40,_xlfn.ANCHORARRAY(E51),0))),P53&amp;"Por favor no seleccionar los criterios de impacto",Q40)</f>
        <v>0</v>
      </c>
      <c r="S40" s="367"/>
      <c r="T40" s="364"/>
      <c r="U40" s="362"/>
      <c r="V40" s="214">
        <v>4</v>
      </c>
      <c r="W40" s="187"/>
      <c r="X40" s="189" t="str">
        <f t="shared" ref="X40:X42" si="41">IF(OR(Y40="Preventivo",Y40="Detectivo"),"Probabilidad",IF(Y40="Correctivo","Impacto",""))</f>
        <v/>
      </c>
      <c r="Y40" s="190"/>
      <c r="Z40" s="190"/>
      <c r="AA40" s="191" t="str">
        <f t="shared" si="36"/>
        <v/>
      </c>
      <c r="AB40" s="190"/>
      <c r="AC40" s="190"/>
      <c r="AD40" s="190"/>
      <c r="AE40" s="192" t="str">
        <f t="shared" ref="AE40:AE42" si="42">IFERROR(IF(AND(X39="Probabilidad",X40="Probabilidad"),(AG39-(+AG39*AA40)),IF(AND(X39="Impacto",X40="Probabilidad"),(AG38-(+AG38*AA40)),IF(X40="Impacto",AG39,""))),"")</f>
        <v/>
      </c>
      <c r="AF40" s="193" t="str">
        <f t="shared" si="2"/>
        <v/>
      </c>
      <c r="AG40" s="191" t="str">
        <f t="shared" si="37"/>
        <v/>
      </c>
      <c r="AH40" s="193" t="str">
        <f t="shared" si="4"/>
        <v/>
      </c>
      <c r="AI40" s="191" t="str">
        <f t="shared" si="13"/>
        <v/>
      </c>
      <c r="AJ40" s="194"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5"/>
      <c r="AL40" s="186"/>
      <c r="AM40" s="196"/>
      <c r="AN40" s="196"/>
      <c r="AO40" s="197"/>
      <c r="AP40" s="381"/>
      <c r="AQ40" s="381"/>
      <c r="AR40" s="381"/>
    </row>
    <row r="41" spans="1:44" x14ac:dyDescent="0.2">
      <c r="A41" s="418"/>
      <c r="B41" s="387"/>
      <c r="C41" s="387"/>
      <c r="D41" s="387"/>
      <c r="E41" s="387"/>
      <c r="F41" s="387"/>
      <c r="G41" s="360"/>
      <c r="H41" s="360"/>
      <c r="I41" s="360"/>
      <c r="J41" s="360"/>
      <c r="K41" s="360"/>
      <c r="L41" s="360"/>
      <c r="M41" s="360"/>
      <c r="N41" s="381"/>
      <c r="O41" s="367"/>
      <c r="P41" s="364"/>
      <c r="Q41" s="353"/>
      <c r="R41" s="364">
        <f>IF(NOT(ISERROR(MATCH(Q41,_xlfn.ANCHORARRAY(E52),0))),P54&amp;"Por favor no seleccionar los criterios de impacto",Q41)</f>
        <v>0</v>
      </c>
      <c r="S41" s="367"/>
      <c r="T41" s="364"/>
      <c r="U41" s="362"/>
      <c r="V41" s="214">
        <v>5</v>
      </c>
      <c r="W41" s="187"/>
      <c r="X41" s="189" t="str">
        <f t="shared" si="41"/>
        <v/>
      </c>
      <c r="Y41" s="190"/>
      <c r="Z41" s="190"/>
      <c r="AA41" s="191" t="str">
        <f t="shared" si="36"/>
        <v/>
      </c>
      <c r="AB41" s="190"/>
      <c r="AC41" s="190"/>
      <c r="AD41" s="190"/>
      <c r="AE41" s="192" t="str">
        <f t="shared" si="42"/>
        <v/>
      </c>
      <c r="AF41" s="193" t="str">
        <f t="shared" si="2"/>
        <v/>
      </c>
      <c r="AG41" s="191" t="str">
        <f t="shared" si="37"/>
        <v/>
      </c>
      <c r="AH41" s="193" t="str">
        <f t="shared" si="4"/>
        <v/>
      </c>
      <c r="AI41" s="191" t="str">
        <f t="shared" si="13"/>
        <v/>
      </c>
      <c r="AJ41" s="194" t="str">
        <f t="shared" ref="AJ41:AJ42" si="43">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95"/>
      <c r="AL41" s="186"/>
      <c r="AM41" s="196"/>
      <c r="AN41" s="196"/>
      <c r="AO41" s="197"/>
      <c r="AP41" s="381"/>
      <c r="AQ41" s="381"/>
      <c r="AR41" s="381"/>
    </row>
    <row r="42" spans="1:44" x14ac:dyDescent="0.2">
      <c r="A42" s="418"/>
      <c r="B42" s="387"/>
      <c r="C42" s="387"/>
      <c r="D42" s="387"/>
      <c r="E42" s="387"/>
      <c r="F42" s="387"/>
      <c r="G42" s="373"/>
      <c r="H42" s="373"/>
      <c r="I42" s="373"/>
      <c r="J42" s="373"/>
      <c r="K42" s="373"/>
      <c r="L42" s="373"/>
      <c r="M42" s="373"/>
      <c r="N42" s="381"/>
      <c r="O42" s="367"/>
      <c r="P42" s="364"/>
      <c r="Q42" s="353"/>
      <c r="R42" s="364">
        <f>IF(NOT(ISERROR(MATCH(Q42,_xlfn.ANCHORARRAY(E53),0))),P55&amp;"Por favor no seleccionar los criterios de impacto",Q42)</f>
        <v>0</v>
      </c>
      <c r="S42" s="367"/>
      <c r="T42" s="364"/>
      <c r="U42" s="362"/>
      <c r="V42" s="214">
        <v>6</v>
      </c>
      <c r="W42" s="187"/>
      <c r="X42" s="189" t="str">
        <f t="shared" si="41"/>
        <v/>
      </c>
      <c r="Y42" s="190"/>
      <c r="Z42" s="190"/>
      <c r="AA42" s="191" t="str">
        <f t="shared" si="36"/>
        <v/>
      </c>
      <c r="AB42" s="190"/>
      <c r="AC42" s="190"/>
      <c r="AD42" s="190"/>
      <c r="AE42" s="192" t="str">
        <f t="shared" si="42"/>
        <v/>
      </c>
      <c r="AF42" s="193" t="str">
        <f t="shared" si="2"/>
        <v/>
      </c>
      <c r="AG42" s="191" t="str">
        <f t="shared" si="37"/>
        <v/>
      </c>
      <c r="AH42" s="193" t="str">
        <f t="shared" si="4"/>
        <v/>
      </c>
      <c r="AI42" s="191" t="str">
        <f t="shared" si="13"/>
        <v/>
      </c>
      <c r="AJ42" s="194" t="str">
        <f t="shared" si="43"/>
        <v/>
      </c>
      <c r="AK42" s="195"/>
      <c r="AL42" s="186"/>
      <c r="AM42" s="196"/>
      <c r="AN42" s="196"/>
      <c r="AO42" s="197"/>
      <c r="AP42" s="381"/>
      <c r="AQ42" s="381"/>
      <c r="AR42" s="381"/>
    </row>
    <row r="43" spans="1:44" x14ac:dyDescent="0.2">
      <c r="A43" s="418">
        <v>6</v>
      </c>
      <c r="B43" s="387"/>
      <c r="C43" s="387"/>
      <c r="D43" s="387"/>
      <c r="E43" s="392"/>
      <c r="F43" s="387"/>
      <c r="G43" s="392"/>
      <c r="H43" s="392"/>
      <c r="I43" s="392"/>
      <c r="J43" s="392"/>
      <c r="K43" s="392"/>
      <c r="L43" s="392"/>
      <c r="M43" s="392"/>
      <c r="N43" s="381"/>
      <c r="O43" s="367" t="str">
        <f>IF(N43&lt;=0,"",IF(N43&lt;=2,"Muy Baja",IF(N43&lt;=24,"Baja",IF(N43&lt;=500,"Media",IF(N43&lt;=5000,"Alta","Muy Alta")))))</f>
        <v/>
      </c>
      <c r="P43" s="364" t="str">
        <f>IF(O43="","",IF(O43="Muy Baja",0.2,IF(O43="Baja",0.4,IF(O43="Media",0.6,IF(O43="Alta",0.8,IF(O43="Muy Alta",1,))))))</f>
        <v/>
      </c>
      <c r="Q43" s="353"/>
      <c r="R43" s="364">
        <f>IF(NOT(ISERROR(MATCH(Q43,'Tabla Impacto'!$B$222:$B$224,0))),'Tabla Impacto'!$F$224&amp;"Por favor no seleccionar los criterios de impacto(Afectación Económica o presupuestal y Pérdida Reputacional)",Q43)</f>
        <v>0</v>
      </c>
      <c r="S43" s="367" t="str">
        <f>IF(OR(R43='Tabla Impacto'!$C$12,R43='Tabla Impacto'!$D$12),"Leve",IF(OR(R43='Tabla Impacto'!$C$13,R43='Tabla Impacto'!$D$13),"Menor",IF(OR(R43='Tabla Impacto'!$C$14,R43='Tabla Impacto'!$D$14),"Moderado",IF(OR(R43='Tabla Impacto'!$C$15,R43='Tabla Impacto'!$D$15),"Mayor",IF(OR(R43='Tabla Impacto'!$C$16,R43='Tabla Impacto'!$D$16),"Catastrófico","")))))</f>
        <v/>
      </c>
      <c r="T43" s="364" t="str">
        <f>IF(S43="","",IF(S43="Leve",0.2,IF(S43="Menor",0.4,IF(S43="Moderado",0.6,IF(S43="Mayor",0.8,IF(S43="Catastrófico",1,))))))</f>
        <v/>
      </c>
      <c r="U43" s="362"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14">
        <v>1</v>
      </c>
      <c r="W43" s="187"/>
      <c r="X43" s="189" t="str">
        <f>IF(OR(Y43="Preventivo",Y43="Detectivo"),"Probabilidad",IF(Y43="Correctivo","Impacto",""))</f>
        <v/>
      </c>
      <c r="Y43" s="190"/>
      <c r="Z43" s="190"/>
      <c r="AA43" s="191" t="str">
        <f>IF(AND(Y43="Preventivo",Z43="Automático"),"50%",IF(AND(Y43="Preventivo",Z43="Manual"),"40%",IF(AND(Y43="Detectivo",Z43="Automático"),"40%",IF(AND(Y43="Detectivo",Z43="Manual"),"30%",IF(AND(Y43="Correctivo",Z43="Automático"),"35%",IF(AND(Y43="Correctivo",Z43="Manual"),"25%",""))))))</f>
        <v/>
      </c>
      <c r="AB43" s="190"/>
      <c r="AC43" s="190"/>
      <c r="AD43" s="190"/>
      <c r="AE43" s="192" t="str">
        <f>IFERROR(IF(X43="Probabilidad",(P43-(+P43*AA43)),IF(X43="Impacto",P43,"")),"")</f>
        <v/>
      </c>
      <c r="AF43" s="193" t="str">
        <f>IFERROR(IF(AE43="","",IF(AE43&lt;=0.2,"Muy Baja",IF(AE43&lt;=0.4,"Baja",IF(AE43&lt;=0.6,"Media",IF(AE43&lt;=0.8,"Alta","Muy Alta"))))),"")</f>
        <v/>
      </c>
      <c r="AG43" s="191" t="str">
        <f>+AE43</f>
        <v/>
      </c>
      <c r="AH43" s="193" t="str">
        <f>IFERROR(IF(AI43="","",IF(AI43&lt;=0.2,"Leve",IF(AI43&lt;=0.4,"Menor",IF(AI43&lt;=0.6,"Moderado",IF(AI43&lt;=0.8,"Mayor","Catastrófico"))))),"")</f>
        <v/>
      </c>
      <c r="AI43" s="191" t="str">
        <f t="shared" ref="AI43" si="44">IFERROR(IF(X43="Impacto",(T43-(+T43*AA43)),IF(X43="Probabilidad",T43,"")),"")</f>
        <v/>
      </c>
      <c r="AJ43" s="194"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90"/>
      <c r="AL43" s="186"/>
      <c r="AM43" s="196"/>
      <c r="AN43" s="196"/>
      <c r="AO43" s="197"/>
      <c r="AP43" s="381"/>
      <c r="AQ43" s="381"/>
      <c r="AR43" s="381"/>
    </row>
    <row r="44" spans="1:44" x14ac:dyDescent="0.2">
      <c r="A44" s="418"/>
      <c r="B44" s="387"/>
      <c r="C44" s="387"/>
      <c r="D44" s="387"/>
      <c r="E44" s="360"/>
      <c r="F44" s="387"/>
      <c r="G44" s="360"/>
      <c r="H44" s="360"/>
      <c r="I44" s="360"/>
      <c r="J44" s="360"/>
      <c r="K44" s="360"/>
      <c r="L44" s="360"/>
      <c r="M44" s="360"/>
      <c r="N44" s="381"/>
      <c r="O44" s="367"/>
      <c r="P44" s="364"/>
      <c r="Q44" s="353"/>
      <c r="R44" s="364">
        <f>IF(NOT(ISERROR(MATCH(Q44,_xlfn.ANCHORARRAY(E55),0))),P57&amp;"Por favor no seleccionar los criterios de impacto",Q44)</f>
        <v>0</v>
      </c>
      <c r="S44" s="367"/>
      <c r="T44" s="364"/>
      <c r="U44" s="362"/>
      <c r="V44" s="214">
        <v>2</v>
      </c>
      <c r="W44" s="187"/>
      <c r="X44" s="189" t="str">
        <f>IF(OR(Y44="Preventivo",Y44="Detectivo"),"Probabilidad",IF(Y44="Correctivo","Impacto",""))</f>
        <v/>
      </c>
      <c r="Y44" s="190"/>
      <c r="Z44" s="190"/>
      <c r="AA44" s="191" t="str">
        <f t="shared" ref="AA44:AA48" si="45">IF(AND(Y44="Preventivo",Z44="Automático"),"50%",IF(AND(Y44="Preventivo",Z44="Manual"),"40%",IF(AND(Y44="Detectivo",Z44="Automático"),"40%",IF(AND(Y44="Detectivo",Z44="Manual"),"30%",IF(AND(Y44="Correctivo",Z44="Automático"),"35%",IF(AND(Y44="Correctivo",Z44="Manual"),"25%",""))))))</f>
        <v/>
      </c>
      <c r="AB44" s="190"/>
      <c r="AC44" s="190"/>
      <c r="AD44" s="190"/>
      <c r="AE44" s="192" t="str">
        <f>IFERROR(IF(AND(X43="Probabilidad",X44="Probabilidad"),(AG43-(+AG43*AA44)),IF(X44="Probabilidad",(P43-(+P43*AA44)),IF(X44="Impacto",AG43,""))),"")</f>
        <v/>
      </c>
      <c r="AF44" s="193" t="str">
        <f t="shared" si="2"/>
        <v/>
      </c>
      <c r="AG44" s="191" t="str">
        <f t="shared" ref="AG44:AG48" si="46">+AE44</f>
        <v/>
      </c>
      <c r="AH44" s="193" t="str">
        <f t="shared" si="4"/>
        <v/>
      </c>
      <c r="AI44" s="191" t="str">
        <f t="shared" ref="AI44" si="47">IFERROR(IF(AND(X43="Impacto",X44="Impacto"),(AI43-(+AI43*AA44)),IF(X44="Impacto",($T$13-(+$T$13*AA44)),IF(X44="Probabilidad",AI43,""))),"")</f>
        <v/>
      </c>
      <c r="AJ44" s="194" t="str">
        <f t="shared" ref="AJ44:AJ45" si="48">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95"/>
      <c r="AL44" s="186"/>
      <c r="AM44" s="196"/>
      <c r="AN44" s="196"/>
      <c r="AO44" s="197"/>
      <c r="AP44" s="381"/>
      <c r="AQ44" s="381"/>
      <c r="AR44" s="381"/>
    </row>
    <row r="45" spans="1:44" x14ac:dyDescent="0.2">
      <c r="A45" s="418"/>
      <c r="B45" s="387"/>
      <c r="C45" s="387"/>
      <c r="D45" s="387"/>
      <c r="E45" s="360"/>
      <c r="F45" s="387"/>
      <c r="G45" s="360"/>
      <c r="H45" s="360"/>
      <c r="I45" s="360"/>
      <c r="J45" s="360"/>
      <c r="K45" s="360"/>
      <c r="L45" s="360"/>
      <c r="M45" s="360"/>
      <c r="N45" s="381"/>
      <c r="O45" s="367"/>
      <c r="P45" s="364"/>
      <c r="Q45" s="353"/>
      <c r="R45" s="364">
        <f>IF(NOT(ISERROR(MATCH(Q45,_xlfn.ANCHORARRAY(E56),0))),P58&amp;"Por favor no seleccionar los criterios de impacto",Q45)</f>
        <v>0</v>
      </c>
      <c r="S45" s="367"/>
      <c r="T45" s="364"/>
      <c r="U45" s="362"/>
      <c r="V45" s="214">
        <v>3</v>
      </c>
      <c r="W45" s="188"/>
      <c r="X45" s="189" t="str">
        <f>IF(OR(Y45="Preventivo",Y45="Detectivo"),"Probabilidad",IF(Y45="Correctivo","Impacto",""))</f>
        <v/>
      </c>
      <c r="Y45" s="190"/>
      <c r="Z45" s="190"/>
      <c r="AA45" s="191" t="str">
        <f t="shared" si="45"/>
        <v/>
      </c>
      <c r="AB45" s="190"/>
      <c r="AC45" s="190"/>
      <c r="AD45" s="190"/>
      <c r="AE45" s="192" t="str">
        <f>IFERROR(IF(AND(X44="Probabilidad",X45="Probabilidad"),(AG44-(+AG44*AA45)),IF(AND(X44="Impacto",X45="Probabilidad"),(AG43-(+AG43*AA45)),IF(X45="Impacto",AG44,""))),"")</f>
        <v/>
      </c>
      <c r="AF45" s="193" t="str">
        <f t="shared" si="2"/>
        <v/>
      </c>
      <c r="AG45" s="191" t="str">
        <f t="shared" si="46"/>
        <v/>
      </c>
      <c r="AH45" s="193" t="str">
        <f t="shared" si="4"/>
        <v/>
      </c>
      <c r="AI45" s="191" t="str">
        <f t="shared" ref="AI45" si="49">IFERROR(IF(AND(X44="Impacto",X45="Impacto"),(AI44-(+AI44*AA45)),IF(AND(X44="Probabilidad",X45="Impacto"),(AI43-(+AI43*AA45)),IF(X45="Probabilidad",AI44,""))),"")</f>
        <v/>
      </c>
      <c r="AJ45" s="194" t="str">
        <f t="shared" si="48"/>
        <v/>
      </c>
      <c r="AK45" s="195"/>
      <c r="AL45" s="186"/>
      <c r="AM45" s="196"/>
      <c r="AN45" s="196"/>
      <c r="AO45" s="197"/>
      <c r="AP45" s="381"/>
      <c r="AQ45" s="381"/>
      <c r="AR45" s="381"/>
    </row>
    <row r="46" spans="1:44" x14ac:dyDescent="0.2">
      <c r="A46" s="418"/>
      <c r="B46" s="387"/>
      <c r="C46" s="387"/>
      <c r="D46" s="387"/>
      <c r="E46" s="360"/>
      <c r="F46" s="387"/>
      <c r="G46" s="360"/>
      <c r="H46" s="360"/>
      <c r="I46" s="360"/>
      <c r="J46" s="360"/>
      <c r="K46" s="360"/>
      <c r="L46" s="360"/>
      <c r="M46" s="360"/>
      <c r="N46" s="381"/>
      <c r="O46" s="367"/>
      <c r="P46" s="364"/>
      <c r="Q46" s="353"/>
      <c r="R46" s="364">
        <f>IF(NOT(ISERROR(MATCH(Q46,_xlfn.ANCHORARRAY(E57),0))),P59&amp;"Por favor no seleccionar los criterios de impacto",Q46)</f>
        <v>0</v>
      </c>
      <c r="S46" s="367"/>
      <c r="T46" s="364"/>
      <c r="U46" s="362"/>
      <c r="V46" s="214">
        <v>4</v>
      </c>
      <c r="W46" s="187"/>
      <c r="X46" s="189" t="str">
        <f t="shared" ref="X46:X48" si="50">IF(OR(Y46="Preventivo",Y46="Detectivo"),"Probabilidad",IF(Y46="Correctivo","Impacto",""))</f>
        <v/>
      </c>
      <c r="Y46" s="190"/>
      <c r="Z46" s="190"/>
      <c r="AA46" s="191" t="str">
        <f t="shared" si="45"/>
        <v/>
      </c>
      <c r="AB46" s="190"/>
      <c r="AC46" s="190"/>
      <c r="AD46" s="190"/>
      <c r="AE46" s="192" t="str">
        <f t="shared" ref="AE46:AE48" si="51">IFERROR(IF(AND(X45="Probabilidad",X46="Probabilidad"),(AG45-(+AG45*AA46)),IF(AND(X45="Impacto",X46="Probabilidad"),(AG44-(+AG44*AA46)),IF(X46="Impacto",AG45,""))),"")</f>
        <v/>
      </c>
      <c r="AF46" s="193" t="str">
        <f t="shared" si="2"/>
        <v/>
      </c>
      <c r="AG46" s="191" t="str">
        <f t="shared" si="46"/>
        <v/>
      </c>
      <c r="AH46" s="193" t="str">
        <f t="shared" si="4"/>
        <v/>
      </c>
      <c r="AI46" s="191" t="str">
        <f t="shared" si="13"/>
        <v/>
      </c>
      <c r="AJ46" s="194"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5"/>
      <c r="AL46" s="186"/>
      <c r="AM46" s="196"/>
      <c r="AN46" s="196"/>
      <c r="AO46" s="197"/>
      <c r="AP46" s="381"/>
      <c r="AQ46" s="381"/>
      <c r="AR46" s="381"/>
    </row>
    <row r="47" spans="1:44" x14ac:dyDescent="0.2">
      <c r="A47" s="418"/>
      <c r="B47" s="387"/>
      <c r="C47" s="387"/>
      <c r="D47" s="387"/>
      <c r="E47" s="360"/>
      <c r="F47" s="387"/>
      <c r="G47" s="360"/>
      <c r="H47" s="360"/>
      <c r="I47" s="360"/>
      <c r="J47" s="360"/>
      <c r="K47" s="360"/>
      <c r="L47" s="360"/>
      <c r="M47" s="360"/>
      <c r="N47" s="381"/>
      <c r="O47" s="367"/>
      <c r="P47" s="364"/>
      <c r="Q47" s="353"/>
      <c r="R47" s="364">
        <f>IF(NOT(ISERROR(MATCH(Q47,_xlfn.ANCHORARRAY(E58),0))),P60&amp;"Por favor no seleccionar los criterios de impacto",Q47)</f>
        <v>0</v>
      </c>
      <c r="S47" s="367"/>
      <c r="T47" s="364"/>
      <c r="U47" s="362"/>
      <c r="V47" s="214">
        <v>5</v>
      </c>
      <c r="W47" s="187"/>
      <c r="X47" s="189" t="str">
        <f t="shared" si="50"/>
        <v/>
      </c>
      <c r="Y47" s="190"/>
      <c r="Z47" s="190"/>
      <c r="AA47" s="191" t="str">
        <f t="shared" si="45"/>
        <v/>
      </c>
      <c r="AB47" s="190"/>
      <c r="AC47" s="190"/>
      <c r="AD47" s="190"/>
      <c r="AE47" s="192" t="str">
        <f t="shared" si="51"/>
        <v/>
      </c>
      <c r="AF47" s="193" t="str">
        <f t="shared" si="2"/>
        <v/>
      </c>
      <c r="AG47" s="191" t="str">
        <f t="shared" si="46"/>
        <v/>
      </c>
      <c r="AH47" s="193" t="str">
        <f t="shared" si="4"/>
        <v/>
      </c>
      <c r="AI47" s="191" t="str">
        <f t="shared" si="13"/>
        <v/>
      </c>
      <c r="AJ47" s="194" t="str">
        <f t="shared" ref="AJ47" si="52">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95"/>
      <c r="AL47" s="186"/>
      <c r="AM47" s="196"/>
      <c r="AN47" s="196"/>
      <c r="AO47" s="197"/>
      <c r="AP47" s="381"/>
      <c r="AQ47" s="381"/>
      <c r="AR47" s="381"/>
    </row>
    <row r="48" spans="1:44" x14ac:dyDescent="0.2">
      <c r="A48" s="418"/>
      <c r="B48" s="387"/>
      <c r="C48" s="387"/>
      <c r="D48" s="387"/>
      <c r="E48" s="373"/>
      <c r="F48" s="387"/>
      <c r="G48" s="373"/>
      <c r="H48" s="373"/>
      <c r="I48" s="373"/>
      <c r="J48" s="373"/>
      <c r="K48" s="373"/>
      <c r="L48" s="373"/>
      <c r="M48" s="373"/>
      <c r="N48" s="381"/>
      <c r="O48" s="367"/>
      <c r="P48" s="364"/>
      <c r="Q48" s="353"/>
      <c r="R48" s="364">
        <f>IF(NOT(ISERROR(MATCH(Q48,_xlfn.ANCHORARRAY(E59),0))),P61&amp;"Por favor no seleccionar los criterios de impacto",Q48)</f>
        <v>0</v>
      </c>
      <c r="S48" s="367"/>
      <c r="T48" s="364"/>
      <c r="U48" s="362"/>
      <c r="V48" s="214">
        <v>6</v>
      </c>
      <c r="W48" s="187"/>
      <c r="X48" s="189" t="str">
        <f t="shared" si="50"/>
        <v/>
      </c>
      <c r="Y48" s="190"/>
      <c r="Z48" s="190"/>
      <c r="AA48" s="191" t="str">
        <f t="shared" si="45"/>
        <v/>
      </c>
      <c r="AB48" s="190"/>
      <c r="AC48" s="190"/>
      <c r="AD48" s="190"/>
      <c r="AE48" s="192" t="str">
        <f t="shared" si="51"/>
        <v/>
      </c>
      <c r="AF48" s="193" t="str">
        <f t="shared" si="2"/>
        <v/>
      </c>
      <c r="AG48" s="191" t="str">
        <f t="shared" si="46"/>
        <v/>
      </c>
      <c r="AH48" s="193" t="str">
        <f>IFERROR(IF(AI48="","",IF(AI48&lt;=0.2,"Leve",IF(AI48&lt;=0.4,"Menor",IF(AI48&lt;=0.6,"Moderado",IF(AI48&lt;=0.8,"Mayor","Catastrófico"))))),"")</f>
        <v/>
      </c>
      <c r="AI48" s="191" t="str">
        <f t="shared" si="13"/>
        <v/>
      </c>
      <c r="AJ48" s="194"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95"/>
      <c r="AL48" s="186"/>
      <c r="AM48" s="196"/>
      <c r="AN48" s="196"/>
      <c r="AO48" s="197"/>
      <c r="AP48" s="381"/>
      <c r="AQ48" s="381"/>
      <c r="AR48" s="381"/>
    </row>
    <row r="49" spans="1:44" x14ac:dyDescent="0.2">
      <c r="A49" s="418">
        <v>7</v>
      </c>
      <c r="B49" s="387"/>
      <c r="C49" s="387"/>
      <c r="D49" s="421"/>
      <c r="E49" s="387"/>
      <c r="F49" s="387"/>
      <c r="G49" s="392"/>
      <c r="H49" s="392"/>
      <c r="I49" s="392"/>
      <c r="J49" s="392"/>
      <c r="K49" s="392"/>
      <c r="L49" s="392"/>
      <c r="M49" s="392"/>
      <c r="N49" s="381"/>
      <c r="O49" s="367" t="str">
        <f>IF(N49&lt;=0,"",IF(N49&lt;=2,"Muy Baja",IF(N49&lt;=24,"Baja",IF(N49&lt;=500,"Media",IF(N49&lt;=5000,"Alta","Muy Alta")))))</f>
        <v/>
      </c>
      <c r="P49" s="364" t="str">
        <f>IF(O49="","",IF(O49="Muy Baja",0.2,IF(O49="Baja",0.4,IF(O49="Media",0.6,IF(O49="Alta",0.8,IF(O49="Muy Alta",1,))))))</f>
        <v/>
      </c>
      <c r="Q49" s="353"/>
      <c r="R49" s="364">
        <f>IF(NOT(ISERROR(MATCH(Q49,'Tabla Impacto'!$B$222:$B$224,0))),'Tabla Impacto'!$F$224&amp;"Por favor no seleccionar los criterios de impacto(Afectación Económica o presupuestal y Pérdida Reputacional)",Q49)</f>
        <v>0</v>
      </c>
      <c r="S49" s="367" t="str">
        <f>IF(OR(R49='Tabla Impacto'!$C$12,R49='Tabla Impacto'!$D$12),"Leve",IF(OR(R49='Tabla Impacto'!$C$13,R49='Tabla Impacto'!$D$13),"Menor",IF(OR(R49='Tabla Impacto'!$C$14,R49='Tabla Impacto'!$D$14),"Moderado",IF(OR(R49='Tabla Impacto'!$C$15,R49='Tabla Impacto'!$D$15),"Mayor",IF(OR(R49='Tabla Impacto'!$C$16,R49='Tabla Impacto'!$D$16),"Catastrófico","")))))</f>
        <v/>
      </c>
      <c r="T49" s="364" t="str">
        <f>IF(S49="","",IF(S49="Leve",0.2,IF(S49="Menor",0.4,IF(S49="Moderado",0.6,IF(S49="Mayor",0.8,IF(S49="Catastrófico",1,))))))</f>
        <v/>
      </c>
      <c r="U49" s="362"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14">
        <v>1</v>
      </c>
      <c r="W49" s="199"/>
      <c r="X49" s="189" t="str">
        <f>IF(OR(Y49="Preventivo",Y49="Detectivo"),"Probabilidad",IF(Y49="Correctivo","Impacto",""))</f>
        <v/>
      </c>
      <c r="Y49" s="190"/>
      <c r="Z49" s="190"/>
      <c r="AA49" s="191" t="str">
        <f>IF(AND(Y49="Preventivo",Z49="Automático"),"50%",IF(AND(Y49="Preventivo",Z49="Manual"),"40%",IF(AND(Y49="Detectivo",Z49="Automático"),"40%",IF(AND(Y49="Detectivo",Z49="Manual"),"30%",IF(AND(Y49="Correctivo",Z49="Automático"),"35%",IF(AND(Y49="Correctivo",Z49="Manual"),"25%",""))))))</f>
        <v/>
      </c>
      <c r="AB49" s="190"/>
      <c r="AC49" s="190"/>
      <c r="AD49" s="190"/>
      <c r="AE49" s="192" t="str">
        <f>IFERROR(IF(X49="Probabilidad",(P49-(+P49*AA49)),IF(X49="Impacto",P49,"")),"")</f>
        <v/>
      </c>
      <c r="AF49" s="193" t="str">
        <f>IFERROR(IF(AE49="","",IF(AE49&lt;=0.2,"Muy Baja",IF(AE49&lt;=0.4,"Baja",IF(AE49&lt;=0.6,"Media",IF(AE49&lt;=0.8,"Alta","Muy Alta"))))),"")</f>
        <v/>
      </c>
      <c r="AG49" s="191" t="str">
        <f>+AE49</f>
        <v/>
      </c>
      <c r="AH49" s="193" t="str">
        <f>IFERROR(IF(AI49="","",IF(AI49&lt;=0.2,"Leve",IF(AI49&lt;=0.4,"Menor",IF(AI49&lt;=0.6,"Moderado",IF(AI49&lt;=0.8,"Mayor","Catastrófico"))))),"")</f>
        <v/>
      </c>
      <c r="AI49" s="191" t="str">
        <f t="shared" ref="AI49" si="53">IFERROR(IF(X49="Impacto",(T49-(+T49*AA49)),IF(X49="Probabilidad",T49,"")),"")</f>
        <v/>
      </c>
      <c r="AJ49" s="194"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5"/>
      <c r="AL49" s="186"/>
      <c r="AM49" s="196"/>
      <c r="AN49" s="196"/>
      <c r="AO49" s="197"/>
      <c r="AP49" s="381"/>
      <c r="AQ49" s="381"/>
      <c r="AR49" s="381"/>
    </row>
    <row r="50" spans="1:44" x14ac:dyDescent="0.2">
      <c r="A50" s="418"/>
      <c r="B50" s="387"/>
      <c r="C50" s="387"/>
      <c r="D50" s="421"/>
      <c r="E50" s="387"/>
      <c r="F50" s="387"/>
      <c r="G50" s="360"/>
      <c r="H50" s="360"/>
      <c r="I50" s="360"/>
      <c r="J50" s="360"/>
      <c r="K50" s="360"/>
      <c r="L50" s="360"/>
      <c r="M50" s="360"/>
      <c r="N50" s="381"/>
      <c r="O50" s="367"/>
      <c r="P50" s="364"/>
      <c r="Q50" s="353"/>
      <c r="R50" s="364">
        <f>IF(NOT(ISERROR(MATCH(Q50,_xlfn.ANCHORARRAY(E61),0))),P63&amp;"Por favor no seleccionar los criterios de impacto",Q50)</f>
        <v>0</v>
      </c>
      <c r="S50" s="367"/>
      <c r="T50" s="364"/>
      <c r="U50" s="362"/>
      <c r="V50" s="214">
        <v>2</v>
      </c>
      <c r="W50" s="187"/>
      <c r="X50" s="189" t="str">
        <f>IF(OR(Y50="Preventivo",Y50="Detectivo"),"Probabilidad",IF(Y50="Correctivo","Impacto",""))</f>
        <v/>
      </c>
      <c r="Y50" s="190"/>
      <c r="Z50" s="190"/>
      <c r="AA50" s="191" t="str">
        <f t="shared" ref="AA50:AA54" si="54">IF(AND(Y50="Preventivo",Z50="Automático"),"50%",IF(AND(Y50="Preventivo",Z50="Manual"),"40%",IF(AND(Y50="Detectivo",Z50="Automático"),"40%",IF(AND(Y50="Detectivo",Z50="Manual"),"30%",IF(AND(Y50="Correctivo",Z50="Automático"),"35%",IF(AND(Y50="Correctivo",Z50="Manual"),"25%",""))))))</f>
        <v/>
      </c>
      <c r="AB50" s="190"/>
      <c r="AC50" s="190"/>
      <c r="AD50" s="190"/>
      <c r="AE50" s="192" t="str">
        <f>IFERROR(IF(AND(X49="Probabilidad",X50="Probabilidad"),(AG49-(+AG49*AA50)),IF(X50="Probabilidad",(P49-(+P49*AA50)),IF(X50="Impacto",AG49,""))),"")</f>
        <v/>
      </c>
      <c r="AF50" s="193" t="str">
        <f t="shared" si="2"/>
        <v/>
      </c>
      <c r="AG50" s="191" t="str">
        <f t="shared" ref="AG50:AG54" si="55">+AE50</f>
        <v/>
      </c>
      <c r="AH50" s="193" t="str">
        <f t="shared" si="4"/>
        <v/>
      </c>
      <c r="AI50" s="191" t="str">
        <f t="shared" ref="AI50" si="56">IFERROR(IF(AND(X49="Impacto",X50="Impacto"),(AI49-(+AI49*AA50)),IF(X50="Impacto",($T$13-(+$T$13*AA50)),IF(X50="Probabilidad",AI49,""))),"")</f>
        <v/>
      </c>
      <c r="AJ50" s="194" t="str">
        <f t="shared" ref="AJ50:AJ51" si="57">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95"/>
      <c r="AL50" s="186"/>
      <c r="AM50" s="196"/>
      <c r="AN50" s="196"/>
      <c r="AO50" s="197"/>
      <c r="AP50" s="381"/>
      <c r="AQ50" s="381"/>
      <c r="AR50" s="381"/>
    </row>
    <row r="51" spans="1:44" x14ac:dyDescent="0.2">
      <c r="A51" s="418"/>
      <c r="B51" s="387"/>
      <c r="C51" s="387"/>
      <c r="D51" s="421"/>
      <c r="E51" s="387"/>
      <c r="F51" s="387"/>
      <c r="G51" s="360"/>
      <c r="H51" s="360"/>
      <c r="I51" s="360"/>
      <c r="J51" s="360"/>
      <c r="K51" s="360"/>
      <c r="L51" s="360"/>
      <c r="M51" s="360"/>
      <c r="N51" s="381"/>
      <c r="O51" s="367"/>
      <c r="P51" s="364"/>
      <c r="Q51" s="353"/>
      <c r="R51" s="364">
        <f>IF(NOT(ISERROR(MATCH(Q51,_xlfn.ANCHORARRAY(E62),0))),P64&amp;"Por favor no seleccionar los criterios de impacto",Q51)</f>
        <v>0</v>
      </c>
      <c r="S51" s="367"/>
      <c r="T51" s="364"/>
      <c r="U51" s="362"/>
      <c r="V51" s="214">
        <v>3</v>
      </c>
      <c r="W51" s="188"/>
      <c r="X51" s="189" t="str">
        <f>IF(OR(Y51="Preventivo",Y51="Detectivo"),"Probabilidad",IF(Y51="Correctivo","Impacto",""))</f>
        <v/>
      </c>
      <c r="Y51" s="190"/>
      <c r="Z51" s="190"/>
      <c r="AA51" s="191" t="str">
        <f t="shared" si="54"/>
        <v/>
      </c>
      <c r="AB51" s="190"/>
      <c r="AC51" s="190"/>
      <c r="AD51" s="190"/>
      <c r="AE51" s="192" t="str">
        <f>IFERROR(IF(AND(X50="Probabilidad",X51="Probabilidad"),(AG50-(+AG50*AA51)),IF(AND(X50="Impacto",X51="Probabilidad"),(AG49-(+AG49*AA51)),IF(X51="Impacto",AG50,""))),"")</f>
        <v/>
      </c>
      <c r="AF51" s="193" t="str">
        <f t="shared" si="2"/>
        <v/>
      </c>
      <c r="AG51" s="191" t="str">
        <f t="shared" si="55"/>
        <v/>
      </c>
      <c r="AH51" s="193" t="str">
        <f t="shared" si="4"/>
        <v/>
      </c>
      <c r="AI51" s="191" t="str">
        <f t="shared" ref="AI51" si="58">IFERROR(IF(AND(X50="Impacto",X51="Impacto"),(AI50-(+AI50*AA51)),IF(AND(X50="Probabilidad",X51="Impacto"),(AI49-(+AI49*AA51)),IF(X51="Probabilidad",AI50,""))),"")</f>
        <v/>
      </c>
      <c r="AJ51" s="194" t="str">
        <f t="shared" si="57"/>
        <v/>
      </c>
      <c r="AK51" s="195"/>
      <c r="AL51" s="186"/>
      <c r="AM51" s="196"/>
      <c r="AN51" s="196"/>
      <c r="AO51" s="197"/>
      <c r="AP51" s="381"/>
      <c r="AQ51" s="381"/>
      <c r="AR51" s="381"/>
    </row>
    <row r="52" spans="1:44" x14ac:dyDescent="0.2">
      <c r="A52" s="418"/>
      <c r="B52" s="387"/>
      <c r="C52" s="387"/>
      <c r="D52" s="421"/>
      <c r="E52" s="387"/>
      <c r="F52" s="387"/>
      <c r="G52" s="360"/>
      <c r="H52" s="360"/>
      <c r="I52" s="360"/>
      <c r="J52" s="360"/>
      <c r="K52" s="360"/>
      <c r="L52" s="360"/>
      <c r="M52" s="360"/>
      <c r="N52" s="381"/>
      <c r="O52" s="367"/>
      <c r="P52" s="364"/>
      <c r="Q52" s="353"/>
      <c r="R52" s="364">
        <f>IF(NOT(ISERROR(MATCH(Q52,_xlfn.ANCHORARRAY(E63),0))),P65&amp;"Por favor no seleccionar los criterios de impacto",Q52)</f>
        <v>0</v>
      </c>
      <c r="S52" s="367"/>
      <c r="T52" s="364"/>
      <c r="U52" s="362"/>
      <c r="V52" s="214">
        <v>4</v>
      </c>
      <c r="W52" s="187"/>
      <c r="X52" s="189" t="str">
        <f t="shared" ref="X52:X54" si="59">IF(OR(Y52="Preventivo",Y52="Detectivo"),"Probabilidad",IF(Y52="Correctivo","Impacto",""))</f>
        <v/>
      </c>
      <c r="Y52" s="190"/>
      <c r="Z52" s="190"/>
      <c r="AA52" s="191" t="str">
        <f t="shared" si="54"/>
        <v/>
      </c>
      <c r="AB52" s="190"/>
      <c r="AC52" s="190"/>
      <c r="AD52" s="190"/>
      <c r="AE52" s="192" t="str">
        <f t="shared" ref="AE52:AE54" si="60">IFERROR(IF(AND(X51="Probabilidad",X52="Probabilidad"),(AG51-(+AG51*AA52)),IF(AND(X51="Impacto",X52="Probabilidad"),(AG50-(+AG50*AA52)),IF(X52="Impacto",AG51,""))),"")</f>
        <v/>
      </c>
      <c r="AF52" s="193" t="str">
        <f t="shared" si="2"/>
        <v/>
      </c>
      <c r="AG52" s="191" t="str">
        <f t="shared" si="55"/>
        <v/>
      </c>
      <c r="AH52" s="193" t="str">
        <f t="shared" si="4"/>
        <v/>
      </c>
      <c r="AI52" s="191" t="str">
        <f t="shared" si="13"/>
        <v/>
      </c>
      <c r="AJ52" s="194"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5"/>
      <c r="AL52" s="186"/>
      <c r="AM52" s="196"/>
      <c r="AN52" s="196"/>
      <c r="AO52" s="197"/>
      <c r="AP52" s="381"/>
      <c r="AQ52" s="381"/>
      <c r="AR52" s="381"/>
    </row>
    <row r="53" spans="1:44" x14ac:dyDescent="0.2">
      <c r="A53" s="418"/>
      <c r="B53" s="387"/>
      <c r="C53" s="387"/>
      <c r="D53" s="421"/>
      <c r="E53" s="387"/>
      <c r="F53" s="387"/>
      <c r="G53" s="360"/>
      <c r="H53" s="360"/>
      <c r="I53" s="360"/>
      <c r="J53" s="360"/>
      <c r="K53" s="360"/>
      <c r="L53" s="360"/>
      <c r="M53" s="360"/>
      <c r="N53" s="381"/>
      <c r="O53" s="367"/>
      <c r="P53" s="364"/>
      <c r="Q53" s="353"/>
      <c r="R53" s="364">
        <f>IF(NOT(ISERROR(MATCH(Q53,_xlfn.ANCHORARRAY(E64),0))),P66&amp;"Por favor no seleccionar los criterios de impacto",Q53)</f>
        <v>0</v>
      </c>
      <c r="S53" s="367"/>
      <c r="T53" s="364"/>
      <c r="U53" s="362"/>
      <c r="V53" s="214">
        <v>5</v>
      </c>
      <c r="W53" s="187"/>
      <c r="X53" s="189" t="str">
        <f t="shared" si="59"/>
        <v/>
      </c>
      <c r="Y53" s="190"/>
      <c r="Z53" s="190"/>
      <c r="AA53" s="191" t="str">
        <f t="shared" si="54"/>
        <v/>
      </c>
      <c r="AB53" s="190"/>
      <c r="AC53" s="190"/>
      <c r="AD53" s="190"/>
      <c r="AE53" s="192" t="str">
        <f t="shared" si="60"/>
        <v/>
      </c>
      <c r="AF53" s="193" t="str">
        <f t="shared" si="2"/>
        <v/>
      </c>
      <c r="AG53" s="191" t="str">
        <f t="shared" si="55"/>
        <v/>
      </c>
      <c r="AH53" s="193" t="str">
        <f t="shared" si="4"/>
        <v/>
      </c>
      <c r="AI53" s="191" t="str">
        <f t="shared" si="13"/>
        <v/>
      </c>
      <c r="AJ53" s="194" t="str">
        <f t="shared" ref="AJ53:AJ54" si="61">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95"/>
      <c r="AL53" s="186"/>
      <c r="AM53" s="196"/>
      <c r="AN53" s="196"/>
      <c r="AO53" s="197"/>
      <c r="AP53" s="381"/>
      <c r="AQ53" s="381"/>
      <c r="AR53" s="381"/>
    </row>
    <row r="54" spans="1:44" x14ac:dyDescent="0.2">
      <c r="A54" s="418"/>
      <c r="B54" s="387"/>
      <c r="C54" s="387"/>
      <c r="D54" s="421"/>
      <c r="E54" s="387"/>
      <c r="F54" s="387"/>
      <c r="G54" s="373"/>
      <c r="H54" s="373"/>
      <c r="I54" s="373"/>
      <c r="J54" s="373"/>
      <c r="K54" s="373"/>
      <c r="L54" s="373"/>
      <c r="M54" s="373"/>
      <c r="N54" s="381"/>
      <c r="O54" s="367"/>
      <c r="P54" s="364"/>
      <c r="Q54" s="353"/>
      <c r="R54" s="364">
        <f>IF(NOT(ISERROR(MATCH(Q54,_xlfn.ANCHORARRAY(E65),0))),P67&amp;"Por favor no seleccionar los criterios de impacto",Q54)</f>
        <v>0</v>
      </c>
      <c r="S54" s="367"/>
      <c r="T54" s="364"/>
      <c r="U54" s="362"/>
      <c r="V54" s="214">
        <v>6</v>
      </c>
      <c r="W54" s="187"/>
      <c r="X54" s="189" t="str">
        <f t="shared" si="59"/>
        <v/>
      </c>
      <c r="Y54" s="190"/>
      <c r="Z54" s="190"/>
      <c r="AA54" s="191" t="str">
        <f t="shared" si="54"/>
        <v/>
      </c>
      <c r="AB54" s="190"/>
      <c r="AC54" s="190"/>
      <c r="AD54" s="190"/>
      <c r="AE54" s="192" t="str">
        <f t="shared" si="60"/>
        <v/>
      </c>
      <c r="AF54" s="193" t="str">
        <f t="shared" si="2"/>
        <v/>
      </c>
      <c r="AG54" s="191" t="str">
        <f t="shared" si="55"/>
        <v/>
      </c>
      <c r="AH54" s="193" t="str">
        <f t="shared" si="4"/>
        <v/>
      </c>
      <c r="AI54" s="191" t="str">
        <f t="shared" si="13"/>
        <v/>
      </c>
      <c r="AJ54" s="194" t="str">
        <f t="shared" si="61"/>
        <v/>
      </c>
      <c r="AK54" s="195"/>
      <c r="AL54" s="186"/>
      <c r="AM54" s="196"/>
      <c r="AN54" s="196"/>
      <c r="AO54" s="197"/>
      <c r="AP54" s="381"/>
      <c r="AQ54" s="381"/>
      <c r="AR54" s="381"/>
    </row>
    <row r="55" spans="1:44" x14ac:dyDescent="0.2">
      <c r="A55" s="418">
        <v>8</v>
      </c>
      <c r="B55" s="387"/>
      <c r="C55" s="387"/>
      <c r="D55" s="387"/>
      <c r="E55" s="387"/>
      <c r="F55" s="387"/>
      <c r="G55" s="392"/>
      <c r="H55" s="392"/>
      <c r="I55" s="392"/>
      <c r="J55" s="392"/>
      <c r="K55" s="392"/>
      <c r="L55" s="392"/>
      <c r="M55" s="392"/>
      <c r="N55" s="381"/>
      <c r="O55" s="367" t="str">
        <f>IF(N55&lt;=0,"",IF(N55&lt;=2,"Muy Baja",IF(N55&lt;=24,"Baja",IF(N55&lt;=500,"Media",IF(N55&lt;=5000,"Alta","Muy Alta")))))</f>
        <v/>
      </c>
      <c r="P55" s="364" t="str">
        <f>IF(O55="","",IF(O55="Muy Baja",0.2,IF(O55="Baja",0.4,IF(O55="Media",0.6,IF(O55="Alta",0.8,IF(O55="Muy Alta",1,))))))</f>
        <v/>
      </c>
      <c r="Q55" s="353"/>
      <c r="R55" s="364">
        <f>IF(NOT(ISERROR(MATCH(Q55,'Tabla Impacto'!$B$222:$B$224,0))),'Tabla Impacto'!$F$224&amp;"Por favor no seleccionar los criterios de impacto(Afectación Económica o presupuestal y Pérdida Reputacional)",Q55)</f>
        <v>0</v>
      </c>
      <c r="S55" s="367" t="str">
        <f>IF(OR(R55='Tabla Impacto'!$C$12,R55='Tabla Impacto'!$D$12),"Leve",IF(OR(R55='Tabla Impacto'!$C$13,R55='Tabla Impacto'!$D$13),"Menor",IF(OR(R55='Tabla Impacto'!$C$14,R55='Tabla Impacto'!$D$14),"Moderado",IF(OR(R55='Tabla Impacto'!$C$15,R55='Tabla Impacto'!$D$15),"Mayor",IF(OR(R55='Tabla Impacto'!$C$16,R55='Tabla Impacto'!$D$16),"Catastrófico","")))))</f>
        <v/>
      </c>
      <c r="T55" s="364" t="str">
        <f>IF(S55="","",IF(S55="Leve",0.2,IF(S55="Menor",0.4,IF(S55="Moderado",0.6,IF(S55="Mayor",0.8,IF(S55="Catastrófico",1,))))))</f>
        <v/>
      </c>
      <c r="U55" s="362"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14">
        <v>1</v>
      </c>
      <c r="W55" s="187"/>
      <c r="X55" s="189" t="str">
        <f>IF(OR(Y55="Preventivo",Y55="Detectivo"),"Probabilidad",IF(Y55="Correctivo","Impacto",""))</f>
        <v/>
      </c>
      <c r="Y55" s="190"/>
      <c r="Z55" s="190"/>
      <c r="AA55" s="191" t="str">
        <f>IF(AND(Y55="Preventivo",Z55="Automático"),"50%",IF(AND(Y55="Preventivo",Z55="Manual"),"40%",IF(AND(Y55="Detectivo",Z55="Automático"),"40%",IF(AND(Y55="Detectivo",Z55="Manual"),"30%",IF(AND(Y55="Correctivo",Z55="Automático"),"35%",IF(AND(Y55="Correctivo",Z55="Manual"),"25%",""))))))</f>
        <v/>
      </c>
      <c r="AB55" s="190"/>
      <c r="AC55" s="190"/>
      <c r="AD55" s="190"/>
      <c r="AE55" s="192" t="str">
        <f>IFERROR(IF(X55="Probabilidad",(P55-(+P55*AA55)),IF(X55="Impacto",P55,"")),"")</f>
        <v/>
      </c>
      <c r="AF55" s="193" t="str">
        <f>IFERROR(IF(AE55="","",IF(AE55&lt;=0.2,"Muy Baja",IF(AE55&lt;=0.4,"Baja",IF(AE55&lt;=0.6,"Media",IF(AE55&lt;=0.8,"Alta","Muy Alta"))))),"")</f>
        <v/>
      </c>
      <c r="AG55" s="191" t="str">
        <f>+AE55</f>
        <v/>
      </c>
      <c r="AH55" s="193" t="str">
        <f>IFERROR(IF(AI55="","",IF(AI55&lt;=0.2,"Leve",IF(AI55&lt;=0.4,"Menor",IF(AI55&lt;=0.6,"Moderado",IF(AI55&lt;=0.8,"Mayor","Catastrófico"))))),"")</f>
        <v/>
      </c>
      <c r="AI55" s="191" t="str">
        <f t="shared" ref="AI55" si="62">IFERROR(IF(X55="Impacto",(T55-(+T55*AA55)),IF(X55="Probabilidad",T55,"")),"")</f>
        <v/>
      </c>
      <c r="AJ55" s="194"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5"/>
      <c r="AL55" s="186"/>
      <c r="AM55" s="196"/>
      <c r="AN55" s="196"/>
      <c r="AO55" s="197"/>
      <c r="AP55" s="381"/>
      <c r="AQ55" s="381"/>
      <c r="AR55" s="381"/>
    </row>
    <row r="56" spans="1:44" x14ac:dyDescent="0.2">
      <c r="A56" s="418"/>
      <c r="B56" s="387"/>
      <c r="C56" s="387"/>
      <c r="D56" s="387"/>
      <c r="E56" s="387"/>
      <c r="F56" s="387"/>
      <c r="G56" s="360"/>
      <c r="H56" s="360"/>
      <c r="I56" s="360"/>
      <c r="J56" s="360"/>
      <c r="K56" s="360"/>
      <c r="L56" s="360"/>
      <c r="M56" s="360"/>
      <c r="N56" s="381"/>
      <c r="O56" s="367"/>
      <c r="P56" s="364"/>
      <c r="Q56" s="353"/>
      <c r="R56" s="364">
        <f>IF(NOT(ISERROR(MATCH(Q56,_xlfn.ANCHORARRAY(E67),0))),P69&amp;"Por favor no seleccionar los criterios de impacto",Q56)</f>
        <v>0</v>
      </c>
      <c r="S56" s="367"/>
      <c r="T56" s="364"/>
      <c r="U56" s="362"/>
      <c r="V56" s="214">
        <v>2</v>
      </c>
      <c r="W56" s="187"/>
      <c r="X56" s="189" t="str">
        <f>IF(OR(Y56="Preventivo",Y56="Detectivo"),"Probabilidad",IF(Y56="Correctivo","Impacto",""))</f>
        <v/>
      </c>
      <c r="Y56" s="190"/>
      <c r="Z56" s="190"/>
      <c r="AA56" s="191" t="str">
        <f t="shared" ref="AA56:AA60" si="63">IF(AND(Y56="Preventivo",Z56="Automático"),"50%",IF(AND(Y56="Preventivo",Z56="Manual"),"40%",IF(AND(Y56="Detectivo",Z56="Automático"),"40%",IF(AND(Y56="Detectivo",Z56="Manual"),"30%",IF(AND(Y56="Correctivo",Z56="Automático"),"35%",IF(AND(Y56="Correctivo",Z56="Manual"),"25%",""))))))</f>
        <v/>
      </c>
      <c r="AB56" s="190"/>
      <c r="AC56" s="190"/>
      <c r="AD56" s="190"/>
      <c r="AE56" s="192" t="str">
        <f>IFERROR(IF(AND(X55="Probabilidad",X56="Probabilidad"),(AG55-(+AG55*AA56)),IF(X56="Probabilidad",(P55-(+P55*AA56)),IF(X56="Impacto",AG55,""))),"")</f>
        <v/>
      </c>
      <c r="AF56" s="193" t="str">
        <f t="shared" si="2"/>
        <v/>
      </c>
      <c r="AG56" s="191" t="str">
        <f t="shared" ref="AG56:AG60" si="64">+AE56</f>
        <v/>
      </c>
      <c r="AH56" s="193" t="str">
        <f t="shared" si="4"/>
        <v/>
      </c>
      <c r="AI56" s="191" t="str">
        <f t="shared" ref="AI56" si="65">IFERROR(IF(AND(X55="Impacto",X56="Impacto"),(AI55-(+AI55*AA56)),IF(X56="Impacto",($T$13-(+$T$13*AA56)),IF(X56="Probabilidad",AI55,""))),"")</f>
        <v/>
      </c>
      <c r="AJ56" s="194" t="str">
        <f t="shared" ref="AJ56:AJ57" si="66">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95"/>
      <c r="AL56" s="186"/>
      <c r="AM56" s="196"/>
      <c r="AN56" s="196"/>
      <c r="AO56" s="197"/>
      <c r="AP56" s="381"/>
      <c r="AQ56" s="381"/>
      <c r="AR56" s="381"/>
    </row>
    <row r="57" spans="1:44" x14ac:dyDescent="0.2">
      <c r="A57" s="418"/>
      <c r="B57" s="387"/>
      <c r="C57" s="387"/>
      <c r="D57" s="387"/>
      <c r="E57" s="387"/>
      <c r="F57" s="387"/>
      <c r="G57" s="360"/>
      <c r="H57" s="360"/>
      <c r="I57" s="360"/>
      <c r="J57" s="360"/>
      <c r="K57" s="360"/>
      <c r="L57" s="360"/>
      <c r="M57" s="360"/>
      <c r="N57" s="381"/>
      <c r="O57" s="367"/>
      <c r="P57" s="364"/>
      <c r="Q57" s="353"/>
      <c r="R57" s="364">
        <f>IF(NOT(ISERROR(MATCH(Q57,_xlfn.ANCHORARRAY(E68),0))),P70&amp;"Por favor no seleccionar los criterios de impacto",Q57)</f>
        <v>0</v>
      </c>
      <c r="S57" s="367"/>
      <c r="T57" s="364"/>
      <c r="U57" s="362"/>
      <c r="V57" s="214">
        <v>3</v>
      </c>
      <c r="W57" s="188"/>
      <c r="X57" s="189" t="str">
        <f>IF(OR(Y57="Preventivo",Y57="Detectivo"),"Probabilidad",IF(Y57="Correctivo","Impacto",""))</f>
        <v/>
      </c>
      <c r="Y57" s="190"/>
      <c r="Z57" s="190"/>
      <c r="AA57" s="191" t="str">
        <f t="shared" si="63"/>
        <v/>
      </c>
      <c r="AB57" s="190"/>
      <c r="AC57" s="190"/>
      <c r="AD57" s="190"/>
      <c r="AE57" s="192" t="str">
        <f>IFERROR(IF(AND(X56="Probabilidad",X57="Probabilidad"),(AG56-(+AG56*AA57)),IF(AND(X56="Impacto",X57="Probabilidad"),(AG55-(+AG55*AA57)),IF(X57="Impacto",AG56,""))),"")</f>
        <v/>
      </c>
      <c r="AF57" s="193" t="str">
        <f t="shared" si="2"/>
        <v/>
      </c>
      <c r="AG57" s="191" t="str">
        <f t="shared" si="64"/>
        <v/>
      </c>
      <c r="AH57" s="193" t="str">
        <f t="shared" si="4"/>
        <v/>
      </c>
      <c r="AI57" s="191" t="str">
        <f t="shared" ref="AI57" si="67">IFERROR(IF(AND(X56="Impacto",X57="Impacto"),(AI56-(+AI56*AA57)),IF(AND(X56="Probabilidad",X57="Impacto"),(AI55-(+AI55*AA57)),IF(X57="Probabilidad",AI56,""))),"")</f>
        <v/>
      </c>
      <c r="AJ57" s="194" t="str">
        <f t="shared" si="66"/>
        <v/>
      </c>
      <c r="AK57" s="195"/>
      <c r="AL57" s="186"/>
      <c r="AM57" s="196"/>
      <c r="AN57" s="196"/>
      <c r="AO57" s="197"/>
      <c r="AP57" s="381"/>
      <c r="AQ57" s="381"/>
      <c r="AR57" s="381"/>
    </row>
    <row r="58" spans="1:44" x14ac:dyDescent="0.2">
      <c r="A58" s="418"/>
      <c r="B58" s="387"/>
      <c r="C58" s="387"/>
      <c r="D58" s="387"/>
      <c r="E58" s="387"/>
      <c r="F58" s="387"/>
      <c r="G58" s="360"/>
      <c r="H58" s="360"/>
      <c r="I58" s="360"/>
      <c r="J58" s="360"/>
      <c r="K58" s="360"/>
      <c r="L58" s="360"/>
      <c r="M58" s="360"/>
      <c r="N58" s="381"/>
      <c r="O58" s="367"/>
      <c r="P58" s="364"/>
      <c r="Q58" s="353"/>
      <c r="R58" s="364">
        <f>IF(NOT(ISERROR(MATCH(Q58,_xlfn.ANCHORARRAY(E69),0))),P71&amp;"Por favor no seleccionar los criterios de impacto",Q58)</f>
        <v>0</v>
      </c>
      <c r="S58" s="367"/>
      <c r="T58" s="364"/>
      <c r="U58" s="362"/>
      <c r="V58" s="214">
        <v>4</v>
      </c>
      <c r="W58" s="187"/>
      <c r="X58" s="189" t="str">
        <f t="shared" ref="X58:X60" si="68">IF(OR(Y58="Preventivo",Y58="Detectivo"),"Probabilidad",IF(Y58="Correctivo","Impacto",""))</f>
        <v/>
      </c>
      <c r="Y58" s="190"/>
      <c r="Z58" s="190"/>
      <c r="AA58" s="191" t="str">
        <f t="shared" si="63"/>
        <v/>
      </c>
      <c r="AB58" s="190"/>
      <c r="AC58" s="190"/>
      <c r="AD58" s="190"/>
      <c r="AE58" s="192" t="str">
        <f t="shared" ref="AE58:AE60" si="69">IFERROR(IF(AND(X57="Probabilidad",X58="Probabilidad"),(AG57-(+AG57*AA58)),IF(AND(X57="Impacto",X58="Probabilidad"),(AG56-(+AG56*AA58)),IF(X58="Impacto",AG57,""))),"")</f>
        <v/>
      </c>
      <c r="AF58" s="193" t="str">
        <f t="shared" si="2"/>
        <v/>
      </c>
      <c r="AG58" s="191" t="str">
        <f t="shared" si="64"/>
        <v/>
      </c>
      <c r="AH58" s="193" t="str">
        <f t="shared" si="4"/>
        <v/>
      </c>
      <c r="AI58" s="191" t="str">
        <f t="shared" si="13"/>
        <v/>
      </c>
      <c r="AJ58" s="194"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5"/>
      <c r="AL58" s="186"/>
      <c r="AM58" s="196"/>
      <c r="AN58" s="196"/>
      <c r="AO58" s="197"/>
      <c r="AP58" s="381"/>
      <c r="AQ58" s="381"/>
      <c r="AR58" s="381"/>
    </row>
    <row r="59" spans="1:44" x14ac:dyDescent="0.2">
      <c r="A59" s="418"/>
      <c r="B59" s="387"/>
      <c r="C59" s="387"/>
      <c r="D59" s="387"/>
      <c r="E59" s="387"/>
      <c r="F59" s="387"/>
      <c r="G59" s="360"/>
      <c r="H59" s="360"/>
      <c r="I59" s="360"/>
      <c r="J59" s="360"/>
      <c r="K59" s="360"/>
      <c r="L59" s="360"/>
      <c r="M59" s="360"/>
      <c r="N59" s="381"/>
      <c r="O59" s="367"/>
      <c r="P59" s="364"/>
      <c r="Q59" s="353"/>
      <c r="R59" s="364">
        <f>IF(NOT(ISERROR(MATCH(Q59,_xlfn.ANCHORARRAY(E70),0))),P72&amp;"Por favor no seleccionar los criterios de impacto",Q59)</f>
        <v>0</v>
      </c>
      <c r="S59" s="367"/>
      <c r="T59" s="364"/>
      <c r="U59" s="362"/>
      <c r="V59" s="214">
        <v>5</v>
      </c>
      <c r="W59" s="187"/>
      <c r="X59" s="189" t="str">
        <f t="shared" si="68"/>
        <v/>
      </c>
      <c r="Y59" s="190"/>
      <c r="Z59" s="190"/>
      <c r="AA59" s="191" t="str">
        <f t="shared" si="63"/>
        <v/>
      </c>
      <c r="AB59" s="190"/>
      <c r="AC59" s="190"/>
      <c r="AD59" s="190"/>
      <c r="AE59" s="192" t="str">
        <f t="shared" si="69"/>
        <v/>
      </c>
      <c r="AF59" s="193" t="str">
        <f t="shared" si="2"/>
        <v/>
      </c>
      <c r="AG59" s="191" t="str">
        <f t="shared" si="64"/>
        <v/>
      </c>
      <c r="AH59" s="193" t="str">
        <f t="shared" si="4"/>
        <v/>
      </c>
      <c r="AI59" s="191" t="str">
        <f t="shared" si="13"/>
        <v/>
      </c>
      <c r="AJ59" s="194" t="str">
        <f t="shared" ref="AJ59:AJ60" si="70">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95"/>
      <c r="AL59" s="186"/>
      <c r="AM59" s="196"/>
      <c r="AN59" s="196"/>
      <c r="AO59" s="197"/>
      <c r="AP59" s="381"/>
      <c r="AQ59" s="381"/>
      <c r="AR59" s="381"/>
    </row>
    <row r="60" spans="1:44" x14ac:dyDescent="0.2">
      <c r="A60" s="418"/>
      <c r="B60" s="387"/>
      <c r="C60" s="387"/>
      <c r="D60" s="387"/>
      <c r="E60" s="387"/>
      <c r="F60" s="387"/>
      <c r="G60" s="373"/>
      <c r="H60" s="373"/>
      <c r="I60" s="373"/>
      <c r="J60" s="373"/>
      <c r="K60" s="373"/>
      <c r="L60" s="373"/>
      <c r="M60" s="373"/>
      <c r="N60" s="381"/>
      <c r="O60" s="367"/>
      <c r="P60" s="364"/>
      <c r="Q60" s="353"/>
      <c r="R60" s="364">
        <f>IF(NOT(ISERROR(MATCH(Q60,_xlfn.ANCHORARRAY(E71),0))),Q73&amp;"Por favor no seleccionar los criterios de impacto",Q60)</f>
        <v>0</v>
      </c>
      <c r="S60" s="367"/>
      <c r="T60" s="364"/>
      <c r="U60" s="362"/>
      <c r="V60" s="214">
        <v>6</v>
      </c>
      <c r="W60" s="187"/>
      <c r="X60" s="189" t="str">
        <f t="shared" si="68"/>
        <v/>
      </c>
      <c r="Y60" s="190"/>
      <c r="Z60" s="190"/>
      <c r="AA60" s="191" t="str">
        <f t="shared" si="63"/>
        <v/>
      </c>
      <c r="AB60" s="190"/>
      <c r="AC60" s="190"/>
      <c r="AD60" s="190"/>
      <c r="AE60" s="192" t="str">
        <f t="shared" si="69"/>
        <v/>
      </c>
      <c r="AF60" s="193" t="str">
        <f t="shared" si="2"/>
        <v/>
      </c>
      <c r="AG60" s="191" t="str">
        <f t="shared" si="64"/>
        <v/>
      </c>
      <c r="AH60" s="193" t="str">
        <f t="shared" si="4"/>
        <v/>
      </c>
      <c r="AI60" s="191" t="str">
        <f t="shared" si="13"/>
        <v/>
      </c>
      <c r="AJ60" s="194" t="str">
        <f t="shared" si="70"/>
        <v/>
      </c>
      <c r="AK60" s="195"/>
      <c r="AL60" s="186"/>
      <c r="AM60" s="196"/>
      <c r="AN60" s="196"/>
      <c r="AO60" s="197"/>
      <c r="AP60" s="381"/>
      <c r="AQ60" s="381"/>
      <c r="AR60" s="381"/>
    </row>
    <row r="61" spans="1:44" x14ac:dyDescent="0.2">
      <c r="A61" s="418">
        <v>9</v>
      </c>
      <c r="B61" s="387"/>
      <c r="C61" s="387"/>
      <c r="D61" s="387"/>
      <c r="E61" s="387"/>
      <c r="F61" s="387"/>
      <c r="G61" s="392"/>
      <c r="H61" s="392"/>
      <c r="I61" s="221"/>
      <c r="J61" s="221"/>
      <c r="K61" s="221"/>
      <c r="L61" s="392"/>
      <c r="M61" s="392"/>
      <c r="N61" s="381"/>
      <c r="O61" s="367" t="str">
        <f>IF(N61&lt;=0,"",IF(N61&lt;=2,"Muy Baja",IF(N61&lt;=24,"Baja",IF(N61&lt;=500,"Media",IF(N61&lt;=5000,"Alta","Muy Alta")))))</f>
        <v/>
      </c>
      <c r="P61" s="364" t="str">
        <f>IF(O61="","",IF(O61="Muy Baja",0.2,IF(O61="Baja",0.4,IF(O61="Media",0.6,IF(O61="Alta",0.8,IF(O61="Muy Alta",1,))))))</f>
        <v/>
      </c>
      <c r="Q61" s="353"/>
      <c r="R61" s="364">
        <f>IF(NOT(ISERROR(MATCH(Q61,'Tabla Impacto'!$B$222:$B$224,0))),'Tabla Impacto'!$F$224&amp;"Por favor no seleccionar los criterios de impacto(Afectación Económica o presupuestal y Pérdida Reputacional)",Q61)</f>
        <v>0</v>
      </c>
      <c r="S61" s="367" t="str">
        <f>IF(OR(R61='Tabla Impacto'!$C$12,R61='Tabla Impacto'!$D$12),"Leve",IF(OR(R61='Tabla Impacto'!$C$13,R61='Tabla Impacto'!$D$13),"Menor",IF(OR(R61='Tabla Impacto'!$C$14,R61='Tabla Impacto'!$D$14),"Moderado",IF(OR(R61='Tabla Impacto'!$C$15,R61='Tabla Impacto'!$D$15),"Mayor",IF(OR(R61='Tabla Impacto'!$C$16,R61='Tabla Impacto'!$D$16),"Catastrófico","")))))</f>
        <v/>
      </c>
      <c r="T61" s="364" t="str">
        <f>IF(S61="","",IF(S61="Leve",0.2,IF(S61="Menor",0.4,IF(S61="Moderado",0.6,IF(S61="Mayor",0.8,IF(S61="Catastrófico",1,))))))</f>
        <v/>
      </c>
      <c r="U61" s="362"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14">
        <v>1</v>
      </c>
      <c r="W61" s="187"/>
      <c r="X61" s="189" t="str">
        <f>IF(OR(Y61="Preventivo",Y61="Detectivo"),"Probabilidad",IF(Y61="Correctivo","Impacto",""))</f>
        <v/>
      </c>
      <c r="Y61" s="190"/>
      <c r="Z61" s="190"/>
      <c r="AA61" s="191" t="str">
        <f>IF(AND(Y61="Preventivo",Z61="Automático"),"50%",IF(AND(Y61="Preventivo",Z61="Manual"),"40%",IF(AND(Y61="Detectivo",Z61="Automático"),"40%",IF(AND(Y61="Detectivo",Z61="Manual"),"30%",IF(AND(Y61="Correctivo",Z61="Automático"),"35%",IF(AND(Y61="Correctivo",Z61="Manual"),"25%",""))))))</f>
        <v/>
      </c>
      <c r="AB61" s="190"/>
      <c r="AC61" s="190"/>
      <c r="AD61" s="190"/>
      <c r="AE61" s="192" t="str">
        <f>IFERROR(IF(X61="Probabilidad",(P61-(+P61*AA61)),IF(X61="Impacto",P61,"")),"")</f>
        <v/>
      </c>
      <c r="AF61" s="193" t="str">
        <f>IFERROR(IF(AE61="","",IF(AE61&lt;=0.2,"Muy Baja",IF(AE61&lt;=0.4,"Baja",IF(AE61&lt;=0.6,"Media",IF(AE61&lt;=0.8,"Alta","Muy Alta"))))),"")</f>
        <v/>
      </c>
      <c r="AG61" s="191" t="str">
        <f>+AE61</f>
        <v/>
      </c>
      <c r="AH61" s="193" t="str">
        <f>IFERROR(IF(AI61="","",IF(AI61&lt;=0.2,"Leve",IF(AI61&lt;=0.4,"Menor",IF(AI61&lt;=0.6,"Moderado",IF(AI61&lt;=0.8,"Mayor","Catastrófico"))))),"")</f>
        <v/>
      </c>
      <c r="AI61" s="191" t="str">
        <f t="shared" ref="AI61" si="71">IFERROR(IF(X61="Impacto",(T61-(+T61*AA61)),IF(X61="Probabilidad",T61,"")),"")</f>
        <v/>
      </c>
      <c r="AJ61" s="194"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5"/>
      <c r="AL61" s="186"/>
      <c r="AM61" s="196"/>
      <c r="AN61" s="196"/>
      <c r="AO61" s="197"/>
      <c r="AP61" s="381"/>
      <c r="AQ61" s="381"/>
      <c r="AR61" s="381"/>
    </row>
    <row r="62" spans="1:44" x14ac:dyDescent="0.2">
      <c r="A62" s="418"/>
      <c r="B62" s="387"/>
      <c r="C62" s="387"/>
      <c r="D62" s="387"/>
      <c r="E62" s="387"/>
      <c r="F62" s="387"/>
      <c r="G62" s="360"/>
      <c r="H62" s="360"/>
      <c r="I62" s="222"/>
      <c r="J62" s="222"/>
      <c r="K62" s="222"/>
      <c r="L62" s="360"/>
      <c r="M62" s="360"/>
      <c r="N62" s="381"/>
      <c r="O62" s="367"/>
      <c r="P62" s="364"/>
      <c r="Q62" s="353"/>
      <c r="R62" s="364">
        <f>IF(NOT(ISERROR(MATCH(Q62,_xlfn.ANCHORARRAY(F73),0))),Q75&amp;"Por favor no seleccionar los criterios de impacto",Q62)</f>
        <v>0</v>
      </c>
      <c r="S62" s="367"/>
      <c r="T62" s="364"/>
      <c r="U62" s="362"/>
      <c r="V62" s="214">
        <v>2</v>
      </c>
      <c r="W62" s="187"/>
      <c r="X62" s="189" t="str">
        <f>IF(OR(Y62="Preventivo",Y62="Detectivo"),"Probabilidad",IF(Y62="Correctivo","Impacto",""))</f>
        <v/>
      </c>
      <c r="Y62" s="190"/>
      <c r="Z62" s="190"/>
      <c r="AA62" s="191" t="str">
        <f t="shared" ref="AA62:AA66" si="72">IF(AND(Y62="Preventivo",Z62="Automático"),"50%",IF(AND(Y62="Preventivo",Z62="Manual"),"40%",IF(AND(Y62="Detectivo",Z62="Automático"),"40%",IF(AND(Y62="Detectivo",Z62="Manual"),"30%",IF(AND(Y62="Correctivo",Z62="Automático"),"35%",IF(AND(Y62="Correctivo",Z62="Manual"),"25%",""))))))</f>
        <v/>
      </c>
      <c r="AB62" s="190"/>
      <c r="AC62" s="190"/>
      <c r="AD62" s="190"/>
      <c r="AE62" s="192" t="str">
        <f>IFERROR(IF(AND(X61="Probabilidad",X62="Probabilidad"),(AG61-(+AG61*AA62)),IF(X62="Probabilidad",(P61-(+P61*AA62)),IF(X62="Impacto",AG61,""))),"")</f>
        <v/>
      </c>
      <c r="AF62" s="193" t="str">
        <f t="shared" si="2"/>
        <v/>
      </c>
      <c r="AG62" s="191" t="str">
        <f t="shared" ref="AG62:AG66" si="73">+AE62</f>
        <v/>
      </c>
      <c r="AH62" s="193" t="str">
        <f t="shared" si="4"/>
        <v/>
      </c>
      <c r="AI62" s="191" t="str">
        <f t="shared" ref="AI62" si="74">IFERROR(IF(AND(X61="Impacto",X62="Impacto"),(AI61-(+AI61*AA62)),IF(X62="Impacto",($T$13-(+$T$13*AA62)),IF(X62="Probabilidad",AI61,""))),"")</f>
        <v/>
      </c>
      <c r="AJ62" s="194" t="str">
        <f t="shared" ref="AJ62:AJ63" si="75">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95"/>
      <c r="AL62" s="186"/>
      <c r="AM62" s="196"/>
      <c r="AN62" s="196"/>
      <c r="AO62" s="197"/>
      <c r="AP62" s="381"/>
      <c r="AQ62" s="381"/>
      <c r="AR62" s="381"/>
    </row>
    <row r="63" spans="1:44" x14ac:dyDescent="0.2">
      <c r="A63" s="418"/>
      <c r="B63" s="387"/>
      <c r="C63" s="387"/>
      <c r="D63" s="387"/>
      <c r="E63" s="387"/>
      <c r="F63" s="387"/>
      <c r="G63" s="360"/>
      <c r="H63" s="360"/>
      <c r="I63" s="222"/>
      <c r="J63" s="222"/>
      <c r="K63" s="222"/>
      <c r="L63" s="360"/>
      <c r="M63" s="360"/>
      <c r="N63" s="381"/>
      <c r="O63" s="367"/>
      <c r="P63" s="364"/>
      <c r="Q63" s="353"/>
      <c r="R63" s="364">
        <f>IF(NOT(ISERROR(MATCH(Q63,_xlfn.ANCHORARRAY(F74),0))),Q76&amp;"Por favor no seleccionar los criterios de impacto",Q63)</f>
        <v>0</v>
      </c>
      <c r="S63" s="367"/>
      <c r="T63" s="364"/>
      <c r="U63" s="362"/>
      <c r="V63" s="214">
        <v>3</v>
      </c>
      <c r="W63" s="187"/>
      <c r="X63" s="189" t="str">
        <f>IF(OR(Y63="Preventivo",Y63="Detectivo"),"Probabilidad",IF(Y63="Correctivo","Impacto",""))</f>
        <v/>
      </c>
      <c r="Y63" s="190"/>
      <c r="Z63" s="190"/>
      <c r="AA63" s="191" t="str">
        <f t="shared" si="72"/>
        <v/>
      </c>
      <c r="AB63" s="190"/>
      <c r="AC63" s="190"/>
      <c r="AD63" s="190"/>
      <c r="AE63" s="192" t="str">
        <f>IFERROR(IF(AND(X62="Probabilidad",X63="Probabilidad"),(AG62-(+AG62*AA63)),IF(AND(X62="Impacto",X63="Probabilidad"),(AG61-(+AG61*AA63)),IF(X63="Impacto",AG62,""))),"")</f>
        <v/>
      </c>
      <c r="AF63" s="193" t="str">
        <f t="shared" si="2"/>
        <v/>
      </c>
      <c r="AG63" s="191" t="str">
        <f t="shared" si="73"/>
        <v/>
      </c>
      <c r="AH63" s="193" t="str">
        <f t="shared" si="4"/>
        <v/>
      </c>
      <c r="AI63" s="191" t="str">
        <f t="shared" ref="AI63" si="76">IFERROR(IF(AND(X62="Impacto",X63="Impacto"),(AI62-(+AI62*AA63)),IF(AND(X62="Probabilidad",X63="Impacto"),(AI61-(+AI61*AA63)),IF(X63="Probabilidad",AI62,""))),"")</f>
        <v/>
      </c>
      <c r="AJ63" s="194" t="str">
        <f t="shared" si="75"/>
        <v/>
      </c>
      <c r="AK63" s="195"/>
      <c r="AL63" s="186"/>
      <c r="AM63" s="196"/>
      <c r="AN63" s="196"/>
      <c r="AO63" s="197"/>
      <c r="AP63" s="381"/>
      <c r="AQ63" s="381"/>
      <c r="AR63" s="381"/>
    </row>
    <row r="64" spans="1:44" x14ac:dyDescent="0.2">
      <c r="A64" s="418"/>
      <c r="B64" s="387"/>
      <c r="C64" s="387"/>
      <c r="D64" s="387"/>
      <c r="E64" s="387"/>
      <c r="F64" s="387"/>
      <c r="G64" s="360"/>
      <c r="H64" s="360"/>
      <c r="I64" s="222"/>
      <c r="J64" s="222"/>
      <c r="K64" s="222"/>
      <c r="L64" s="360"/>
      <c r="M64" s="360"/>
      <c r="N64" s="381"/>
      <c r="O64" s="367"/>
      <c r="P64" s="364"/>
      <c r="Q64" s="353"/>
      <c r="R64" s="364">
        <f>IF(NOT(ISERROR(MATCH(Q64,_xlfn.ANCHORARRAY(F75),0))),Q77&amp;"Por favor no seleccionar los criterios de impacto",Q64)</f>
        <v>0</v>
      </c>
      <c r="S64" s="367"/>
      <c r="T64" s="364"/>
      <c r="U64" s="362"/>
      <c r="V64" s="214">
        <v>4</v>
      </c>
      <c r="W64" s="187"/>
      <c r="X64" s="189" t="str">
        <f t="shared" ref="X64:X66" si="77">IF(OR(Y64="Preventivo",Y64="Detectivo"),"Probabilidad",IF(Y64="Correctivo","Impacto",""))</f>
        <v/>
      </c>
      <c r="Y64" s="190"/>
      <c r="Z64" s="190"/>
      <c r="AA64" s="191" t="str">
        <f t="shared" si="72"/>
        <v/>
      </c>
      <c r="AB64" s="190"/>
      <c r="AC64" s="190"/>
      <c r="AD64" s="190"/>
      <c r="AE64" s="192" t="str">
        <f t="shared" ref="AE64:AE66" si="78">IFERROR(IF(AND(X63="Probabilidad",X64="Probabilidad"),(AG63-(+AG63*AA64)),IF(AND(X63="Impacto",X64="Probabilidad"),(AG62-(+AG62*AA64)),IF(X64="Impacto",AG63,""))),"")</f>
        <v/>
      </c>
      <c r="AF64" s="193" t="str">
        <f t="shared" si="2"/>
        <v/>
      </c>
      <c r="AG64" s="191" t="str">
        <f t="shared" si="73"/>
        <v/>
      </c>
      <c r="AH64" s="193" t="str">
        <f t="shared" si="4"/>
        <v/>
      </c>
      <c r="AI64" s="191" t="str">
        <f t="shared" si="13"/>
        <v/>
      </c>
      <c r="AJ64" s="194"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5"/>
      <c r="AL64" s="186"/>
      <c r="AM64" s="196"/>
      <c r="AN64" s="196"/>
      <c r="AO64" s="197"/>
      <c r="AP64" s="381"/>
      <c r="AQ64" s="381"/>
      <c r="AR64" s="381"/>
    </row>
    <row r="65" spans="1:44" x14ac:dyDescent="0.2">
      <c r="A65" s="418"/>
      <c r="B65" s="387"/>
      <c r="C65" s="387"/>
      <c r="D65" s="387"/>
      <c r="E65" s="387"/>
      <c r="F65" s="387"/>
      <c r="G65" s="360"/>
      <c r="H65" s="360"/>
      <c r="I65" s="222"/>
      <c r="J65" s="222"/>
      <c r="K65" s="222"/>
      <c r="L65" s="360"/>
      <c r="M65" s="360"/>
      <c r="N65" s="381"/>
      <c r="O65" s="367"/>
      <c r="P65" s="364"/>
      <c r="Q65" s="353"/>
      <c r="R65" s="364">
        <f>IF(NOT(ISERROR(MATCH(Q65,_xlfn.ANCHORARRAY(F76),0))),Q78&amp;"Por favor no seleccionar los criterios de impacto",Q65)</f>
        <v>0</v>
      </c>
      <c r="S65" s="367"/>
      <c r="T65" s="364"/>
      <c r="U65" s="362"/>
      <c r="V65" s="214">
        <v>5</v>
      </c>
      <c r="W65" s="187"/>
      <c r="X65" s="189" t="str">
        <f t="shared" si="77"/>
        <v/>
      </c>
      <c r="Y65" s="190"/>
      <c r="Z65" s="190"/>
      <c r="AA65" s="191" t="str">
        <f t="shared" si="72"/>
        <v/>
      </c>
      <c r="AB65" s="190"/>
      <c r="AC65" s="190"/>
      <c r="AD65" s="190"/>
      <c r="AE65" s="192" t="str">
        <f t="shared" si="78"/>
        <v/>
      </c>
      <c r="AF65" s="193" t="str">
        <f t="shared" si="2"/>
        <v/>
      </c>
      <c r="AG65" s="191" t="str">
        <f t="shared" si="73"/>
        <v/>
      </c>
      <c r="AH65" s="193" t="str">
        <f t="shared" si="4"/>
        <v/>
      </c>
      <c r="AI65" s="191" t="str">
        <f t="shared" si="13"/>
        <v/>
      </c>
      <c r="AJ65" s="194" t="str">
        <f t="shared" ref="AJ65:AJ66" si="79">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95"/>
      <c r="AL65" s="186"/>
      <c r="AM65" s="196"/>
      <c r="AN65" s="196"/>
      <c r="AO65" s="197"/>
      <c r="AP65" s="381"/>
      <c r="AQ65" s="381"/>
      <c r="AR65" s="381"/>
    </row>
    <row r="66" spans="1:44" x14ac:dyDescent="0.2">
      <c r="A66" s="418"/>
      <c r="B66" s="387"/>
      <c r="C66" s="387"/>
      <c r="D66" s="387"/>
      <c r="E66" s="387"/>
      <c r="F66" s="387"/>
      <c r="G66" s="373"/>
      <c r="H66" s="373"/>
      <c r="I66" s="223"/>
      <c r="J66" s="223"/>
      <c r="K66" s="223"/>
      <c r="L66" s="373"/>
      <c r="M66" s="373"/>
      <c r="N66" s="381"/>
      <c r="O66" s="367"/>
      <c r="P66" s="364"/>
      <c r="Q66" s="353"/>
      <c r="R66" s="364">
        <f>IF(NOT(ISERROR(MATCH(Q66,_xlfn.ANCHORARRAY(F77),0))),Q79&amp;"Por favor no seleccionar los criterios de impacto",Q66)</f>
        <v>0</v>
      </c>
      <c r="S66" s="367"/>
      <c r="T66" s="364"/>
      <c r="U66" s="362"/>
      <c r="V66" s="214">
        <v>6</v>
      </c>
      <c r="W66" s="187"/>
      <c r="X66" s="189" t="str">
        <f t="shared" si="77"/>
        <v/>
      </c>
      <c r="Y66" s="190"/>
      <c r="Z66" s="190"/>
      <c r="AA66" s="191" t="str">
        <f t="shared" si="72"/>
        <v/>
      </c>
      <c r="AB66" s="190"/>
      <c r="AC66" s="190"/>
      <c r="AD66" s="190"/>
      <c r="AE66" s="192" t="str">
        <f t="shared" si="78"/>
        <v/>
      </c>
      <c r="AF66" s="193" t="str">
        <f t="shared" si="2"/>
        <v/>
      </c>
      <c r="AG66" s="191" t="str">
        <f t="shared" si="73"/>
        <v/>
      </c>
      <c r="AH66" s="193" t="str">
        <f t="shared" si="4"/>
        <v/>
      </c>
      <c r="AI66" s="191" t="str">
        <f t="shared" si="13"/>
        <v/>
      </c>
      <c r="AJ66" s="194" t="str">
        <f t="shared" si="79"/>
        <v/>
      </c>
      <c r="AK66" s="195"/>
      <c r="AL66" s="186"/>
      <c r="AM66" s="196"/>
      <c r="AN66" s="196"/>
      <c r="AO66" s="197"/>
      <c r="AP66" s="381"/>
      <c r="AQ66" s="381"/>
      <c r="AR66" s="381"/>
    </row>
    <row r="67" spans="1:44" x14ac:dyDescent="0.2">
      <c r="A67" s="418">
        <v>10</v>
      </c>
      <c r="B67" s="387"/>
      <c r="C67" s="387"/>
      <c r="D67" s="387"/>
      <c r="E67" s="387"/>
      <c r="F67" s="387"/>
      <c r="G67" s="392"/>
      <c r="H67" s="392"/>
      <c r="I67" s="221"/>
      <c r="J67" s="221"/>
      <c r="K67" s="221"/>
      <c r="L67" s="392"/>
      <c r="M67" s="392"/>
      <c r="N67" s="381"/>
      <c r="O67" s="367" t="str">
        <f>IF(N67&lt;=0,"",IF(N67&lt;=2,"Muy Baja",IF(N67&lt;=24,"Baja",IF(N67&lt;=500,"Media",IF(N67&lt;=5000,"Alta","Muy Alta")))))</f>
        <v/>
      </c>
      <c r="P67" s="364" t="str">
        <f>IF(O67="","",IF(O67="Muy Baja",0.2,IF(O67="Baja",0.4,IF(O67="Media",0.6,IF(O67="Alta",0.8,IF(O67="Muy Alta",1,))))))</f>
        <v/>
      </c>
      <c r="Q67" s="353"/>
      <c r="R67" s="364">
        <f>IF(NOT(ISERROR(MATCH(Q67,'Tabla Impacto'!$B$222:$B$224,0))),'Tabla Impacto'!$F$224&amp;"Por favor no seleccionar los criterios de impacto(Afectación Económica o presupuestal y Pérdida Reputacional)",Q67)</f>
        <v>0</v>
      </c>
      <c r="S67" s="367" t="str">
        <f>IF(OR(R67='Tabla Impacto'!$C$12,R67='Tabla Impacto'!$D$12),"Leve",IF(OR(R67='Tabla Impacto'!$C$13,R67='Tabla Impacto'!$D$13),"Menor",IF(OR(R67='Tabla Impacto'!$C$14,R67='Tabla Impacto'!$D$14),"Moderado",IF(OR(R67='Tabla Impacto'!$C$15,R67='Tabla Impacto'!$D$15),"Mayor",IF(OR(R67='Tabla Impacto'!$C$16,R67='Tabla Impacto'!$D$16),"Catastrófico","")))))</f>
        <v/>
      </c>
      <c r="T67" s="364" t="str">
        <f>IF(S67="","",IF(S67="Leve",0.2,IF(S67="Menor",0.4,IF(S67="Moderado",0.6,IF(S67="Mayor",0.8,IF(S67="Catastrófico",1,))))))</f>
        <v/>
      </c>
      <c r="U67" s="362"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14">
        <v>1</v>
      </c>
      <c r="W67" s="187"/>
      <c r="X67" s="189" t="str">
        <f>IF(OR(Y67="Preventivo",Y67="Detectivo"),"Probabilidad",IF(Y67="Correctivo","Impacto",""))</f>
        <v/>
      </c>
      <c r="Y67" s="190"/>
      <c r="Z67" s="190"/>
      <c r="AA67" s="191" t="str">
        <f>IF(AND(Y67="Preventivo",Z67="Automático"),"50%",IF(AND(Y67="Preventivo",Z67="Manual"),"40%",IF(AND(Y67="Detectivo",Z67="Automático"),"40%",IF(AND(Y67="Detectivo",Z67="Manual"),"30%",IF(AND(Y67="Correctivo",Z67="Automático"),"35%",IF(AND(Y67="Correctivo",Z67="Manual"),"25%",""))))))</f>
        <v/>
      </c>
      <c r="AB67" s="190"/>
      <c r="AC67" s="190"/>
      <c r="AD67" s="190"/>
      <c r="AE67" s="192" t="str">
        <f>IFERROR(IF(X67="Probabilidad",(P67-(+P67*AA67)),IF(X67="Impacto",P67,"")),"")</f>
        <v/>
      </c>
      <c r="AF67" s="193" t="str">
        <f>IFERROR(IF(AE67="","",IF(AE67&lt;=0.2,"Muy Baja",IF(AE67&lt;=0.4,"Baja",IF(AE67&lt;=0.6,"Media",IF(AE67&lt;=0.8,"Alta","Muy Alta"))))),"")</f>
        <v/>
      </c>
      <c r="AG67" s="191" t="str">
        <f>+AE67</f>
        <v/>
      </c>
      <c r="AH67" s="193" t="str">
        <f>IFERROR(IF(AI67="","",IF(AI67&lt;=0.2,"Leve",IF(AI67&lt;=0.4,"Menor",IF(AI67&lt;=0.6,"Moderado",IF(AI67&lt;=0.8,"Mayor","Catastrófico"))))),"")</f>
        <v/>
      </c>
      <c r="AI67" s="191" t="str">
        <f t="shared" ref="AI67" si="80">IFERROR(IF(X67="Impacto",(T67-(+T67*AA67)),IF(X67="Probabilidad",T67,"")),"")</f>
        <v/>
      </c>
      <c r="AJ67" s="194"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95"/>
      <c r="AL67" s="186"/>
      <c r="AM67" s="196"/>
      <c r="AN67" s="196"/>
      <c r="AO67" s="197"/>
      <c r="AP67" s="381"/>
      <c r="AQ67" s="381"/>
      <c r="AR67" s="381"/>
    </row>
    <row r="68" spans="1:44" x14ac:dyDescent="0.2">
      <c r="A68" s="418"/>
      <c r="B68" s="387"/>
      <c r="C68" s="387"/>
      <c r="D68" s="387"/>
      <c r="E68" s="387"/>
      <c r="F68" s="387"/>
      <c r="G68" s="360"/>
      <c r="H68" s="360"/>
      <c r="I68" s="222"/>
      <c r="J68" s="222"/>
      <c r="K68" s="222"/>
      <c r="L68" s="360"/>
      <c r="M68" s="360"/>
      <c r="N68" s="381"/>
      <c r="O68" s="367"/>
      <c r="P68" s="364"/>
      <c r="Q68" s="353"/>
      <c r="R68" s="364">
        <f>IF(NOT(ISERROR(MATCH(Q68,_xlfn.ANCHORARRAY(F79),0))),Q81&amp;"Por favor no seleccionar los criterios de impacto",Q68)</f>
        <v>0</v>
      </c>
      <c r="S68" s="367"/>
      <c r="T68" s="364"/>
      <c r="U68" s="362"/>
      <c r="V68" s="214">
        <v>2</v>
      </c>
      <c r="W68" s="187"/>
      <c r="X68" s="189" t="str">
        <f>IF(OR(Y68="Preventivo",Y68="Detectivo"),"Probabilidad",IF(Y68="Correctivo","Impacto",""))</f>
        <v/>
      </c>
      <c r="Y68" s="190"/>
      <c r="Z68" s="190"/>
      <c r="AA68" s="191" t="str">
        <f t="shared" ref="AA68:AA72" si="81">IF(AND(Y68="Preventivo",Z68="Automático"),"50%",IF(AND(Y68="Preventivo",Z68="Manual"),"40%",IF(AND(Y68="Detectivo",Z68="Automático"),"40%",IF(AND(Y68="Detectivo",Z68="Manual"),"30%",IF(AND(Y68="Correctivo",Z68="Automático"),"35%",IF(AND(Y68="Correctivo",Z68="Manual"),"25%",""))))))</f>
        <v/>
      </c>
      <c r="AB68" s="190"/>
      <c r="AC68" s="190"/>
      <c r="AD68" s="190"/>
      <c r="AE68" s="192" t="str">
        <f>IFERROR(IF(AND(X67="Probabilidad",X68="Probabilidad"),(AG67-(+AG67*AA68)),IF(X68="Probabilidad",(P67-(+P67*AA68)),IF(X68="Impacto",AG67,""))),"")</f>
        <v/>
      </c>
      <c r="AF68" s="193" t="str">
        <f t="shared" si="2"/>
        <v/>
      </c>
      <c r="AG68" s="191" t="str">
        <f t="shared" ref="AG68:AG72" si="82">+AE68</f>
        <v/>
      </c>
      <c r="AH68" s="193" t="str">
        <f t="shared" si="4"/>
        <v/>
      </c>
      <c r="AI68" s="191" t="str">
        <f t="shared" ref="AI68" si="83">IFERROR(IF(AND(X67="Impacto",X68="Impacto"),(AI67-(+AI67*AA68)),IF(X68="Impacto",($T$13-(+$T$13*AA68)),IF(X68="Probabilidad",AI67,""))),"")</f>
        <v/>
      </c>
      <c r="AJ68" s="194" t="str">
        <f t="shared" ref="AJ68:AJ69" si="84">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95"/>
      <c r="AL68" s="186"/>
      <c r="AM68" s="196"/>
      <c r="AN68" s="196"/>
      <c r="AO68" s="197"/>
      <c r="AP68" s="381"/>
      <c r="AQ68" s="381"/>
      <c r="AR68" s="381"/>
    </row>
    <row r="69" spans="1:44" x14ac:dyDescent="0.2">
      <c r="A69" s="418"/>
      <c r="B69" s="387"/>
      <c r="C69" s="387"/>
      <c r="D69" s="387"/>
      <c r="E69" s="387"/>
      <c r="F69" s="387"/>
      <c r="G69" s="360"/>
      <c r="H69" s="360"/>
      <c r="I69" s="222"/>
      <c r="J69" s="222"/>
      <c r="K69" s="222"/>
      <c r="L69" s="360"/>
      <c r="M69" s="360"/>
      <c r="N69" s="381"/>
      <c r="O69" s="367"/>
      <c r="P69" s="364"/>
      <c r="Q69" s="353"/>
      <c r="R69" s="364">
        <f>IF(NOT(ISERROR(MATCH(Q69,_xlfn.ANCHORARRAY(F80),0))),Q82&amp;"Por favor no seleccionar los criterios de impacto",Q69)</f>
        <v>0</v>
      </c>
      <c r="S69" s="367"/>
      <c r="T69" s="364"/>
      <c r="U69" s="362"/>
      <c r="V69" s="214">
        <v>3</v>
      </c>
      <c r="W69" s="187"/>
      <c r="X69" s="189" t="str">
        <f>IF(OR(Y69="Preventivo",Y69="Detectivo"),"Probabilidad",IF(Y69="Correctivo","Impacto",""))</f>
        <v/>
      </c>
      <c r="Y69" s="190"/>
      <c r="Z69" s="190"/>
      <c r="AA69" s="191" t="str">
        <f t="shared" si="81"/>
        <v/>
      </c>
      <c r="AB69" s="190"/>
      <c r="AC69" s="190"/>
      <c r="AD69" s="190"/>
      <c r="AE69" s="192" t="str">
        <f>IFERROR(IF(AND(X68="Probabilidad",X69="Probabilidad"),(AG68-(+AG68*AA69)),IF(AND(X68="Impacto",X69="Probabilidad"),(AG67-(+AG67*AA69)),IF(X69="Impacto",AG68,""))),"")</f>
        <v/>
      </c>
      <c r="AF69" s="193" t="str">
        <f t="shared" si="2"/>
        <v/>
      </c>
      <c r="AG69" s="191" t="str">
        <f t="shared" si="82"/>
        <v/>
      </c>
      <c r="AH69" s="193" t="str">
        <f t="shared" si="4"/>
        <v/>
      </c>
      <c r="AI69" s="191" t="str">
        <f t="shared" ref="AI69" si="85">IFERROR(IF(AND(X68="Impacto",X69="Impacto"),(AI68-(+AI68*AA69)),IF(AND(X68="Probabilidad",X69="Impacto"),(AI67-(+AI67*AA69)),IF(X69="Probabilidad",AI68,""))),"")</f>
        <v/>
      </c>
      <c r="AJ69" s="194" t="str">
        <f t="shared" si="84"/>
        <v/>
      </c>
      <c r="AK69" s="195"/>
      <c r="AL69" s="186"/>
      <c r="AM69" s="196"/>
      <c r="AN69" s="196"/>
      <c r="AO69" s="197"/>
      <c r="AP69" s="381"/>
      <c r="AQ69" s="381"/>
      <c r="AR69" s="381"/>
    </row>
    <row r="70" spans="1:44" x14ac:dyDescent="0.2">
      <c r="A70" s="418"/>
      <c r="B70" s="387"/>
      <c r="C70" s="387"/>
      <c r="D70" s="387"/>
      <c r="E70" s="387"/>
      <c r="F70" s="387"/>
      <c r="G70" s="360"/>
      <c r="H70" s="360"/>
      <c r="I70" s="222"/>
      <c r="J70" s="222"/>
      <c r="K70" s="222"/>
      <c r="L70" s="360"/>
      <c r="M70" s="360"/>
      <c r="N70" s="381"/>
      <c r="O70" s="367"/>
      <c r="P70" s="364"/>
      <c r="Q70" s="353"/>
      <c r="R70" s="364">
        <f>IF(NOT(ISERROR(MATCH(Q70,_xlfn.ANCHORARRAY(F81),0))),Q83&amp;"Por favor no seleccionar los criterios de impacto",Q70)</f>
        <v>0</v>
      </c>
      <c r="S70" s="367"/>
      <c r="T70" s="364"/>
      <c r="U70" s="362"/>
      <c r="V70" s="214">
        <v>4</v>
      </c>
      <c r="W70" s="187"/>
      <c r="X70" s="189" t="str">
        <f t="shared" ref="X70:X72" si="86">IF(OR(Y70="Preventivo",Y70="Detectivo"),"Probabilidad",IF(Y70="Correctivo","Impacto",""))</f>
        <v/>
      </c>
      <c r="Y70" s="190"/>
      <c r="Z70" s="190"/>
      <c r="AA70" s="191" t="str">
        <f t="shared" si="81"/>
        <v/>
      </c>
      <c r="AB70" s="190"/>
      <c r="AC70" s="190"/>
      <c r="AD70" s="190"/>
      <c r="AE70" s="192" t="str">
        <f t="shared" ref="AE70:AE72" si="87">IFERROR(IF(AND(X69="Probabilidad",X70="Probabilidad"),(AG69-(+AG69*AA70)),IF(AND(X69="Impacto",X70="Probabilidad"),(AG68-(+AG68*AA70)),IF(X70="Impacto",AG69,""))),"")</f>
        <v/>
      </c>
      <c r="AF70" s="193" t="str">
        <f t="shared" si="2"/>
        <v/>
      </c>
      <c r="AG70" s="191" t="str">
        <f t="shared" si="82"/>
        <v/>
      </c>
      <c r="AH70" s="193" t="str">
        <f t="shared" si="4"/>
        <v/>
      </c>
      <c r="AI70" s="191" t="str">
        <f t="shared" si="13"/>
        <v/>
      </c>
      <c r="AJ70" s="194"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95"/>
      <c r="AL70" s="186"/>
      <c r="AM70" s="196"/>
      <c r="AN70" s="196"/>
      <c r="AO70" s="197"/>
      <c r="AP70" s="381"/>
      <c r="AQ70" s="381"/>
      <c r="AR70" s="381"/>
    </row>
    <row r="71" spans="1:44" x14ac:dyDescent="0.2">
      <c r="A71" s="418"/>
      <c r="B71" s="387"/>
      <c r="C71" s="387"/>
      <c r="D71" s="387"/>
      <c r="E71" s="387"/>
      <c r="F71" s="387"/>
      <c r="G71" s="360"/>
      <c r="H71" s="360"/>
      <c r="I71" s="222"/>
      <c r="J71" s="222"/>
      <c r="K71" s="222"/>
      <c r="L71" s="360"/>
      <c r="M71" s="360"/>
      <c r="N71" s="381"/>
      <c r="O71" s="367"/>
      <c r="P71" s="364"/>
      <c r="Q71" s="353"/>
      <c r="R71" s="364">
        <f>IF(NOT(ISERROR(MATCH(Q71,_xlfn.ANCHORARRAY(F82),0))),Q84&amp;"Por favor no seleccionar los criterios de impacto",Q71)</f>
        <v>0</v>
      </c>
      <c r="S71" s="367"/>
      <c r="T71" s="364"/>
      <c r="U71" s="362"/>
      <c r="V71" s="214">
        <v>5</v>
      </c>
      <c r="W71" s="187"/>
      <c r="X71" s="189" t="str">
        <f t="shared" si="86"/>
        <v/>
      </c>
      <c r="Y71" s="190"/>
      <c r="Z71" s="190"/>
      <c r="AA71" s="191" t="str">
        <f t="shared" si="81"/>
        <v/>
      </c>
      <c r="AB71" s="190"/>
      <c r="AC71" s="190"/>
      <c r="AD71" s="190"/>
      <c r="AE71" s="192" t="str">
        <f t="shared" si="87"/>
        <v/>
      </c>
      <c r="AF71" s="193" t="str">
        <f t="shared" si="2"/>
        <v/>
      </c>
      <c r="AG71" s="191" t="str">
        <f t="shared" si="82"/>
        <v/>
      </c>
      <c r="AH71" s="193" t="str">
        <f t="shared" si="4"/>
        <v/>
      </c>
      <c r="AI71" s="191" t="str">
        <f t="shared" si="13"/>
        <v/>
      </c>
      <c r="AJ71" s="194" t="str">
        <f t="shared" ref="AJ71:AJ72" si="88">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95"/>
      <c r="AL71" s="186"/>
      <c r="AM71" s="196"/>
      <c r="AN71" s="196"/>
      <c r="AO71" s="197"/>
      <c r="AP71" s="381"/>
      <c r="AQ71" s="381"/>
      <c r="AR71" s="381"/>
    </row>
    <row r="72" spans="1:44" x14ac:dyDescent="0.2">
      <c r="A72" s="418"/>
      <c r="B72" s="387"/>
      <c r="C72" s="387"/>
      <c r="D72" s="387"/>
      <c r="E72" s="387"/>
      <c r="F72" s="387"/>
      <c r="G72" s="373"/>
      <c r="H72" s="373"/>
      <c r="I72" s="223"/>
      <c r="J72" s="223"/>
      <c r="K72" s="223"/>
      <c r="L72" s="373"/>
      <c r="M72" s="373"/>
      <c r="N72" s="381"/>
      <c r="O72" s="367"/>
      <c r="P72" s="364"/>
      <c r="Q72" s="353"/>
      <c r="R72" s="364">
        <f>IF(NOT(ISERROR(MATCH(Q72,_xlfn.ANCHORARRAY(F83),0))),Q85&amp;"Por favor no seleccionar los criterios de impacto",Q72)</f>
        <v>0</v>
      </c>
      <c r="S72" s="367"/>
      <c r="T72" s="364"/>
      <c r="U72" s="362"/>
      <c r="V72" s="214">
        <v>6</v>
      </c>
      <c r="W72" s="187"/>
      <c r="X72" s="189" t="str">
        <f t="shared" si="86"/>
        <v/>
      </c>
      <c r="Y72" s="190"/>
      <c r="Z72" s="190"/>
      <c r="AA72" s="191" t="str">
        <f t="shared" si="81"/>
        <v/>
      </c>
      <c r="AB72" s="190"/>
      <c r="AC72" s="190"/>
      <c r="AD72" s="190"/>
      <c r="AE72" s="192" t="str">
        <f t="shared" si="87"/>
        <v/>
      </c>
      <c r="AF72" s="193" t="str">
        <f t="shared" si="2"/>
        <v/>
      </c>
      <c r="AG72" s="191" t="str">
        <f t="shared" si="82"/>
        <v/>
      </c>
      <c r="AH72" s="193" t="str">
        <f t="shared" si="4"/>
        <v/>
      </c>
      <c r="AI72" s="191" t="str">
        <f t="shared" si="13"/>
        <v/>
      </c>
      <c r="AJ72" s="194" t="str">
        <f t="shared" si="88"/>
        <v/>
      </c>
      <c r="AK72" s="195"/>
      <c r="AL72" s="186"/>
      <c r="AM72" s="196"/>
      <c r="AN72" s="196"/>
      <c r="AO72" s="197"/>
      <c r="AP72" s="381"/>
      <c r="AQ72" s="381"/>
      <c r="AR72" s="381"/>
    </row>
    <row r="73" spans="1:44" ht="49.5" customHeight="1" x14ac:dyDescent="0.2">
      <c r="A73" s="216"/>
      <c r="B73" s="422" t="s">
        <v>261</v>
      </c>
      <c r="C73" s="423"/>
      <c r="D73" s="423"/>
      <c r="E73" s="423"/>
      <c r="F73" s="423"/>
      <c r="G73" s="423"/>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3"/>
      <c r="AL73" s="423"/>
      <c r="AM73" s="423"/>
      <c r="AN73" s="423"/>
      <c r="AO73" s="423"/>
      <c r="AP73" s="423"/>
    </row>
    <row r="75" spans="1:44" ht="15.75" x14ac:dyDescent="0.2">
      <c r="A75" s="198"/>
      <c r="B75" s="206" t="s">
        <v>262</v>
      </c>
      <c r="C75" s="198"/>
      <c r="D75" s="198"/>
      <c r="E75" s="198"/>
      <c r="N75" s="198"/>
    </row>
  </sheetData>
  <dataConsolidate/>
  <mergeCells count="299">
    <mergeCell ref="A6:B6"/>
    <mergeCell ref="W6:Y6"/>
    <mergeCell ref="Z6:AR6"/>
    <mergeCell ref="A7:B7"/>
    <mergeCell ref="Z7:AR7"/>
    <mergeCell ref="A1:C4"/>
    <mergeCell ref="X1:AR2"/>
    <mergeCell ref="X3:AL3"/>
    <mergeCell ref="AM3:AR3"/>
    <mergeCell ref="X4:AR4"/>
    <mergeCell ref="D3:I3"/>
    <mergeCell ref="D1:T2"/>
    <mergeCell ref="J3:T3"/>
    <mergeCell ref="D4:T4"/>
    <mergeCell ref="C6:T6"/>
    <mergeCell ref="C7:T7"/>
    <mergeCell ref="A8:B8"/>
    <mergeCell ref="Z8:AR8"/>
    <mergeCell ref="A10:F10"/>
    <mergeCell ref="G10:K10"/>
    <mergeCell ref="P10:V10"/>
    <mergeCell ref="W10:AE10"/>
    <mergeCell ref="AF10:AJ10"/>
    <mergeCell ref="AK10:AO10"/>
    <mergeCell ref="AP10:AR10"/>
    <mergeCell ref="C8:T8"/>
    <mergeCell ref="A11:A12"/>
    <mergeCell ref="B11:B12"/>
    <mergeCell ref="C11:C12"/>
    <mergeCell ref="D11:D12"/>
    <mergeCell ref="E11:E12"/>
    <mergeCell ref="F11:F12"/>
    <mergeCell ref="G11:G12"/>
    <mergeCell ref="H11:H12"/>
    <mergeCell ref="I11:I12"/>
    <mergeCell ref="U13:U18"/>
    <mergeCell ref="AP13:AP18"/>
    <mergeCell ref="AQ13:AQ18"/>
    <mergeCell ref="AR11:AR12"/>
    <mergeCell ref="A13:A18"/>
    <mergeCell ref="B13:B18"/>
    <mergeCell ref="C13:C18"/>
    <mergeCell ref="D13:D18"/>
    <mergeCell ref="E13:E18"/>
    <mergeCell ref="F13:F18"/>
    <mergeCell ref="AI11:AI12"/>
    <mergeCell ref="AJ11:AJ12"/>
    <mergeCell ref="AK11:AK12"/>
    <mergeCell ref="AL11:AL12"/>
    <mergeCell ref="AM11:AM12"/>
    <mergeCell ref="AN11:AN12"/>
    <mergeCell ref="X11:X12"/>
    <mergeCell ref="Y11:AD11"/>
    <mergeCell ref="AE11:AE12"/>
    <mergeCell ref="AF11:AF12"/>
    <mergeCell ref="AG11:AG12"/>
    <mergeCell ref="AH11:AH12"/>
    <mergeCell ref="R11:R12"/>
    <mergeCell ref="S11:S12"/>
    <mergeCell ref="AO11:AO12"/>
    <mergeCell ref="AP11:AP12"/>
    <mergeCell ref="AQ11:AQ12"/>
    <mergeCell ref="W11:W12"/>
    <mergeCell ref="J11:J12"/>
    <mergeCell ref="K11:K12"/>
    <mergeCell ref="N11:N12"/>
    <mergeCell ref="O11:O12"/>
    <mergeCell ref="P11:P12"/>
    <mergeCell ref="Q11:Q12"/>
    <mergeCell ref="T11:T12"/>
    <mergeCell ref="U11:U12"/>
    <mergeCell ref="V11:V12"/>
    <mergeCell ref="AR13:AR18"/>
    <mergeCell ref="M13:M18"/>
    <mergeCell ref="N13:N18"/>
    <mergeCell ref="O13:O18"/>
    <mergeCell ref="P13:P18"/>
    <mergeCell ref="Q13:Q18"/>
    <mergeCell ref="R13:R18"/>
    <mergeCell ref="G19:G24"/>
    <mergeCell ref="H19:H24"/>
    <mergeCell ref="I19:I24"/>
    <mergeCell ref="J19:J24"/>
    <mergeCell ref="K19:K24"/>
    <mergeCell ref="L19:L24"/>
    <mergeCell ref="AP19:AP24"/>
    <mergeCell ref="AQ19:AQ24"/>
    <mergeCell ref="AR19:AR24"/>
    <mergeCell ref="G13:G18"/>
    <mergeCell ref="H13:H18"/>
    <mergeCell ref="I13:I18"/>
    <mergeCell ref="J13:J18"/>
    <mergeCell ref="K13:K18"/>
    <mergeCell ref="L13:L18"/>
    <mergeCell ref="S13:S18"/>
    <mergeCell ref="T13:T18"/>
    <mergeCell ref="A19:A24"/>
    <mergeCell ref="B19:B24"/>
    <mergeCell ref="C19:C24"/>
    <mergeCell ref="D19:D24"/>
    <mergeCell ref="E19:E24"/>
    <mergeCell ref="F19:F24"/>
    <mergeCell ref="S19:S24"/>
    <mergeCell ref="T19:T24"/>
    <mergeCell ref="U19:U24"/>
    <mergeCell ref="M19:M24"/>
    <mergeCell ref="N19:N24"/>
    <mergeCell ref="O19:O24"/>
    <mergeCell ref="P19:P24"/>
    <mergeCell ref="Q19:Q24"/>
    <mergeCell ref="R19:R24"/>
    <mergeCell ref="G25:G30"/>
    <mergeCell ref="H25:H30"/>
    <mergeCell ref="I25:I30"/>
    <mergeCell ref="J25:J30"/>
    <mergeCell ref="K25:K30"/>
    <mergeCell ref="L25:L30"/>
    <mergeCell ref="A25:A30"/>
    <mergeCell ref="B25:B30"/>
    <mergeCell ref="C25:C30"/>
    <mergeCell ref="D25:D30"/>
    <mergeCell ref="E25:E30"/>
    <mergeCell ref="F25:F30"/>
    <mergeCell ref="S25:S30"/>
    <mergeCell ref="T25:T30"/>
    <mergeCell ref="U25:U30"/>
    <mergeCell ref="AP25:AP30"/>
    <mergeCell ref="AQ25:AQ30"/>
    <mergeCell ref="AR25:AR30"/>
    <mergeCell ref="M25:M30"/>
    <mergeCell ref="N25:N30"/>
    <mergeCell ref="O25:O30"/>
    <mergeCell ref="P25:P30"/>
    <mergeCell ref="Q25:Q30"/>
    <mergeCell ref="R25:R30"/>
    <mergeCell ref="G31:G36"/>
    <mergeCell ref="H31:H36"/>
    <mergeCell ref="I31:I36"/>
    <mergeCell ref="J31:J36"/>
    <mergeCell ref="K31:K36"/>
    <mergeCell ref="L31:L36"/>
    <mergeCell ref="A31:A36"/>
    <mergeCell ref="B31:B36"/>
    <mergeCell ref="C31:C36"/>
    <mergeCell ref="D31:D36"/>
    <mergeCell ref="E31:E36"/>
    <mergeCell ref="F31:F36"/>
    <mergeCell ref="S31:S36"/>
    <mergeCell ref="T31:T36"/>
    <mergeCell ref="U31:U36"/>
    <mergeCell ref="AP31:AP36"/>
    <mergeCell ref="AQ31:AQ36"/>
    <mergeCell ref="AR31:AR36"/>
    <mergeCell ref="M31:M36"/>
    <mergeCell ref="N31:N36"/>
    <mergeCell ref="O31:O36"/>
    <mergeCell ref="P31:P36"/>
    <mergeCell ref="Q31:Q36"/>
    <mergeCell ref="R31:R36"/>
    <mergeCell ref="G37:G42"/>
    <mergeCell ref="H37:H42"/>
    <mergeCell ref="I37:I42"/>
    <mergeCell ref="J37:J42"/>
    <mergeCell ref="K37:K42"/>
    <mergeCell ref="L37:L42"/>
    <mergeCell ref="A37:A42"/>
    <mergeCell ref="B37:B42"/>
    <mergeCell ref="C37:C42"/>
    <mergeCell ref="D37:D42"/>
    <mergeCell ref="E37:E42"/>
    <mergeCell ref="F37:F42"/>
    <mergeCell ref="S37:S42"/>
    <mergeCell ref="T37:T42"/>
    <mergeCell ref="U37:U42"/>
    <mergeCell ref="AP37:AP42"/>
    <mergeCell ref="AQ37:AQ42"/>
    <mergeCell ref="AR37:AR42"/>
    <mergeCell ref="M37:M42"/>
    <mergeCell ref="N37:N42"/>
    <mergeCell ref="O37:O42"/>
    <mergeCell ref="P37:P42"/>
    <mergeCell ref="Q37:Q42"/>
    <mergeCell ref="R37:R42"/>
    <mergeCell ref="G43:G48"/>
    <mergeCell ref="H43:H48"/>
    <mergeCell ref="I43:I48"/>
    <mergeCell ref="J43:J48"/>
    <mergeCell ref="K43:K48"/>
    <mergeCell ref="L43:L48"/>
    <mergeCell ref="A43:A48"/>
    <mergeCell ref="B43:B48"/>
    <mergeCell ref="C43:C48"/>
    <mergeCell ref="D43:D48"/>
    <mergeCell ref="E43:E48"/>
    <mergeCell ref="F43:F48"/>
    <mergeCell ref="S43:S48"/>
    <mergeCell ref="T43:T48"/>
    <mergeCell ref="U43:U48"/>
    <mergeCell ref="AP43:AP48"/>
    <mergeCell ref="AQ43:AQ48"/>
    <mergeCell ref="AR43:AR48"/>
    <mergeCell ref="M43:M48"/>
    <mergeCell ref="N43:N48"/>
    <mergeCell ref="O43:O48"/>
    <mergeCell ref="P43:P48"/>
    <mergeCell ref="Q43:Q48"/>
    <mergeCell ref="R43:R48"/>
    <mergeCell ref="G49:G54"/>
    <mergeCell ref="H49:H54"/>
    <mergeCell ref="I49:I54"/>
    <mergeCell ref="J49:J54"/>
    <mergeCell ref="K49:K54"/>
    <mergeCell ref="L49:L54"/>
    <mergeCell ref="A49:A54"/>
    <mergeCell ref="B49:B54"/>
    <mergeCell ref="C49:C54"/>
    <mergeCell ref="D49:D54"/>
    <mergeCell ref="E49:E54"/>
    <mergeCell ref="F49:F54"/>
    <mergeCell ref="S49:S54"/>
    <mergeCell ref="T49:T54"/>
    <mergeCell ref="U49:U54"/>
    <mergeCell ref="AP49:AP54"/>
    <mergeCell ref="AQ49:AQ54"/>
    <mergeCell ref="AR49:AR54"/>
    <mergeCell ref="M49:M54"/>
    <mergeCell ref="N49:N54"/>
    <mergeCell ref="O49:O54"/>
    <mergeCell ref="P49:P54"/>
    <mergeCell ref="Q49:Q54"/>
    <mergeCell ref="R49:R54"/>
    <mergeCell ref="G55:G60"/>
    <mergeCell ref="H55:H60"/>
    <mergeCell ref="I55:I60"/>
    <mergeCell ref="J55:J60"/>
    <mergeCell ref="K55:K60"/>
    <mergeCell ref="L55:L60"/>
    <mergeCell ref="A55:A60"/>
    <mergeCell ref="B55:B60"/>
    <mergeCell ref="C55:C60"/>
    <mergeCell ref="D55:D60"/>
    <mergeCell ref="E55:E60"/>
    <mergeCell ref="F55:F60"/>
    <mergeCell ref="T55:T60"/>
    <mergeCell ref="U55:U60"/>
    <mergeCell ref="AP55:AP60"/>
    <mergeCell ref="AQ55:AQ60"/>
    <mergeCell ref="AR55:AR60"/>
    <mergeCell ref="M55:M60"/>
    <mergeCell ref="N55:N60"/>
    <mergeCell ref="O55:O60"/>
    <mergeCell ref="P55:P60"/>
    <mergeCell ref="Q55:Q60"/>
    <mergeCell ref="R55:R60"/>
    <mergeCell ref="A67:A72"/>
    <mergeCell ref="B67:B72"/>
    <mergeCell ref="C67:C72"/>
    <mergeCell ref="D67:D72"/>
    <mergeCell ref="E67:E72"/>
    <mergeCell ref="F67:F72"/>
    <mergeCell ref="G67:G72"/>
    <mergeCell ref="P61:P66"/>
    <mergeCell ref="Q61:Q66"/>
    <mergeCell ref="G61:G66"/>
    <mergeCell ref="H61:H66"/>
    <mergeCell ref="L61:L66"/>
    <mergeCell ref="M61:M66"/>
    <mergeCell ref="N61:N66"/>
    <mergeCell ref="O61:O66"/>
    <mergeCell ref="A61:A66"/>
    <mergeCell ref="B61:B66"/>
    <mergeCell ref="C61:C66"/>
    <mergeCell ref="D61:D66"/>
    <mergeCell ref="E61:E66"/>
    <mergeCell ref="F61:F66"/>
    <mergeCell ref="AQ67:AQ72"/>
    <mergeCell ref="AR67:AR72"/>
    <mergeCell ref="B73:AP73"/>
    <mergeCell ref="L10:M11"/>
    <mergeCell ref="Q67:Q72"/>
    <mergeCell ref="R67:R72"/>
    <mergeCell ref="S67:S72"/>
    <mergeCell ref="T67:T72"/>
    <mergeCell ref="U67:U72"/>
    <mergeCell ref="AP67:AP72"/>
    <mergeCell ref="H67:H72"/>
    <mergeCell ref="L67:L72"/>
    <mergeCell ref="M67:M72"/>
    <mergeCell ref="N67:N72"/>
    <mergeCell ref="O67:O72"/>
    <mergeCell ref="P67:P72"/>
    <mergeCell ref="AP61:AP66"/>
    <mergeCell ref="AQ61:AQ66"/>
    <mergeCell ref="AR61:AR66"/>
    <mergeCell ref="R61:R66"/>
    <mergeCell ref="S61:S66"/>
    <mergeCell ref="T61:T66"/>
    <mergeCell ref="U61:U66"/>
    <mergeCell ref="S55:S60"/>
  </mergeCells>
  <conditionalFormatting sqref="O13 O19">
    <cfRule type="cellIs" dxfId="469" priority="227" operator="equal">
      <formula>"Muy Alta"</formula>
    </cfRule>
    <cfRule type="cellIs" dxfId="468" priority="228" operator="equal">
      <formula>"Alta"</formula>
    </cfRule>
    <cfRule type="cellIs" dxfId="467" priority="229" operator="equal">
      <formula>"Media"</formula>
    </cfRule>
    <cfRule type="cellIs" dxfId="466" priority="230" operator="equal">
      <formula>"Baja"</formula>
    </cfRule>
    <cfRule type="cellIs" dxfId="465" priority="231" operator="equal">
      <formula>"Muy Baja"</formula>
    </cfRule>
  </conditionalFormatting>
  <conditionalFormatting sqref="S13 S19 S25 S31 S37 S43 S49 S55 S61 S67">
    <cfRule type="cellIs" dxfId="464" priority="222" operator="equal">
      <formula>"Catastrófico"</formula>
    </cfRule>
    <cfRule type="cellIs" dxfId="463" priority="223" operator="equal">
      <formula>"Mayor"</formula>
    </cfRule>
    <cfRule type="cellIs" dxfId="462" priority="224" operator="equal">
      <formula>"Moderado"</formula>
    </cfRule>
    <cfRule type="cellIs" dxfId="461" priority="225" operator="equal">
      <formula>"Menor"</formula>
    </cfRule>
    <cfRule type="cellIs" dxfId="460" priority="226" operator="equal">
      <formula>"Leve"</formula>
    </cfRule>
  </conditionalFormatting>
  <conditionalFormatting sqref="U13">
    <cfRule type="cellIs" dxfId="459" priority="218" operator="equal">
      <formula>"Extremo"</formula>
    </cfRule>
    <cfRule type="cellIs" dxfId="458" priority="219" operator="equal">
      <formula>"Alto"</formula>
    </cfRule>
    <cfRule type="cellIs" dxfId="457" priority="220" operator="equal">
      <formula>"Moderado"</formula>
    </cfRule>
    <cfRule type="cellIs" dxfId="456" priority="221" operator="equal">
      <formula>"Bajo"</formula>
    </cfRule>
  </conditionalFormatting>
  <conditionalFormatting sqref="AF13:AF18">
    <cfRule type="cellIs" dxfId="455" priority="213" operator="equal">
      <formula>"Muy Alta"</formula>
    </cfRule>
    <cfRule type="cellIs" dxfId="454" priority="214" operator="equal">
      <formula>"Alta"</formula>
    </cfRule>
    <cfRule type="cellIs" dxfId="453" priority="215" operator="equal">
      <formula>"Media"</formula>
    </cfRule>
    <cfRule type="cellIs" dxfId="452" priority="216" operator="equal">
      <formula>"Baja"</formula>
    </cfRule>
    <cfRule type="cellIs" dxfId="451" priority="217" operator="equal">
      <formula>"Muy Baja"</formula>
    </cfRule>
  </conditionalFormatting>
  <conditionalFormatting sqref="AH13:AH18">
    <cfRule type="cellIs" dxfId="450" priority="208" operator="equal">
      <formula>"Catastrófico"</formula>
    </cfRule>
    <cfRule type="cellIs" dxfId="449" priority="209" operator="equal">
      <formula>"Mayor"</formula>
    </cfRule>
    <cfRule type="cellIs" dxfId="448" priority="210" operator="equal">
      <formula>"Moderado"</formula>
    </cfRule>
    <cfRule type="cellIs" dxfId="447" priority="211" operator="equal">
      <formula>"Menor"</formula>
    </cfRule>
    <cfRule type="cellIs" dxfId="446" priority="212" operator="equal">
      <formula>"Leve"</formula>
    </cfRule>
  </conditionalFormatting>
  <conditionalFormatting sqref="AJ13:AJ18">
    <cfRule type="cellIs" dxfId="445" priority="204" operator="equal">
      <formula>"Extremo"</formula>
    </cfRule>
    <cfRule type="cellIs" dxfId="444" priority="205" operator="equal">
      <formula>"Alto"</formula>
    </cfRule>
    <cfRule type="cellIs" dxfId="443" priority="206" operator="equal">
      <formula>"Moderado"</formula>
    </cfRule>
    <cfRule type="cellIs" dxfId="442" priority="207" operator="equal">
      <formula>"Bajo"</formula>
    </cfRule>
  </conditionalFormatting>
  <conditionalFormatting sqref="O61">
    <cfRule type="cellIs" dxfId="441" priority="48" operator="equal">
      <formula>"Muy Alta"</formula>
    </cfRule>
    <cfRule type="cellIs" dxfId="440" priority="49" operator="equal">
      <formula>"Alta"</formula>
    </cfRule>
    <cfRule type="cellIs" dxfId="439" priority="50" operator="equal">
      <formula>"Media"</formula>
    </cfRule>
    <cfRule type="cellIs" dxfId="438" priority="51" operator="equal">
      <formula>"Baja"</formula>
    </cfRule>
    <cfRule type="cellIs" dxfId="437" priority="52" operator="equal">
      <formula>"Muy Baja"</formula>
    </cfRule>
  </conditionalFormatting>
  <conditionalFormatting sqref="U19">
    <cfRule type="cellIs" dxfId="436" priority="200" operator="equal">
      <formula>"Extremo"</formula>
    </cfRule>
    <cfRule type="cellIs" dxfId="435" priority="201" operator="equal">
      <formula>"Alto"</formula>
    </cfRule>
    <cfRule type="cellIs" dxfId="434" priority="202" operator="equal">
      <formula>"Moderado"</formula>
    </cfRule>
    <cfRule type="cellIs" dxfId="433" priority="203" operator="equal">
      <formula>"Bajo"</formula>
    </cfRule>
  </conditionalFormatting>
  <conditionalFormatting sqref="AF19:AF24">
    <cfRule type="cellIs" dxfId="432" priority="195" operator="equal">
      <formula>"Muy Alta"</formula>
    </cfRule>
    <cfRule type="cellIs" dxfId="431" priority="196" operator="equal">
      <formula>"Alta"</formula>
    </cfRule>
    <cfRule type="cellIs" dxfId="430" priority="197" operator="equal">
      <formula>"Media"</formula>
    </cfRule>
    <cfRule type="cellIs" dxfId="429" priority="198" operator="equal">
      <formula>"Baja"</formula>
    </cfRule>
    <cfRule type="cellIs" dxfId="428" priority="199" operator="equal">
      <formula>"Muy Baja"</formula>
    </cfRule>
  </conditionalFormatting>
  <conditionalFormatting sqref="AH19:AH24">
    <cfRule type="cellIs" dxfId="427" priority="190" operator="equal">
      <formula>"Catastrófico"</formula>
    </cfRule>
    <cfRule type="cellIs" dxfId="426" priority="191" operator="equal">
      <formula>"Mayor"</formula>
    </cfRule>
    <cfRule type="cellIs" dxfId="425" priority="192" operator="equal">
      <formula>"Moderado"</formula>
    </cfRule>
    <cfRule type="cellIs" dxfId="424" priority="193" operator="equal">
      <formula>"Menor"</formula>
    </cfRule>
    <cfRule type="cellIs" dxfId="423" priority="194" operator="equal">
      <formula>"Leve"</formula>
    </cfRule>
  </conditionalFormatting>
  <conditionalFormatting sqref="AJ19:AJ24">
    <cfRule type="cellIs" dxfId="422" priority="186" operator="equal">
      <formula>"Extremo"</formula>
    </cfRule>
    <cfRule type="cellIs" dxfId="421" priority="187" operator="equal">
      <formula>"Alto"</formula>
    </cfRule>
    <cfRule type="cellIs" dxfId="420" priority="188" operator="equal">
      <formula>"Moderado"</formula>
    </cfRule>
    <cfRule type="cellIs" dxfId="419" priority="189" operator="equal">
      <formula>"Bajo"</formula>
    </cfRule>
  </conditionalFormatting>
  <conditionalFormatting sqref="O25">
    <cfRule type="cellIs" dxfId="418" priority="181" operator="equal">
      <formula>"Muy Alta"</formula>
    </cfRule>
    <cfRule type="cellIs" dxfId="417" priority="182" operator="equal">
      <formula>"Alta"</formula>
    </cfRule>
    <cfRule type="cellIs" dxfId="416" priority="183" operator="equal">
      <formula>"Media"</formula>
    </cfRule>
    <cfRule type="cellIs" dxfId="415" priority="184" operator="equal">
      <formula>"Baja"</formula>
    </cfRule>
    <cfRule type="cellIs" dxfId="414" priority="185" operator="equal">
      <formula>"Muy Baja"</formula>
    </cfRule>
  </conditionalFormatting>
  <conditionalFormatting sqref="U25">
    <cfRule type="cellIs" dxfId="413" priority="177" operator="equal">
      <formula>"Extremo"</formula>
    </cfRule>
    <cfRule type="cellIs" dxfId="412" priority="178" operator="equal">
      <formula>"Alto"</formula>
    </cfRule>
    <cfRule type="cellIs" dxfId="411" priority="179" operator="equal">
      <formula>"Moderado"</formula>
    </cfRule>
    <cfRule type="cellIs" dxfId="410" priority="180" operator="equal">
      <formula>"Bajo"</formula>
    </cfRule>
  </conditionalFormatting>
  <conditionalFormatting sqref="AF25:AF30">
    <cfRule type="cellIs" dxfId="409" priority="172" operator="equal">
      <formula>"Muy Alta"</formula>
    </cfRule>
    <cfRule type="cellIs" dxfId="408" priority="173" operator="equal">
      <formula>"Alta"</formula>
    </cfRule>
    <cfRule type="cellIs" dxfId="407" priority="174" operator="equal">
      <formula>"Media"</formula>
    </cfRule>
    <cfRule type="cellIs" dxfId="406" priority="175" operator="equal">
      <formula>"Baja"</formula>
    </cfRule>
    <cfRule type="cellIs" dxfId="405" priority="176" operator="equal">
      <formula>"Muy Baja"</formula>
    </cfRule>
  </conditionalFormatting>
  <conditionalFormatting sqref="AH25:AH30">
    <cfRule type="cellIs" dxfId="404" priority="167" operator="equal">
      <formula>"Catastrófico"</formula>
    </cfRule>
    <cfRule type="cellIs" dxfId="403" priority="168" operator="equal">
      <formula>"Mayor"</formula>
    </cfRule>
    <cfRule type="cellIs" dxfId="402" priority="169" operator="equal">
      <formula>"Moderado"</formula>
    </cfRule>
    <cfRule type="cellIs" dxfId="401" priority="170" operator="equal">
      <formula>"Menor"</formula>
    </cfRule>
    <cfRule type="cellIs" dxfId="400" priority="171" operator="equal">
      <formula>"Leve"</formula>
    </cfRule>
  </conditionalFormatting>
  <conditionalFormatting sqref="AJ25:AJ30">
    <cfRule type="cellIs" dxfId="399" priority="163" operator="equal">
      <formula>"Extremo"</formula>
    </cfRule>
    <cfRule type="cellIs" dxfId="398" priority="164" operator="equal">
      <formula>"Alto"</formula>
    </cfRule>
    <cfRule type="cellIs" dxfId="397" priority="165" operator="equal">
      <formula>"Moderado"</formula>
    </cfRule>
    <cfRule type="cellIs" dxfId="396" priority="166" operator="equal">
      <formula>"Bajo"</formula>
    </cfRule>
  </conditionalFormatting>
  <conditionalFormatting sqref="O31">
    <cfRule type="cellIs" dxfId="395" priority="158" operator="equal">
      <formula>"Muy Alta"</formula>
    </cfRule>
    <cfRule type="cellIs" dxfId="394" priority="159" operator="equal">
      <formula>"Alta"</formula>
    </cfRule>
    <cfRule type="cellIs" dxfId="393" priority="160" operator="equal">
      <formula>"Media"</formula>
    </cfRule>
    <cfRule type="cellIs" dxfId="392" priority="161" operator="equal">
      <formula>"Baja"</formula>
    </cfRule>
    <cfRule type="cellIs" dxfId="391" priority="162" operator="equal">
      <formula>"Muy Baja"</formula>
    </cfRule>
  </conditionalFormatting>
  <conditionalFormatting sqref="U31">
    <cfRule type="cellIs" dxfId="390" priority="154" operator="equal">
      <formula>"Extremo"</formula>
    </cfRule>
    <cfRule type="cellIs" dxfId="389" priority="155" operator="equal">
      <formula>"Alto"</formula>
    </cfRule>
    <cfRule type="cellIs" dxfId="388" priority="156" operator="equal">
      <formula>"Moderado"</formula>
    </cfRule>
    <cfRule type="cellIs" dxfId="387" priority="157" operator="equal">
      <formula>"Bajo"</formula>
    </cfRule>
  </conditionalFormatting>
  <conditionalFormatting sqref="AF31:AF36">
    <cfRule type="cellIs" dxfId="386" priority="149" operator="equal">
      <formula>"Muy Alta"</formula>
    </cfRule>
    <cfRule type="cellIs" dxfId="385" priority="150" operator="equal">
      <formula>"Alta"</formula>
    </cfRule>
    <cfRule type="cellIs" dxfId="384" priority="151" operator="equal">
      <formula>"Media"</formula>
    </cfRule>
    <cfRule type="cellIs" dxfId="383" priority="152" operator="equal">
      <formula>"Baja"</formula>
    </cfRule>
    <cfRule type="cellIs" dxfId="382" priority="153" operator="equal">
      <formula>"Muy Baja"</formula>
    </cfRule>
  </conditionalFormatting>
  <conditionalFormatting sqref="AH31:AH36">
    <cfRule type="cellIs" dxfId="381" priority="144" operator="equal">
      <formula>"Catastrófico"</formula>
    </cfRule>
    <cfRule type="cellIs" dxfId="380" priority="145" operator="equal">
      <formula>"Mayor"</formula>
    </cfRule>
    <cfRule type="cellIs" dxfId="379" priority="146" operator="equal">
      <formula>"Moderado"</formula>
    </cfRule>
    <cfRule type="cellIs" dxfId="378" priority="147" operator="equal">
      <formula>"Menor"</formula>
    </cfRule>
    <cfRule type="cellIs" dxfId="377" priority="148" operator="equal">
      <formula>"Leve"</formula>
    </cfRule>
  </conditionalFormatting>
  <conditionalFormatting sqref="AJ31:AJ36">
    <cfRule type="cellIs" dxfId="376" priority="140" operator="equal">
      <formula>"Extremo"</formula>
    </cfRule>
    <cfRule type="cellIs" dxfId="375" priority="141" operator="equal">
      <formula>"Alto"</formula>
    </cfRule>
    <cfRule type="cellIs" dxfId="374" priority="142" operator="equal">
      <formula>"Moderado"</formula>
    </cfRule>
    <cfRule type="cellIs" dxfId="373" priority="143" operator="equal">
      <formula>"Bajo"</formula>
    </cfRule>
  </conditionalFormatting>
  <conditionalFormatting sqref="O37">
    <cfRule type="cellIs" dxfId="372" priority="135" operator="equal">
      <formula>"Muy Alta"</formula>
    </cfRule>
    <cfRule type="cellIs" dxfId="371" priority="136" operator="equal">
      <formula>"Alta"</formula>
    </cfRule>
    <cfRule type="cellIs" dxfId="370" priority="137" operator="equal">
      <formula>"Media"</formula>
    </cfRule>
    <cfRule type="cellIs" dxfId="369" priority="138" operator="equal">
      <formula>"Baja"</formula>
    </cfRule>
    <cfRule type="cellIs" dxfId="368" priority="139" operator="equal">
      <formula>"Muy Baja"</formula>
    </cfRule>
  </conditionalFormatting>
  <conditionalFormatting sqref="U37">
    <cfRule type="cellIs" dxfId="367" priority="131" operator="equal">
      <formula>"Extremo"</formula>
    </cfRule>
    <cfRule type="cellIs" dxfId="366" priority="132" operator="equal">
      <formula>"Alto"</formula>
    </cfRule>
    <cfRule type="cellIs" dxfId="365" priority="133" operator="equal">
      <formula>"Moderado"</formula>
    </cfRule>
    <cfRule type="cellIs" dxfId="364" priority="134" operator="equal">
      <formula>"Bajo"</formula>
    </cfRule>
  </conditionalFormatting>
  <conditionalFormatting sqref="AF37:AF42">
    <cfRule type="cellIs" dxfId="363" priority="126" operator="equal">
      <formula>"Muy Alta"</formula>
    </cfRule>
    <cfRule type="cellIs" dxfId="362" priority="127" operator="equal">
      <formula>"Alta"</formula>
    </cfRule>
    <cfRule type="cellIs" dxfId="361" priority="128" operator="equal">
      <formula>"Media"</formula>
    </cfRule>
    <cfRule type="cellIs" dxfId="360" priority="129" operator="equal">
      <formula>"Baja"</formula>
    </cfRule>
    <cfRule type="cellIs" dxfId="359" priority="130" operator="equal">
      <formula>"Muy Baja"</formula>
    </cfRule>
  </conditionalFormatting>
  <conditionalFormatting sqref="AH37:AH42">
    <cfRule type="cellIs" dxfId="358" priority="121" operator="equal">
      <formula>"Catastrófico"</formula>
    </cfRule>
    <cfRule type="cellIs" dxfId="357" priority="122" operator="equal">
      <formula>"Mayor"</formula>
    </cfRule>
    <cfRule type="cellIs" dxfId="356" priority="123" operator="equal">
      <formula>"Moderado"</formula>
    </cfRule>
    <cfRule type="cellIs" dxfId="355" priority="124" operator="equal">
      <formula>"Menor"</formula>
    </cfRule>
    <cfRule type="cellIs" dxfId="354" priority="125" operator="equal">
      <formula>"Leve"</formula>
    </cfRule>
  </conditionalFormatting>
  <conditionalFormatting sqref="AJ37:AJ42">
    <cfRule type="cellIs" dxfId="353" priority="117" operator="equal">
      <formula>"Extremo"</formula>
    </cfRule>
    <cfRule type="cellIs" dxfId="352" priority="118" operator="equal">
      <formula>"Alto"</formula>
    </cfRule>
    <cfRule type="cellIs" dxfId="351" priority="119" operator="equal">
      <formula>"Moderado"</formula>
    </cfRule>
    <cfRule type="cellIs" dxfId="350" priority="120" operator="equal">
      <formula>"Bajo"</formula>
    </cfRule>
  </conditionalFormatting>
  <conditionalFormatting sqref="O43">
    <cfRule type="cellIs" dxfId="349" priority="112" operator="equal">
      <formula>"Muy Alta"</formula>
    </cfRule>
    <cfRule type="cellIs" dxfId="348" priority="113" operator="equal">
      <formula>"Alta"</formula>
    </cfRule>
    <cfRule type="cellIs" dxfId="347" priority="114" operator="equal">
      <formula>"Media"</formula>
    </cfRule>
    <cfRule type="cellIs" dxfId="346" priority="115" operator="equal">
      <formula>"Baja"</formula>
    </cfRule>
    <cfRule type="cellIs" dxfId="345" priority="116" operator="equal">
      <formula>"Muy Baja"</formula>
    </cfRule>
  </conditionalFormatting>
  <conditionalFormatting sqref="U43">
    <cfRule type="cellIs" dxfId="344" priority="108" operator="equal">
      <formula>"Extremo"</formula>
    </cfRule>
    <cfRule type="cellIs" dxfId="343" priority="109" operator="equal">
      <formula>"Alto"</formula>
    </cfRule>
    <cfRule type="cellIs" dxfId="342" priority="110" operator="equal">
      <formula>"Moderado"</formula>
    </cfRule>
    <cfRule type="cellIs" dxfId="341" priority="111" operator="equal">
      <formula>"Bajo"</formula>
    </cfRule>
  </conditionalFormatting>
  <conditionalFormatting sqref="AF43:AF48">
    <cfRule type="cellIs" dxfId="340" priority="103" operator="equal">
      <formula>"Muy Alta"</formula>
    </cfRule>
    <cfRule type="cellIs" dxfId="339" priority="104" operator="equal">
      <formula>"Alta"</formula>
    </cfRule>
    <cfRule type="cellIs" dxfId="338" priority="105" operator="equal">
      <formula>"Media"</formula>
    </cfRule>
    <cfRule type="cellIs" dxfId="337" priority="106" operator="equal">
      <formula>"Baja"</formula>
    </cfRule>
    <cfRule type="cellIs" dxfId="336" priority="107" operator="equal">
      <formula>"Muy Baja"</formula>
    </cfRule>
  </conditionalFormatting>
  <conditionalFormatting sqref="AH43:AH48">
    <cfRule type="cellIs" dxfId="335" priority="98" operator="equal">
      <formula>"Catastrófico"</formula>
    </cfRule>
    <cfRule type="cellIs" dxfId="334" priority="99" operator="equal">
      <formula>"Mayor"</formula>
    </cfRule>
    <cfRule type="cellIs" dxfId="333" priority="100" operator="equal">
      <formula>"Moderado"</formula>
    </cfRule>
    <cfRule type="cellIs" dxfId="332" priority="101" operator="equal">
      <formula>"Menor"</formula>
    </cfRule>
    <cfRule type="cellIs" dxfId="331" priority="102" operator="equal">
      <formula>"Leve"</formula>
    </cfRule>
  </conditionalFormatting>
  <conditionalFormatting sqref="AJ43:AJ48">
    <cfRule type="cellIs" dxfId="330" priority="94" operator="equal">
      <formula>"Extremo"</formula>
    </cfRule>
    <cfRule type="cellIs" dxfId="329" priority="95" operator="equal">
      <formula>"Alto"</formula>
    </cfRule>
    <cfRule type="cellIs" dxfId="328" priority="96" operator="equal">
      <formula>"Moderado"</formula>
    </cfRule>
    <cfRule type="cellIs" dxfId="327" priority="97" operator="equal">
      <formula>"Bajo"</formula>
    </cfRule>
  </conditionalFormatting>
  <conditionalFormatting sqref="O49">
    <cfRule type="cellIs" dxfId="326" priority="89" operator="equal">
      <formula>"Muy Alta"</formula>
    </cfRule>
    <cfRule type="cellIs" dxfId="325" priority="90" operator="equal">
      <formula>"Alta"</formula>
    </cfRule>
    <cfRule type="cellIs" dxfId="324" priority="91" operator="equal">
      <formula>"Media"</formula>
    </cfRule>
    <cfRule type="cellIs" dxfId="323" priority="92" operator="equal">
      <formula>"Baja"</formula>
    </cfRule>
    <cfRule type="cellIs" dxfId="322" priority="93" operator="equal">
      <formula>"Muy Baja"</formula>
    </cfRule>
  </conditionalFormatting>
  <conditionalFormatting sqref="U49">
    <cfRule type="cellIs" dxfId="321" priority="85" operator="equal">
      <formula>"Extremo"</formula>
    </cfRule>
    <cfRule type="cellIs" dxfId="320" priority="86" operator="equal">
      <formula>"Alto"</formula>
    </cfRule>
    <cfRule type="cellIs" dxfId="319" priority="87" operator="equal">
      <formula>"Moderado"</formula>
    </cfRule>
    <cfRule type="cellIs" dxfId="318" priority="88" operator="equal">
      <formula>"Bajo"</formula>
    </cfRule>
  </conditionalFormatting>
  <conditionalFormatting sqref="AF49:AF54">
    <cfRule type="cellIs" dxfId="317" priority="80" operator="equal">
      <formula>"Muy Alta"</formula>
    </cfRule>
    <cfRule type="cellIs" dxfId="316" priority="81" operator="equal">
      <formula>"Alta"</formula>
    </cfRule>
    <cfRule type="cellIs" dxfId="315" priority="82" operator="equal">
      <formula>"Media"</formula>
    </cfRule>
    <cfRule type="cellIs" dxfId="314" priority="83" operator="equal">
      <formula>"Baja"</formula>
    </cfRule>
    <cfRule type="cellIs" dxfId="313" priority="84" operator="equal">
      <formula>"Muy Baja"</formula>
    </cfRule>
  </conditionalFormatting>
  <conditionalFormatting sqref="AH49:AH54">
    <cfRule type="cellIs" dxfId="312" priority="75" operator="equal">
      <formula>"Catastrófico"</formula>
    </cfRule>
    <cfRule type="cellIs" dxfId="311" priority="76" operator="equal">
      <formula>"Mayor"</formula>
    </cfRule>
    <cfRule type="cellIs" dxfId="310" priority="77" operator="equal">
      <formula>"Moderado"</formula>
    </cfRule>
    <cfRule type="cellIs" dxfId="309" priority="78" operator="equal">
      <formula>"Menor"</formula>
    </cfRule>
    <cfRule type="cellIs" dxfId="308" priority="79" operator="equal">
      <formula>"Leve"</formula>
    </cfRule>
  </conditionalFormatting>
  <conditionalFormatting sqref="AJ49:AJ54">
    <cfRule type="cellIs" dxfId="307" priority="71" operator="equal">
      <formula>"Extremo"</formula>
    </cfRule>
    <cfRule type="cellIs" dxfId="306" priority="72" operator="equal">
      <formula>"Alto"</formula>
    </cfRule>
    <cfRule type="cellIs" dxfId="305" priority="73" operator="equal">
      <formula>"Moderado"</formula>
    </cfRule>
    <cfRule type="cellIs" dxfId="304" priority="74" operator="equal">
      <formula>"Bajo"</formula>
    </cfRule>
  </conditionalFormatting>
  <conditionalFormatting sqref="U55">
    <cfRule type="cellIs" dxfId="303" priority="67" operator="equal">
      <formula>"Extremo"</formula>
    </cfRule>
    <cfRule type="cellIs" dxfId="302" priority="68" operator="equal">
      <formula>"Alto"</formula>
    </cfRule>
    <cfRule type="cellIs" dxfId="301" priority="69" operator="equal">
      <formula>"Moderado"</formula>
    </cfRule>
    <cfRule type="cellIs" dxfId="300" priority="70" operator="equal">
      <formula>"Bajo"</formula>
    </cfRule>
  </conditionalFormatting>
  <conditionalFormatting sqref="AF55:AF60">
    <cfRule type="cellIs" dxfId="299" priority="62" operator="equal">
      <formula>"Muy Alta"</formula>
    </cfRule>
    <cfRule type="cellIs" dxfId="298" priority="63" operator="equal">
      <formula>"Alta"</formula>
    </cfRule>
    <cfRule type="cellIs" dxfId="297" priority="64" operator="equal">
      <formula>"Media"</formula>
    </cfRule>
    <cfRule type="cellIs" dxfId="296" priority="65" operator="equal">
      <formula>"Baja"</formula>
    </cfRule>
    <cfRule type="cellIs" dxfId="295" priority="66" operator="equal">
      <formula>"Muy Baja"</formula>
    </cfRule>
  </conditionalFormatting>
  <conditionalFormatting sqref="AH55:AH60">
    <cfRule type="cellIs" dxfId="294" priority="57" operator="equal">
      <formula>"Catastrófico"</formula>
    </cfRule>
    <cfRule type="cellIs" dxfId="293" priority="58" operator="equal">
      <formula>"Mayor"</formula>
    </cfRule>
    <cfRule type="cellIs" dxfId="292" priority="59" operator="equal">
      <formula>"Moderado"</formula>
    </cfRule>
    <cfRule type="cellIs" dxfId="291" priority="60" operator="equal">
      <formula>"Menor"</formula>
    </cfRule>
    <cfRule type="cellIs" dxfId="290" priority="61" operator="equal">
      <formula>"Leve"</formula>
    </cfRule>
  </conditionalFormatting>
  <conditionalFormatting sqref="AJ55:AJ60">
    <cfRule type="cellIs" dxfId="289" priority="53" operator="equal">
      <formula>"Extremo"</formula>
    </cfRule>
    <cfRule type="cellIs" dxfId="288" priority="54" operator="equal">
      <formula>"Alto"</formula>
    </cfRule>
    <cfRule type="cellIs" dxfId="287" priority="55" operator="equal">
      <formula>"Moderado"</formula>
    </cfRule>
    <cfRule type="cellIs" dxfId="286" priority="56" operator="equal">
      <formula>"Bajo"</formula>
    </cfRule>
  </conditionalFormatting>
  <conditionalFormatting sqref="U61">
    <cfRule type="cellIs" dxfId="285" priority="44" operator="equal">
      <formula>"Extremo"</formula>
    </cfRule>
    <cfRule type="cellIs" dxfId="284" priority="45" operator="equal">
      <formula>"Alto"</formula>
    </cfRule>
    <cfRule type="cellIs" dxfId="283" priority="46" operator="equal">
      <formula>"Moderado"</formula>
    </cfRule>
    <cfRule type="cellIs" dxfId="282" priority="47" operator="equal">
      <formula>"Bajo"</formula>
    </cfRule>
  </conditionalFormatting>
  <conditionalFormatting sqref="AF61:AF66">
    <cfRule type="cellIs" dxfId="281" priority="39" operator="equal">
      <formula>"Muy Alta"</formula>
    </cfRule>
    <cfRule type="cellIs" dxfId="280" priority="40" operator="equal">
      <formula>"Alta"</formula>
    </cfRule>
    <cfRule type="cellIs" dxfId="279" priority="41" operator="equal">
      <formula>"Media"</formula>
    </cfRule>
    <cfRule type="cellIs" dxfId="278" priority="42" operator="equal">
      <formula>"Baja"</formula>
    </cfRule>
    <cfRule type="cellIs" dxfId="277" priority="43" operator="equal">
      <formula>"Muy Baja"</formula>
    </cfRule>
  </conditionalFormatting>
  <conditionalFormatting sqref="AH61:AH66">
    <cfRule type="cellIs" dxfId="276" priority="34" operator="equal">
      <formula>"Catastrófico"</formula>
    </cfRule>
    <cfRule type="cellIs" dxfId="275" priority="35" operator="equal">
      <formula>"Mayor"</formula>
    </cfRule>
    <cfRule type="cellIs" dxfId="274" priority="36" operator="equal">
      <formula>"Moderado"</formula>
    </cfRule>
    <cfRule type="cellIs" dxfId="273" priority="37" operator="equal">
      <formula>"Menor"</formula>
    </cfRule>
    <cfRule type="cellIs" dxfId="272" priority="38" operator="equal">
      <formula>"Leve"</formula>
    </cfRule>
  </conditionalFormatting>
  <conditionalFormatting sqref="AJ61:AJ66">
    <cfRule type="cellIs" dxfId="271" priority="30" operator="equal">
      <formula>"Extremo"</formula>
    </cfRule>
    <cfRule type="cellIs" dxfId="270" priority="31" operator="equal">
      <formula>"Alto"</formula>
    </cfRule>
    <cfRule type="cellIs" dxfId="269" priority="32" operator="equal">
      <formula>"Moderado"</formula>
    </cfRule>
    <cfRule type="cellIs" dxfId="268" priority="33" operator="equal">
      <formula>"Bajo"</formula>
    </cfRule>
  </conditionalFormatting>
  <conditionalFormatting sqref="O67">
    <cfRule type="cellIs" dxfId="267" priority="25" operator="equal">
      <formula>"Muy Alta"</formula>
    </cfRule>
    <cfRule type="cellIs" dxfId="266" priority="26" operator="equal">
      <formula>"Alta"</formula>
    </cfRule>
    <cfRule type="cellIs" dxfId="265" priority="27" operator="equal">
      <formula>"Media"</formula>
    </cfRule>
    <cfRule type="cellIs" dxfId="264" priority="28" operator="equal">
      <formula>"Baja"</formula>
    </cfRule>
    <cfRule type="cellIs" dxfId="263" priority="29" operator="equal">
      <formula>"Muy Baja"</formula>
    </cfRule>
  </conditionalFormatting>
  <conditionalFormatting sqref="U67">
    <cfRule type="cellIs" dxfId="262" priority="21" operator="equal">
      <formula>"Extremo"</formula>
    </cfRule>
    <cfRule type="cellIs" dxfId="261" priority="22" operator="equal">
      <formula>"Alto"</formula>
    </cfRule>
    <cfRule type="cellIs" dxfId="260" priority="23" operator="equal">
      <formula>"Moderado"</formula>
    </cfRule>
    <cfRule type="cellIs" dxfId="259" priority="24" operator="equal">
      <formula>"Bajo"</formula>
    </cfRule>
  </conditionalFormatting>
  <conditionalFormatting sqref="AF67:AF72">
    <cfRule type="cellIs" dxfId="258" priority="16" operator="equal">
      <formula>"Muy Alta"</formula>
    </cfRule>
    <cfRule type="cellIs" dxfId="257" priority="17" operator="equal">
      <formula>"Alta"</formula>
    </cfRule>
    <cfRule type="cellIs" dxfId="256" priority="18" operator="equal">
      <formula>"Media"</formula>
    </cfRule>
    <cfRule type="cellIs" dxfId="255" priority="19" operator="equal">
      <formula>"Baja"</formula>
    </cfRule>
    <cfRule type="cellIs" dxfId="254" priority="20" operator="equal">
      <formula>"Muy Baja"</formula>
    </cfRule>
  </conditionalFormatting>
  <conditionalFormatting sqref="AH67:AH72">
    <cfRule type="cellIs" dxfId="253" priority="11" operator="equal">
      <formula>"Catastrófico"</formula>
    </cfRule>
    <cfRule type="cellIs" dxfId="252" priority="12" operator="equal">
      <formula>"Mayor"</formula>
    </cfRule>
    <cfRule type="cellIs" dxfId="251" priority="13" operator="equal">
      <formula>"Moderado"</formula>
    </cfRule>
    <cfRule type="cellIs" dxfId="250" priority="14" operator="equal">
      <formula>"Menor"</formula>
    </cfRule>
    <cfRule type="cellIs" dxfId="249" priority="15" operator="equal">
      <formula>"Leve"</formula>
    </cfRule>
  </conditionalFormatting>
  <conditionalFormatting sqref="AJ67:AJ72">
    <cfRule type="cellIs" dxfId="248" priority="7" operator="equal">
      <formula>"Extremo"</formula>
    </cfRule>
    <cfRule type="cellIs" dxfId="247" priority="8" operator="equal">
      <formula>"Alto"</formula>
    </cfRule>
    <cfRule type="cellIs" dxfId="246" priority="9" operator="equal">
      <formula>"Moderado"</formula>
    </cfRule>
    <cfRule type="cellIs" dxfId="245" priority="10" operator="equal">
      <formula>"Bajo"</formula>
    </cfRule>
  </conditionalFormatting>
  <conditionalFormatting sqref="R13:R72">
    <cfRule type="containsText" dxfId="244" priority="6" operator="containsText" text="❌">
      <formula>NOT(ISERROR(SEARCH("❌",R13)))</formula>
    </cfRule>
  </conditionalFormatting>
  <conditionalFormatting sqref="O55">
    <cfRule type="cellIs" dxfId="243" priority="1" operator="equal">
      <formula>"Muy Alta"</formula>
    </cfRule>
    <cfRule type="cellIs" dxfId="242" priority="2" operator="equal">
      <formula>"Alta"</formula>
    </cfRule>
    <cfRule type="cellIs" dxfId="241" priority="3" operator="equal">
      <formula>"Media"</formula>
    </cfRule>
    <cfRule type="cellIs" dxfId="240" priority="4" operator="equal">
      <formula>"Baja"</formula>
    </cfRule>
    <cfRule type="cellIs" dxfId="239"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1" manualBreakCount="1">
    <brk id="30" max="43" man="1"/>
  </rowBreaks>
  <colBreaks count="1" manualBreakCount="1">
    <brk id="20" min="3" max="65"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600-000000000000}">
          <x14:formula1>
            <xm:f>Listas!$H$14:$H$18</xm:f>
          </x14:formula1>
          <xm:sqref>M13:M72</xm:sqref>
        </x14:dataValidation>
        <x14:dataValidation type="list" allowBlank="1" showInputMessage="1" showErrorMessage="1" xr:uid="{00000000-0002-0000-0600-000001000000}">
          <x14:formula1>
            <xm:f>Listas!$H$8:$H$12</xm:f>
          </x14:formula1>
          <xm:sqref>L13:L72</xm:sqref>
        </x14:dataValidation>
        <x14:dataValidation type="list" allowBlank="1" showInputMessage="1" showErrorMessage="1" xr:uid="{00000000-0002-0000-0600-000002000000}">
          <x14:formula1>
            <xm:f>Intructivo!$C$300:$C$316</xm:f>
          </x14:formula1>
          <xm:sqref>C6 T6:V6</xm:sqref>
        </x14:dataValidation>
        <x14:dataValidation type="list" allowBlank="1" showInputMessage="1" showErrorMessage="1" xr:uid="{00000000-0002-0000-0600-000003000000}">
          <x14:formula1>
            <xm:f>Listas!$F$8:$F$9</xm:f>
          </x14:formula1>
          <xm:sqref>G13:G72</xm:sqref>
        </x14:dataValidation>
        <x14:dataValidation type="list" allowBlank="1" showInputMessage="1" showErrorMessage="1" xr:uid="{00000000-0002-0000-0600-000004000000}">
          <x14:formula1>
            <xm:f>Listas!$B$17:$B$19</xm:f>
          </x14:formula1>
          <xm:sqref>F13:F72</xm:sqref>
        </x14:dataValidation>
        <x14:dataValidation type="custom" allowBlank="1" showInputMessage="1" showErrorMessage="1" error="Recuerde que las acciones se generan bajo la medida de mitigar el riesgo" xr:uid="{00000000-0002-0000-0600-000005000000}">
          <x14:formula1>
            <xm:f>IF(OR(#REF!=Listas!$B$2,#REF!=Listas!$B$3,#REF!=Listas!$B$4),ISBLANK(#REF!),ISTEXT(#REF!))</xm:f>
          </x14:formula1>
          <xm:sqref>AP19:AR19 AP67:AR67 AP61:AR61 AP55:AR55 AP49:AR49 AP43:AR43 AP37:AR37 AP31:AR31 AP25:AR25</xm:sqref>
        </x14:dataValidation>
        <x14:dataValidation type="list" allowBlank="1" showInputMessage="1" showErrorMessage="1" xr:uid="{00000000-0002-0000-0600-000006000000}">
          <x14:formula1>
            <xm:f>Listas!$B$2:$B$5</xm:f>
          </x14:formula1>
          <xm:sqref>AK13:AK72</xm:sqref>
        </x14:dataValidation>
        <x14:dataValidation type="list" allowBlank="1" showInputMessage="1" showErrorMessage="1" xr:uid="{00000000-0002-0000-0600-000007000000}">
          <x14:formula1>
            <xm:f>Listas!$E$2:$E$4</xm:f>
          </x14:formula1>
          <xm:sqref>B13:B72</xm:sqref>
        </x14:dataValidation>
        <x14:dataValidation type="list" allowBlank="1" showInputMessage="1" showErrorMessage="1" xr:uid="{00000000-0002-0000-0600-000008000000}">
          <x14:formula1>
            <xm:f>'Tabla Valoración controles'!$D$13:$D$14</xm:f>
          </x14:formula1>
          <xm:sqref>AD13:AD72</xm:sqref>
        </x14:dataValidation>
        <x14:dataValidation type="list" allowBlank="1" showInputMessage="1" showErrorMessage="1" xr:uid="{00000000-0002-0000-0600-000009000000}">
          <x14:formula1>
            <xm:f>'Tabla Valoración controles'!$D$11:$D$12</xm:f>
          </x14:formula1>
          <xm:sqref>AC13:AC72</xm:sqref>
        </x14:dataValidation>
        <x14:dataValidation type="list" allowBlank="1" showInputMessage="1" showErrorMessage="1" xr:uid="{00000000-0002-0000-0600-00000A000000}">
          <x14:formula1>
            <xm:f>'Tabla Valoración controles'!$D$9:$D$10</xm:f>
          </x14:formula1>
          <xm:sqref>AB13:AB72</xm:sqref>
        </x14:dataValidation>
        <x14:dataValidation type="list" allowBlank="1" showInputMessage="1" showErrorMessage="1" xr:uid="{00000000-0002-0000-0600-00000B000000}">
          <x14:formula1>
            <xm:f>'Tabla Valoración controles'!$D$7:$D$8</xm:f>
          </x14:formula1>
          <xm:sqref>Z13:Z72</xm:sqref>
        </x14:dataValidation>
        <x14:dataValidation type="list" allowBlank="1" showInputMessage="1" showErrorMessage="1" xr:uid="{00000000-0002-0000-0600-00000C000000}">
          <x14:formula1>
            <xm:f>'Tabla Valoración controles'!$D$4:$D$6</xm:f>
          </x14:formula1>
          <xm:sqref>Y13:Y72</xm:sqref>
        </x14:dataValidation>
        <x14:dataValidation type="list" allowBlank="1" showInputMessage="1" showErrorMessage="1" xr:uid="{00000000-0002-0000-0600-00000D000000}">
          <x14:formula1>
            <xm:f>'Tabla Impacto'!$F$220:$F$222</xm:f>
          </x14:formula1>
          <xm:sqref>Q13:Q72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29"/>
  <sheetViews>
    <sheetView zoomScaleNormal="100" zoomScaleSheetLayoutView="90" workbookViewId="0">
      <selection activeCell="B25" sqref="B25:F25"/>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99" t="s">
        <v>282</v>
      </c>
      <c r="C2" s="600"/>
      <c r="D2" s="600"/>
      <c r="E2" s="600"/>
      <c r="F2" s="601"/>
    </row>
    <row r="3" spans="2:6" ht="31.9" customHeight="1" x14ac:dyDescent="0.25">
      <c r="B3" s="602" t="s">
        <v>283</v>
      </c>
      <c r="C3" s="604" t="s">
        <v>284</v>
      </c>
      <c r="D3" s="604"/>
      <c r="E3" s="604" t="s">
        <v>285</v>
      </c>
      <c r="F3" s="606"/>
    </row>
    <row r="4" spans="2:6" ht="28.15" customHeight="1" thickBot="1" x14ac:dyDescent="0.3">
      <c r="B4" s="603"/>
      <c r="C4" s="605"/>
      <c r="D4" s="605"/>
      <c r="E4" s="158" t="s">
        <v>286</v>
      </c>
      <c r="F4" s="159" t="s">
        <v>287</v>
      </c>
    </row>
    <row r="5" spans="2:6" ht="23.25" customHeight="1" x14ac:dyDescent="0.25">
      <c r="B5" s="149">
        <v>1</v>
      </c>
      <c r="C5" s="607" t="s">
        <v>288</v>
      </c>
      <c r="D5" s="607"/>
      <c r="E5" s="178"/>
      <c r="F5" s="179"/>
    </row>
    <row r="6" spans="2:6" ht="33" customHeight="1" x14ac:dyDescent="0.25">
      <c r="B6" s="150">
        <v>2</v>
      </c>
      <c r="C6" s="598" t="s">
        <v>289</v>
      </c>
      <c r="D6" s="598"/>
      <c r="E6" s="180"/>
      <c r="F6" s="181"/>
    </row>
    <row r="7" spans="2:6" ht="39" customHeight="1" x14ac:dyDescent="0.25">
      <c r="B7" s="150">
        <v>3</v>
      </c>
      <c r="C7" s="598" t="s">
        <v>290</v>
      </c>
      <c r="D7" s="598"/>
      <c r="E7" s="180"/>
      <c r="F7" s="181"/>
    </row>
    <row r="8" spans="2:6" ht="24.75" customHeight="1" x14ac:dyDescent="0.25">
      <c r="B8" s="150">
        <v>4</v>
      </c>
      <c r="C8" s="598" t="s">
        <v>291</v>
      </c>
      <c r="D8" s="598"/>
      <c r="E8" s="180"/>
      <c r="F8" s="181"/>
    </row>
    <row r="9" spans="2:6" ht="23.25" customHeight="1" x14ac:dyDescent="0.25">
      <c r="B9" s="150">
        <v>5</v>
      </c>
      <c r="C9" s="598" t="s">
        <v>292</v>
      </c>
      <c r="D9" s="598"/>
      <c r="E9" s="180"/>
      <c r="F9" s="181"/>
    </row>
    <row r="10" spans="2:6" ht="23.25" customHeight="1" x14ac:dyDescent="0.25">
      <c r="B10" s="150">
        <v>6</v>
      </c>
      <c r="C10" s="598" t="s">
        <v>293</v>
      </c>
      <c r="D10" s="598"/>
      <c r="E10" s="180"/>
      <c r="F10" s="181"/>
    </row>
    <row r="11" spans="2:6" ht="23.25" customHeight="1" x14ac:dyDescent="0.25">
      <c r="B11" s="150">
        <v>7</v>
      </c>
      <c r="C11" s="598" t="s">
        <v>294</v>
      </c>
      <c r="D11" s="598"/>
      <c r="E11" s="180"/>
      <c r="F11" s="181"/>
    </row>
    <row r="12" spans="2:6" ht="25.5" customHeight="1" x14ac:dyDescent="0.25">
      <c r="B12" s="150">
        <v>8</v>
      </c>
      <c r="C12" s="598" t="s">
        <v>295</v>
      </c>
      <c r="D12" s="598"/>
      <c r="E12" s="151"/>
      <c r="F12" s="152"/>
    </row>
    <row r="13" spans="2:6" ht="23.25" customHeight="1" x14ac:dyDescent="0.25">
      <c r="B13" s="150">
        <v>9</v>
      </c>
      <c r="C13" s="598" t="s">
        <v>296</v>
      </c>
      <c r="D13" s="598"/>
      <c r="E13" s="151"/>
      <c r="F13" s="152"/>
    </row>
    <row r="14" spans="2:6" ht="23.25" customHeight="1" x14ac:dyDescent="0.25">
      <c r="B14" s="150">
        <v>10</v>
      </c>
      <c r="C14" s="598" t="s">
        <v>297</v>
      </c>
      <c r="D14" s="598"/>
      <c r="E14" s="151"/>
      <c r="F14" s="152"/>
    </row>
    <row r="15" spans="2:6" ht="23.25" customHeight="1" x14ac:dyDescent="0.25">
      <c r="B15" s="150">
        <v>11</v>
      </c>
      <c r="C15" s="598" t="s">
        <v>298</v>
      </c>
      <c r="D15" s="598"/>
      <c r="E15" s="151"/>
      <c r="F15" s="152"/>
    </row>
    <row r="16" spans="2:6" ht="23.25" customHeight="1" x14ac:dyDescent="0.25">
      <c r="B16" s="150">
        <v>12</v>
      </c>
      <c r="C16" s="598" t="s">
        <v>299</v>
      </c>
      <c r="D16" s="598"/>
      <c r="E16" s="151"/>
      <c r="F16" s="152"/>
    </row>
    <row r="17" spans="2:6" ht="23.25" customHeight="1" x14ac:dyDescent="0.25">
      <c r="B17" s="150">
        <v>13</v>
      </c>
      <c r="C17" s="598" t="s">
        <v>300</v>
      </c>
      <c r="D17" s="598"/>
      <c r="E17" s="151"/>
      <c r="F17" s="152"/>
    </row>
    <row r="18" spans="2:6" ht="23.25" customHeight="1" x14ac:dyDescent="0.25">
      <c r="B18" s="150">
        <v>14</v>
      </c>
      <c r="C18" s="598" t="s">
        <v>301</v>
      </c>
      <c r="D18" s="598"/>
      <c r="E18" s="151"/>
      <c r="F18" s="152"/>
    </row>
    <row r="19" spans="2:6" ht="23.25" customHeight="1" x14ac:dyDescent="0.25">
      <c r="B19" s="150">
        <v>15</v>
      </c>
      <c r="C19" s="598" t="s">
        <v>302</v>
      </c>
      <c r="D19" s="598"/>
      <c r="E19" s="151"/>
      <c r="F19" s="152"/>
    </row>
    <row r="20" spans="2:6" ht="23.25" customHeight="1" x14ac:dyDescent="0.25">
      <c r="B20" s="150">
        <v>16</v>
      </c>
      <c r="C20" s="598" t="s">
        <v>303</v>
      </c>
      <c r="D20" s="598"/>
      <c r="E20" s="151"/>
      <c r="F20" s="152"/>
    </row>
    <row r="21" spans="2:6" ht="23.25" customHeight="1" x14ac:dyDescent="0.25">
      <c r="B21" s="150">
        <v>17</v>
      </c>
      <c r="C21" s="598" t="s">
        <v>304</v>
      </c>
      <c r="D21" s="598"/>
      <c r="E21" s="151"/>
      <c r="F21" s="152"/>
    </row>
    <row r="22" spans="2:6" ht="23.25" customHeight="1" x14ac:dyDescent="0.25">
      <c r="B22" s="150">
        <v>18</v>
      </c>
      <c r="C22" s="612" t="s">
        <v>305</v>
      </c>
      <c r="D22" s="612"/>
      <c r="E22" s="151"/>
      <c r="F22" s="152"/>
    </row>
    <row r="23" spans="2:6" ht="23.25" customHeight="1" thickBot="1" x14ac:dyDescent="0.3">
      <c r="B23" s="150">
        <v>19</v>
      </c>
      <c r="C23" s="598" t="s">
        <v>306</v>
      </c>
      <c r="D23" s="598"/>
      <c r="E23" s="151"/>
      <c r="F23" s="152"/>
    </row>
    <row r="24" spans="2:6" ht="15.75" customHeight="1" thickBot="1" x14ac:dyDescent="0.3">
      <c r="B24" s="613" t="s">
        <v>307</v>
      </c>
      <c r="C24" s="608"/>
      <c r="D24" s="608"/>
      <c r="E24" s="608">
        <f>COUNTIF(E5:E23,"X")</f>
        <v>0</v>
      </c>
      <c r="F24" s="609"/>
    </row>
    <row r="25" spans="2:6" ht="45.75" customHeight="1" x14ac:dyDescent="0.25">
      <c r="B25" s="610" t="s">
        <v>308</v>
      </c>
      <c r="C25" s="610"/>
      <c r="D25" s="610"/>
      <c r="E25" s="610"/>
      <c r="F25" s="610"/>
    </row>
    <row r="26" spans="2:6" ht="9.75" customHeight="1" x14ac:dyDescent="0.25">
      <c r="B26" s="611"/>
      <c r="C26" s="611"/>
      <c r="D26" s="611"/>
      <c r="E26" s="611"/>
      <c r="F26" s="611"/>
    </row>
    <row r="27" spans="2:6" x14ac:dyDescent="0.25">
      <c r="B27" s="247"/>
    </row>
    <row r="28" spans="2:6" x14ac:dyDescent="0.25">
      <c r="B28" s="247"/>
    </row>
    <row r="29" spans="2:6" x14ac:dyDescent="0.25">
      <c r="B29" s="247"/>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700-000000000000}">
      <formula1>"X"</formula1>
    </dataValidation>
  </dataValidations>
  <printOptions horizontalCentered="1"/>
  <pageMargins left="0.25" right="0.25" top="0.75" bottom="0.75" header="0.3" footer="0.3"/>
  <pageSetup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JP75"/>
  <sheetViews>
    <sheetView zoomScale="70" zoomScaleNormal="70" zoomScaleSheetLayoutView="50" zoomScalePageLayoutView="60" workbookViewId="0">
      <selection activeCell="Z13" sqref="A13:XFD72"/>
    </sheetView>
  </sheetViews>
  <sheetFormatPr baseColWidth="10" defaultColWidth="11.42578125" defaultRowHeight="15" x14ac:dyDescent="0.2"/>
  <cols>
    <col min="1" max="1" width="6.5703125" style="218" customWidth="1"/>
    <col min="2" max="2" width="16" style="218" customWidth="1"/>
    <col min="3" max="3" width="19.140625" style="218" customWidth="1"/>
    <col min="4" max="4" width="25.28515625" style="218" customWidth="1"/>
    <col min="5" max="5" width="40.140625" style="218" customWidth="1"/>
    <col min="6" max="10" width="17.7109375" style="198" customWidth="1"/>
    <col min="11" max="11" width="16" style="198" customWidth="1"/>
    <col min="12" max="12" width="24.28515625" style="198" customWidth="1"/>
    <col min="13" max="14" width="29.42578125" style="198" customWidth="1"/>
    <col min="15" max="15" width="24.28515625" style="198" customWidth="1"/>
    <col min="16" max="16" width="19.42578125" style="198" customWidth="1"/>
    <col min="17" max="17" width="20.5703125" style="198" customWidth="1"/>
    <col min="18" max="18" width="16.7109375" style="219" customWidth="1"/>
    <col min="19" max="19" width="16.7109375" style="198" customWidth="1"/>
    <col min="20" max="20" width="20.42578125" style="198" customWidth="1"/>
    <col min="21" max="21" width="12.85546875" style="198" customWidth="1"/>
    <col min="22" max="22" width="35.85546875" style="198" hidden="1" customWidth="1"/>
    <col min="23" max="23" width="30.5703125" style="198" hidden="1" customWidth="1"/>
    <col min="24" max="24" width="17.5703125" style="198" customWidth="1"/>
    <col min="25" max="25" width="15" style="198" customWidth="1"/>
    <col min="26" max="26" width="16" style="198" customWidth="1"/>
    <col min="27" max="27" width="32.7109375" style="198" customWidth="1"/>
    <col min="28" max="28" width="26.85546875" style="198" hidden="1" customWidth="1"/>
    <col min="29" max="29" width="5.85546875" style="198" customWidth="1"/>
    <col min="30" max="30" width="6.85546875" style="198" customWidth="1"/>
    <col min="31" max="31" width="5" style="198" hidden="1" customWidth="1"/>
    <col min="32" max="32" width="5.5703125" style="198" customWidth="1"/>
    <col min="33" max="33" width="7.140625" style="198" customWidth="1"/>
    <col min="34" max="34" width="6.7109375" style="198" customWidth="1"/>
    <col min="35" max="35" width="7.5703125" style="198" hidden="1" customWidth="1"/>
    <col min="36" max="36" width="8.5703125" style="198" customWidth="1"/>
    <col min="37" max="41" width="10.85546875" style="198" customWidth="1"/>
    <col min="42" max="42" width="10.85546875" style="217" customWidth="1"/>
    <col min="43" max="43" width="23" style="198" customWidth="1"/>
    <col min="44" max="44" width="18.85546875" style="198" customWidth="1"/>
    <col min="45" max="45" width="21.5703125" style="198" customWidth="1"/>
    <col min="46" max="46" width="22.42578125" style="198" customWidth="1"/>
    <col min="47" max="47" width="16.42578125" style="198" customWidth="1"/>
    <col min="48" max="48" width="20.5703125" style="198" customWidth="1"/>
    <col min="49" max="16384" width="11.42578125" style="198"/>
  </cols>
  <sheetData>
    <row r="1" spans="1:276" s="201" customFormat="1" ht="20.25" x14ac:dyDescent="0.3">
      <c r="A1" s="453"/>
      <c r="B1" s="454"/>
      <c r="C1" s="455"/>
      <c r="D1" s="443" t="s">
        <v>208</v>
      </c>
      <c r="E1" s="444"/>
      <c r="F1" s="444"/>
      <c r="G1" s="444"/>
      <c r="H1" s="444"/>
      <c r="I1" s="444"/>
      <c r="J1" s="444"/>
      <c r="K1" s="444"/>
      <c r="L1" s="444"/>
      <c r="M1" s="444"/>
      <c r="N1" s="444"/>
      <c r="O1" s="444"/>
      <c r="P1" s="444"/>
      <c r="Q1" s="444"/>
      <c r="R1" s="444"/>
      <c r="S1" s="444"/>
      <c r="T1" s="445"/>
      <c r="U1" s="252"/>
      <c r="V1" s="252"/>
      <c r="W1" s="252"/>
      <c r="X1" s="425"/>
      <c r="Y1" s="425"/>
      <c r="Z1" s="425"/>
      <c r="AA1" s="425"/>
      <c r="AB1" s="425"/>
      <c r="AC1" s="425"/>
      <c r="AD1" s="425"/>
      <c r="AE1" s="425"/>
      <c r="AF1" s="425"/>
      <c r="AG1" s="425"/>
      <c r="AH1" s="425"/>
      <c r="AI1" s="425"/>
      <c r="AJ1" s="425"/>
      <c r="AK1" s="425"/>
      <c r="AL1" s="425"/>
      <c r="AM1" s="425"/>
      <c r="AN1" s="425"/>
      <c r="AO1" s="425"/>
      <c r="AP1" s="425"/>
      <c r="AQ1" s="425"/>
      <c r="AR1" s="425"/>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6" s="201" customFormat="1" ht="21" thickBot="1" x14ac:dyDescent="0.35">
      <c r="A2" s="456"/>
      <c r="B2" s="457"/>
      <c r="C2" s="458"/>
      <c r="D2" s="446"/>
      <c r="E2" s="447"/>
      <c r="F2" s="447"/>
      <c r="G2" s="447"/>
      <c r="H2" s="447"/>
      <c r="I2" s="447"/>
      <c r="J2" s="447"/>
      <c r="K2" s="447"/>
      <c r="L2" s="447"/>
      <c r="M2" s="447"/>
      <c r="N2" s="447"/>
      <c r="O2" s="447"/>
      <c r="P2" s="447"/>
      <c r="Q2" s="447"/>
      <c r="R2" s="447"/>
      <c r="S2" s="447"/>
      <c r="T2" s="448"/>
      <c r="U2" s="252"/>
      <c r="V2" s="252"/>
      <c r="W2" s="252"/>
      <c r="X2" s="425"/>
      <c r="Y2" s="425"/>
      <c r="Z2" s="425"/>
      <c r="AA2" s="425"/>
      <c r="AB2" s="425"/>
      <c r="AC2" s="425"/>
      <c r="AD2" s="425"/>
      <c r="AE2" s="425"/>
      <c r="AF2" s="425"/>
      <c r="AG2" s="425"/>
      <c r="AH2" s="425"/>
      <c r="AI2" s="425"/>
      <c r="AJ2" s="425"/>
      <c r="AK2" s="425"/>
      <c r="AL2" s="425"/>
      <c r="AM2" s="425"/>
      <c r="AN2" s="425"/>
      <c r="AO2" s="425"/>
      <c r="AP2" s="425"/>
      <c r="AQ2" s="425"/>
      <c r="AR2" s="425"/>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6" s="201" customFormat="1" ht="27.75" customHeight="1" thickBot="1" x14ac:dyDescent="0.35">
      <c r="A3" s="456"/>
      <c r="B3" s="457"/>
      <c r="C3" s="458"/>
      <c r="D3" s="449" t="s">
        <v>209</v>
      </c>
      <c r="E3" s="450"/>
      <c r="F3" s="450"/>
      <c r="G3" s="450"/>
      <c r="H3" s="450"/>
      <c r="I3" s="451"/>
      <c r="J3" s="449"/>
      <c r="K3" s="450"/>
      <c r="L3" s="450"/>
      <c r="M3" s="450"/>
      <c r="N3" s="450"/>
      <c r="O3" s="450"/>
      <c r="P3" s="450"/>
      <c r="Q3" s="450"/>
      <c r="R3" s="450"/>
      <c r="S3" s="450" t="s">
        <v>210</v>
      </c>
      <c r="T3" s="451"/>
      <c r="U3" s="253"/>
      <c r="V3" s="253"/>
      <c r="W3" s="252"/>
      <c r="X3" s="426"/>
      <c r="Y3" s="426"/>
      <c r="Z3" s="426"/>
      <c r="AA3" s="426"/>
      <c r="AB3" s="426"/>
      <c r="AC3" s="426"/>
      <c r="AD3" s="426"/>
      <c r="AE3" s="426"/>
      <c r="AF3" s="426"/>
      <c r="AG3" s="426"/>
      <c r="AH3" s="426"/>
      <c r="AI3" s="426"/>
      <c r="AJ3" s="426"/>
      <c r="AK3" s="426"/>
      <c r="AL3" s="426"/>
      <c r="AM3" s="426"/>
      <c r="AN3" s="426"/>
      <c r="AO3" s="426"/>
      <c r="AP3" s="426"/>
      <c r="AQ3" s="426"/>
      <c r="AR3" s="426"/>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6" s="201" customFormat="1" ht="27.75" customHeight="1" thickBot="1" x14ac:dyDescent="0.35">
      <c r="A4" s="459"/>
      <c r="B4" s="460"/>
      <c r="C4" s="461"/>
      <c r="D4" s="449" t="s">
        <v>422</v>
      </c>
      <c r="E4" s="450"/>
      <c r="F4" s="450"/>
      <c r="G4" s="450"/>
      <c r="H4" s="450"/>
      <c r="I4" s="450"/>
      <c r="J4" s="450"/>
      <c r="K4" s="450"/>
      <c r="L4" s="450"/>
      <c r="M4" s="450"/>
      <c r="N4" s="450"/>
      <c r="O4" s="450"/>
      <c r="P4" s="450"/>
      <c r="Q4" s="450"/>
      <c r="R4" s="450"/>
      <c r="S4" s="450"/>
      <c r="T4" s="451"/>
      <c r="U4" s="252"/>
      <c r="V4" s="252"/>
      <c r="W4" s="252"/>
      <c r="X4" s="426"/>
      <c r="Y4" s="426"/>
      <c r="Z4" s="426"/>
      <c r="AA4" s="426"/>
      <c r="AB4" s="426"/>
      <c r="AC4" s="426"/>
      <c r="AD4" s="426"/>
      <c r="AE4" s="426"/>
      <c r="AF4" s="426"/>
      <c r="AG4" s="426"/>
      <c r="AH4" s="426"/>
      <c r="AI4" s="426"/>
      <c r="AJ4" s="426"/>
      <c r="AK4" s="426"/>
      <c r="AL4" s="426"/>
      <c r="AM4" s="426"/>
      <c r="AN4" s="426"/>
      <c r="AO4" s="426"/>
      <c r="AP4" s="426"/>
      <c r="AQ4" s="426"/>
      <c r="AR4" s="426"/>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6" ht="15.75" thickBot="1" x14ac:dyDescent="0.25">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6" ht="27" customHeight="1" thickBot="1" x14ac:dyDescent="0.25">
      <c r="A6" s="427" t="s">
        <v>211</v>
      </c>
      <c r="B6" s="428"/>
      <c r="C6" s="434"/>
      <c r="D6" s="435"/>
      <c r="E6" s="435"/>
      <c r="F6" s="435"/>
      <c r="G6" s="435"/>
      <c r="H6" s="435"/>
      <c r="I6" s="435"/>
      <c r="J6" s="435"/>
      <c r="K6" s="435"/>
      <c r="L6" s="435"/>
      <c r="M6" s="435"/>
      <c r="N6" s="435"/>
      <c r="O6" s="435"/>
      <c r="P6" s="435"/>
      <c r="Q6" s="435"/>
      <c r="R6" s="435"/>
      <c r="S6" s="435"/>
      <c r="T6" s="436"/>
      <c r="U6" s="255"/>
      <c r="V6" s="255"/>
      <c r="W6" s="433"/>
      <c r="X6" s="433"/>
      <c r="Y6" s="433"/>
      <c r="Z6" s="424"/>
      <c r="AA6" s="424"/>
      <c r="AB6" s="424"/>
      <c r="AC6" s="424"/>
      <c r="AD6" s="424"/>
      <c r="AE6" s="424"/>
      <c r="AF6" s="424"/>
      <c r="AG6" s="424"/>
      <c r="AH6" s="424"/>
      <c r="AI6" s="424"/>
      <c r="AJ6" s="424"/>
      <c r="AK6" s="424"/>
      <c r="AL6" s="424"/>
      <c r="AM6" s="424"/>
      <c r="AN6" s="424"/>
      <c r="AO6" s="424"/>
      <c r="AP6" s="424"/>
      <c r="AQ6" s="424"/>
      <c r="AR6" s="42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6" ht="27" customHeight="1" thickBot="1" x14ac:dyDescent="0.3">
      <c r="A7" s="429" t="s">
        <v>212</v>
      </c>
      <c r="B7" s="430"/>
      <c r="C7" s="437"/>
      <c r="D7" s="438"/>
      <c r="E7" s="438"/>
      <c r="F7" s="438"/>
      <c r="G7" s="438"/>
      <c r="H7" s="438"/>
      <c r="I7" s="438"/>
      <c r="J7" s="438"/>
      <c r="K7" s="438"/>
      <c r="L7" s="438"/>
      <c r="M7" s="438"/>
      <c r="N7" s="438"/>
      <c r="O7" s="438"/>
      <c r="P7" s="438"/>
      <c r="Q7" s="438"/>
      <c r="R7" s="438"/>
      <c r="S7" s="438"/>
      <c r="T7" s="439"/>
      <c r="U7" s="256"/>
      <c r="V7" s="256"/>
      <c r="W7" s="257"/>
      <c r="X7" s="257"/>
      <c r="Y7" s="257"/>
      <c r="Z7" s="424"/>
      <c r="AA7" s="424"/>
      <c r="AB7" s="424"/>
      <c r="AC7" s="424"/>
      <c r="AD7" s="424"/>
      <c r="AE7" s="424"/>
      <c r="AF7" s="424"/>
      <c r="AG7" s="424"/>
      <c r="AH7" s="424"/>
      <c r="AI7" s="424"/>
      <c r="AJ7" s="424"/>
      <c r="AK7" s="424"/>
      <c r="AL7" s="424"/>
      <c r="AM7" s="424"/>
      <c r="AN7" s="424"/>
      <c r="AO7" s="424"/>
      <c r="AP7" s="424"/>
      <c r="AQ7" s="424"/>
      <c r="AR7" s="42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6" ht="27" customHeight="1" thickBot="1" x14ac:dyDescent="0.3">
      <c r="A8" s="431" t="s">
        <v>213</v>
      </c>
      <c r="B8" s="432"/>
      <c r="C8" s="437"/>
      <c r="D8" s="438"/>
      <c r="E8" s="438"/>
      <c r="F8" s="438"/>
      <c r="G8" s="438"/>
      <c r="H8" s="438"/>
      <c r="I8" s="438"/>
      <c r="J8" s="438"/>
      <c r="K8" s="438"/>
      <c r="L8" s="438"/>
      <c r="M8" s="438"/>
      <c r="N8" s="438"/>
      <c r="O8" s="438"/>
      <c r="P8" s="438"/>
      <c r="Q8" s="438"/>
      <c r="R8" s="438"/>
      <c r="S8" s="438"/>
      <c r="T8" s="439"/>
      <c r="U8" s="256"/>
      <c r="V8" s="256"/>
      <c r="W8" s="257"/>
      <c r="X8" s="257"/>
      <c r="Y8" s="257"/>
      <c r="Z8" s="424"/>
      <c r="AA8" s="424"/>
      <c r="AB8" s="424"/>
      <c r="AC8" s="424"/>
      <c r="AD8" s="424"/>
      <c r="AE8" s="424"/>
      <c r="AF8" s="424"/>
      <c r="AG8" s="424"/>
      <c r="AH8" s="424"/>
      <c r="AI8" s="424"/>
      <c r="AJ8" s="424"/>
      <c r="AK8" s="424"/>
      <c r="AL8" s="424"/>
      <c r="AM8" s="424"/>
      <c r="AN8" s="424"/>
      <c r="AO8" s="424"/>
      <c r="AP8" s="424"/>
      <c r="AQ8" s="424"/>
      <c r="AR8" s="42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6" ht="15.75" x14ac:dyDescent="0.25">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6" ht="39" customHeight="1" x14ac:dyDescent="0.2">
      <c r="A10" s="440" t="s">
        <v>214</v>
      </c>
      <c r="B10" s="441"/>
      <c r="C10" s="441"/>
      <c r="D10" s="441"/>
      <c r="E10" s="441"/>
      <c r="F10" s="441"/>
      <c r="G10" s="441"/>
      <c r="H10" s="441"/>
      <c r="I10" s="441"/>
      <c r="J10" s="442"/>
      <c r="K10" s="383" t="s">
        <v>215</v>
      </c>
      <c r="L10" s="384"/>
      <c r="M10" s="384"/>
      <c r="N10" s="384"/>
      <c r="O10" s="385"/>
      <c r="P10" s="617" t="s">
        <v>216</v>
      </c>
      <c r="Q10" s="618"/>
      <c r="R10" s="224"/>
      <c r="S10" s="224"/>
      <c r="T10" s="376" t="s">
        <v>217</v>
      </c>
      <c r="U10" s="376"/>
      <c r="V10" s="376"/>
      <c r="W10" s="376"/>
      <c r="X10" s="376"/>
      <c r="Y10" s="376"/>
      <c r="Z10" s="376"/>
      <c r="AA10" s="376" t="s">
        <v>218</v>
      </c>
      <c r="AB10" s="376"/>
      <c r="AC10" s="376"/>
      <c r="AD10" s="376"/>
      <c r="AE10" s="376"/>
      <c r="AF10" s="376"/>
      <c r="AG10" s="376"/>
      <c r="AH10" s="376"/>
      <c r="AI10" s="376"/>
      <c r="AJ10" s="356" t="s">
        <v>219</v>
      </c>
      <c r="AK10" s="357"/>
      <c r="AL10" s="357"/>
      <c r="AM10" s="357"/>
      <c r="AN10" s="358"/>
      <c r="AO10" s="356" t="s">
        <v>220</v>
      </c>
      <c r="AP10" s="357"/>
      <c r="AQ10" s="357"/>
      <c r="AR10" s="357"/>
      <c r="AS10" s="358"/>
      <c r="AT10" s="356" t="s">
        <v>221</v>
      </c>
      <c r="AU10" s="357"/>
      <c r="AV10" s="358"/>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row>
    <row r="11" spans="1:276" ht="26.25" customHeight="1" x14ac:dyDescent="0.2">
      <c r="A11" s="409" t="s">
        <v>222</v>
      </c>
      <c r="B11" s="411" t="s">
        <v>15</v>
      </c>
      <c r="C11" s="413" t="s">
        <v>17</v>
      </c>
      <c r="D11" s="413" t="s">
        <v>19</v>
      </c>
      <c r="E11" s="411" t="s">
        <v>21</v>
      </c>
      <c r="F11" s="413" t="s">
        <v>23</v>
      </c>
      <c r="G11" s="614" t="s">
        <v>309</v>
      </c>
      <c r="H11" s="616" t="s">
        <v>310</v>
      </c>
      <c r="I11" s="616" t="s">
        <v>311</v>
      </c>
      <c r="J11" s="616" t="s">
        <v>312</v>
      </c>
      <c r="K11" s="416" t="s">
        <v>124</v>
      </c>
      <c r="L11" s="416" t="s">
        <v>280</v>
      </c>
      <c r="M11" s="416" t="s">
        <v>224</v>
      </c>
      <c r="N11" s="416" t="s">
        <v>225</v>
      </c>
      <c r="O11" s="416" t="s">
        <v>226</v>
      </c>
      <c r="P11" s="251"/>
      <c r="Q11" s="251"/>
      <c r="R11" s="351" t="s">
        <v>227</v>
      </c>
      <c r="S11" s="351" t="s">
        <v>228</v>
      </c>
      <c r="T11" s="396" t="s">
        <v>229</v>
      </c>
      <c r="U11" s="351" t="s">
        <v>230</v>
      </c>
      <c r="V11" s="351" t="s">
        <v>231</v>
      </c>
      <c r="W11" s="351" t="s">
        <v>232</v>
      </c>
      <c r="X11" s="396" t="s">
        <v>229</v>
      </c>
      <c r="Y11" s="351" t="s">
        <v>29</v>
      </c>
      <c r="Z11" s="371" t="s">
        <v>233</v>
      </c>
      <c r="AA11" s="351" t="s">
        <v>31</v>
      </c>
      <c r="AB11" s="351" t="s">
        <v>33</v>
      </c>
      <c r="AC11" s="351" t="s">
        <v>234</v>
      </c>
      <c r="AD11" s="351"/>
      <c r="AE11" s="351"/>
      <c r="AF11" s="351"/>
      <c r="AG11" s="351"/>
      <c r="AH11" s="351"/>
      <c r="AI11" s="371" t="s">
        <v>235</v>
      </c>
      <c r="AJ11" s="371" t="s">
        <v>236</v>
      </c>
      <c r="AK11" s="371" t="s">
        <v>229</v>
      </c>
      <c r="AL11" s="371" t="s">
        <v>237</v>
      </c>
      <c r="AM11" s="371" t="s">
        <v>229</v>
      </c>
      <c r="AN11" s="371" t="s">
        <v>238</v>
      </c>
      <c r="AO11" s="371" t="s">
        <v>49</v>
      </c>
      <c r="AP11" s="351" t="s">
        <v>239</v>
      </c>
      <c r="AQ11" s="351" t="s">
        <v>240</v>
      </c>
      <c r="AR11" s="351" t="s">
        <v>241</v>
      </c>
      <c r="AS11" s="351" t="s">
        <v>242</v>
      </c>
      <c r="AT11" s="351" t="s">
        <v>243</v>
      </c>
      <c r="AU11" s="351" t="s">
        <v>244</v>
      </c>
      <c r="AV11" s="351" t="s">
        <v>245</v>
      </c>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row>
    <row r="12" spans="1:276" s="213" customFormat="1" ht="73.5" customHeight="1" x14ac:dyDescent="0.25">
      <c r="A12" s="409"/>
      <c r="B12" s="411"/>
      <c r="C12" s="413"/>
      <c r="D12" s="413"/>
      <c r="E12" s="411"/>
      <c r="F12" s="413"/>
      <c r="G12" s="615"/>
      <c r="H12" s="616"/>
      <c r="I12" s="616"/>
      <c r="J12" s="616"/>
      <c r="K12" s="597"/>
      <c r="L12" s="597"/>
      <c r="M12" s="597"/>
      <c r="N12" s="597"/>
      <c r="O12" s="597"/>
      <c r="P12" s="250" t="s">
        <v>425</v>
      </c>
      <c r="Q12" s="250" t="s">
        <v>246</v>
      </c>
      <c r="R12" s="351"/>
      <c r="S12" s="351"/>
      <c r="T12" s="396"/>
      <c r="U12" s="351"/>
      <c r="V12" s="351"/>
      <c r="W12" s="396"/>
      <c r="X12" s="396"/>
      <c r="Y12" s="351"/>
      <c r="Z12" s="371"/>
      <c r="AA12" s="351"/>
      <c r="AB12" s="351"/>
      <c r="AC12" s="210" t="s">
        <v>247</v>
      </c>
      <c r="AD12" s="210" t="s">
        <v>248</v>
      </c>
      <c r="AE12" s="210" t="s">
        <v>249</v>
      </c>
      <c r="AF12" s="210" t="s">
        <v>250</v>
      </c>
      <c r="AG12" s="210" t="s">
        <v>251</v>
      </c>
      <c r="AH12" s="210" t="s">
        <v>252</v>
      </c>
      <c r="AI12" s="371"/>
      <c r="AJ12" s="371"/>
      <c r="AK12" s="371"/>
      <c r="AL12" s="371"/>
      <c r="AM12" s="371"/>
      <c r="AN12" s="371"/>
      <c r="AO12" s="371"/>
      <c r="AP12" s="351"/>
      <c r="AQ12" s="351"/>
      <c r="AR12" s="351"/>
      <c r="AS12" s="351"/>
      <c r="AT12" s="351"/>
      <c r="AU12" s="351"/>
      <c r="AV12" s="35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c r="JM12" s="212"/>
      <c r="JN12" s="212"/>
      <c r="JO12" s="212"/>
      <c r="JP12" s="212"/>
    </row>
    <row r="13" spans="1:276" s="215" customFormat="1" x14ac:dyDescent="0.25">
      <c r="A13" s="418">
        <v>1</v>
      </c>
      <c r="B13" s="387"/>
      <c r="C13" s="387"/>
      <c r="D13" s="387"/>
      <c r="E13" s="390"/>
      <c r="F13" s="387"/>
      <c r="G13" s="392"/>
      <c r="H13" s="392"/>
      <c r="I13" s="392"/>
      <c r="J13" s="392"/>
      <c r="K13" s="392"/>
      <c r="L13" s="392"/>
      <c r="M13" s="392"/>
      <c r="N13" s="392"/>
      <c r="O13" s="392"/>
      <c r="P13" s="392"/>
      <c r="Q13" s="392"/>
      <c r="R13" s="381"/>
      <c r="S13" s="367" t="str">
        <f>IF(R13&lt;=0,"",IF(R13&lt;=2,"Muy Baja",IF(R13&lt;=24,"Baja",IF(R13&lt;=500,"Media",IF(R13&lt;=5000,"Alta","Muy Alta")))))</f>
        <v/>
      </c>
      <c r="T13" s="364" t="str">
        <f>IF(S13="","",IF(S13="Muy Baja",0.2,IF(S13="Baja",0.4,IF(S13="Media",0.6,IF(S13="Alta",0.8,IF(S13="Muy Alta",1,))))))</f>
        <v/>
      </c>
      <c r="U13" s="353"/>
      <c r="V13" s="364">
        <f>IF(NOT(ISERROR(MATCH(U13,'Tabla Impacto'!$B$222:$B$224,0))),'Tabla Impacto'!$F$224&amp;"Por favor no seleccionar los criterios de impacto(Afectación Económica o presupuestal y Pérdida Reputacional)",U13)</f>
        <v>0</v>
      </c>
      <c r="W13" s="367" t="str">
        <f>IF(OR(V13='Tabla Impacto'!$C$12,V13='Tabla Impacto'!$D$12),"Leve",IF(OR(V13='Tabla Impacto'!$C$13,V13='Tabla Impacto'!$D$13),"Menor",IF(OR(V13='Tabla Impacto'!$C$14,V13='Tabla Impacto'!$D$14),"Moderado",IF(OR(V13='Tabla Impacto'!$C$15,V13='Tabla Impacto'!$D$15),"Mayor",IF(OR(V13='Tabla Impacto'!$C$16,V13='Tabla Impacto'!$D$16),"Catastrófico","")))))</f>
        <v/>
      </c>
      <c r="X13" s="364" t="str">
        <f>IF(W13="","",IF(W13="Leve",0.2,IF(W13="Menor",0.4,IF(W13="Moderado",0.6,IF(W13="Mayor",0.8,IF(W13="Catastrófico",1,))))))</f>
        <v/>
      </c>
      <c r="Y13" s="362" t="str">
        <f>IF(OR(AND(S13="Muy Baja",W13="Leve"),AND(S13="Muy Baja",W13="Menor"),AND(S13="Baja",W13="Leve")),"Bajo",IF(OR(AND(S13="Muy baja",W13="Moderado"),AND(S13="Baja",W13="Menor"),AND(S13="Baja",W13="Moderado"),AND(S13="Media",W13="Leve"),AND(S13="Media",W13="Menor"),AND(S13="Media",W13="Moderado"),AND(S13="Alta",W13="Leve"),AND(S13="Alta",W13="Menor")),"Moderado",IF(OR(AND(S13="Muy Baja",W13="Mayor"),AND(S13="Baja",W13="Mayor"),AND(S13="Media",W13="Mayor"),AND(S13="Alta",W13="Moderado"),AND(S13="Alta",W13="Mayor"),AND(S13="Muy Alta",W13="Leve"),AND(S13="Muy Alta",W13="Menor"),AND(S13="Muy Alta",W13="Moderado"),AND(S13="Muy Alta",W13="Mayor")),"Alto",IF(OR(AND(S13="Muy Baja",W13="Catastrófico"),AND(S13="Baja",W13="Catastrófico"),AND(S13="Media",W13="Catastrófico"),AND(S13="Alta",W13="Catastrófico"),AND(S13="Muy Alta",W13="Catastrófico")),"Extremo",""))))</f>
        <v/>
      </c>
      <c r="Z13" s="214">
        <v>1</v>
      </c>
      <c r="AA13" s="240"/>
      <c r="AB13" s="189" t="str">
        <f t="shared" ref="AB13:AB18" si="0">IF(OR(AC13="Preventivo",AC13="Detectivo"),"Probabilidad",IF(AC13="Correctivo","Impacto",""))</f>
        <v/>
      </c>
      <c r="AC13" s="190"/>
      <c r="AD13" s="190"/>
      <c r="AE13" s="191" t="str">
        <f>IF(AND(AC13="Preventivo",AD13="Automático"),"50%",IF(AND(AC13="Preventivo",AD13="Manual"),"40%",IF(AND(AC13="Detectivo",AD13="Automático"),"40%",IF(AND(AC13="Detectivo",AD13="Manual"),"30%",IF(AND(AC13="Correctivo",AD13="Automático"),"35%",IF(AND(AC13="Correctivo",AD13="Manual"),"25%",""))))))</f>
        <v/>
      </c>
      <c r="AF13" s="190"/>
      <c r="AG13" s="190"/>
      <c r="AH13" s="190"/>
      <c r="AI13" s="192" t="str">
        <f>IFERROR(IF(AB13="Probabilidad",(T13-(+T13*AE13)),IF(AB13="Impacto",T13,"")),"")</f>
        <v/>
      </c>
      <c r="AJ13" s="193" t="str">
        <f>IFERROR(IF(AI13="","",IF(AI13&lt;=0.2,"Muy Baja",IF(AI13&lt;=0.4,"Baja",IF(AI13&lt;=0.6,"Media",IF(AI13&lt;=0.8,"Alta","Muy Alta"))))),"")</f>
        <v/>
      </c>
      <c r="AK13" s="191" t="str">
        <f>+AI13</f>
        <v/>
      </c>
      <c r="AL13" s="193" t="str">
        <f>IFERROR(IF(AM13="","",IF(AM13&lt;=0.2,"Leve",IF(AM13&lt;=0.4,"Menor",IF(AM13&lt;=0.6,"Moderado",IF(AM13&lt;=0.8,"Mayor","Catastrófico"))))),"")</f>
        <v/>
      </c>
      <c r="AM13" s="191" t="str">
        <f>IFERROR(IF(AB13="Impacto",(X13-(+X13*AE13)),IF(AB13="Probabilidad",X13,"")),"")</f>
        <v/>
      </c>
      <c r="AN13" s="194" t="str">
        <f>IFERROR(IF(OR(AND(AJ13="Muy Baja",AL13="Leve"),AND(AJ13="Muy Baja",AL13="Menor"),AND(AJ13="Baja",AL13="Leve")),"Bajo",IF(OR(AND(AJ13="Muy baja",AL13="Moderado"),AND(AJ13="Baja",AL13="Menor"),AND(AJ13="Baja",AL13="Moderado"),AND(AJ13="Media",AL13="Leve"),AND(AJ13="Media",AL13="Menor"),AND(AJ13="Media",AL13="Moderado"),AND(AJ13="Alta",AL13="Leve"),AND(AJ13="Alta",AL13="Menor")),"Moderado",IF(OR(AND(AJ13="Muy Baja",AL13="Mayor"),AND(AJ13="Baja",AL13="Mayor"),AND(AJ13="Media",AL13="Mayor"),AND(AJ13="Alta",AL13="Moderado"),AND(AJ13="Alta",AL13="Mayor"),AND(AJ13="Muy Alta",AL13="Leve"),AND(AJ13="Muy Alta",AL13="Menor"),AND(AJ13="Muy Alta",AL13="Moderado"),AND(AJ13="Muy Alta",AL13="Mayor")),"Alto",IF(OR(AND(AJ13="Muy Baja",AL13="Catastrófico"),AND(AJ13="Baja",AL13="Catastrófico"),AND(AJ13="Media",AL13="Catastrófico"),AND(AJ13="Alta",AL13="Catastrófico"),AND(AJ13="Muy Alta",AL13="Catastrófico")),"Extremo","")))),"")</f>
        <v/>
      </c>
      <c r="AO13" s="195"/>
      <c r="AP13" s="186"/>
      <c r="AQ13" s="196"/>
      <c r="AR13" s="196"/>
      <c r="AS13" s="197"/>
      <c r="AT13" s="387"/>
      <c r="AU13" s="387"/>
      <c r="AV13" s="387"/>
    </row>
    <row r="14" spans="1:276" x14ac:dyDescent="0.2">
      <c r="A14" s="418"/>
      <c r="B14" s="387"/>
      <c r="C14" s="387"/>
      <c r="D14" s="387"/>
      <c r="E14" s="390"/>
      <c r="F14" s="387"/>
      <c r="G14" s="360"/>
      <c r="H14" s="360"/>
      <c r="I14" s="360"/>
      <c r="J14" s="360"/>
      <c r="K14" s="360"/>
      <c r="L14" s="360"/>
      <c r="M14" s="360"/>
      <c r="N14" s="360"/>
      <c r="O14" s="360"/>
      <c r="P14" s="360"/>
      <c r="Q14" s="360"/>
      <c r="R14" s="381"/>
      <c r="S14" s="367"/>
      <c r="T14" s="364"/>
      <c r="U14" s="353"/>
      <c r="V14" s="364">
        <f>IF(NOT(ISERROR(MATCH(U14,_xlfn.ANCHORARRAY(E25),0))),T27&amp;"Por favor no seleccionar los criterios de impacto",U14)</f>
        <v>0</v>
      </c>
      <c r="W14" s="367"/>
      <c r="X14" s="364"/>
      <c r="Y14" s="362"/>
      <c r="Z14" s="214">
        <v>2</v>
      </c>
      <c r="AA14" s="240"/>
      <c r="AB14" s="189" t="str">
        <f t="shared" si="0"/>
        <v/>
      </c>
      <c r="AC14" s="190"/>
      <c r="AD14" s="190"/>
      <c r="AE14" s="191" t="str">
        <f t="shared" ref="AE14:AE18" si="1">IF(AND(AC14="Preventivo",AD14="Automático"),"50%",IF(AND(AC14="Preventivo",AD14="Manual"),"40%",IF(AND(AC14="Detectivo",AD14="Automático"),"40%",IF(AND(AC14="Detectivo",AD14="Manual"),"30%",IF(AND(AC14="Correctivo",AD14="Automático"),"35%",IF(AND(AC14="Correctivo",AD14="Manual"),"25%",""))))))</f>
        <v/>
      </c>
      <c r="AF14" s="190"/>
      <c r="AG14" s="190"/>
      <c r="AH14" s="190"/>
      <c r="AI14" s="192" t="str">
        <f>IFERROR(IF(AND(AB13="Probabilidad",AB14="Probabilidad"),(AK13-(+AK13*AE14)),IF(AB14="Probabilidad",(T13-(+T13*AE14)),IF(AB14="Impacto",AK13,""))),"")</f>
        <v/>
      </c>
      <c r="AJ14" s="193" t="str">
        <f t="shared" ref="AJ14:AJ72" si="2">IFERROR(IF(AI14="","",IF(AI14&lt;=0.2,"Muy Baja",IF(AI14&lt;=0.4,"Baja",IF(AI14&lt;=0.6,"Media",IF(AI14&lt;=0.8,"Alta","Muy Alta"))))),"")</f>
        <v/>
      </c>
      <c r="AK14" s="191" t="str">
        <f t="shared" ref="AK14:AK18" si="3">+AI14</f>
        <v/>
      </c>
      <c r="AL14" s="193" t="str">
        <f t="shared" ref="AL14:AL72" si="4">IFERROR(IF(AM14="","",IF(AM14&lt;=0.2,"Leve",IF(AM14&lt;=0.4,"Menor",IF(AM14&lt;=0.6,"Moderado",IF(AM14&lt;=0.8,"Mayor","Catastrófico"))))),"")</f>
        <v/>
      </c>
      <c r="AM14" s="191" t="str">
        <f>IFERROR(IF(AND(AB13="Impacto",AB14="Impacto"),(AM13-(+AM13*AE14)),IF(AB14="Impacto",($X$13-(+$X$13*AE14)),IF(AB14="Probabilidad",AM13,""))),"")</f>
        <v/>
      </c>
      <c r="AN14" s="194" t="str">
        <f t="shared" ref="AN14:AN18" si="5">IFERROR(IF(OR(AND(AJ14="Muy Baja",AL14="Leve"),AND(AJ14="Muy Baja",AL14="Menor"),AND(AJ14="Baja",AL14="Leve")),"Bajo",IF(OR(AND(AJ14="Muy baja",AL14="Moderado"),AND(AJ14="Baja",AL14="Menor"),AND(AJ14="Baja",AL14="Moderado"),AND(AJ14="Media",AL14="Leve"),AND(AJ14="Media",AL14="Menor"),AND(AJ14="Media",AL14="Moderado"),AND(AJ14="Alta",AL14="Leve"),AND(AJ14="Alta",AL14="Menor")),"Moderado",IF(OR(AND(AJ14="Muy Baja",AL14="Mayor"),AND(AJ14="Baja",AL14="Mayor"),AND(AJ14="Media",AL14="Mayor"),AND(AJ14="Alta",AL14="Moderado"),AND(AJ14="Alta",AL14="Mayor"),AND(AJ14="Muy Alta",AL14="Leve"),AND(AJ14="Muy Alta",AL14="Menor"),AND(AJ14="Muy Alta",AL14="Moderado"),AND(AJ14="Muy Alta",AL14="Mayor")),"Alto",IF(OR(AND(AJ14="Muy Baja",AL14="Catastrófico"),AND(AJ14="Baja",AL14="Catastrófico"),AND(AJ14="Media",AL14="Catastrófico"),AND(AJ14="Alta",AL14="Catastrófico"),AND(AJ14="Muy Alta",AL14="Catastrófico")),"Extremo","")))),"")</f>
        <v/>
      </c>
      <c r="AO14" s="195"/>
      <c r="AP14" s="186"/>
      <c r="AQ14" s="196"/>
      <c r="AR14" s="186"/>
      <c r="AS14" s="197"/>
      <c r="AT14" s="387"/>
      <c r="AU14" s="387"/>
      <c r="AV14" s="387"/>
    </row>
    <row r="15" spans="1:276" x14ac:dyDescent="0.2">
      <c r="A15" s="418"/>
      <c r="B15" s="387"/>
      <c r="C15" s="387"/>
      <c r="D15" s="387"/>
      <c r="E15" s="390"/>
      <c r="F15" s="387"/>
      <c r="G15" s="360"/>
      <c r="H15" s="360"/>
      <c r="I15" s="360"/>
      <c r="J15" s="360"/>
      <c r="K15" s="360"/>
      <c r="L15" s="360"/>
      <c r="M15" s="360"/>
      <c r="N15" s="360"/>
      <c r="O15" s="360"/>
      <c r="P15" s="360"/>
      <c r="Q15" s="360"/>
      <c r="R15" s="381"/>
      <c r="S15" s="367"/>
      <c r="T15" s="364"/>
      <c r="U15" s="353"/>
      <c r="V15" s="364">
        <f>IF(NOT(ISERROR(MATCH(U15,_xlfn.ANCHORARRAY(E26),0))),T28&amp;"Por favor no seleccionar los criterios de impacto",U15)</f>
        <v>0</v>
      </c>
      <c r="W15" s="367"/>
      <c r="X15" s="364"/>
      <c r="Y15" s="362"/>
      <c r="Z15" s="214">
        <v>3</v>
      </c>
      <c r="AA15" s="188"/>
      <c r="AB15" s="189" t="str">
        <f t="shared" si="0"/>
        <v/>
      </c>
      <c r="AC15" s="190"/>
      <c r="AD15" s="190"/>
      <c r="AE15" s="191" t="str">
        <f t="shared" si="1"/>
        <v/>
      </c>
      <c r="AF15" s="190"/>
      <c r="AG15" s="190"/>
      <c r="AH15" s="190"/>
      <c r="AI15" s="192" t="str">
        <f>IFERROR(IF(AND(AB14="Probabilidad",AB15="Probabilidad"),(AK14-(+AK14*AE15)),IF(AND(AB14="Impacto",AB15="Probabilidad"),(AK13-(+AK13*AE15)),IF(AB15="Impacto",AK14,""))),"")</f>
        <v/>
      </c>
      <c r="AJ15" s="193" t="str">
        <f t="shared" si="2"/>
        <v/>
      </c>
      <c r="AK15" s="191" t="str">
        <f t="shared" si="3"/>
        <v/>
      </c>
      <c r="AL15" s="193" t="str">
        <f t="shared" si="4"/>
        <v/>
      </c>
      <c r="AM15" s="191" t="str">
        <f>IFERROR(IF(AND(AB14="Impacto",AB15="Impacto"),(AM14-(+AM14*AE15)),IF(AND(AB14="Probabilidad",AB15="Impacto"),(AM13-(+AM13*AE15)),IF(AB15="Probabilidad",AM14,""))),"")</f>
        <v/>
      </c>
      <c r="AN15" s="194" t="str">
        <f t="shared" si="5"/>
        <v/>
      </c>
      <c r="AO15" s="195"/>
      <c r="AP15" s="186"/>
      <c r="AQ15" s="196"/>
      <c r="AR15" s="196"/>
      <c r="AS15" s="197"/>
      <c r="AT15" s="387"/>
      <c r="AU15" s="387"/>
      <c r="AV15" s="387"/>
    </row>
    <row r="16" spans="1:276" x14ac:dyDescent="0.2">
      <c r="A16" s="418"/>
      <c r="B16" s="387"/>
      <c r="C16" s="387"/>
      <c r="D16" s="387"/>
      <c r="E16" s="390"/>
      <c r="F16" s="387"/>
      <c r="G16" s="360"/>
      <c r="H16" s="360"/>
      <c r="I16" s="360"/>
      <c r="J16" s="360"/>
      <c r="K16" s="360"/>
      <c r="L16" s="360"/>
      <c r="M16" s="360"/>
      <c r="N16" s="360"/>
      <c r="O16" s="360"/>
      <c r="P16" s="360"/>
      <c r="Q16" s="360"/>
      <c r="R16" s="381"/>
      <c r="S16" s="367"/>
      <c r="T16" s="364"/>
      <c r="U16" s="353"/>
      <c r="V16" s="364">
        <f>IF(NOT(ISERROR(MATCH(U16,_xlfn.ANCHORARRAY(E27),0))),T29&amp;"Por favor no seleccionar los criterios de impacto",U16)</f>
        <v>0</v>
      </c>
      <c r="W16" s="367"/>
      <c r="X16" s="364"/>
      <c r="Y16" s="362"/>
      <c r="Z16" s="214">
        <v>4</v>
      </c>
      <c r="AA16" s="187"/>
      <c r="AB16" s="189" t="str">
        <f t="shared" si="0"/>
        <v/>
      </c>
      <c r="AC16" s="190"/>
      <c r="AD16" s="190"/>
      <c r="AE16" s="191" t="str">
        <f t="shared" si="1"/>
        <v/>
      </c>
      <c r="AF16" s="190"/>
      <c r="AG16" s="190"/>
      <c r="AH16" s="190"/>
      <c r="AI16" s="192" t="str">
        <f t="shared" ref="AI16:AI18" si="6">IFERROR(IF(AND(AB15="Probabilidad",AB16="Probabilidad"),(AK15-(+AK15*AE16)),IF(AND(AB15="Impacto",AB16="Probabilidad"),(AK14-(+AK14*AE16)),IF(AB16="Impacto",AK15,""))),"")</f>
        <v/>
      </c>
      <c r="AJ16" s="193" t="str">
        <f t="shared" si="2"/>
        <v/>
      </c>
      <c r="AK16" s="191" t="str">
        <f t="shared" si="3"/>
        <v/>
      </c>
      <c r="AL16" s="193" t="str">
        <f t="shared" si="4"/>
        <v/>
      </c>
      <c r="AM16" s="191" t="str">
        <f t="shared" ref="AM16:AM18" si="7">IFERROR(IF(AND(AB15="Impacto",AB16="Impacto"),(AM15-(+AM15*AE16)),IF(AND(AB15="Probabilidad",AB16="Impacto"),(AM14-(+AM14*AE16)),IF(AB16="Probabilidad",AM15,""))),"")</f>
        <v/>
      </c>
      <c r="AN16" s="194" t="str">
        <f>IFERROR(IF(OR(AND(AJ16="Muy Baja",AL16="Leve"),AND(AJ16="Muy Baja",AL16="Menor"),AND(AJ16="Baja",AL16="Leve")),"Bajo",IF(OR(AND(AJ16="Muy baja",AL16="Moderado"),AND(AJ16="Baja",AL16="Menor"),AND(AJ16="Baja",AL16="Moderado"),AND(AJ16="Media",AL16="Leve"),AND(AJ16="Media",AL16="Menor"),AND(AJ16="Media",AL16="Moderado"),AND(AJ16="Alta",AL16="Leve"),AND(AJ16="Alta",AL16="Menor")),"Moderado",IF(OR(AND(AJ16="Muy Baja",AL16="Mayor"),AND(AJ16="Baja",AL16="Mayor"),AND(AJ16="Media",AL16="Mayor"),AND(AJ16="Alta",AL16="Moderado"),AND(AJ16="Alta",AL16="Mayor"),AND(AJ16="Muy Alta",AL16="Leve"),AND(AJ16="Muy Alta",AL16="Menor"),AND(AJ16="Muy Alta",AL16="Moderado"),AND(AJ16="Muy Alta",AL16="Mayor")),"Alto",IF(OR(AND(AJ16="Muy Baja",AL16="Catastrófico"),AND(AJ16="Baja",AL16="Catastrófico"),AND(AJ16="Media",AL16="Catastrófico"),AND(AJ16="Alta",AL16="Catastrófico"),AND(AJ16="Muy Alta",AL16="Catastrófico")),"Extremo","")))),"")</f>
        <v/>
      </c>
      <c r="AO16" s="195"/>
      <c r="AP16" s="186"/>
      <c r="AQ16" s="196"/>
      <c r="AR16" s="196"/>
      <c r="AS16" s="197"/>
      <c r="AT16" s="387"/>
      <c r="AU16" s="387"/>
      <c r="AV16" s="387"/>
    </row>
    <row r="17" spans="1:48" x14ac:dyDescent="0.2">
      <c r="A17" s="418"/>
      <c r="B17" s="387"/>
      <c r="C17" s="387"/>
      <c r="D17" s="387"/>
      <c r="E17" s="390"/>
      <c r="F17" s="387"/>
      <c r="G17" s="360"/>
      <c r="H17" s="360"/>
      <c r="I17" s="360"/>
      <c r="J17" s="360"/>
      <c r="K17" s="360"/>
      <c r="L17" s="360"/>
      <c r="M17" s="360"/>
      <c r="N17" s="360"/>
      <c r="O17" s="360"/>
      <c r="P17" s="360"/>
      <c r="Q17" s="360"/>
      <c r="R17" s="381"/>
      <c r="S17" s="367"/>
      <c r="T17" s="364"/>
      <c r="U17" s="353"/>
      <c r="V17" s="364">
        <f>IF(NOT(ISERROR(MATCH(U17,_xlfn.ANCHORARRAY(E28),0))),T30&amp;"Por favor no seleccionar los criterios de impacto",U17)</f>
        <v>0</v>
      </c>
      <c r="W17" s="367"/>
      <c r="X17" s="364"/>
      <c r="Y17" s="362"/>
      <c r="Z17" s="214">
        <v>5</v>
      </c>
      <c r="AA17" s="187"/>
      <c r="AB17" s="189" t="str">
        <f t="shared" si="0"/>
        <v/>
      </c>
      <c r="AC17" s="190"/>
      <c r="AD17" s="190"/>
      <c r="AE17" s="191" t="str">
        <f t="shared" si="1"/>
        <v/>
      </c>
      <c r="AF17" s="190"/>
      <c r="AG17" s="190"/>
      <c r="AH17" s="190"/>
      <c r="AI17" s="192" t="str">
        <f t="shared" si="6"/>
        <v/>
      </c>
      <c r="AJ17" s="193" t="str">
        <f t="shared" si="2"/>
        <v/>
      </c>
      <c r="AK17" s="191" t="str">
        <f t="shared" si="3"/>
        <v/>
      </c>
      <c r="AL17" s="193" t="str">
        <f t="shared" si="4"/>
        <v/>
      </c>
      <c r="AM17" s="191" t="str">
        <f t="shared" si="7"/>
        <v/>
      </c>
      <c r="AN17" s="194" t="str">
        <f t="shared" si="5"/>
        <v/>
      </c>
      <c r="AO17" s="195"/>
      <c r="AP17" s="186"/>
      <c r="AQ17" s="196"/>
      <c r="AR17" s="196"/>
      <c r="AS17" s="197"/>
      <c r="AT17" s="387"/>
      <c r="AU17" s="387"/>
      <c r="AV17" s="387"/>
    </row>
    <row r="18" spans="1:48" x14ac:dyDescent="0.2">
      <c r="A18" s="418"/>
      <c r="B18" s="387"/>
      <c r="C18" s="387"/>
      <c r="D18" s="387"/>
      <c r="E18" s="390"/>
      <c r="F18" s="387"/>
      <c r="G18" s="373"/>
      <c r="H18" s="373"/>
      <c r="I18" s="373"/>
      <c r="J18" s="373"/>
      <c r="K18" s="373"/>
      <c r="L18" s="373"/>
      <c r="M18" s="373"/>
      <c r="N18" s="373"/>
      <c r="O18" s="373"/>
      <c r="P18" s="373"/>
      <c r="Q18" s="373"/>
      <c r="R18" s="381"/>
      <c r="S18" s="367"/>
      <c r="T18" s="364"/>
      <c r="U18" s="353"/>
      <c r="V18" s="364">
        <f>IF(NOT(ISERROR(MATCH(U18,_xlfn.ANCHORARRAY(E29),0))),T31&amp;"Por favor no seleccionar los criterios de impacto",U18)</f>
        <v>0</v>
      </c>
      <c r="W18" s="367"/>
      <c r="X18" s="364"/>
      <c r="Y18" s="362"/>
      <c r="Z18" s="214">
        <v>6</v>
      </c>
      <c r="AA18" s="187"/>
      <c r="AB18" s="189" t="str">
        <f t="shared" si="0"/>
        <v/>
      </c>
      <c r="AC18" s="190"/>
      <c r="AD18" s="190"/>
      <c r="AE18" s="191" t="str">
        <f t="shared" si="1"/>
        <v/>
      </c>
      <c r="AF18" s="190"/>
      <c r="AG18" s="190"/>
      <c r="AH18" s="190"/>
      <c r="AI18" s="192" t="str">
        <f t="shared" si="6"/>
        <v/>
      </c>
      <c r="AJ18" s="193" t="str">
        <f t="shared" si="2"/>
        <v/>
      </c>
      <c r="AK18" s="191" t="str">
        <f t="shared" si="3"/>
        <v/>
      </c>
      <c r="AL18" s="193" t="str">
        <f t="shared" si="4"/>
        <v/>
      </c>
      <c r="AM18" s="191" t="str">
        <f t="shared" si="7"/>
        <v/>
      </c>
      <c r="AN18" s="194" t="str">
        <f t="shared" si="5"/>
        <v/>
      </c>
      <c r="AO18" s="195"/>
      <c r="AP18" s="186"/>
      <c r="AQ18" s="196"/>
      <c r="AR18" s="196"/>
      <c r="AS18" s="197"/>
      <c r="AT18" s="387"/>
      <c r="AU18" s="387"/>
      <c r="AV18" s="387"/>
    </row>
    <row r="19" spans="1:48" x14ac:dyDescent="0.2">
      <c r="A19" s="418">
        <v>2</v>
      </c>
      <c r="B19" s="387"/>
      <c r="C19" s="387"/>
      <c r="D19" s="387"/>
      <c r="E19" s="390"/>
      <c r="F19" s="387"/>
      <c r="G19" s="392"/>
      <c r="H19" s="392"/>
      <c r="I19" s="392"/>
      <c r="J19" s="392"/>
      <c r="K19" s="392"/>
      <c r="L19" s="392"/>
      <c r="M19" s="392"/>
      <c r="N19" s="392"/>
      <c r="O19" s="392"/>
      <c r="P19" s="392"/>
      <c r="Q19" s="392"/>
      <c r="R19" s="381"/>
      <c r="S19" s="367" t="str">
        <f>IF(R19&lt;=0,"",IF(R19&lt;=2,"Muy Baja",IF(R19&lt;=24,"Baja",IF(R19&lt;=500,"Media",IF(R19&lt;=5000,"Alta","Muy Alta")))))</f>
        <v/>
      </c>
      <c r="T19" s="364" t="str">
        <f>IF(S19="","",IF(S19="Muy Baja",0.2,IF(S19="Baja",0.4,IF(S19="Media",0.6,IF(S19="Alta",0.8,IF(S19="Muy Alta",1,))))))</f>
        <v/>
      </c>
      <c r="U19" s="353"/>
      <c r="V19" s="364">
        <f>IF(NOT(ISERROR(MATCH(U19,'Tabla Impacto'!$B$222:$B$224,0))),'Tabla Impacto'!$F$224&amp;"Por favor no seleccionar los criterios de impacto(Afectación Económica o presupuestal y Pérdida Reputacional)",U19)</f>
        <v>0</v>
      </c>
      <c r="W19" s="367" t="str">
        <f>IF(OR(V19='Tabla Impacto'!$C$12,V19='Tabla Impacto'!$D$12),"Leve",IF(OR(V19='Tabla Impacto'!$C$13,V19='Tabla Impacto'!$D$13),"Menor",IF(OR(V19='Tabla Impacto'!$C$14,V19='Tabla Impacto'!$D$14),"Moderado",IF(OR(V19='Tabla Impacto'!$C$15,V19='Tabla Impacto'!$D$15),"Mayor",IF(OR(V19='Tabla Impacto'!$C$16,V19='Tabla Impacto'!$D$16),"Catastrófico","")))))</f>
        <v/>
      </c>
      <c r="X19" s="364" t="str">
        <f>IF(W19="","",IF(W19="Leve",0.2,IF(W19="Menor",0.4,IF(W19="Moderado",0.6,IF(W19="Mayor",0.8,IF(W19="Catastrófico",1,))))))</f>
        <v/>
      </c>
      <c r="Y19" s="362" t="str">
        <f>IF(OR(AND(S19="Muy Baja",W19="Leve"),AND(S19="Muy Baja",W19="Menor"),AND(S19="Baja",W19="Leve")),"Bajo",IF(OR(AND(S19="Muy baja",W19="Moderado"),AND(S19="Baja",W19="Menor"),AND(S19="Baja",W19="Moderado"),AND(S19="Media",W19="Leve"),AND(S19="Media",W19="Menor"),AND(S19="Media",W19="Moderado"),AND(S19="Alta",W19="Leve"),AND(S19="Alta",W19="Menor")),"Moderado",IF(OR(AND(S19="Muy Baja",W19="Mayor"),AND(S19="Baja",W19="Mayor"),AND(S19="Media",W19="Mayor"),AND(S19="Alta",W19="Moderado"),AND(S19="Alta",W19="Mayor"),AND(S19="Muy Alta",W19="Leve"),AND(S19="Muy Alta",W19="Menor"),AND(S19="Muy Alta",W19="Moderado"),AND(S19="Muy Alta",W19="Mayor")),"Alto",IF(OR(AND(S19="Muy Baja",W19="Catastrófico"),AND(S19="Baja",W19="Catastrófico"),AND(S19="Media",W19="Catastrófico"),AND(S19="Alta",W19="Catastrófico"),AND(S19="Muy Alta",W19="Catastrófico")),"Extremo",""))))</f>
        <v/>
      </c>
      <c r="Z19" s="214">
        <v>1</v>
      </c>
      <c r="AA19" s="187"/>
      <c r="AB19" s="189" t="str">
        <f>IF(OR(AC19="Preventivo",AC19="Detectivo"),"Probabilidad",IF(AC19="Correctivo","Impacto",""))</f>
        <v/>
      </c>
      <c r="AC19" s="190"/>
      <c r="AD19" s="190"/>
      <c r="AE19" s="191" t="str">
        <f>IF(AND(AC19="Preventivo",AD19="Automático"),"50%",IF(AND(AC19="Preventivo",AD19="Manual"),"40%",IF(AND(AC19="Detectivo",AD19="Automático"),"40%",IF(AND(AC19="Detectivo",AD19="Manual"),"30%",IF(AND(AC19="Correctivo",AD19="Automático"),"35%",IF(AND(AC19="Correctivo",AD19="Manual"),"25%",""))))))</f>
        <v/>
      </c>
      <c r="AF19" s="190"/>
      <c r="AG19" s="190"/>
      <c r="AH19" s="190"/>
      <c r="AI19" s="192" t="str">
        <f>IFERROR(IF(AB19="Probabilidad",(T19-(+T19*AE19)),IF(AB19="Impacto",T19,"")),"")</f>
        <v/>
      </c>
      <c r="AJ19" s="193" t="str">
        <f>IFERROR(IF(AI19="","",IF(AI19&lt;=0.2,"Muy Baja",IF(AI19&lt;=0.4,"Baja",IF(AI19&lt;=0.6,"Media",IF(AI19&lt;=0.8,"Alta","Muy Alta"))))),"")</f>
        <v/>
      </c>
      <c r="AK19" s="191" t="str">
        <f>+AI19</f>
        <v/>
      </c>
      <c r="AL19" s="193" t="str">
        <f>IFERROR(IF(AM19="","",IF(AM19&lt;=0.2,"Leve",IF(AM19&lt;=0.4,"Menor",IF(AM19&lt;=0.6,"Moderado",IF(AM19&lt;=0.8,"Mayor","Catastrófico"))))),"")</f>
        <v/>
      </c>
      <c r="AM19" s="191" t="str">
        <f t="shared" ref="AM19" si="8">IFERROR(IF(AB19="Impacto",(X19-(+X19*AE19)),IF(AB19="Probabilidad",X19,"")),"")</f>
        <v/>
      </c>
      <c r="AN19" s="194" t="str">
        <f>IFERROR(IF(OR(AND(AJ19="Muy Baja",AL19="Leve"),AND(AJ19="Muy Baja",AL19="Menor"),AND(AJ19="Baja",AL19="Leve")),"Bajo",IF(OR(AND(AJ19="Muy baja",AL19="Moderado"),AND(AJ19="Baja",AL19="Menor"),AND(AJ19="Baja",AL19="Moderado"),AND(AJ19="Media",AL19="Leve"),AND(AJ19="Media",AL19="Menor"),AND(AJ19="Media",AL19="Moderado"),AND(AJ19="Alta",AL19="Leve"),AND(AJ19="Alta",AL19="Menor")),"Moderado",IF(OR(AND(AJ19="Muy Baja",AL19="Mayor"),AND(AJ19="Baja",AL19="Mayor"),AND(AJ19="Media",AL19="Mayor"),AND(AJ19="Alta",AL19="Moderado"),AND(AJ19="Alta",AL19="Mayor"),AND(AJ19="Muy Alta",AL19="Leve"),AND(AJ19="Muy Alta",AL19="Menor"),AND(AJ19="Muy Alta",AL19="Moderado"),AND(AJ19="Muy Alta",AL19="Mayor")),"Alto",IF(OR(AND(AJ19="Muy Baja",AL19="Catastrófico"),AND(AJ19="Baja",AL19="Catastrófico"),AND(AJ19="Media",AL19="Catastrófico"),AND(AJ19="Alta",AL19="Catastrófico"),AND(AJ19="Muy Alta",AL19="Catastrófico")),"Extremo","")))),"")</f>
        <v/>
      </c>
      <c r="AO19" s="195"/>
      <c r="AP19" s="186"/>
      <c r="AQ19" s="196"/>
      <c r="AR19" s="196"/>
      <c r="AS19" s="197"/>
      <c r="AT19" s="381"/>
      <c r="AU19" s="381"/>
      <c r="AV19" s="381"/>
    </row>
    <row r="20" spans="1:48" x14ac:dyDescent="0.2">
      <c r="A20" s="418"/>
      <c r="B20" s="387"/>
      <c r="C20" s="387"/>
      <c r="D20" s="387"/>
      <c r="E20" s="390"/>
      <c r="F20" s="387"/>
      <c r="G20" s="360"/>
      <c r="H20" s="360"/>
      <c r="I20" s="360"/>
      <c r="J20" s="360"/>
      <c r="K20" s="360"/>
      <c r="L20" s="360"/>
      <c r="M20" s="360"/>
      <c r="N20" s="360"/>
      <c r="O20" s="360"/>
      <c r="P20" s="360"/>
      <c r="Q20" s="360"/>
      <c r="R20" s="381"/>
      <c r="S20" s="367"/>
      <c r="T20" s="364"/>
      <c r="U20" s="353"/>
      <c r="V20" s="364">
        <f>IF(NOT(ISERROR(MATCH(U20,_xlfn.ANCHORARRAY(E31),0))),T33&amp;"Por favor no seleccionar los criterios de impacto",U20)</f>
        <v>0</v>
      </c>
      <c r="W20" s="367"/>
      <c r="X20" s="364"/>
      <c r="Y20" s="362"/>
      <c r="Z20" s="214">
        <v>2</v>
      </c>
      <c r="AA20" s="187"/>
      <c r="AB20" s="189" t="str">
        <f>IF(OR(AC20="Preventivo",AC20="Detectivo"),"Probabilidad",IF(AC20="Correctivo","Impacto",""))</f>
        <v/>
      </c>
      <c r="AC20" s="190"/>
      <c r="AD20" s="190"/>
      <c r="AE20" s="191" t="str">
        <f t="shared" ref="AE20:AE24" si="9">IF(AND(AC20="Preventivo",AD20="Automático"),"50%",IF(AND(AC20="Preventivo",AD20="Manual"),"40%",IF(AND(AC20="Detectivo",AD20="Automático"),"40%",IF(AND(AC20="Detectivo",AD20="Manual"),"30%",IF(AND(AC20="Correctivo",AD20="Automático"),"35%",IF(AND(AC20="Correctivo",AD20="Manual"),"25%",""))))))</f>
        <v/>
      </c>
      <c r="AF20" s="190"/>
      <c r="AG20" s="190"/>
      <c r="AH20" s="190"/>
      <c r="AI20" s="192" t="str">
        <f>IFERROR(IF(AND(AB19="Probabilidad",AB20="Probabilidad"),(AK19-(+AK19*AE20)),IF(AB20="Probabilidad",(T19-(+T19*AE20)),IF(AB20="Impacto",AK19,""))),"")</f>
        <v/>
      </c>
      <c r="AJ20" s="193" t="str">
        <f t="shared" si="2"/>
        <v/>
      </c>
      <c r="AK20" s="191" t="str">
        <f t="shared" ref="AK20:AK24" si="10">+AI20</f>
        <v/>
      </c>
      <c r="AL20" s="193" t="str">
        <f t="shared" si="4"/>
        <v/>
      </c>
      <c r="AM20" s="191" t="str">
        <f t="shared" ref="AM20" si="11">IFERROR(IF(AND(AB19="Impacto",AB20="Impacto"),(AM19-(+AM19*AE20)),IF(AB20="Impacto",($X$13-(+$X$13*AE20)),IF(AB20="Probabilidad",AM19,""))),"")</f>
        <v/>
      </c>
      <c r="AN20" s="194" t="str">
        <f t="shared" ref="AN20:AN21" si="12">IFERROR(IF(OR(AND(AJ20="Muy Baja",AL20="Leve"),AND(AJ20="Muy Baja",AL20="Menor"),AND(AJ20="Baja",AL20="Leve")),"Bajo",IF(OR(AND(AJ20="Muy baja",AL20="Moderado"),AND(AJ20="Baja",AL20="Menor"),AND(AJ20="Baja",AL20="Moderado"),AND(AJ20="Media",AL20="Leve"),AND(AJ20="Media",AL20="Menor"),AND(AJ20="Media",AL20="Moderado"),AND(AJ20="Alta",AL20="Leve"),AND(AJ20="Alta",AL20="Menor")),"Moderado",IF(OR(AND(AJ20="Muy Baja",AL20="Mayor"),AND(AJ20="Baja",AL20="Mayor"),AND(AJ20="Media",AL20="Mayor"),AND(AJ20="Alta",AL20="Moderado"),AND(AJ20="Alta",AL20="Mayor"),AND(AJ20="Muy Alta",AL20="Leve"),AND(AJ20="Muy Alta",AL20="Menor"),AND(AJ20="Muy Alta",AL20="Moderado"),AND(AJ20="Muy Alta",AL20="Mayor")),"Alto",IF(OR(AND(AJ20="Muy Baja",AL20="Catastrófico"),AND(AJ20="Baja",AL20="Catastrófico"),AND(AJ20="Media",AL20="Catastrófico"),AND(AJ20="Alta",AL20="Catastrófico"),AND(AJ20="Muy Alta",AL20="Catastrófico")),"Extremo","")))),"")</f>
        <v/>
      </c>
      <c r="AO20" s="195"/>
      <c r="AP20" s="186"/>
      <c r="AQ20" s="196"/>
      <c r="AR20" s="186"/>
      <c r="AS20" s="197"/>
      <c r="AT20" s="381"/>
      <c r="AU20" s="381"/>
      <c r="AV20" s="381"/>
    </row>
    <row r="21" spans="1:48" x14ac:dyDescent="0.2">
      <c r="A21" s="418"/>
      <c r="B21" s="387"/>
      <c r="C21" s="387"/>
      <c r="D21" s="387"/>
      <c r="E21" s="390"/>
      <c r="F21" s="387"/>
      <c r="G21" s="360"/>
      <c r="H21" s="360"/>
      <c r="I21" s="360"/>
      <c r="J21" s="360"/>
      <c r="K21" s="360"/>
      <c r="L21" s="360"/>
      <c r="M21" s="360"/>
      <c r="N21" s="360"/>
      <c r="O21" s="360"/>
      <c r="P21" s="360"/>
      <c r="Q21" s="360"/>
      <c r="R21" s="381"/>
      <c r="S21" s="367"/>
      <c r="T21" s="364"/>
      <c r="U21" s="353"/>
      <c r="V21" s="364">
        <f>IF(NOT(ISERROR(MATCH(U21,_xlfn.ANCHORARRAY(E32),0))),T34&amp;"Por favor no seleccionar los criterios de impacto",U21)</f>
        <v>0</v>
      </c>
      <c r="W21" s="367"/>
      <c r="X21" s="364"/>
      <c r="Y21" s="362"/>
      <c r="Z21" s="214">
        <v>3</v>
      </c>
      <c r="AA21" s="188"/>
      <c r="AB21" s="189" t="str">
        <f>IF(OR(AC21="Preventivo",AC21="Detectivo"),"Probabilidad",IF(AC21="Correctivo","Impacto",""))</f>
        <v/>
      </c>
      <c r="AC21" s="190"/>
      <c r="AD21" s="190"/>
      <c r="AE21" s="191" t="str">
        <f t="shared" si="9"/>
        <v/>
      </c>
      <c r="AF21" s="190"/>
      <c r="AG21" s="190"/>
      <c r="AH21" s="190"/>
      <c r="AI21" s="192" t="str">
        <f>IFERROR(IF(AND(AB20="Probabilidad",AB21="Probabilidad"),(AK20-(+AK20*AE21)),IF(AND(AB20="Impacto",AB21="Probabilidad"),(AK19-(+AK19*AE21)),IF(AB21="Impacto",AK20,""))),"")</f>
        <v/>
      </c>
      <c r="AJ21" s="193" t="str">
        <f t="shared" si="2"/>
        <v/>
      </c>
      <c r="AK21" s="191" t="str">
        <f t="shared" si="10"/>
        <v/>
      </c>
      <c r="AL21" s="193" t="str">
        <f t="shared" si="4"/>
        <v/>
      </c>
      <c r="AM21" s="191" t="str">
        <f t="shared" ref="AM21:AM72" si="13">IFERROR(IF(AND(AB20="Impacto",AB21="Impacto"),(AM20-(+AM20*AE21)),IF(AND(AB20="Probabilidad",AB21="Impacto"),(AM19-(+AM19*AE21)),IF(AB21="Probabilidad",AM20,""))),"")</f>
        <v/>
      </c>
      <c r="AN21" s="194" t="str">
        <f t="shared" si="12"/>
        <v/>
      </c>
      <c r="AO21" s="195"/>
      <c r="AP21" s="186"/>
      <c r="AQ21" s="196"/>
      <c r="AR21" s="196"/>
      <c r="AS21" s="197"/>
      <c r="AT21" s="381"/>
      <c r="AU21" s="381"/>
      <c r="AV21" s="381"/>
    </row>
    <row r="22" spans="1:48" x14ac:dyDescent="0.2">
      <c r="A22" s="418"/>
      <c r="B22" s="387"/>
      <c r="C22" s="387"/>
      <c r="D22" s="387"/>
      <c r="E22" s="390"/>
      <c r="F22" s="387"/>
      <c r="G22" s="360"/>
      <c r="H22" s="360"/>
      <c r="I22" s="360"/>
      <c r="J22" s="360"/>
      <c r="K22" s="360"/>
      <c r="L22" s="360"/>
      <c r="M22" s="360"/>
      <c r="N22" s="360"/>
      <c r="O22" s="360"/>
      <c r="P22" s="360"/>
      <c r="Q22" s="360"/>
      <c r="R22" s="381"/>
      <c r="S22" s="367"/>
      <c r="T22" s="364"/>
      <c r="U22" s="353"/>
      <c r="V22" s="364">
        <f>IF(NOT(ISERROR(MATCH(U22,_xlfn.ANCHORARRAY(E33),0))),T35&amp;"Por favor no seleccionar los criterios de impacto",U22)</f>
        <v>0</v>
      </c>
      <c r="W22" s="367"/>
      <c r="X22" s="364"/>
      <c r="Y22" s="362"/>
      <c r="Z22" s="214">
        <v>4</v>
      </c>
      <c r="AA22" s="187"/>
      <c r="AB22" s="189" t="str">
        <f t="shared" ref="AB22:AB24" si="14">IF(OR(AC22="Preventivo",AC22="Detectivo"),"Probabilidad",IF(AC22="Correctivo","Impacto",""))</f>
        <v/>
      </c>
      <c r="AC22" s="190"/>
      <c r="AD22" s="190"/>
      <c r="AE22" s="191" t="str">
        <f t="shared" si="9"/>
        <v/>
      </c>
      <c r="AF22" s="190"/>
      <c r="AG22" s="190"/>
      <c r="AH22" s="190"/>
      <c r="AI22" s="192" t="str">
        <f t="shared" ref="AI22:AI24" si="15">IFERROR(IF(AND(AB21="Probabilidad",AB22="Probabilidad"),(AK21-(+AK21*AE22)),IF(AND(AB21="Impacto",AB22="Probabilidad"),(AK20-(+AK20*AE22)),IF(AB22="Impacto",AK21,""))),"")</f>
        <v/>
      </c>
      <c r="AJ22" s="193" t="str">
        <f t="shared" si="2"/>
        <v/>
      </c>
      <c r="AK22" s="191" t="str">
        <f t="shared" si="10"/>
        <v/>
      </c>
      <c r="AL22" s="193" t="str">
        <f t="shared" si="4"/>
        <v/>
      </c>
      <c r="AM22" s="191" t="str">
        <f t="shared" si="13"/>
        <v/>
      </c>
      <c r="AN22" s="194" t="str">
        <f>IFERROR(IF(OR(AND(AJ22="Muy Baja",AL22="Leve"),AND(AJ22="Muy Baja",AL22="Menor"),AND(AJ22="Baja",AL22="Leve")),"Bajo",IF(OR(AND(AJ22="Muy baja",AL22="Moderado"),AND(AJ22="Baja",AL22="Menor"),AND(AJ22="Baja",AL22="Moderado"),AND(AJ22="Media",AL22="Leve"),AND(AJ22="Media",AL22="Menor"),AND(AJ22="Media",AL22="Moderado"),AND(AJ22="Alta",AL22="Leve"),AND(AJ22="Alta",AL22="Menor")),"Moderado",IF(OR(AND(AJ22="Muy Baja",AL22="Mayor"),AND(AJ22="Baja",AL22="Mayor"),AND(AJ22="Media",AL22="Mayor"),AND(AJ22="Alta",AL22="Moderado"),AND(AJ22="Alta",AL22="Mayor"),AND(AJ22="Muy Alta",AL22="Leve"),AND(AJ22="Muy Alta",AL22="Menor"),AND(AJ22="Muy Alta",AL22="Moderado"),AND(AJ22="Muy Alta",AL22="Mayor")),"Alto",IF(OR(AND(AJ22="Muy Baja",AL22="Catastrófico"),AND(AJ22="Baja",AL22="Catastrófico"),AND(AJ22="Media",AL22="Catastrófico"),AND(AJ22="Alta",AL22="Catastrófico"),AND(AJ22="Muy Alta",AL22="Catastrófico")),"Extremo","")))),"")</f>
        <v/>
      </c>
      <c r="AO22" s="195"/>
      <c r="AP22" s="186"/>
      <c r="AQ22" s="196"/>
      <c r="AR22" s="196"/>
      <c r="AS22" s="197"/>
      <c r="AT22" s="381"/>
      <c r="AU22" s="381"/>
      <c r="AV22" s="381"/>
    </row>
    <row r="23" spans="1:48" x14ac:dyDescent="0.2">
      <c r="A23" s="418"/>
      <c r="B23" s="387"/>
      <c r="C23" s="387"/>
      <c r="D23" s="387"/>
      <c r="E23" s="390"/>
      <c r="F23" s="387"/>
      <c r="G23" s="360"/>
      <c r="H23" s="360"/>
      <c r="I23" s="360"/>
      <c r="J23" s="360"/>
      <c r="K23" s="360"/>
      <c r="L23" s="360"/>
      <c r="M23" s="360"/>
      <c r="N23" s="360"/>
      <c r="O23" s="360"/>
      <c r="P23" s="360"/>
      <c r="Q23" s="360"/>
      <c r="R23" s="381"/>
      <c r="S23" s="367"/>
      <c r="T23" s="364"/>
      <c r="U23" s="353"/>
      <c r="V23" s="364">
        <f>IF(NOT(ISERROR(MATCH(U23,_xlfn.ANCHORARRAY(E34),0))),T36&amp;"Por favor no seleccionar los criterios de impacto",U23)</f>
        <v>0</v>
      </c>
      <c r="W23" s="367"/>
      <c r="X23" s="364"/>
      <c r="Y23" s="362"/>
      <c r="Z23" s="214">
        <v>5</v>
      </c>
      <c r="AA23" s="187"/>
      <c r="AB23" s="189" t="str">
        <f t="shared" si="14"/>
        <v/>
      </c>
      <c r="AC23" s="190"/>
      <c r="AD23" s="190"/>
      <c r="AE23" s="191" t="str">
        <f t="shared" si="9"/>
        <v/>
      </c>
      <c r="AF23" s="190"/>
      <c r="AG23" s="190"/>
      <c r="AH23" s="190"/>
      <c r="AI23" s="192" t="str">
        <f t="shared" si="15"/>
        <v/>
      </c>
      <c r="AJ23" s="193" t="str">
        <f t="shared" si="2"/>
        <v/>
      </c>
      <c r="AK23" s="191" t="str">
        <f t="shared" si="10"/>
        <v/>
      </c>
      <c r="AL23" s="193" t="str">
        <f t="shared" si="4"/>
        <v/>
      </c>
      <c r="AM23" s="191" t="str">
        <f t="shared" si="13"/>
        <v/>
      </c>
      <c r="AN23" s="194" t="str">
        <f t="shared" ref="AN23:AN24" si="16">IFERROR(IF(OR(AND(AJ23="Muy Baja",AL23="Leve"),AND(AJ23="Muy Baja",AL23="Menor"),AND(AJ23="Baja",AL23="Leve")),"Bajo",IF(OR(AND(AJ23="Muy baja",AL23="Moderado"),AND(AJ23="Baja",AL23="Menor"),AND(AJ23="Baja",AL23="Moderado"),AND(AJ23="Media",AL23="Leve"),AND(AJ23="Media",AL23="Menor"),AND(AJ23="Media",AL23="Moderado"),AND(AJ23="Alta",AL23="Leve"),AND(AJ23="Alta",AL23="Menor")),"Moderado",IF(OR(AND(AJ23="Muy Baja",AL23="Mayor"),AND(AJ23="Baja",AL23="Mayor"),AND(AJ23="Media",AL23="Mayor"),AND(AJ23="Alta",AL23="Moderado"),AND(AJ23="Alta",AL23="Mayor"),AND(AJ23="Muy Alta",AL23="Leve"),AND(AJ23="Muy Alta",AL23="Menor"),AND(AJ23="Muy Alta",AL23="Moderado"),AND(AJ23="Muy Alta",AL23="Mayor")),"Alto",IF(OR(AND(AJ23="Muy Baja",AL23="Catastrófico"),AND(AJ23="Baja",AL23="Catastrófico"),AND(AJ23="Media",AL23="Catastrófico"),AND(AJ23="Alta",AL23="Catastrófico"),AND(AJ23="Muy Alta",AL23="Catastrófico")),"Extremo","")))),"")</f>
        <v/>
      </c>
      <c r="AO23" s="195"/>
      <c r="AP23" s="186"/>
      <c r="AQ23" s="196"/>
      <c r="AR23" s="196"/>
      <c r="AS23" s="197"/>
      <c r="AT23" s="381"/>
      <c r="AU23" s="381"/>
      <c r="AV23" s="381"/>
    </row>
    <row r="24" spans="1:48" x14ac:dyDescent="0.2">
      <c r="A24" s="418"/>
      <c r="B24" s="387"/>
      <c r="C24" s="387"/>
      <c r="D24" s="387"/>
      <c r="E24" s="390"/>
      <c r="F24" s="387"/>
      <c r="G24" s="373"/>
      <c r="H24" s="373"/>
      <c r="I24" s="373"/>
      <c r="J24" s="373"/>
      <c r="K24" s="373"/>
      <c r="L24" s="373"/>
      <c r="M24" s="373"/>
      <c r="N24" s="373"/>
      <c r="O24" s="373"/>
      <c r="P24" s="373"/>
      <c r="Q24" s="373"/>
      <c r="R24" s="381"/>
      <c r="S24" s="367"/>
      <c r="T24" s="364"/>
      <c r="U24" s="353"/>
      <c r="V24" s="364">
        <f>IF(NOT(ISERROR(MATCH(U24,_xlfn.ANCHORARRAY(E35),0))),T37&amp;"Por favor no seleccionar los criterios de impacto",U24)</f>
        <v>0</v>
      </c>
      <c r="W24" s="367"/>
      <c r="X24" s="364"/>
      <c r="Y24" s="362"/>
      <c r="Z24" s="214">
        <v>6</v>
      </c>
      <c r="AA24" s="187"/>
      <c r="AB24" s="189" t="str">
        <f t="shared" si="14"/>
        <v/>
      </c>
      <c r="AC24" s="190"/>
      <c r="AD24" s="190"/>
      <c r="AE24" s="191" t="str">
        <f t="shared" si="9"/>
        <v/>
      </c>
      <c r="AF24" s="190"/>
      <c r="AG24" s="190"/>
      <c r="AH24" s="190"/>
      <c r="AI24" s="192" t="str">
        <f t="shared" si="15"/>
        <v/>
      </c>
      <c r="AJ24" s="193" t="str">
        <f t="shared" si="2"/>
        <v/>
      </c>
      <c r="AK24" s="191" t="str">
        <f t="shared" si="10"/>
        <v/>
      </c>
      <c r="AL24" s="193" t="str">
        <f t="shared" si="4"/>
        <v/>
      </c>
      <c r="AM24" s="191" t="str">
        <f t="shared" si="13"/>
        <v/>
      </c>
      <c r="AN24" s="194" t="str">
        <f t="shared" si="16"/>
        <v/>
      </c>
      <c r="AO24" s="195"/>
      <c r="AP24" s="186"/>
      <c r="AQ24" s="196"/>
      <c r="AR24" s="196"/>
      <c r="AS24" s="197"/>
      <c r="AT24" s="381"/>
      <c r="AU24" s="381"/>
      <c r="AV24" s="381"/>
    </row>
    <row r="25" spans="1:48" x14ac:dyDescent="0.2">
      <c r="A25" s="418">
        <v>3</v>
      </c>
      <c r="B25" s="387"/>
      <c r="C25" s="387"/>
      <c r="D25" s="387"/>
      <c r="E25" s="390"/>
      <c r="F25" s="387"/>
      <c r="G25" s="392"/>
      <c r="H25" s="392"/>
      <c r="I25" s="392"/>
      <c r="J25" s="392"/>
      <c r="K25" s="392"/>
      <c r="L25" s="392"/>
      <c r="M25" s="392"/>
      <c r="N25" s="392"/>
      <c r="O25" s="392"/>
      <c r="P25" s="392"/>
      <c r="Q25" s="392"/>
      <c r="R25" s="381"/>
      <c r="S25" s="367" t="str">
        <f>IF(R25&lt;=0,"",IF(R25&lt;=2,"Muy Baja",IF(R25&lt;=24,"Baja",IF(R25&lt;=500,"Media",IF(R25&lt;=5000,"Alta","Muy Alta")))))</f>
        <v/>
      </c>
      <c r="T25" s="364" t="str">
        <f>IF(S25="","",IF(S25="Muy Baja",0.2,IF(S25="Baja",0.4,IF(S25="Media",0.6,IF(S25="Alta",0.8,IF(S25="Muy Alta",1,))))))</f>
        <v/>
      </c>
      <c r="U25" s="353"/>
      <c r="V25" s="364">
        <f>IF(NOT(ISERROR(MATCH(U25,'Tabla Impacto'!$B$222:$B$224,0))),'Tabla Impacto'!$F$224&amp;"Por favor no seleccionar los criterios de impacto(Afectación Económica o presupuestal y Pérdida Reputacional)",U25)</f>
        <v>0</v>
      </c>
      <c r="W25" s="367" t="str">
        <f>IF(OR(V25='Tabla Impacto'!$C$12,V25='Tabla Impacto'!$D$12),"Leve",IF(OR(V25='Tabla Impacto'!$C$13,V25='Tabla Impacto'!$D$13),"Menor",IF(OR(V25='Tabla Impacto'!$C$14,V25='Tabla Impacto'!$D$14),"Moderado",IF(OR(V25='Tabla Impacto'!$C$15,V25='Tabla Impacto'!$D$15),"Mayor",IF(OR(V25='Tabla Impacto'!$C$16,V25='Tabla Impacto'!$D$16),"Catastrófico","")))))</f>
        <v/>
      </c>
      <c r="X25" s="364" t="str">
        <f>IF(W25="","",IF(W25="Leve",0.2,IF(W25="Menor",0.4,IF(W25="Moderado",0.6,IF(W25="Mayor",0.8,IF(W25="Catastrófico",1,))))))</f>
        <v/>
      </c>
      <c r="Y25" s="362" t="str">
        <f>IF(OR(AND(S25="Muy Baja",W25="Leve"),AND(S25="Muy Baja",W25="Menor"),AND(S25="Baja",W25="Leve")),"Bajo",IF(OR(AND(S25="Muy baja",W25="Moderado"),AND(S25="Baja",W25="Menor"),AND(S25="Baja",W25="Moderado"),AND(S25="Media",W25="Leve"),AND(S25="Media",W25="Menor"),AND(S25="Media",W25="Moderado"),AND(S25="Alta",W25="Leve"),AND(S25="Alta",W25="Menor")),"Moderado",IF(OR(AND(S25="Muy Baja",W25="Mayor"),AND(S25="Baja",W25="Mayor"),AND(S25="Media",W25="Mayor"),AND(S25="Alta",W25="Moderado"),AND(S25="Alta",W25="Mayor"),AND(S25="Muy Alta",W25="Leve"),AND(S25="Muy Alta",W25="Menor"),AND(S25="Muy Alta",W25="Moderado"),AND(S25="Muy Alta",W25="Mayor")),"Alto",IF(OR(AND(S25="Muy Baja",W25="Catastrófico"),AND(S25="Baja",W25="Catastrófico"),AND(S25="Media",W25="Catastrófico"),AND(S25="Alta",W25="Catastrófico"),AND(S25="Muy Alta",W25="Catastrófico")),"Extremo",""))))</f>
        <v/>
      </c>
      <c r="Z25" s="214">
        <v>1</v>
      </c>
      <c r="AA25" s="187"/>
      <c r="AB25" s="189" t="str">
        <f>IF(OR(AC25="Preventivo",AC25="Detectivo"),"Probabilidad",IF(AC25="Correctivo","Impacto",""))</f>
        <v/>
      </c>
      <c r="AC25" s="190"/>
      <c r="AD25" s="190"/>
      <c r="AE25" s="191" t="str">
        <f>IF(AND(AC25="Preventivo",AD25="Automático"),"50%",IF(AND(AC25="Preventivo",AD25="Manual"),"40%",IF(AND(AC25="Detectivo",AD25="Automático"),"40%",IF(AND(AC25="Detectivo",AD25="Manual"),"30%",IF(AND(AC25="Correctivo",AD25="Automático"),"35%",IF(AND(AC25="Correctivo",AD25="Manual"),"25%",""))))))</f>
        <v/>
      </c>
      <c r="AF25" s="190"/>
      <c r="AG25" s="190"/>
      <c r="AH25" s="190"/>
      <c r="AI25" s="192" t="str">
        <f>IFERROR(IF(AB25="Probabilidad",(T25-(+T25*AE25)),IF(AB25="Impacto",T25,"")),"")</f>
        <v/>
      </c>
      <c r="AJ25" s="193" t="str">
        <f>IFERROR(IF(AI25="","",IF(AI25&lt;=0.2,"Muy Baja",IF(AI25&lt;=0.4,"Baja",IF(AI25&lt;=0.6,"Media",IF(AI25&lt;=0.8,"Alta","Muy Alta"))))),"")</f>
        <v/>
      </c>
      <c r="AK25" s="191" t="str">
        <f>+AI25</f>
        <v/>
      </c>
      <c r="AL25" s="193" t="str">
        <f>IFERROR(IF(AM25="","",IF(AM25&lt;=0.2,"Leve",IF(AM25&lt;=0.4,"Menor",IF(AM25&lt;=0.6,"Moderado",IF(AM25&lt;=0.8,"Mayor","Catastrófico"))))),"")</f>
        <v/>
      </c>
      <c r="AM25" s="191" t="str">
        <f t="shared" ref="AM25" si="17">IFERROR(IF(AB25="Impacto",(X25-(+X25*AE25)),IF(AB25="Probabilidad",X25,"")),"")</f>
        <v/>
      </c>
      <c r="AN25" s="194" t="str">
        <f>IFERROR(IF(OR(AND(AJ25="Muy Baja",AL25="Leve"),AND(AJ25="Muy Baja",AL25="Menor"),AND(AJ25="Baja",AL25="Leve")),"Bajo",IF(OR(AND(AJ25="Muy baja",AL25="Moderado"),AND(AJ25="Baja",AL25="Menor"),AND(AJ25="Baja",AL25="Moderado"),AND(AJ25="Media",AL25="Leve"),AND(AJ25="Media",AL25="Menor"),AND(AJ25="Media",AL25="Moderado"),AND(AJ25="Alta",AL25="Leve"),AND(AJ25="Alta",AL25="Menor")),"Moderado",IF(OR(AND(AJ25="Muy Baja",AL25="Mayor"),AND(AJ25="Baja",AL25="Mayor"),AND(AJ25="Media",AL25="Mayor"),AND(AJ25="Alta",AL25="Moderado"),AND(AJ25="Alta",AL25="Mayor"),AND(AJ25="Muy Alta",AL25="Leve"),AND(AJ25="Muy Alta",AL25="Menor"),AND(AJ25="Muy Alta",AL25="Moderado"),AND(AJ25="Muy Alta",AL25="Mayor")),"Alto",IF(OR(AND(AJ25="Muy Baja",AL25="Catastrófico"),AND(AJ25="Baja",AL25="Catastrófico"),AND(AJ25="Media",AL25="Catastrófico"),AND(AJ25="Alta",AL25="Catastrófico"),AND(AJ25="Muy Alta",AL25="Catastrófico")),"Extremo","")))),"")</f>
        <v/>
      </c>
      <c r="AO25" s="195"/>
      <c r="AP25" s="186"/>
      <c r="AQ25" s="196"/>
      <c r="AR25" s="196"/>
      <c r="AS25" s="197"/>
      <c r="AT25" s="381"/>
      <c r="AU25" s="381"/>
      <c r="AV25" s="381"/>
    </row>
    <row r="26" spans="1:48" x14ac:dyDescent="0.2">
      <c r="A26" s="418"/>
      <c r="B26" s="387"/>
      <c r="C26" s="387"/>
      <c r="D26" s="387"/>
      <c r="E26" s="390"/>
      <c r="F26" s="387"/>
      <c r="G26" s="360"/>
      <c r="H26" s="360"/>
      <c r="I26" s="360"/>
      <c r="J26" s="360"/>
      <c r="K26" s="360"/>
      <c r="L26" s="360"/>
      <c r="M26" s="360"/>
      <c r="N26" s="360"/>
      <c r="O26" s="360"/>
      <c r="P26" s="360"/>
      <c r="Q26" s="360"/>
      <c r="R26" s="381"/>
      <c r="S26" s="367"/>
      <c r="T26" s="364"/>
      <c r="U26" s="353"/>
      <c r="V26" s="364">
        <f>IF(NOT(ISERROR(MATCH(U26,_xlfn.ANCHORARRAY(E37),0))),T39&amp;"Por favor no seleccionar los criterios de impacto",U26)</f>
        <v>0</v>
      </c>
      <c r="W26" s="367"/>
      <c r="X26" s="364"/>
      <c r="Y26" s="362"/>
      <c r="Z26" s="214">
        <v>2</v>
      </c>
      <c r="AA26" s="187"/>
      <c r="AB26" s="189" t="str">
        <f>IF(OR(AC26="Preventivo",AC26="Detectivo"),"Probabilidad",IF(AC26="Correctivo","Impacto",""))</f>
        <v/>
      </c>
      <c r="AC26" s="190"/>
      <c r="AD26" s="190"/>
      <c r="AE26" s="191" t="str">
        <f t="shared" ref="AE26:AE30" si="18">IF(AND(AC26="Preventivo",AD26="Automático"),"50%",IF(AND(AC26="Preventivo",AD26="Manual"),"40%",IF(AND(AC26="Detectivo",AD26="Automático"),"40%",IF(AND(AC26="Detectivo",AD26="Manual"),"30%",IF(AND(AC26="Correctivo",AD26="Automático"),"35%",IF(AND(AC26="Correctivo",AD26="Manual"),"25%",""))))))</f>
        <v/>
      </c>
      <c r="AF26" s="190"/>
      <c r="AG26" s="190"/>
      <c r="AH26" s="190"/>
      <c r="AI26" s="192" t="str">
        <f>IFERROR(IF(AND(AB25="Probabilidad",AB26="Probabilidad"),(AK25-(+AK25*AE26)),IF(AB26="Probabilidad",(T25-(+T25*AE26)),IF(AB26="Impacto",AK25,""))),"")</f>
        <v/>
      </c>
      <c r="AJ26" s="193" t="str">
        <f t="shared" si="2"/>
        <v/>
      </c>
      <c r="AK26" s="191" t="str">
        <f t="shared" ref="AK26:AK30" si="19">+AI26</f>
        <v/>
      </c>
      <c r="AL26" s="193" t="str">
        <f t="shared" si="4"/>
        <v/>
      </c>
      <c r="AM26" s="191" t="str">
        <f t="shared" ref="AM26" si="20">IFERROR(IF(AND(AB25="Impacto",AB26="Impacto"),(AM25-(+AM25*AE26)),IF(AB26="Impacto",($X$13-(+$X$13*AE26)),IF(AB26="Probabilidad",AM25,""))),"")</f>
        <v/>
      </c>
      <c r="AN26" s="194" t="str">
        <f t="shared" ref="AN26:AN27" si="21">IFERROR(IF(OR(AND(AJ26="Muy Baja",AL26="Leve"),AND(AJ26="Muy Baja",AL26="Menor"),AND(AJ26="Baja",AL26="Leve")),"Bajo",IF(OR(AND(AJ26="Muy baja",AL26="Moderado"),AND(AJ26="Baja",AL26="Menor"),AND(AJ26="Baja",AL26="Moderado"),AND(AJ26="Media",AL26="Leve"),AND(AJ26="Media",AL26="Menor"),AND(AJ26="Media",AL26="Moderado"),AND(AJ26="Alta",AL26="Leve"),AND(AJ26="Alta",AL26="Menor")),"Moderado",IF(OR(AND(AJ26="Muy Baja",AL26="Mayor"),AND(AJ26="Baja",AL26="Mayor"),AND(AJ26="Media",AL26="Mayor"),AND(AJ26="Alta",AL26="Moderado"),AND(AJ26="Alta",AL26="Mayor"),AND(AJ26="Muy Alta",AL26="Leve"),AND(AJ26="Muy Alta",AL26="Menor"),AND(AJ26="Muy Alta",AL26="Moderado"),AND(AJ26="Muy Alta",AL26="Mayor")),"Alto",IF(OR(AND(AJ26="Muy Baja",AL26="Catastrófico"),AND(AJ26="Baja",AL26="Catastrófico"),AND(AJ26="Media",AL26="Catastrófico"),AND(AJ26="Alta",AL26="Catastrófico"),AND(AJ26="Muy Alta",AL26="Catastrófico")),"Extremo","")))),"")</f>
        <v/>
      </c>
      <c r="AO26" s="195"/>
      <c r="AP26" s="186"/>
      <c r="AQ26" s="196"/>
      <c r="AR26" s="196"/>
      <c r="AS26" s="197"/>
      <c r="AT26" s="381"/>
      <c r="AU26" s="381"/>
      <c r="AV26" s="381"/>
    </row>
    <row r="27" spans="1:48" x14ac:dyDescent="0.2">
      <c r="A27" s="418"/>
      <c r="B27" s="387"/>
      <c r="C27" s="387"/>
      <c r="D27" s="387"/>
      <c r="E27" s="390"/>
      <c r="F27" s="387"/>
      <c r="G27" s="360"/>
      <c r="H27" s="360"/>
      <c r="I27" s="360"/>
      <c r="J27" s="360"/>
      <c r="K27" s="360"/>
      <c r="L27" s="360"/>
      <c r="M27" s="360"/>
      <c r="N27" s="360"/>
      <c r="O27" s="360"/>
      <c r="P27" s="360"/>
      <c r="Q27" s="360"/>
      <c r="R27" s="381"/>
      <c r="S27" s="367"/>
      <c r="T27" s="364"/>
      <c r="U27" s="353"/>
      <c r="V27" s="364">
        <f>IF(NOT(ISERROR(MATCH(U27,_xlfn.ANCHORARRAY(E38),0))),T40&amp;"Por favor no seleccionar los criterios de impacto",U27)</f>
        <v>0</v>
      </c>
      <c r="W27" s="367"/>
      <c r="X27" s="364"/>
      <c r="Y27" s="362"/>
      <c r="Z27" s="214">
        <v>3</v>
      </c>
      <c r="AA27" s="187"/>
      <c r="AB27" s="189" t="str">
        <f>IF(OR(AC27="Preventivo",AC27="Detectivo"),"Probabilidad",IF(AC27="Correctivo","Impacto",""))</f>
        <v/>
      </c>
      <c r="AC27" s="190"/>
      <c r="AD27" s="190"/>
      <c r="AE27" s="191" t="str">
        <f t="shared" si="18"/>
        <v/>
      </c>
      <c r="AF27" s="190"/>
      <c r="AG27" s="190"/>
      <c r="AH27" s="190"/>
      <c r="AI27" s="192" t="str">
        <f>IFERROR(IF(AND(AB26="Probabilidad",AB27="Probabilidad"),(AK26-(+AK26*AE27)),IF(AND(AB26="Impacto",AB27="Probabilidad"),(AK25-(+AK25*AE27)),IF(AB27="Impacto",AK26,""))),"")</f>
        <v/>
      </c>
      <c r="AJ27" s="193" t="str">
        <f t="shared" si="2"/>
        <v/>
      </c>
      <c r="AK27" s="191" t="str">
        <f t="shared" si="19"/>
        <v/>
      </c>
      <c r="AL27" s="193" t="str">
        <f t="shared" si="4"/>
        <v/>
      </c>
      <c r="AM27" s="191" t="str">
        <f t="shared" ref="AM27" si="22">IFERROR(IF(AND(AB26="Impacto",AB27="Impacto"),(AM26-(+AM26*AE27)),IF(AND(AB26="Probabilidad",AB27="Impacto"),(AM25-(+AM25*AE27)),IF(AB27="Probabilidad",AM26,""))),"")</f>
        <v/>
      </c>
      <c r="AN27" s="194" t="str">
        <f t="shared" si="21"/>
        <v/>
      </c>
      <c r="AO27" s="195"/>
      <c r="AP27" s="186"/>
      <c r="AQ27" s="196"/>
      <c r="AR27" s="196"/>
      <c r="AS27" s="197"/>
      <c r="AT27" s="381"/>
      <c r="AU27" s="381"/>
      <c r="AV27" s="381"/>
    </row>
    <row r="28" spans="1:48" x14ac:dyDescent="0.2">
      <c r="A28" s="418"/>
      <c r="B28" s="387"/>
      <c r="C28" s="387"/>
      <c r="D28" s="387"/>
      <c r="E28" s="390"/>
      <c r="F28" s="387"/>
      <c r="G28" s="360"/>
      <c r="H28" s="360"/>
      <c r="I28" s="360"/>
      <c r="J28" s="360"/>
      <c r="K28" s="360"/>
      <c r="L28" s="360"/>
      <c r="M28" s="360"/>
      <c r="N28" s="360"/>
      <c r="O28" s="360"/>
      <c r="P28" s="360"/>
      <c r="Q28" s="360"/>
      <c r="R28" s="381"/>
      <c r="S28" s="367"/>
      <c r="T28" s="364"/>
      <c r="U28" s="353"/>
      <c r="V28" s="364">
        <f>IF(NOT(ISERROR(MATCH(U28,_xlfn.ANCHORARRAY(E39),0))),T41&amp;"Por favor no seleccionar los criterios de impacto",U28)</f>
        <v>0</v>
      </c>
      <c r="W28" s="367"/>
      <c r="X28" s="364"/>
      <c r="Y28" s="362"/>
      <c r="Z28" s="214">
        <v>4</v>
      </c>
      <c r="AA28" s="187"/>
      <c r="AB28" s="189" t="str">
        <f t="shared" ref="AB28:AB30" si="23">IF(OR(AC28="Preventivo",AC28="Detectivo"),"Probabilidad",IF(AC28="Correctivo","Impacto",""))</f>
        <v/>
      </c>
      <c r="AC28" s="190"/>
      <c r="AD28" s="190"/>
      <c r="AE28" s="191" t="str">
        <f t="shared" si="18"/>
        <v/>
      </c>
      <c r="AF28" s="190"/>
      <c r="AG28" s="190"/>
      <c r="AH28" s="190"/>
      <c r="AI28" s="192" t="str">
        <f t="shared" ref="AI28:AI30" si="24">IFERROR(IF(AND(AB27="Probabilidad",AB28="Probabilidad"),(AK27-(+AK27*AE28)),IF(AND(AB27="Impacto",AB28="Probabilidad"),(AK26-(+AK26*AE28)),IF(AB28="Impacto",AK27,""))),"")</f>
        <v/>
      </c>
      <c r="AJ28" s="193" t="str">
        <f t="shared" si="2"/>
        <v/>
      </c>
      <c r="AK28" s="191" t="str">
        <f t="shared" si="19"/>
        <v/>
      </c>
      <c r="AL28" s="193" t="str">
        <f t="shared" si="4"/>
        <v/>
      </c>
      <c r="AM28" s="191" t="str">
        <f t="shared" si="13"/>
        <v/>
      </c>
      <c r="AN28" s="194" t="str">
        <f>IFERROR(IF(OR(AND(AJ28="Muy Baja",AL28="Leve"),AND(AJ28="Muy Baja",AL28="Menor"),AND(AJ28="Baja",AL28="Leve")),"Bajo",IF(OR(AND(AJ28="Muy baja",AL28="Moderado"),AND(AJ28="Baja",AL28="Menor"),AND(AJ28="Baja",AL28="Moderado"),AND(AJ28="Media",AL28="Leve"),AND(AJ28="Media",AL28="Menor"),AND(AJ28="Media",AL28="Moderado"),AND(AJ28="Alta",AL28="Leve"),AND(AJ28="Alta",AL28="Menor")),"Moderado",IF(OR(AND(AJ28="Muy Baja",AL28="Mayor"),AND(AJ28="Baja",AL28="Mayor"),AND(AJ28="Media",AL28="Mayor"),AND(AJ28="Alta",AL28="Moderado"),AND(AJ28="Alta",AL28="Mayor"),AND(AJ28="Muy Alta",AL28="Leve"),AND(AJ28="Muy Alta",AL28="Menor"),AND(AJ28="Muy Alta",AL28="Moderado"),AND(AJ28="Muy Alta",AL28="Mayor")),"Alto",IF(OR(AND(AJ28="Muy Baja",AL28="Catastrófico"),AND(AJ28="Baja",AL28="Catastrófico"),AND(AJ28="Media",AL28="Catastrófico"),AND(AJ28="Alta",AL28="Catastrófico"),AND(AJ28="Muy Alta",AL28="Catastrófico")),"Extremo","")))),"")</f>
        <v/>
      </c>
      <c r="AO28" s="195"/>
      <c r="AP28" s="186"/>
      <c r="AQ28" s="196"/>
      <c r="AR28" s="196"/>
      <c r="AS28" s="197"/>
      <c r="AT28" s="381"/>
      <c r="AU28" s="381"/>
      <c r="AV28" s="381"/>
    </row>
    <row r="29" spans="1:48" x14ac:dyDescent="0.2">
      <c r="A29" s="418"/>
      <c r="B29" s="387"/>
      <c r="C29" s="387"/>
      <c r="D29" s="387"/>
      <c r="E29" s="390"/>
      <c r="F29" s="387"/>
      <c r="G29" s="360"/>
      <c r="H29" s="360"/>
      <c r="I29" s="360"/>
      <c r="J29" s="360"/>
      <c r="K29" s="360"/>
      <c r="L29" s="360"/>
      <c r="M29" s="360"/>
      <c r="N29" s="360"/>
      <c r="O29" s="360"/>
      <c r="P29" s="360"/>
      <c r="Q29" s="360"/>
      <c r="R29" s="381"/>
      <c r="S29" s="367"/>
      <c r="T29" s="364"/>
      <c r="U29" s="353"/>
      <c r="V29" s="364">
        <f>IF(NOT(ISERROR(MATCH(U29,_xlfn.ANCHORARRAY(E40),0))),T42&amp;"Por favor no seleccionar los criterios de impacto",U29)</f>
        <v>0</v>
      </c>
      <c r="W29" s="367"/>
      <c r="X29" s="364"/>
      <c r="Y29" s="362"/>
      <c r="Z29" s="214">
        <v>5</v>
      </c>
      <c r="AA29" s="187"/>
      <c r="AB29" s="189" t="str">
        <f t="shared" si="23"/>
        <v/>
      </c>
      <c r="AC29" s="190"/>
      <c r="AD29" s="190"/>
      <c r="AE29" s="191" t="str">
        <f t="shared" si="18"/>
        <v/>
      </c>
      <c r="AF29" s="190"/>
      <c r="AG29" s="190"/>
      <c r="AH29" s="190"/>
      <c r="AI29" s="192" t="str">
        <f t="shared" si="24"/>
        <v/>
      </c>
      <c r="AJ29" s="193" t="str">
        <f t="shared" si="2"/>
        <v/>
      </c>
      <c r="AK29" s="191" t="str">
        <f t="shared" si="19"/>
        <v/>
      </c>
      <c r="AL29" s="193" t="str">
        <f t="shared" si="4"/>
        <v/>
      </c>
      <c r="AM29" s="191" t="str">
        <f t="shared" si="13"/>
        <v/>
      </c>
      <c r="AN29" s="194" t="str">
        <f t="shared" ref="AN29:AN30" si="25">IFERROR(IF(OR(AND(AJ29="Muy Baja",AL29="Leve"),AND(AJ29="Muy Baja",AL29="Menor"),AND(AJ29="Baja",AL29="Leve")),"Bajo",IF(OR(AND(AJ29="Muy baja",AL29="Moderado"),AND(AJ29="Baja",AL29="Menor"),AND(AJ29="Baja",AL29="Moderado"),AND(AJ29="Media",AL29="Leve"),AND(AJ29="Media",AL29="Menor"),AND(AJ29="Media",AL29="Moderado"),AND(AJ29="Alta",AL29="Leve"),AND(AJ29="Alta",AL29="Menor")),"Moderado",IF(OR(AND(AJ29="Muy Baja",AL29="Mayor"),AND(AJ29="Baja",AL29="Mayor"),AND(AJ29="Media",AL29="Mayor"),AND(AJ29="Alta",AL29="Moderado"),AND(AJ29="Alta",AL29="Mayor"),AND(AJ29="Muy Alta",AL29="Leve"),AND(AJ29="Muy Alta",AL29="Menor"),AND(AJ29="Muy Alta",AL29="Moderado"),AND(AJ29="Muy Alta",AL29="Mayor")),"Alto",IF(OR(AND(AJ29="Muy Baja",AL29="Catastrófico"),AND(AJ29="Baja",AL29="Catastrófico"),AND(AJ29="Media",AL29="Catastrófico"),AND(AJ29="Alta",AL29="Catastrófico"),AND(AJ29="Muy Alta",AL29="Catastrófico")),"Extremo","")))),"")</f>
        <v/>
      </c>
      <c r="AO29" s="195"/>
      <c r="AP29" s="186"/>
      <c r="AQ29" s="196"/>
      <c r="AR29" s="196"/>
      <c r="AS29" s="197"/>
      <c r="AT29" s="381"/>
      <c r="AU29" s="381"/>
      <c r="AV29" s="381"/>
    </row>
    <row r="30" spans="1:48" x14ac:dyDescent="0.2">
      <c r="A30" s="418"/>
      <c r="B30" s="387"/>
      <c r="C30" s="387"/>
      <c r="D30" s="387"/>
      <c r="E30" s="390"/>
      <c r="F30" s="387"/>
      <c r="G30" s="373"/>
      <c r="H30" s="373"/>
      <c r="I30" s="373"/>
      <c r="J30" s="373"/>
      <c r="K30" s="373"/>
      <c r="L30" s="373"/>
      <c r="M30" s="373"/>
      <c r="N30" s="373"/>
      <c r="O30" s="373"/>
      <c r="P30" s="373"/>
      <c r="Q30" s="373"/>
      <c r="R30" s="381"/>
      <c r="S30" s="367"/>
      <c r="T30" s="364"/>
      <c r="U30" s="353"/>
      <c r="V30" s="364">
        <f>IF(NOT(ISERROR(MATCH(U30,_xlfn.ANCHORARRAY(E41),0))),T43&amp;"Por favor no seleccionar los criterios de impacto",U30)</f>
        <v>0</v>
      </c>
      <c r="W30" s="367"/>
      <c r="X30" s="364"/>
      <c r="Y30" s="362"/>
      <c r="Z30" s="214">
        <v>6</v>
      </c>
      <c r="AA30" s="187"/>
      <c r="AB30" s="189" t="str">
        <f t="shared" si="23"/>
        <v/>
      </c>
      <c r="AC30" s="190"/>
      <c r="AD30" s="190"/>
      <c r="AE30" s="191" t="str">
        <f t="shared" si="18"/>
        <v/>
      </c>
      <c r="AF30" s="190"/>
      <c r="AG30" s="190"/>
      <c r="AH30" s="190"/>
      <c r="AI30" s="192" t="str">
        <f t="shared" si="24"/>
        <v/>
      </c>
      <c r="AJ30" s="193" t="str">
        <f t="shared" si="2"/>
        <v/>
      </c>
      <c r="AK30" s="191" t="str">
        <f t="shared" si="19"/>
        <v/>
      </c>
      <c r="AL30" s="193" t="str">
        <f t="shared" si="4"/>
        <v/>
      </c>
      <c r="AM30" s="191" t="str">
        <f t="shared" si="13"/>
        <v/>
      </c>
      <c r="AN30" s="194" t="str">
        <f t="shared" si="25"/>
        <v/>
      </c>
      <c r="AO30" s="195"/>
      <c r="AP30" s="186"/>
      <c r="AQ30" s="196"/>
      <c r="AR30" s="196"/>
      <c r="AS30" s="197"/>
      <c r="AT30" s="381"/>
      <c r="AU30" s="381"/>
      <c r="AV30" s="381"/>
    </row>
    <row r="31" spans="1:48" x14ac:dyDescent="0.2">
      <c r="A31" s="418">
        <v>4</v>
      </c>
      <c r="B31" s="387"/>
      <c r="C31" s="387"/>
      <c r="D31" s="387"/>
      <c r="E31" s="387"/>
      <c r="F31" s="387"/>
      <c r="G31" s="392"/>
      <c r="H31" s="392"/>
      <c r="I31" s="392"/>
      <c r="J31" s="392"/>
      <c r="K31" s="392"/>
      <c r="L31" s="392"/>
      <c r="M31" s="392"/>
      <c r="N31" s="392"/>
      <c r="O31" s="392"/>
      <c r="P31" s="392"/>
      <c r="Q31" s="392"/>
      <c r="R31" s="381"/>
      <c r="S31" s="367" t="str">
        <f>IF(R31&lt;=0,"",IF(R31&lt;=2,"Muy Baja",IF(R31&lt;=24,"Baja",IF(R31&lt;=500,"Media",IF(R31&lt;=5000,"Alta","Muy Alta")))))</f>
        <v/>
      </c>
      <c r="T31" s="364" t="str">
        <f>IF(S31="","",IF(S31="Muy Baja",0.2,IF(S31="Baja",0.4,IF(S31="Media",0.6,IF(S31="Alta",0.8,IF(S31="Muy Alta",1,))))))</f>
        <v/>
      </c>
      <c r="U31" s="353"/>
      <c r="V31" s="364">
        <f>IF(NOT(ISERROR(MATCH(U31,'Tabla Impacto'!$B$222:$B$224,0))),'Tabla Impacto'!$F$224&amp;"Por favor no seleccionar los criterios de impacto(Afectación Económica o presupuestal y Pérdida Reputacional)",U31)</f>
        <v>0</v>
      </c>
      <c r="W31" s="367" t="str">
        <f>IF(OR(V31='Tabla Impacto'!$C$12,V31='Tabla Impacto'!$D$12),"Leve",IF(OR(V31='Tabla Impacto'!$C$13,V31='Tabla Impacto'!$D$13),"Menor",IF(OR(V31='Tabla Impacto'!$C$14,V31='Tabla Impacto'!$D$14),"Moderado",IF(OR(V31='Tabla Impacto'!$C$15,V31='Tabla Impacto'!$D$15),"Mayor",IF(OR(V31='Tabla Impacto'!$C$16,V31='Tabla Impacto'!$D$16),"Catastrófico","")))))</f>
        <v/>
      </c>
      <c r="X31" s="364" t="str">
        <f>IF(W31="","",IF(W31="Leve",0.2,IF(W31="Menor",0.4,IF(W31="Moderado",0.6,IF(W31="Mayor",0.8,IF(W31="Catastrófico",1,))))))</f>
        <v/>
      </c>
      <c r="Y31" s="362" t="str">
        <f>IF(OR(AND(S31="Muy Baja",W31="Leve"),AND(S31="Muy Baja",W31="Menor"),AND(S31="Baja",W31="Leve")),"Bajo",IF(OR(AND(S31="Muy baja",W31="Moderado"),AND(S31="Baja",W31="Menor"),AND(S31="Baja",W31="Moderado"),AND(S31="Media",W31="Leve"),AND(S31="Media",W31="Menor"),AND(S31="Media",W31="Moderado"),AND(S31="Alta",W31="Leve"),AND(S31="Alta",W31="Menor")),"Moderado",IF(OR(AND(S31="Muy Baja",W31="Mayor"),AND(S31="Baja",W31="Mayor"),AND(S31="Media",W31="Mayor"),AND(S31="Alta",W31="Moderado"),AND(S31="Alta",W31="Mayor"),AND(S31="Muy Alta",W31="Leve"),AND(S31="Muy Alta",W31="Menor"),AND(S31="Muy Alta",W31="Moderado"),AND(S31="Muy Alta",W31="Mayor")),"Alto",IF(OR(AND(S31="Muy Baja",W31="Catastrófico"),AND(S31="Baja",W31="Catastrófico"),AND(S31="Media",W31="Catastrófico"),AND(S31="Alta",W31="Catastrófico"),AND(S31="Muy Alta",W31="Catastrófico")),"Extremo",""))))</f>
        <v/>
      </c>
      <c r="Z31" s="214">
        <v>1</v>
      </c>
      <c r="AA31" s="187"/>
      <c r="AB31" s="189" t="str">
        <f>IF(OR(AC31="Preventivo",AC31="Detectivo"),"Probabilidad",IF(AC31="Correctivo","Impacto",""))</f>
        <v/>
      </c>
      <c r="AC31" s="190"/>
      <c r="AD31" s="190"/>
      <c r="AE31" s="191" t="str">
        <f>IF(AND(AC31="Preventivo",AD31="Automático"),"50%",IF(AND(AC31="Preventivo",AD31="Manual"),"40%",IF(AND(AC31="Detectivo",AD31="Automático"),"40%",IF(AND(AC31="Detectivo",AD31="Manual"),"30%",IF(AND(AC31="Correctivo",AD31="Automático"),"35%",IF(AND(AC31="Correctivo",AD31="Manual"),"25%",""))))))</f>
        <v/>
      </c>
      <c r="AF31" s="190"/>
      <c r="AG31" s="190"/>
      <c r="AH31" s="190"/>
      <c r="AI31" s="192" t="str">
        <f>IFERROR(IF(AB31="Probabilidad",(T31-(+T31*AE31)),IF(AB31="Impacto",T31,"")),"")</f>
        <v/>
      </c>
      <c r="AJ31" s="193" t="str">
        <f>IFERROR(IF(AI31="","",IF(AI31&lt;=0.2,"Muy Baja",IF(AI31&lt;=0.4,"Baja",IF(AI31&lt;=0.6,"Media",IF(AI31&lt;=0.8,"Alta","Muy Alta"))))),"")</f>
        <v/>
      </c>
      <c r="AK31" s="191" t="str">
        <f>+AI31</f>
        <v/>
      </c>
      <c r="AL31" s="193" t="str">
        <f>IFERROR(IF(AM31="","",IF(AM31&lt;=0.2,"Leve",IF(AM31&lt;=0.4,"Menor",IF(AM31&lt;=0.6,"Moderado",IF(AM31&lt;=0.8,"Mayor","Catastrófico"))))),"")</f>
        <v/>
      </c>
      <c r="AM31" s="191" t="str">
        <f t="shared" ref="AM31" si="26">IFERROR(IF(AB31="Impacto",(X31-(+X31*AE31)),IF(AB31="Probabilidad",X31,"")),"")</f>
        <v/>
      </c>
      <c r="AN31" s="194" t="str">
        <f>IFERROR(IF(OR(AND(AJ31="Muy Baja",AL31="Leve"),AND(AJ31="Muy Baja",AL31="Menor"),AND(AJ31="Baja",AL31="Leve")),"Bajo",IF(OR(AND(AJ31="Muy baja",AL31="Moderado"),AND(AJ31="Baja",AL31="Menor"),AND(AJ31="Baja",AL31="Moderado"),AND(AJ31="Media",AL31="Leve"),AND(AJ31="Media",AL31="Menor"),AND(AJ31="Media",AL31="Moderado"),AND(AJ31="Alta",AL31="Leve"),AND(AJ31="Alta",AL31="Menor")),"Moderado",IF(OR(AND(AJ31="Muy Baja",AL31="Mayor"),AND(AJ31="Baja",AL31="Mayor"),AND(AJ31="Media",AL31="Mayor"),AND(AJ31="Alta",AL31="Moderado"),AND(AJ31="Alta",AL31="Mayor"),AND(AJ31="Muy Alta",AL31="Leve"),AND(AJ31="Muy Alta",AL31="Menor"),AND(AJ31="Muy Alta",AL31="Moderado"),AND(AJ31="Muy Alta",AL31="Mayor")),"Alto",IF(OR(AND(AJ31="Muy Baja",AL31="Catastrófico"),AND(AJ31="Baja",AL31="Catastrófico"),AND(AJ31="Media",AL31="Catastrófico"),AND(AJ31="Alta",AL31="Catastrófico"),AND(AJ31="Muy Alta",AL31="Catastrófico")),"Extremo","")))),"")</f>
        <v/>
      </c>
      <c r="AO31" s="195"/>
      <c r="AP31" s="186"/>
      <c r="AQ31" s="196"/>
      <c r="AR31" s="196"/>
      <c r="AS31" s="197"/>
      <c r="AT31" s="381"/>
      <c r="AU31" s="381"/>
      <c r="AV31" s="381"/>
    </row>
    <row r="32" spans="1:48" x14ac:dyDescent="0.2">
      <c r="A32" s="418"/>
      <c r="B32" s="387"/>
      <c r="C32" s="387"/>
      <c r="D32" s="387"/>
      <c r="E32" s="387"/>
      <c r="F32" s="387"/>
      <c r="G32" s="360"/>
      <c r="H32" s="360"/>
      <c r="I32" s="360"/>
      <c r="J32" s="360"/>
      <c r="K32" s="360"/>
      <c r="L32" s="360"/>
      <c r="M32" s="360"/>
      <c r="N32" s="360"/>
      <c r="O32" s="360"/>
      <c r="P32" s="360"/>
      <c r="Q32" s="360"/>
      <c r="R32" s="381"/>
      <c r="S32" s="367"/>
      <c r="T32" s="364"/>
      <c r="U32" s="353"/>
      <c r="V32" s="364">
        <f>IF(NOT(ISERROR(MATCH(U32,_xlfn.ANCHORARRAY(E43),0))),T45&amp;"Por favor no seleccionar los criterios de impacto",U32)</f>
        <v>0</v>
      </c>
      <c r="W32" s="367"/>
      <c r="X32" s="364"/>
      <c r="Y32" s="362"/>
      <c r="Z32" s="214">
        <v>2</v>
      </c>
      <c r="AA32" s="187"/>
      <c r="AB32" s="189" t="str">
        <f>IF(OR(AC32="Preventivo",AC32="Detectivo"),"Probabilidad",IF(AC32="Correctivo","Impacto",""))</f>
        <v/>
      </c>
      <c r="AC32" s="190"/>
      <c r="AD32" s="190"/>
      <c r="AE32" s="191" t="str">
        <f t="shared" ref="AE32:AE36" si="27">IF(AND(AC32="Preventivo",AD32="Automático"),"50%",IF(AND(AC32="Preventivo",AD32="Manual"),"40%",IF(AND(AC32="Detectivo",AD32="Automático"),"40%",IF(AND(AC32="Detectivo",AD32="Manual"),"30%",IF(AND(AC32="Correctivo",AD32="Automático"),"35%",IF(AND(AC32="Correctivo",AD32="Manual"),"25%",""))))))</f>
        <v/>
      </c>
      <c r="AF32" s="190"/>
      <c r="AG32" s="190"/>
      <c r="AH32" s="190"/>
      <c r="AI32" s="192" t="str">
        <f>IFERROR(IF(AND(AB31="Probabilidad",AB32="Probabilidad"),(AK31-(+AK31*AE32)),IF(AB32="Probabilidad",(T31-(+T31*AE32)),IF(AB32="Impacto",AK31,""))),"")</f>
        <v/>
      </c>
      <c r="AJ32" s="193" t="str">
        <f t="shared" si="2"/>
        <v/>
      </c>
      <c r="AK32" s="191" t="str">
        <f t="shared" ref="AK32:AK36" si="28">+AI32</f>
        <v/>
      </c>
      <c r="AL32" s="193" t="str">
        <f t="shared" si="4"/>
        <v/>
      </c>
      <c r="AM32" s="191" t="str">
        <f t="shared" ref="AM32" si="29">IFERROR(IF(AND(AB31="Impacto",AB32="Impacto"),(AM31-(+AM31*AE32)),IF(AB32="Impacto",($X$13-(+$X$13*AE32)),IF(AB32="Probabilidad",AM31,""))),"")</f>
        <v/>
      </c>
      <c r="AN32" s="194" t="str">
        <f t="shared" ref="AN32:AN33" si="30">IFERROR(IF(OR(AND(AJ32="Muy Baja",AL32="Leve"),AND(AJ32="Muy Baja",AL32="Menor"),AND(AJ32="Baja",AL32="Leve")),"Bajo",IF(OR(AND(AJ32="Muy baja",AL32="Moderado"),AND(AJ32="Baja",AL32="Menor"),AND(AJ32="Baja",AL32="Moderado"),AND(AJ32="Media",AL32="Leve"),AND(AJ32="Media",AL32="Menor"),AND(AJ32="Media",AL32="Moderado"),AND(AJ32="Alta",AL32="Leve"),AND(AJ32="Alta",AL32="Menor")),"Moderado",IF(OR(AND(AJ32="Muy Baja",AL32="Mayor"),AND(AJ32="Baja",AL32="Mayor"),AND(AJ32="Media",AL32="Mayor"),AND(AJ32="Alta",AL32="Moderado"),AND(AJ32="Alta",AL32="Mayor"),AND(AJ32="Muy Alta",AL32="Leve"),AND(AJ32="Muy Alta",AL32="Menor"),AND(AJ32="Muy Alta",AL32="Moderado"),AND(AJ32="Muy Alta",AL32="Mayor")),"Alto",IF(OR(AND(AJ32="Muy Baja",AL32="Catastrófico"),AND(AJ32="Baja",AL32="Catastrófico"),AND(AJ32="Media",AL32="Catastrófico"),AND(AJ32="Alta",AL32="Catastrófico"),AND(AJ32="Muy Alta",AL32="Catastrófico")),"Extremo","")))),"")</f>
        <v/>
      </c>
      <c r="AO32" s="195"/>
      <c r="AP32" s="186"/>
      <c r="AQ32" s="196"/>
      <c r="AR32" s="196"/>
      <c r="AS32" s="197"/>
      <c r="AT32" s="381"/>
      <c r="AU32" s="381"/>
      <c r="AV32" s="381"/>
    </row>
    <row r="33" spans="1:48" x14ac:dyDescent="0.2">
      <c r="A33" s="418"/>
      <c r="B33" s="387"/>
      <c r="C33" s="387"/>
      <c r="D33" s="387"/>
      <c r="E33" s="387"/>
      <c r="F33" s="387"/>
      <c r="G33" s="360"/>
      <c r="H33" s="360"/>
      <c r="I33" s="360"/>
      <c r="J33" s="360"/>
      <c r="K33" s="360"/>
      <c r="L33" s="360"/>
      <c r="M33" s="360"/>
      <c r="N33" s="360"/>
      <c r="O33" s="360"/>
      <c r="P33" s="360"/>
      <c r="Q33" s="360"/>
      <c r="R33" s="381"/>
      <c r="S33" s="367"/>
      <c r="T33" s="364"/>
      <c r="U33" s="353"/>
      <c r="V33" s="364">
        <f>IF(NOT(ISERROR(MATCH(U33,_xlfn.ANCHORARRAY(E44),0))),T46&amp;"Por favor no seleccionar los criterios de impacto",U33)</f>
        <v>0</v>
      </c>
      <c r="W33" s="367"/>
      <c r="X33" s="364"/>
      <c r="Y33" s="362"/>
      <c r="Z33" s="214">
        <v>3</v>
      </c>
      <c r="AA33" s="188"/>
      <c r="AB33" s="189" t="str">
        <f>IF(OR(AC33="Preventivo",AC33="Detectivo"),"Probabilidad",IF(AC33="Correctivo","Impacto",""))</f>
        <v/>
      </c>
      <c r="AC33" s="190"/>
      <c r="AD33" s="190"/>
      <c r="AE33" s="191" t="str">
        <f t="shared" si="27"/>
        <v/>
      </c>
      <c r="AF33" s="190"/>
      <c r="AG33" s="190"/>
      <c r="AH33" s="190"/>
      <c r="AI33" s="192" t="str">
        <f>IFERROR(IF(AND(AB32="Probabilidad",AB33="Probabilidad"),(AK32-(+AK32*AE33)),IF(AND(AB32="Impacto",AB33="Probabilidad"),(AK31-(+AK31*AE33)),IF(AB33="Impacto",AK32,""))),"")</f>
        <v/>
      </c>
      <c r="AJ33" s="193" t="str">
        <f t="shared" si="2"/>
        <v/>
      </c>
      <c r="AK33" s="191" t="str">
        <f t="shared" si="28"/>
        <v/>
      </c>
      <c r="AL33" s="193" t="str">
        <f t="shared" si="4"/>
        <v/>
      </c>
      <c r="AM33" s="191" t="str">
        <f t="shared" ref="AM33" si="31">IFERROR(IF(AND(AB32="Impacto",AB33="Impacto"),(AM32-(+AM32*AE33)),IF(AND(AB32="Probabilidad",AB33="Impacto"),(AM31-(+AM31*AE33)),IF(AB33="Probabilidad",AM32,""))),"")</f>
        <v/>
      </c>
      <c r="AN33" s="194" t="str">
        <f t="shared" si="30"/>
        <v/>
      </c>
      <c r="AO33" s="195"/>
      <c r="AP33" s="186"/>
      <c r="AQ33" s="196"/>
      <c r="AR33" s="196"/>
      <c r="AS33" s="197"/>
      <c r="AT33" s="381"/>
      <c r="AU33" s="381"/>
      <c r="AV33" s="381"/>
    </row>
    <row r="34" spans="1:48" x14ac:dyDescent="0.2">
      <c r="A34" s="418"/>
      <c r="B34" s="387"/>
      <c r="C34" s="387"/>
      <c r="D34" s="387"/>
      <c r="E34" s="387"/>
      <c r="F34" s="387"/>
      <c r="G34" s="360"/>
      <c r="H34" s="360"/>
      <c r="I34" s="360"/>
      <c r="J34" s="360"/>
      <c r="K34" s="360"/>
      <c r="L34" s="360"/>
      <c r="M34" s="360"/>
      <c r="N34" s="360"/>
      <c r="O34" s="360"/>
      <c r="P34" s="360"/>
      <c r="Q34" s="360"/>
      <c r="R34" s="381"/>
      <c r="S34" s="367"/>
      <c r="T34" s="364"/>
      <c r="U34" s="353"/>
      <c r="V34" s="364">
        <f>IF(NOT(ISERROR(MATCH(U34,_xlfn.ANCHORARRAY(E45),0))),T47&amp;"Por favor no seleccionar los criterios de impacto",U34)</f>
        <v>0</v>
      </c>
      <c r="W34" s="367"/>
      <c r="X34" s="364"/>
      <c r="Y34" s="362"/>
      <c r="Z34" s="214">
        <v>4</v>
      </c>
      <c r="AA34" s="187"/>
      <c r="AB34" s="189" t="str">
        <f t="shared" ref="AB34:AB36" si="32">IF(OR(AC34="Preventivo",AC34="Detectivo"),"Probabilidad",IF(AC34="Correctivo","Impacto",""))</f>
        <v/>
      </c>
      <c r="AC34" s="190"/>
      <c r="AD34" s="190"/>
      <c r="AE34" s="191" t="str">
        <f t="shared" si="27"/>
        <v/>
      </c>
      <c r="AF34" s="190"/>
      <c r="AG34" s="190"/>
      <c r="AH34" s="190"/>
      <c r="AI34" s="192" t="str">
        <f t="shared" ref="AI34:AI36" si="33">IFERROR(IF(AND(AB33="Probabilidad",AB34="Probabilidad"),(AK33-(+AK33*AE34)),IF(AND(AB33="Impacto",AB34="Probabilidad"),(AK32-(+AK32*AE34)),IF(AB34="Impacto",AK33,""))),"")</f>
        <v/>
      </c>
      <c r="AJ34" s="193" t="str">
        <f t="shared" si="2"/>
        <v/>
      </c>
      <c r="AK34" s="191" t="str">
        <f t="shared" si="28"/>
        <v/>
      </c>
      <c r="AL34" s="193" t="str">
        <f t="shared" si="4"/>
        <v/>
      </c>
      <c r="AM34" s="191" t="str">
        <f t="shared" si="13"/>
        <v/>
      </c>
      <c r="AN34" s="194" t="str">
        <f>IFERROR(IF(OR(AND(AJ34="Muy Baja",AL34="Leve"),AND(AJ34="Muy Baja",AL34="Menor"),AND(AJ34="Baja",AL34="Leve")),"Bajo",IF(OR(AND(AJ34="Muy baja",AL34="Moderado"),AND(AJ34="Baja",AL34="Menor"),AND(AJ34="Baja",AL34="Moderado"),AND(AJ34="Media",AL34="Leve"),AND(AJ34="Media",AL34="Menor"),AND(AJ34="Media",AL34="Moderado"),AND(AJ34="Alta",AL34="Leve"),AND(AJ34="Alta",AL34="Menor")),"Moderado",IF(OR(AND(AJ34="Muy Baja",AL34="Mayor"),AND(AJ34="Baja",AL34="Mayor"),AND(AJ34="Media",AL34="Mayor"),AND(AJ34="Alta",AL34="Moderado"),AND(AJ34="Alta",AL34="Mayor"),AND(AJ34="Muy Alta",AL34="Leve"),AND(AJ34="Muy Alta",AL34="Menor"),AND(AJ34="Muy Alta",AL34="Moderado"),AND(AJ34="Muy Alta",AL34="Mayor")),"Alto",IF(OR(AND(AJ34="Muy Baja",AL34="Catastrófico"),AND(AJ34="Baja",AL34="Catastrófico"),AND(AJ34="Media",AL34="Catastrófico"),AND(AJ34="Alta",AL34="Catastrófico"),AND(AJ34="Muy Alta",AL34="Catastrófico")),"Extremo","")))),"")</f>
        <v/>
      </c>
      <c r="AO34" s="195"/>
      <c r="AP34" s="186"/>
      <c r="AQ34" s="196"/>
      <c r="AR34" s="196"/>
      <c r="AS34" s="197"/>
      <c r="AT34" s="381"/>
      <c r="AU34" s="381"/>
      <c r="AV34" s="381"/>
    </row>
    <row r="35" spans="1:48" x14ac:dyDescent="0.2">
      <c r="A35" s="418"/>
      <c r="B35" s="387"/>
      <c r="C35" s="387"/>
      <c r="D35" s="387"/>
      <c r="E35" s="387"/>
      <c r="F35" s="387"/>
      <c r="G35" s="360"/>
      <c r="H35" s="360"/>
      <c r="I35" s="360"/>
      <c r="J35" s="360"/>
      <c r="K35" s="360"/>
      <c r="L35" s="360"/>
      <c r="M35" s="360"/>
      <c r="N35" s="360"/>
      <c r="O35" s="360"/>
      <c r="P35" s="360"/>
      <c r="Q35" s="360"/>
      <c r="R35" s="381"/>
      <c r="S35" s="367"/>
      <c r="T35" s="364"/>
      <c r="U35" s="353"/>
      <c r="V35" s="364">
        <f>IF(NOT(ISERROR(MATCH(U35,_xlfn.ANCHORARRAY(E46),0))),T48&amp;"Por favor no seleccionar los criterios de impacto",U35)</f>
        <v>0</v>
      </c>
      <c r="W35" s="367"/>
      <c r="X35" s="364"/>
      <c r="Y35" s="362"/>
      <c r="Z35" s="214">
        <v>5</v>
      </c>
      <c r="AA35" s="187"/>
      <c r="AB35" s="189" t="str">
        <f t="shared" si="32"/>
        <v/>
      </c>
      <c r="AC35" s="190"/>
      <c r="AD35" s="190"/>
      <c r="AE35" s="191" t="str">
        <f t="shared" si="27"/>
        <v/>
      </c>
      <c r="AF35" s="190"/>
      <c r="AG35" s="190"/>
      <c r="AH35" s="190"/>
      <c r="AI35" s="192" t="str">
        <f t="shared" si="33"/>
        <v/>
      </c>
      <c r="AJ35" s="193" t="str">
        <f>IFERROR(IF(AI35="","",IF(AI35&lt;=0.2,"Muy Baja",IF(AI35&lt;=0.4,"Baja",IF(AI35&lt;=0.6,"Media",IF(AI35&lt;=0.8,"Alta","Muy Alta"))))),"")</f>
        <v/>
      </c>
      <c r="AK35" s="191" t="str">
        <f t="shared" si="28"/>
        <v/>
      </c>
      <c r="AL35" s="193" t="str">
        <f t="shared" si="4"/>
        <v/>
      </c>
      <c r="AM35" s="191" t="str">
        <f t="shared" si="13"/>
        <v/>
      </c>
      <c r="AN35" s="194" t="str">
        <f t="shared" ref="AN35:AN36" si="34">IFERROR(IF(OR(AND(AJ35="Muy Baja",AL35="Leve"),AND(AJ35="Muy Baja",AL35="Menor"),AND(AJ35="Baja",AL35="Leve")),"Bajo",IF(OR(AND(AJ35="Muy baja",AL35="Moderado"),AND(AJ35="Baja",AL35="Menor"),AND(AJ35="Baja",AL35="Moderado"),AND(AJ35="Media",AL35="Leve"),AND(AJ35="Media",AL35="Menor"),AND(AJ35="Media",AL35="Moderado"),AND(AJ35="Alta",AL35="Leve"),AND(AJ35="Alta",AL35="Menor")),"Moderado",IF(OR(AND(AJ35="Muy Baja",AL35="Mayor"),AND(AJ35="Baja",AL35="Mayor"),AND(AJ35="Media",AL35="Mayor"),AND(AJ35="Alta",AL35="Moderado"),AND(AJ35="Alta",AL35="Mayor"),AND(AJ35="Muy Alta",AL35="Leve"),AND(AJ35="Muy Alta",AL35="Menor"),AND(AJ35="Muy Alta",AL35="Moderado"),AND(AJ35="Muy Alta",AL35="Mayor")),"Alto",IF(OR(AND(AJ35="Muy Baja",AL35="Catastrófico"),AND(AJ35="Baja",AL35="Catastrófico"),AND(AJ35="Media",AL35="Catastrófico"),AND(AJ35="Alta",AL35="Catastrófico"),AND(AJ35="Muy Alta",AL35="Catastrófico")),"Extremo","")))),"")</f>
        <v/>
      </c>
      <c r="AO35" s="195"/>
      <c r="AP35" s="186"/>
      <c r="AQ35" s="196"/>
      <c r="AR35" s="196"/>
      <c r="AS35" s="197"/>
      <c r="AT35" s="381"/>
      <c r="AU35" s="381"/>
      <c r="AV35" s="381"/>
    </row>
    <row r="36" spans="1:48" x14ac:dyDescent="0.2">
      <c r="A36" s="418"/>
      <c r="B36" s="387"/>
      <c r="C36" s="387"/>
      <c r="D36" s="387"/>
      <c r="E36" s="387"/>
      <c r="F36" s="387"/>
      <c r="G36" s="373"/>
      <c r="H36" s="373"/>
      <c r="I36" s="373"/>
      <c r="J36" s="373"/>
      <c r="K36" s="373"/>
      <c r="L36" s="373"/>
      <c r="M36" s="373"/>
      <c r="N36" s="373"/>
      <c r="O36" s="373"/>
      <c r="P36" s="373"/>
      <c r="Q36" s="373"/>
      <c r="R36" s="381"/>
      <c r="S36" s="367"/>
      <c r="T36" s="364"/>
      <c r="U36" s="353"/>
      <c r="V36" s="364">
        <f>IF(NOT(ISERROR(MATCH(U36,_xlfn.ANCHORARRAY(E47),0))),T49&amp;"Por favor no seleccionar los criterios de impacto",U36)</f>
        <v>0</v>
      </c>
      <c r="W36" s="367"/>
      <c r="X36" s="364"/>
      <c r="Y36" s="362"/>
      <c r="Z36" s="214">
        <v>6</v>
      </c>
      <c r="AA36" s="187"/>
      <c r="AB36" s="189" t="str">
        <f t="shared" si="32"/>
        <v/>
      </c>
      <c r="AC36" s="190"/>
      <c r="AD36" s="190"/>
      <c r="AE36" s="191" t="str">
        <f t="shared" si="27"/>
        <v/>
      </c>
      <c r="AF36" s="190"/>
      <c r="AG36" s="190"/>
      <c r="AH36" s="190"/>
      <c r="AI36" s="192" t="str">
        <f t="shared" si="33"/>
        <v/>
      </c>
      <c r="AJ36" s="193" t="str">
        <f t="shared" si="2"/>
        <v/>
      </c>
      <c r="AK36" s="191" t="str">
        <f t="shared" si="28"/>
        <v/>
      </c>
      <c r="AL36" s="193" t="str">
        <f t="shared" si="4"/>
        <v/>
      </c>
      <c r="AM36" s="191" t="str">
        <f t="shared" si="13"/>
        <v/>
      </c>
      <c r="AN36" s="194" t="str">
        <f t="shared" si="34"/>
        <v/>
      </c>
      <c r="AO36" s="195"/>
      <c r="AP36" s="186"/>
      <c r="AQ36" s="196"/>
      <c r="AR36" s="196"/>
      <c r="AS36" s="197"/>
      <c r="AT36" s="381"/>
      <c r="AU36" s="381"/>
      <c r="AV36" s="381"/>
    </row>
    <row r="37" spans="1:48" x14ac:dyDescent="0.2">
      <c r="A37" s="418">
        <v>5</v>
      </c>
      <c r="B37" s="387"/>
      <c r="C37" s="387"/>
      <c r="D37" s="387"/>
      <c r="E37" s="387"/>
      <c r="F37" s="387"/>
      <c r="G37" s="392"/>
      <c r="H37" s="392"/>
      <c r="I37" s="392"/>
      <c r="J37" s="392"/>
      <c r="K37" s="392"/>
      <c r="L37" s="392"/>
      <c r="M37" s="392"/>
      <c r="N37" s="392"/>
      <c r="O37" s="392"/>
      <c r="P37" s="392"/>
      <c r="Q37" s="392"/>
      <c r="R37" s="381"/>
      <c r="S37" s="367" t="str">
        <f>IF(R37&lt;=0,"",IF(R37&lt;=2,"Muy Baja",IF(R37&lt;=24,"Baja",IF(R37&lt;=500,"Media",IF(R37&lt;=5000,"Alta","Muy Alta")))))</f>
        <v/>
      </c>
      <c r="T37" s="364" t="str">
        <f>IF(S37="","",IF(S37="Muy Baja",0.2,IF(S37="Baja",0.4,IF(S37="Media",0.6,IF(S37="Alta",0.8,IF(S37="Muy Alta",1,))))))</f>
        <v/>
      </c>
      <c r="U37" s="353"/>
      <c r="V37" s="364">
        <f>IF(NOT(ISERROR(MATCH(U37,'Tabla Impacto'!$B$222:$B$224,0))),'Tabla Impacto'!$F$224&amp;"Por favor no seleccionar los criterios de impacto(Afectación Económica o presupuestal y Pérdida Reputacional)",U37)</f>
        <v>0</v>
      </c>
      <c r="W37" s="367" t="str">
        <f>IF(OR(V37='Tabla Impacto'!$C$12,V37='Tabla Impacto'!$D$12),"Leve",IF(OR(V37='Tabla Impacto'!$C$13,V37='Tabla Impacto'!$D$13),"Menor",IF(OR(V37='Tabla Impacto'!$C$14,V37='Tabla Impacto'!$D$14),"Moderado",IF(OR(V37='Tabla Impacto'!$C$15,V37='Tabla Impacto'!$D$15),"Mayor",IF(OR(V37='Tabla Impacto'!$C$16,V37='Tabla Impacto'!$D$16),"Catastrófico","")))))</f>
        <v/>
      </c>
      <c r="X37" s="364" t="str">
        <f>IF(W37="","",IF(W37="Leve",0.2,IF(W37="Menor",0.4,IF(W37="Moderado",0.6,IF(W37="Mayor",0.8,IF(W37="Catastrófico",1,))))))</f>
        <v/>
      </c>
      <c r="Y37" s="362" t="str">
        <f>IF(OR(AND(S37="Muy Baja",W37="Leve"),AND(S37="Muy Baja",W37="Menor"),AND(S37="Baja",W37="Leve")),"Bajo",IF(OR(AND(S37="Muy baja",W37="Moderado"),AND(S37="Baja",W37="Menor"),AND(S37="Baja",W37="Moderado"),AND(S37="Media",W37="Leve"),AND(S37="Media",W37="Menor"),AND(S37="Media",W37="Moderado"),AND(S37="Alta",W37="Leve"),AND(S37="Alta",W37="Menor")),"Moderado",IF(OR(AND(S37="Muy Baja",W37="Mayor"),AND(S37="Baja",W37="Mayor"),AND(S37="Media",W37="Mayor"),AND(S37="Alta",W37="Moderado"),AND(S37="Alta",W37="Mayor"),AND(S37="Muy Alta",W37="Leve"),AND(S37="Muy Alta",W37="Menor"),AND(S37="Muy Alta",W37="Moderado"),AND(S37="Muy Alta",W37="Mayor")),"Alto",IF(OR(AND(S37="Muy Baja",W37="Catastrófico"),AND(S37="Baja",W37="Catastrófico"),AND(S37="Media",W37="Catastrófico"),AND(S37="Alta",W37="Catastrófico"),AND(S37="Muy Alta",W37="Catastrófico")),"Extremo",""))))</f>
        <v/>
      </c>
      <c r="Z37" s="214">
        <v>1</v>
      </c>
      <c r="AA37" s="187"/>
      <c r="AB37" s="189" t="str">
        <f>IF(OR(AC37="Preventivo",AC37="Detectivo"),"Probabilidad",IF(AC37="Correctivo","Impacto",""))</f>
        <v/>
      </c>
      <c r="AC37" s="190"/>
      <c r="AD37" s="190"/>
      <c r="AE37" s="191" t="str">
        <f>IF(AND(AC37="Preventivo",AD37="Automático"),"50%",IF(AND(AC37="Preventivo",AD37="Manual"),"40%",IF(AND(AC37="Detectivo",AD37="Automático"),"40%",IF(AND(AC37="Detectivo",AD37="Manual"),"30%",IF(AND(AC37="Correctivo",AD37="Automático"),"35%",IF(AND(AC37="Correctivo",AD37="Manual"),"25%",""))))))</f>
        <v/>
      </c>
      <c r="AF37" s="190"/>
      <c r="AG37" s="190"/>
      <c r="AH37" s="190"/>
      <c r="AI37" s="192" t="str">
        <f>IFERROR(IF(AB37="Probabilidad",(T37-(+T37*AE37)),IF(AB37="Impacto",T37,"")),"")</f>
        <v/>
      </c>
      <c r="AJ37" s="193" t="str">
        <f>IFERROR(IF(AI37="","",IF(AI37&lt;=0.2,"Muy Baja",IF(AI37&lt;=0.4,"Baja",IF(AI37&lt;=0.6,"Media",IF(AI37&lt;=0.8,"Alta","Muy Alta"))))),"")</f>
        <v/>
      </c>
      <c r="AK37" s="191" t="str">
        <f>+AI37</f>
        <v/>
      </c>
      <c r="AL37" s="193" t="str">
        <f>IFERROR(IF(AM37="","",IF(AM37&lt;=0.2,"Leve",IF(AM37&lt;=0.4,"Menor",IF(AM37&lt;=0.6,"Moderado",IF(AM37&lt;=0.8,"Mayor","Catastrófico"))))),"")</f>
        <v/>
      </c>
      <c r="AM37" s="191" t="str">
        <f t="shared" ref="AM37" si="35">IFERROR(IF(AB37="Impacto",(X37-(+X37*AE37)),IF(AB37="Probabilidad",X37,"")),"")</f>
        <v/>
      </c>
      <c r="AN37" s="194" t="str">
        <f>IFERROR(IF(OR(AND(AJ37="Muy Baja",AL37="Leve"),AND(AJ37="Muy Baja",AL37="Menor"),AND(AJ37="Baja",AL37="Leve")),"Bajo",IF(OR(AND(AJ37="Muy baja",AL37="Moderado"),AND(AJ37="Baja",AL37="Menor"),AND(AJ37="Baja",AL37="Moderado"),AND(AJ37="Media",AL37="Leve"),AND(AJ37="Media",AL37="Menor"),AND(AJ37="Media",AL37="Moderado"),AND(AJ37="Alta",AL37="Leve"),AND(AJ37="Alta",AL37="Menor")),"Moderado",IF(OR(AND(AJ37="Muy Baja",AL37="Mayor"),AND(AJ37="Baja",AL37="Mayor"),AND(AJ37="Media",AL37="Mayor"),AND(AJ37="Alta",AL37="Moderado"),AND(AJ37="Alta",AL37="Mayor"),AND(AJ37="Muy Alta",AL37="Leve"),AND(AJ37="Muy Alta",AL37="Menor"),AND(AJ37="Muy Alta",AL37="Moderado"),AND(AJ37="Muy Alta",AL37="Mayor")),"Alto",IF(OR(AND(AJ37="Muy Baja",AL37="Catastrófico"),AND(AJ37="Baja",AL37="Catastrófico"),AND(AJ37="Media",AL37="Catastrófico"),AND(AJ37="Alta",AL37="Catastrófico"),AND(AJ37="Muy Alta",AL37="Catastrófico")),"Extremo","")))),"")</f>
        <v/>
      </c>
      <c r="AO37" s="195"/>
      <c r="AP37" s="186"/>
      <c r="AQ37" s="196"/>
      <c r="AR37" s="196"/>
      <c r="AS37" s="197"/>
      <c r="AT37" s="381"/>
      <c r="AU37" s="381"/>
      <c r="AV37" s="381"/>
    </row>
    <row r="38" spans="1:48" x14ac:dyDescent="0.2">
      <c r="A38" s="418"/>
      <c r="B38" s="387"/>
      <c r="C38" s="387"/>
      <c r="D38" s="387"/>
      <c r="E38" s="387"/>
      <c r="F38" s="387"/>
      <c r="G38" s="360"/>
      <c r="H38" s="360"/>
      <c r="I38" s="360"/>
      <c r="J38" s="360"/>
      <c r="K38" s="360"/>
      <c r="L38" s="360"/>
      <c r="M38" s="360"/>
      <c r="N38" s="360"/>
      <c r="O38" s="360"/>
      <c r="P38" s="360"/>
      <c r="Q38" s="360"/>
      <c r="R38" s="381"/>
      <c r="S38" s="367"/>
      <c r="T38" s="364"/>
      <c r="U38" s="353"/>
      <c r="V38" s="364">
        <f>IF(NOT(ISERROR(MATCH(U38,_xlfn.ANCHORARRAY(E49),0))),T51&amp;"Por favor no seleccionar los criterios de impacto",U38)</f>
        <v>0</v>
      </c>
      <c r="W38" s="367"/>
      <c r="X38" s="364"/>
      <c r="Y38" s="362"/>
      <c r="Z38" s="214">
        <v>2</v>
      </c>
      <c r="AA38" s="187"/>
      <c r="AB38" s="189" t="str">
        <f>IF(OR(AC38="Preventivo",AC38="Detectivo"),"Probabilidad",IF(AC38="Correctivo","Impacto",""))</f>
        <v/>
      </c>
      <c r="AC38" s="190"/>
      <c r="AD38" s="190"/>
      <c r="AE38" s="191" t="str">
        <f t="shared" ref="AE38:AE42" si="36">IF(AND(AC38="Preventivo",AD38="Automático"),"50%",IF(AND(AC38="Preventivo",AD38="Manual"),"40%",IF(AND(AC38="Detectivo",AD38="Automático"),"40%",IF(AND(AC38="Detectivo",AD38="Manual"),"30%",IF(AND(AC38="Correctivo",AD38="Automático"),"35%",IF(AND(AC38="Correctivo",AD38="Manual"),"25%",""))))))</f>
        <v/>
      </c>
      <c r="AF38" s="190"/>
      <c r="AG38" s="190"/>
      <c r="AH38" s="190"/>
      <c r="AI38" s="192" t="str">
        <f>IFERROR(IF(AND(AB37="Probabilidad",AB38="Probabilidad"),(AK37-(+AK37*AE38)),IF(AB38="Probabilidad",(T37-(+T37*AE38)),IF(AB38="Impacto",AK37,""))),"")</f>
        <v/>
      </c>
      <c r="AJ38" s="193" t="str">
        <f t="shared" si="2"/>
        <v/>
      </c>
      <c r="AK38" s="191" t="str">
        <f t="shared" ref="AK38:AK42" si="37">+AI38</f>
        <v/>
      </c>
      <c r="AL38" s="193" t="str">
        <f t="shared" si="4"/>
        <v/>
      </c>
      <c r="AM38" s="191" t="str">
        <f t="shared" ref="AM38" si="38">IFERROR(IF(AND(AB37="Impacto",AB38="Impacto"),(AM37-(+AM37*AE38)),IF(AB38="Impacto",($X$13-(+$X$13*AE38)),IF(AB38="Probabilidad",AM37,""))),"")</f>
        <v/>
      </c>
      <c r="AN38" s="194" t="str">
        <f t="shared" ref="AN38:AN39" si="39">IFERROR(IF(OR(AND(AJ38="Muy Baja",AL38="Leve"),AND(AJ38="Muy Baja",AL38="Menor"),AND(AJ38="Baja",AL38="Leve")),"Bajo",IF(OR(AND(AJ38="Muy baja",AL38="Moderado"),AND(AJ38="Baja",AL38="Menor"),AND(AJ38="Baja",AL38="Moderado"),AND(AJ38="Media",AL38="Leve"),AND(AJ38="Media",AL38="Menor"),AND(AJ38="Media",AL38="Moderado"),AND(AJ38="Alta",AL38="Leve"),AND(AJ38="Alta",AL38="Menor")),"Moderado",IF(OR(AND(AJ38="Muy Baja",AL38="Mayor"),AND(AJ38="Baja",AL38="Mayor"),AND(AJ38="Media",AL38="Mayor"),AND(AJ38="Alta",AL38="Moderado"),AND(AJ38="Alta",AL38="Mayor"),AND(AJ38="Muy Alta",AL38="Leve"),AND(AJ38="Muy Alta",AL38="Menor"),AND(AJ38="Muy Alta",AL38="Moderado"),AND(AJ38="Muy Alta",AL38="Mayor")),"Alto",IF(OR(AND(AJ38="Muy Baja",AL38="Catastrófico"),AND(AJ38="Baja",AL38="Catastrófico"),AND(AJ38="Media",AL38="Catastrófico"),AND(AJ38="Alta",AL38="Catastrófico"),AND(AJ38="Muy Alta",AL38="Catastrófico")),"Extremo","")))),"")</f>
        <v/>
      </c>
      <c r="AO38" s="195"/>
      <c r="AP38" s="186"/>
      <c r="AQ38" s="196"/>
      <c r="AR38" s="196"/>
      <c r="AS38" s="197"/>
      <c r="AT38" s="381"/>
      <c r="AU38" s="381"/>
      <c r="AV38" s="381"/>
    </row>
    <row r="39" spans="1:48" x14ac:dyDescent="0.2">
      <c r="A39" s="418"/>
      <c r="B39" s="387"/>
      <c r="C39" s="387"/>
      <c r="D39" s="387"/>
      <c r="E39" s="387"/>
      <c r="F39" s="387"/>
      <c r="G39" s="360"/>
      <c r="H39" s="360"/>
      <c r="I39" s="360"/>
      <c r="J39" s="360"/>
      <c r="K39" s="360"/>
      <c r="L39" s="360"/>
      <c r="M39" s="360"/>
      <c r="N39" s="360"/>
      <c r="O39" s="360"/>
      <c r="P39" s="360"/>
      <c r="Q39" s="360"/>
      <c r="R39" s="381"/>
      <c r="S39" s="367"/>
      <c r="T39" s="364"/>
      <c r="U39" s="353"/>
      <c r="V39" s="364">
        <f>IF(NOT(ISERROR(MATCH(U39,_xlfn.ANCHORARRAY(E50),0))),T52&amp;"Por favor no seleccionar los criterios de impacto",U39)</f>
        <v>0</v>
      </c>
      <c r="W39" s="367"/>
      <c r="X39" s="364"/>
      <c r="Y39" s="362"/>
      <c r="Z39" s="214">
        <v>3</v>
      </c>
      <c r="AA39" s="188"/>
      <c r="AB39" s="189" t="str">
        <f>IF(OR(AC39="Preventivo",AC39="Detectivo"),"Probabilidad",IF(AC39="Correctivo","Impacto",""))</f>
        <v/>
      </c>
      <c r="AC39" s="190"/>
      <c r="AD39" s="190"/>
      <c r="AE39" s="191" t="str">
        <f t="shared" si="36"/>
        <v/>
      </c>
      <c r="AF39" s="190"/>
      <c r="AG39" s="190"/>
      <c r="AH39" s="190"/>
      <c r="AI39" s="192" t="str">
        <f>IFERROR(IF(AND(AB38="Probabilidad",AB39="Probabilidad"),(AK38-(+AK38*AE39)),IF(AND(AB38="Impacto",AB39="Probabilidad"),(AK37-(+AK37*AE39)),IF(AB39="Impacto",AK38,""))),"")</f>
        <v/>
      </c>
      <c r="AJ39" s="193" t="str">
        <f t="shared" si="2"/>
        <v/>
      </c>
      <c r="AK39" s="191" t="str">
        <f t="shared" si="37"/>
        <v/>
      </c>
      <c r="AL39" s="193" t="str">
        <f t="shared" si="4"/>
        <v/>
      </c>
      <c r="AM39" s="191" t="str">
        <f t="shared" ref="AM39" si="40">IFERROR(IF(AND(AB38="Impacto",AB39="Impacto"),(AM38-(+AM38*AE39)),IF(AND(AB38="Probabilidad",AB39="Impacto"),(AM37-(+AM37*AE39)),IF(AB39="Probabilidad",AM38,""))),"")</f>
        <v/>
      </c>
      <c r="AN39" s="194" t="str">
        <f t="shared" si="39"/>
        <v/>
      </c>
      <c r="AO39" s="195"/>
      <c r="AP39" s="186"/>
      <c r="AQ39" s="196"/>
      <c r="AR39" s="196"/>
      <c r="AS39" s="197"/>
      <c r="AT39" s="381"/>
      <c r="AU39" s="381"/>
      <c r="AV39" s="381"/>
    </row>
    <row r="40" spans="1:48" x14ac:dyDescent="0.2">
      <c r="A40" s="418"/>
      <c r="B40" s="387"/>
      <c r="C40" s="387"/>
      <c r="D40" s="387"/>
      <c r="E40" s="387"/>
      <c r="F40" s="387"/>
      <c r="G40" s="360"/>
      <c r="H40" s="360"/>
      <c r="I40" s="360"/>
      <c r="J40" s="360"/>
      <c r="K40" s="360"/>
      <c r="L40" s="360"/>
      <c r="M40" s="360"/>
      <c r="N40" s="360"/>
      <c r="O40" s="360"/>
      <c r="P40" s="360"/>
      <c r="Q40" s="360"/>
      <c r="R40" s="381"/>
      <c r="S40" s="367"/>
      <c r="T40" s="364"/>
      <c r="U40" s="353"/>
      <c r="V40" s="364">
        <f>IF(NOT(ISERROR(MATCH(U40,_xlfn.ANCHORARRAY(E51),0))),T53&amp;"Por favor no seleccionar los criterios de impacto",U40)</f>
        <v>0</v>
      </c>
      <c r="W40" s="367"/>
      <c r="X40" s="364"/>
      <c r="Y40" s="362"/>
      <c r="Z40" s="214">
        <v>4</v>
      </c>
      <c r="AA40" s="187"/>
      <c r="AB40" s="189" t="str">
        <f t="shared" ref="AB40:AB42" si="41">IF(OR(AC40="Preventivo",AC40="Detectivo"),"Probabilidad",IF(AC40="Correctivo","Impacto",""))</f>
        <v/>
      </c>
      <c r="AC40" s="190"/>
      <c r="AD40" s="190"/>
      <c r="AE40" s="191" t="str">
        <f t="shared" si="36"/>
        <v/>
      </c>
      <c r="AF40" s="190"/>
      <c r="AG40" s="190"/>
      <c r="AH40" s="190"/>
      <c r="AI40" s="192" t="str">
        <f t="shared" ref="AI40:AI42" si="42">IFERROR(IF(AND(AB39="Probabilidad",AB40="Probabilidad"),(AK39-(+AK39*AE40)),IF(AND(AB39="Impacto",AB40="Probabilidad"),(AK38-(+AK38*AE40)),IF(AB40="Impacto",AK39,""))),"")</f>
        <v/>
      </c>
      <c r="AJ40" s="193" t="str">
        <f t="shared" si="2"/>
        <v/>
      </c>
      <c r="AK40" s="191" t="str">
        <f t="shared" si="37"/>
        <v/>
      </c>
      <c r="AL40" s="193" t="str">
        <f t="shared" si="4"/>
        <v/>
      </c>
      <c r="AM40" s="191" t="str">
        <f t="shared" si="13"/>
        <v/>
      </c>
      <c r="AN40" s="194" t="str">
        <f>IFERROR(IF(OR(AND(AJ40="Muy Baja",AL40="Leve"),AND(AJ40="Muy Baja",AL40="Menor"),AND(AJ40="Baja",AL40="Leve")),"Bajo",IF(OR(AND(AJ40="Muy baja",AL40="Moderado"),AND(AJ40="Baja",AL40="Menor"),AND(AJ40="Baja",AL40="Moderado"),AND(AJ40="Media",AL40="Leve"),AND(AJ40="Media",AL40="Menor"),AND(AJ40="Media",AL40="Moderado"),AND(AJ40="Alta",AL40="Leve"),AND(AJ40="Alta",AL40="Menor")),"Moderado",IF(OR(AND(AJ40="Muy Baja",AL40="Mayor"),AND(AJ40="Baja",AL40="Mayor"),AND(AJ40="Media",AL40="Mayor"),AND(AJ40="Alta",AL40="Moderado"),AND(AJ40="Alta",AL40="Mayor"),AND(AJ40="Muy Alta",AL40="Leve"),AND(AJ40="Muy Alta",AL40="Menor"),AND(AJ40="Muy Alta",AL40="Moderado"),AND(AJ40="Muy Alta",AL40="Mayor")),"Alto",IF(OR(AND(AJ40="Muy Baja",AL40="Catastrófico"),AND(AJ40="Baja",AL40="Catastrófico"),AND(AJ40="Media",AL40="Catastrófico"),AND(AJ40="Alta",AL40="Catastrófico"),AND(AJ40="Muy Alta",AL40="Catastrófico")),"Extremo","")))),"")</f>
        <v/>
      </c>
      <c r="AO40" s="195"/>
      <c r="AP40" s="186"/>
      <c r="AQ40" s="196"/>
      <c r="AR40" s="196"/>
      <c r="AS40" s="197"/>
      <c r="AT40" s="381"/>
      <c r="AU40" s="381"/>
      <c r="AV40" s="381"/>
    </row>
    <row r="41" spans="1:48" x14ac:dyDescent="0.2">
      <c r="A41" s="418"/>
      <c r="B41" s="387"/>
      <c r="C41" s="387"/>
      <c r="D41" s="387"/>
      <c r="E41" s="387"/>
      <c r="F41" s="387"/>
      <c r="G41" s="360"/>
      <c r="H41" s="360"/>
      <c r="I41" s="360"/>
      <c r="J41" s="360"/>
      <c r="K41" s="360"/>
      <c r="L41" s="360"/>
      <c r="M41" s="360"/>
      <c r="N41" s="360"/>
      <c r="O41" s="360"/>
      <c r="P41" s="360"/>
      <c r="Q41" s="360"/>
      <c r="R41" s="381"/>
      <c r="S41" s="367"/>
      <c r="T41" s="364"/>
      <c r="U41" s="353"/>
      <c r="V41" s="364">
        <f>IF(NOT(ISERROR(MATCH(U41,_xlfn.ANCHORARRAY(E52),0))),T54&amp;"Por favor no seleccionar los criterios de impacto",U41)</f>
        <v>0</v>
      </c>
      <c r="W41" s="367"/>
      <c r="X41" s="364"/>
      <c r="Y41" s="362"/>
      <c r="Z41" s="214">
        <v>5</v>
      </c>
      <c r="AA41" s="187"/>
      <c r="AB41" s="189" t="str">
        <f t="shared" si="41"/>
        <v/>
      </c>
      <c r="AC41" s="190"/>
      <c r="AD41" s="190"/>
      <c r="AE41" s="191" t="str">
        <f t="shared" si="36"/>
        <v/>
      </c>
      <c r="AF41" s="190"/>
      <c r="AG41" s="190"/>
      <c r="AH41" s="190"/>
      <c r="AI41" s="192" t="str">
        <f t="shared" si="42"/>
        <v/>
      </c>
      <c r="AJ41" s="193" t="str">
        <f t="shared" si="2"/>
        <v/>
      </c>
      <c r="AK41" s="191" t="str">
        <f t="shared" si="37"/>
        <v/>
      </c>
      <c r="AL41" s="193" t="str">
        <f t="shared" si="4"/>
        <v/>
      </c>
      <c r="AM41" s="191" t="str">
        <f t="shared" si="13"/>
        <v/>
      </c>
      <c r="AN41" s="194" t="str">
        <f t="shared" ref="AN41:AN42" si="43">IFERROR(IF(OR(AND(AJ41="Muy Baja",AL41="Leve"),AND(AJ41="Muy Baja",AL41="Menor"),AND(AJ41="Baja",AL41="Leve")),"Bajo",IF(OR(AND(AJ41="Muy baja",AL41="Moderado"),AND(AJ41="Baja",AL41="Menor"),AND(AJ41="Baja",AL41="Moderado"),AND(AJ41="Media",AL41="Leve"),AND(AJ41="Media",AL41="Menor"),AND(AJ41="Media",AL41="Moderado"),AND(AJ41="Alta",AL41="Leve"),AND(AJ41="Alta",AL41="Menor")),"Moderado",IF(OR(AND(AJ41="Muy Baja",AL41="Mayor"),AND(AJ41="Baja",AL41="Mayor"),AND(AJ41="Media",AL41="Mayor"),AND(AJ41="Alta",AL41="Moderado"),AND(AJ41="Alta",AL41="Mayor"),AND(AJ41="Muy Alta",AL41="Leve"),AND(AJ41="Muy Alta",AL41="Menor"),AND(AJ41="Muy Alta",AL41="Moderado"),AND(AJ41="Muy Alta",AL41="Mayor")),"Alto",IF(OR(AND(AJ41="Muy Baja",AL41="Catastrófico"),AND(AJ41="Baja",AL41="Catastrófico"),AND(AJ41="Media",AL41="Catastrófico"),AND(AJ41="Alta",AL41="Catastrófico"),AND(AJ41="Muy Alta",AL41="Catastrófico")),"Extremo","")))),"")</f>
        <v/>
      </c>
      <c r="AO41" s="195"/>
      <c r="AP41" s="186"/>
      <c r="AQ41" s="196"/>
      <c r="AR41" s="196"/>
      <c r="AS41" s="197"/>
      <c r="AT41" s="381"/>
      <c r="AU41" s="381"/>
      <c r="AV41" s="381"/>
    </row>
    <row r="42" spans="1:48" x14ac:dyDescent="0.2">
      <c r="A42" s="418"/>
      <c r="B42" s="387"/>
      <c r="C42" s="387"/>
      <c r="D42" s="387"/>
      <c r="E42" s="387"/>
      <c r="F42" s="387"/>
      <c r="G42" s="373"/>
      <c r="H42" s="373"/>
      <c r="I42" s="373"/>
      <c r="J42" s="373"/>
      <c r="K42" s="373"/>
      <c r="L42" s="373"/>
      <c r="M42" s="373"/>
      <c r="N42" s="373"/>
      <c r="O42" s="373"/>
      <c r="P42" s="373"/>
      <c r="Q42" s="373"/>
      <c r="R42" s="381"/>
      <c r="S42" s="367"/>
      <c r="T42" s="364"/>
      <c r="U42" s="353"/>
      <c r="V42" s="364">
        <f>IF(NOT(ISERROR(MATCH(U42,_xlfn.ANCHORARRAY(E53),0))),T55&amp;"Por favor no seleccionar los criterios de impacto",U42)</f>
        <v>0</v>
      </c>
      <c r="W42" s="367"/>
      <c r="X42" s="364"/>
      <c r="Y42" s="362"/>
      <c r="Z42" s="214">
        <v>6</v>
      </c>
      <c r="AA42" s="187"/>
      <c r="AB42" s="189" t="str">
        <f t="shared" si="41"/>
        <v/>
      </c>
      <c r="AC42" s="190"/>
      <c r="AD42" s="190"/>
      <c r="AE42" s="191" t="str">
        <f t="shared" si="36"/>
        <v/>
      </c>
      <c r="AF42" s="190"/>
      <c r="AG42" s="190"/>
      <c r="AH42" s="190"/>
      <c r="AI42" s="192" t="str">
        <f t="shared" si="42"/>
        <v/>
      </c>
      <c r="AJ42" s="193" t="str">
        <f t="shared" si="2"/>
        <v/>
      </c>
      <c r="AK42" s="191" t="str">
        <f t="shared" si="37"/>
        <v/>
      </c>
      <c r="AL42" s="193" t="str">
        <f t="shared" si="4"/>
        <v/>
      </c>
      <c r="AM42" s="191" t="str">
        <f t="shared" si="13"/>
        <v/>
      </c>
      <c r="AN42" s="194" t="str">
        <f t="shared" si="43"/>
        <v/>
      </c>
      <c r="AO42" s="195"/>
      <c r="AP42" s="186"/>
      <c r="AQ42" s="196"/>
      <c r="AR42" s="196"/>
      <c r="AS42" s="197"/>
      <c r="AT42" s="381"/>
      <c r="AU42" s="381"/>
      <c r="AV42" s="381"/>
    </row>
    <row r="43" spans="1:48" x14ac:dyDescent="0.2">
      <c r="A43" s="418">
        <v>6</v>
      </c>
      <c r="B43" s="387"/>
      <c r="C43" s="387"/>
      <c r="D43" s="387"/>
      <c r="E43" s="392"/>
      <c r="F43" s="387"/>
      <c r="G43" s="392"/>
      <c r="H43" s="392"/>
      <c r="I43" s="392"/>
      <c r="J43" s="392"/>
      <c r="K43" s="392"/>
      <c r="L43" s="392"/>
      <c r="M43" s="392"/>
      <c r="N43" s="392"/>
      <c r="O43" s="392"/>
      <c r="P43" s="392"/>
      <c r="Q43" s="392"/>
      <c r="R43" s="381"/>
      <c r="S43" s="367" t="str">
        <f>IF(R43&lt;=0,"",IF(R43&lt;=2,"Muy Baja",IF(R43&lt;=24,"Baja",IF(R43&lt;=500,"Media",IF(R43&lt;=5000,"Alta","Muy Alta")))))</f>
        <v/>
      </c>
      <c r="T43" s="364" t="str">
        <f>IF(S43="","",IF(S43="Muy Baja",0.2,IF(S43="Baja",0.4,IF(S43="Media",0.6,IF(S43="Alta",0.8,IF(S43="Muy Alta",1,))))))</f>
        <v/>
      </c>
      <c r="U43" s="353"/>
      <c r="V43" s="364">
        <f>IF(NOT(ISERROR(MATCH(U43,'Tabla Impacto'!$B$222:$B$224,0))),'Tabla Impacto'!$F$224&amp;"Por favor no seleccionar los criterios de impacto(Afectación Económica o presupuestal y Pérdida Reputacional)",U43)</f>
        <v>0</v>
      </c>
      <c r="W43" s="367" t="str">
        <f>IF(OR(V43='Tabla Impacto'!$C$12,V43='Tabla Impacto'!$D$12),"Leve",IF(OR(V43='Tabla Impacto'!$C$13,V43='Tabla Impacto'!$D$13),"Menor",IF(OR(V43='Tabla Impacto'!$C$14,V43='Tabla Impacto'!$D$14),"Moderado",IF(OR(V43='Tabla Impacto'!$C$15,V43='Tabla Impacto'!$D$15),"Mayor",IF(OR(V43='Tabla Impacto'!$C$16,V43='Tabla Impacto'!$D$16),"Catastrófico","")))))</f>
        <v/>
      </c>
      <c r="X43" s="364" t="str">
        <f>IF(W43="","",IF(W43="Leve",0.2,IF(W43="Menor",0.4,IF(W43="Moderado",0.6,IF(W43="Mayor",0.8,IF(W43="Catastrófico",1,))))))</f>
        <v/>
      </c>
      <c r="Y43" s="362" t="str">
        <f>IF(OR(AND(S43="Muy Baja",W43="Leve"),AND(S43="Muy Baja",W43="Menor"),AND(S43="Baja",W43="Leve")),"Bajo",IF(OR(AND(S43="Muy baja",W43="Moderado"),AND(S43="Baja",W43="Menor"),AND(S43="Baja",W43="Moderado"),AND(S43="Media",W43="Leve"),AND(S43="Media",W43="Menor"),AND(S43="Media",W43="Moderado"),AND(S43="Alta",W43="Leve"),AND(S43="Alta",W43="Menor")),"Moderado",IF(OR(AND(S43="Muy Baja",W43="Mayor"),AND(S43="Baja",W43="Mayor"),AND(S43="Media",W43="Mayor"),AND(S43="Alta",W43="Moderado"),AND(S43="Alta",W43="Mayor"),AND(S43="Muy Alta",W43="Leve"),AND(S43="Muy Alta",W43="Menor"),AND(S43="Muy Alta",W43="Moderado"),AND(S43="Muy Alta",W43="Mayor")),"Alto",IF(OR(AND(S43="Muy Baja",W43="Catastrófico"),AND(S43="Baja",W43="Catastrófico"),AND(S43="Media",W43="Catastrófico"),AND(S43="Alta",W43="Catastrófico"),AND(S43="Muy Alta",W43="Catastrófico")),"Extremo",""))))</f>
        <v/>
      </c>
      <c r="Z43" s="214">
        <v>1</v>
      </c>
      <c r="AA43" s="187"/>
      <c r="AB43" s="189" t="str">
        <f>IF(OR(AC43="Preventivo",AC43="Detectivo"),"Probabilidad",IF(AC43="Correctivo","Impacto",""))</f>
        <v/>
      </c>
      <c r="AC43" s="190"/>
      <c r="AD43" s="190"/>
      <c r="AE43" s="191" t="str">
        <f>IF(AND(AC43="Preventivo",AD43="Automático"),"50%",IF(AND(AC43="Preventivo",AD43="Manual"),"40%",IF(AND(AC43="Detectivo",AD43="Automático"),"40%",IF(AND(AC43="Detectivo",AD43="Manual"),"30%",IF(AND(AC43="Correctivo",AD43="Automático"),"35%",IF(AND(AC43="Correctivo",AD43="Manual"),"25%",""))))))</f>
        <v/>
      </c>
      <c r="AF43" s="190"/>
      <c r="AG43" s="190"/>
      <c r="AH43" s="190"/>
      <c r="AI43" s="192" t="str">
        <f>IFERROR(IF(AB43="Probabilidad",(T43-(+T43*AE43)),IF(AB43="Impacto",T43,"")),"")</f>
        <v/>
      </c>
      <c r="AJ43" s="193" t="str">
        <f>IFERROR(IF(AI43="","",IF(AI43&lt;=0.2,"Muy Baja",IF(AI43&lt;=0.4,"Baja",IF(AI43&lt;=0.6,"Media",IF(AI43&lt;=0.8,"Alta","Muy Alta"))))),"")</f>
        <v/>
      </c>
      <c r="AK43" s="191" t="str">
        <f>+AI43</f>
        <v/>
      </c>
      <c r="AL43" s="193" t="str">
        <f>IFERROR(IF(AM43="","",IF(AM43&lt;=0.2,"Leve",IF(AM43&lt;=0.4,"Menor",IF(AM43&lt;=0.6,"Moderado",IF(AM43&lt;=0.8,"Mayor","Catastrófico"))))),"")</f>
        <v/>
      </c>
      <c r="AM43" s="191" t="str">
        <f t="shared" ref="AM43" si="44">IFERROR(IF(AB43="Impacto",(X43-(+X43*AE43)),IF(AB43="Probabilidad",X43,"")),"")</f>
        <v/>
      </c>
      <c r="AN43" s="194" t="str">
        <f>IFERROR(IF(OR(AND(AJ43="Muy Baja",AL43="Leve"),AND(AJ43="Muy Baja",AL43="Menor"),AND(AJ43="Baja",AL43="Leve")),"Bajo",IF(OR(AND(AJ43="Muy baja",AL43="Moderado"),AND(AJ43="Baja",AL43="Menor"),AND(AJ43="Baja",AL43="Moderado"),AND(AJ43="Media",AL43="Leve"),AND(AJ43="Media",AL43="Menor"),AND(AJ43="Media",AL43="Moderado"),AND(AJ43="Alta",AL43="Leve"),AND(AJ43="Alta",AL43="Menor")),"Moderado",IF(OR(AND(AJ43="Muy Baja",AL43="Mayor"),AND(AJ43="Baja",AL43="Mayor"),AND(AJ43="Media",AL43="Mayor"),AND(AJ43="Alta",AL43="Moderado"),AND(AJ43="Alta",AL43="Mayor"),AND(AJ43="Muy Alta",AL43="Leve"),AND(AJ43="Muy Alta",AL43="Menor"),AND(AJ43="Muy Alta",AL43="Moderado"),AND(AJ43="Muy Alta",AL43="Mayor")),"Alto",IF(OR(AND(AJ43="Muy Baja",AL43="Catastrófico"),AND(AJ43="Baja",AL43="Catastrófico"),AND(AJ43="Media",AL43="Catastrófico"),AND(AJ43="Alta",AL43="Catastrófico"),AND(AJ43="Muy Alta",AL43="Catastrófico")),"Extremo","")))),"")</f>
        <v/>
      </c>
      <c r="AO43" s="190"/>
      <c r="AP43" s="186"/>
      <c r="AQ43" s="196"/>
      <c r="AR43" s="196"/>
      <c r="AS43" s="197"/>
      <c r="AT43" s="381"/>
      <c r="AU43" s="381"/>
      <c r="AV43" s="381"/>
    </row>
    <row r="44" spans="1:48" x14ac:dyDescent="0.2">
      <c r="A44" s="418"/>
      <c r="B44" s="387"/>
      <c r="C44" s="387"/>
      <c r="D44" s="387"/>
      <c r="E44" s="360"/>
      <c r="F44" s="387"/>
      <c r="G44" s="360"/>
      <c r="H44" s="360"/>
      <c r="I44" s="360"/>
      <c r="J44" s="360"/>
      <c r="K44" s="360"/>
      <c r="L44" s="360"/>
      <c r="M44" s="360"/>
      <c r="N44" s="360"/>
      <c r="O44" s="360"/>
      <c r="P44" s="360"/>
      <c r="Q44" s="360"/>
      <c r="R44" s="381"/>
      <c r="S44" s="367"/>
      <c r="T44" s="364"/>
      <c r="U44" s="353"/>
      <c r="V44" s="364">
        <f>IF(NOT(ISERROR(MATCH(U44,_xlfn.ANCHORARRAY(E55),0))),T57&amp;"Por favor no seleccionar los criterios de impacto",U44)</f>
        <v>0</v>
      </c>
      <c r="W44" s="367"/>
      <c r="X44" s="364"/>
      <c r="Y44" s="362"/>
      <c r="Z44" s="214">
        <v>2</v>
      </c>
      <c r="AA44" s="187"/>
      <c r="AB44" s="189" t="str">
        <f>IF(OR(AC44="Preventivo",AC44="Detectivo"),"Probabilidad",IF(AC44="Correctivo","Impacto",""))</f>
        <v/>
      </c>
      <c r="AC44" s="190"/>
      <c r="AD44" s="190"/>
      <c r="AE44" s="191" t="str">
        <f t="shared" ref="AE44:AE48" si="45">IF(AND(AC44="Preventivo",AD44="Automático"),"50%",IF(AND(AC44="Preventivo",AD44="Manual"),"40%",IF(AND(AC44="Detectivo",AD44="Automático"),"40%",IF(AND(AC44="Detectivo",AD44="Manual"),"30%",IF(AND(AC44="Correctivo",AD44="Automático"),"35%",IF(AND(AC44="Correctivo",AD44="Manual"),"25%",""))))))</f>
        <v/>
      </c>
      <c r="AF44" s="190"/>
      <c r="AG44" s="190"/>
      <c r="AH44" s="190"/>
      <c r="AI44" s="192" t="str">
        <f>IFERROR(IF(AND(AB43="Probabilidad",AB44="Probabilidad"),(AK43-(+AK43*AE44)),IF(AB44="Probabilidad",(T43-(+T43*AE44)),IF(AB44="Impacto",AK43,""))),"")</f>
        <v/>
      </c>
      <c r="AJ44" s="193" t="str">
        <f t="shared" si="2"/>
        <v/>
      </c>
      <c r="AK44" s="191" t="str">
        <f t="shared" ref="AK44:AK48" si="46">+AI44</f>
        <v/>
      </c>
      <c r="AL44" s="193" t="str">
        <f t="shared" si="4"/>
        <v/>
      </c>
      <c r="AM44" s="191" t="str">
        <f t="shared" ref="AM44" si="47">IFERROR(IF(AND(AB43="Impacto",AB44="Impacto"),(AM43-(+AM43*AE44)),IF(AB44="Impacto",($X$13-(+$X$13*AE44)),IF(AB44="Probabilidad",AM43,""))),"")</f>
        <v/>
      </c>
      <c r="AN44" s="194" t="str">
        <f t="shared" ref="AN44:AN45" si="48">IFERROR(IF(OR(AND(AJ44="Muy Baja",AL44="Leve"),AND(AJ44="Muy Baja",AL44="Menor"),AND(AJ44="Baja",AL44="Leve")),"Bajo",IF(OR(AND(AJ44="Muy baja",AL44="Moderado"),AND(AJ44="Baja",AL44="Menor"),AND(AJ44="Baja",AL44="Moderado"),AND(AJ44="Media",AL44="Leve"),AND(AJ44="Media",AL44="Menor"),AND(AJ44="Media",AL44="Moderado"),AND(AJ44="Alta",AL44="Leve"),AND(AJ44="Alta",AL44="Menor")),"Moderado",IF(OR(AND(AJ44="Muy Baja",AL44="Mayor"),AND(AJ44="Baja",AL44="Mayor"),AND(AJ44="Media",AL44="Mayor"),AND(AJ44="Alta",AL44="Moderado"),AND(AJ44="Alta",AL44="Mayor"),AND(AJ44="Muy Alta",AL44="Leve"),AND(AJ44="Muy Alta",AL44="Menor"),AND(AJ44="Muy Alta",AL44="Moderado"),AND(AJ44="Muy Alta",AL44="Mayor")),"Alto",IF(OR(AND(AJ44="Muy Baja",AL44="Catastrófico"),AND(AJ44="Baja",AL44="Catastrófico"),AND(AJ44="Media",AL44="Catastrófico"),AND(AJ44="Alta",AL44="Catastrófico"),AND(AJ44="Muy Alta",AL44="Catastrófico")),"Extremo","")))),"")</f>
        <v/>
      </c>
      <c r="AO44" s="195"/>
      <c r="AP44" s="186"/>
      <c r="AQ44" s="196"/>
      <c r="AR44" s="196"/>
      <c r="AS44" s="197"/>
      <c r="AT44" s="381"/>
      <c r="AU44" s="381"/>
      <c r="AV44" s="381"/>
    </row>
    <row r="45" spans="1:48" x14ac:dyDescent="0.2">
      <c r="A45" s="418"/>
      <c r="B45" s="387"/>
      <c r="C45" s="387"/>
      <c r="D45" s="387"/>
      <c r="E45" s="360"/>
      <c r="F45" s="387"/>
      <c r="G45" s="360"/>
      <c r="H45" s="360"/>
      <c r="I45" s="360"/>
      <c r="J45" s="360"/>
      <c r="K45" s="360"/>
      <c r="L45" s="360"/>
      <c r="M45" s="360"/>
      <c r="N45" s="360"/>
      <c r="O45" s="360"/>
      <c r="P45" s="360"/>
      <c r="Q45" s="360"/>
      <c r="R45" s="381"/>
      <c r="S45" s="367"/>
      <c r="T45" s="364"/>
      <c r="U45" s="353"/>
      <c r="V45" s="364">
        <f>IF(NOT(ISERROR(MATCH(U45,_xlfn.ANCHORARRAY(E56),0))),T58&amp;"Por favor no seleccionar los criterios de impacto",U45)</f>
        <v>0</v>
      </c>
      <c r="W45" s="367"/>
      <c r="X45" s="364"/>
      <c r="Y45" s="362"/>
      <c r="Z45" s="214">
        <v>3</v>
      </c>
      <c r="AA45" s="188"/>
      <c r="AB45" s="189" t="str">
        <f>IF(OR(AC45="Preventivo",AC45="Detectivo"),"Probabilidad",IF(AC45="Correctivo","Impacto",""))</f>
        <v/>
      </c>
      <c r="AC45" s="190"/>
      <c r="AD45" s="190"/>
      <c r="AE45" s="191" t="str">
        <f t="shared" si="45"/>
        <v/>
      </c>
      <c r="AF45" s="190"/>
      <c r="AG45" s="190"/>
      <c r="AH45" s="190"/>
      <c r="AI45" s="192" t="str">
        <f>IFERROR(IF(AND(AB44="Probabilidad",AB45="Probabilidad"),(AK44-(+AK44*AE45)),IF(AND(AB44="Impacto",AB45="Probabilidad"),(AK43-(+AK43*AE45)),IF(AB45="Impacto",AK44,""))),"")</f>
        <v/>
      </c>
      <c r="AJ45" s="193" t="str">
        <f t="shared" si="2"/>
        <v/>
      </c>
      <c r="AK45" s="191" t="str">
        <f t="shared" si="46"/>
        <v/>
      </c>
      <c r="AL45" s="193" t="str">
        <f t="shared" si="4"/>
        <v/>
      </c>
      <c r="AM45" s="191" t="str">
        <f t="shared" ref="AM45" si="49">IFERROR(IF(AND(AB44="Impacto",AB45="Impacto"),(AM44-(+AM44*AE45)),IF(AND(AB44="Probabilidad",AB45="Impacto"),(AM43-(+AM43*AE45)),IF(AB45="Probabilidad",AM44,""))),"")</f>
        <v/>
      </c>
      <c r="AN45" s="194" t="str">
        <f t="shared" si="48"/>
        <v/>
      </c>
      <c r="AO45" s="195"/>
      <c r="AP45" s="186"/>
      <c r="AQ45" s="196"/>
      <c r="AR45" s="196"/>
      <c r="AS45" s="197"/>
      <c r="AT45" s="381"/>
      <c r="AU45" s="381"/>
      <c r="AV45" s="381"/>
    </row>
    <row r="46" spans="1:48" x14ac:dyDescent="0.2">
      <c r="A46" s="418"/>
      <c r="B46" s="387"/>
      <c r="C46" s="387"/>
      <c r="D46" s="387"/>
      <c r="E46" s="360"/>
      <c r="F46" s="387"/>
      <c r="G46" s="360"/>
      <c r="H46" s="360"/>
      <c r="I46" s="360"/>
      <c r="J46" s="360"/>
      <c r="K46" s="360"/>
      <c r="L46" s="360"/>
      <c r="M46" s="360"/>
      <c r="N46" s="360"/>
      <c r="O46" s="360"/>
      <c r="P46" s="360"/>
      <c r="Q46" s="360"/>
      <c r="R46" s="381"/>
      <c r="S46" s="367"/>
      <c r="T46" s="364"/>
      <c r="U46" s="353"/>
      <c r="V46" s="364">
        <f>IF(NOT(ISERROR(MATCH(U46,_xlfn.ANCHORARRAY(E57),0))),T59&amp;"Por favor no seleccionar los criterios de impacto",U46)</f>
        <v>0</v>
      </c>
      <c r="W46" s="367"/>
      <c r="X46" s="364"/>
      <c r="Y46" s="362"/>
      <c r="Z46" s="214">
        <v>4</v>
      </c>
      <c r="AA46" s="187"/>
      <c r="AB46" s="189" t="str">
        <f t="shared" ref="AB46:AB48" si="50">IF(OR(AC46="Preventivo",AC46="Detectivo"),"Probabilidad",IF(AC46="Correctivo","Impacto",""))</f>
        <v/>
      </c>
      <c r="AC46" s="190"/>
      <c r="AD46" s="190"/>
      <c r="AE46" s="191" t="str">
        <f t="shared" si="45"/>
        <v/>
      </c>
      <c r="AF46" s="190"/>
      <c r="AG46" s="190"/>
      <c r="AH46" s="190"/>
      <c r="AI46" s="192" t="str">
        <f t="shared" ref="AI46:AI48" si="51">IFERROR(IF(AND(AB45="Probabilidad",AB46="Probabilidad"),(AK45-(+AK45*AE46)),IF(AND(AB45="Impacto",AB46="Probabilidad"),(AK44-(+AK44*AE46)),IF(AB46="Impacto",AK45,""))),"")</f>
        <v/>
      </c>
      <c r="AJ46" s="193" t="str">
        <f t="shared" si="2"/>
        <v/>
      </c>
      <c r="AK46" s="191" t="str">
        <f t="shared" si="46"/>
        <v/>
      </c>
      <c r="AL46" s="193" t="str">
        <f t="shared" si="4"/>
        <v/>
      </c>
      <c r="AM46" s="191" t="str">
        <f t="shared" si="13"/>
        <v/>
      </c>
      <c r="AN46" s="194" t="str">
        <f>IFERROR(IF(OR(AND(AJ46="Muy Baja",AL46="Leve"),AND(AJ46="Muy Baja",AL46="Menor"),AND(AJ46="Baja",AL46="Leve")),"Bajo",IF(OR(AND(AJ46="Muy baja",AL46="Moderado"),AND(AJ46="Baja",AL46="Menor"),AND(AJ46="Baja",AL46="Moderado"),AND(AJ46="Media",AL46="Leve"),AND(AJ46="Media",AL46="Menor"),AND(AJ46="Media",AL46="Moderado"),AND(AJ46="Alta",AL46="Leve"),AND(AJ46="Alta",AL46="Menor")),"Moderado",IF(OR(AND(AJ46="Muy Baja",AL46="Mayor"),AND(AJ46="Baja",AL46="Mayor"),AND(AJ46="Media",AL46="Mayor"),AND(AJ46="Alta",AL46="Moderado"),AND(AJ46="Alta",AL46="Mayor"),AND(AJ46="Muy Alta",AL46="Leve"),AND(AJ46="Muy Alta",AL46="Menor"),AND(AJ46="Muy Alta",AL46="Moderado"),AND(AJ46="Muy Alta",AL46="Mayor")),"Alto",IF(OR(AND(AJ46="Muy Baja",AL46="Catastrófico"),AND(AJ46="Baja",AL46="Catastrófico"),AND(AJ46="Media",AL46="Catastrófico"),AND(AJ46="Alta",AL46="Catastrófico"),AND(AJ46="Muy Alta",AL46="Catastrófico")),"Extremo","")))),"")</f>
        <v/>
      </c>
      <c r="AO46" s="195"/>
      <c r="AP46" s="186"/>
      <c r="AQ46" s="196"/>
      <c r="AR46" s="196"/>
      <c r="AS46" s="197"/>
      <c r="AT46" s="381"/>
      <c r="AU46" s="381"/>
      <c r="AV46" s="381"/>
    </row>
    <row r="47" spans="1:48" x14ac:dyDescent="0.2">
      <c r="A47" s="418"/>
      <c r="B47" s="387"/>
      <c r="C47" s="387"/>
      <c r="D47" s="387"/>
      <c r="E47" s="360"/>
      <c r="F47" s="387"/>
      <c r="G47" s="360"/>
      <c r="H47" s="360"/>
      <c r="I47" s="360"/>
      <c r="J47" s="360"/>
      <c r="K47" s="360"/>
      <c r="L47" s="360"/>
      <c r="M47" s="360"/>
      <c r="N47" s="360"/>
      <c r="O47" s="360"/>
      <c r="P47" s="360"/>
      <c r="Q47" s="360"/>
      <c r="R47" s="381"/>
      <c r="S47" s="367"/>
      <c r="T47" s="364"/>
      <c r="U47" s="353"/>
      <c r="V47" s="364">
        <f>IF(NOT(ISERROR(MATCH(U47,_xlfn.ANCHORARRAY(E58),0))),T60&amp;"Por favor no seleccionar los criterios de impacto",U47)</f>
        <v>0</v>
      </c>
      <c r="W47" s="367"/>
      <c r="X47" s="364"/>
      <c r="Y47" s="362"/>
      <c r="Z47" s="214">
        <v>5</v>
      </c>
      <c r="AA47" s="187"/>
      <c r="AB47" s="189" t="str">
        <f t="shared" si="50"/>
        <v/>
      </c>
      <c r="AC47" s="190"/>
      <c r="AD47" s="190"/>
      <c r="AE47" s="191" t="str">
        <f t="shared" si="45"/>
        <v/>
      </c>
      <c r="AF47" s="190"/>
      <c r="AG47" s="190"/>
      <c r="AH47" s="190"/>
      <c r="AI47" s="192" t="str">
        <f t="shared" si="51"/>
        <v/>
      </c>
      <c r="AJ47" s="193" t="str">
        <f t="shared" si="2"/>
        <v/>
      </c>
      <c r="AK47" s="191" t="str">
        <f t="shared" si="46"/>
        <v/>
      </c>
      <c r="AL47" s="193" t="str">
        <f t="shared" si="4"/>
        <v/>
      </c>
      <c r="AM47" s="191" t="str">
        <f t="shared" si="13"/>
        <v/>
      </c>
      <c r="AN47" s="194" t="str">
        <f t="shared" ref="AN47" si="52">IFERROR(IF(OR(AND(AJ47="Muy Baja",AL47="Leve"),AND(AJ47="Muy Baja",AL47="Menor"),AND(AJ47="Baja",AL47="Leve")),"Bajo",IF(OR(AND(AJ47="Muy baja",AL47="Moderado"),AND(AJ47="Baja",AL47="Menor"),AND(AJ47="Baja",AL47="Moderado"),AND(AJ47="Media",AL47="Leve"),AND(AJ47="Media",AL47="Menor"),AND(AJ47="Media",AL47="Moderado"),AND(AJ47="Alta",AL47="Leve"),AND(AJ47="Alta",AL47="Menor")),"Moderado",IF(OR(AND(AJ47="Muy Baja",AL47="Mayor"),AND(AJ47="Baja",AL47="Mayor"),AND(AJ47="Media",AL47="Mayor"),AND(AJ47="Alta",AL47="Moderado"),AND(AJ47="Alta",AL47="Mayor"),AND(AJ47="Muy Alta",AL47="Leve"),AND(AJ47="Muy Alta",AL47="Menor"),AND(AJ47="Muy Alta",AL47="Moderado"),AND(AJ47="Muy Alta",AL47="Mayor")),"Alto",IF(OR(AND(AJ47="Muy Baja",AL47="Catastrófico"),AND(AJ47="Baja",AL47="Catastrófico"),AND(AJ47="Media",AL47="Catastrófico"),AND(AJ47="Alta",AL47="Catastrófico"),AND(AJ47="Muy Alta",AL47="Catastrófico")),"Extremo","")))),"")</f>
        <v/>
      </c>
      <c r="AO47" s="195"/>
      <c r="AP47" s="186"/>
      <c r="AQ47" s="196"/>
      <c r="AR47" s="196"/>
      <c r="AS47" s="197"/>
      <c r="AT47" s="381"/>
      <c r="AU47" s="381"/>
      <c r="AV47" s="381"/>
    </row>
    <row r="48" spans="1:48" x14ac:dyDescent="0.2">
      <c r="A48" s="418"/>
      <c r="B48" s="387"/>
      <c r="C48" s="387"/>
      <c r="D48" s="387"/>
      <c r="E48" s="373"/>
      <c r="F48" s="387"/>
      <c r="G48" s="373"/>
      <c r="H48" s="373"/>
      <c r="I48" s="373"/>
      <c r="J48" s="373"/>
      <c r="K48" s="373"/>
      <c r="L48" s="373"/>
      <c r="M48" s="373"/>
      <c r="N48" s="373"/>
      <c r="O48" s="373"/>
      <c r="P48" s="373"/>
      <c r="Q48" s="373"/>
      <c r="R48" s="381"/>
      <c r="S48" s="367"/>
      <c r="T48" s="364"/>
      <c r="U48" s="353"/>
      <c r="V48" s="364">
        <f>IF(NOT(ISERROR(MATCH(U48,_xlfn.ANCHORARRAY(E59),0))),T61&amp;"Por favor no seleccionar los criterios de impacto",U48)</f>
        <v>0</v>
      </c>
      <c r="W48" s="367"/>
      <c r="X48" s="364"/>
      <c r="Y48" s="362"/>
      <c r="Z48" s="214">
        <v>6</v>
      </c>
      <c r="AA48" s="187"/>
      <c r="AB48" s="189" t="str">
        <f t="shared" si="50"/>
        <v/>
      </c>
      <c r="AC48" s="190"/>
      <c r="AD48" s="190"/>
      <c r="AE48" s="191" t="str">
        <f t="shared" si="45"/>
        <v/>
      </c>
      <c r="AF48" s="190"/>
      <c r="AG48" s="190"/>
      <c r="AH48" s="190"/>
      <c r="AI48" s="192" t="str">
        <f t="shared" si="51"/>
        <v/>
      </c>
      <c r="AJ48" s="193" t="str">
        <f t="shared" si="2"/>
        <v/>
      </c>
      <c r="AK48" s="191" t="str">
        <f t="shared" si="46"/>
        <v/>
      </c>
      <c r="AL48" s="193" t="str">
        <f>IFERROR(IF(AM48="","",IF(AM48&lt;=0.2,"Leve",IF(AM48&lt;=0.4,"Menor",IF(AM48&lt;=0.6,"Moderado",IF(AM48&lt;=0.8,"Mayor","Catastrófico"))))),"")</f>
        <v/>
      </c>
      <c r="AM48" s="191" t="str">
        <f t="shared" si="13"/>
        <v/>
      </c>
      <c r="AN48" s="194" t="str">
        <f>IFERROR(IF(OR(AND(AJ48="Muy Baja",AL48="Leve"),AND(AJ48="Muy Baja",AL48="Menor"),AND(AJ48="Baja",AL48="Leve")),"Bajo",IF(OR(AND(AJ48="Muy baja",AL48="Moderado"),AND(AJ48="Baja",AL48="Menor"),AND(AJ48="Baja",AL48="Moderado"),AND(AJ48="Media",AL48="Leve"),AND(AJ48="Media",AL48="Menor"),AND(AJ48="Media",AL48="Moderado"),AND(AJ48="Alta",AL48="Leve"),AND(AJ48="Alta",AL48="Menor")),"Moderado",IF(OR(AND(AJ48="Muy Baja",AL48="Mayor"),AND(AJ48="Baja",AL48="Mayor"),AND(AJ48="Media",AL48="Mayor"),AND(AJ48="Alta",AL48="Moderado"),AND(AJ48="Alta",AL48="Mayor"),AND(AJ48="Muy Alta",AL48="Leve"),AND(AJ48="Muy Alta",AL48="Menor"),AND(AJ48="Muy Alta",AL48="Moderado"),AND(AJ48="Muy Alta",AL48="Mayor")),"Alto",IF(OR(AND(AJ48="Muy Baja",AL48="Catastrófico"),AND(AJ48="Baja",AL48="Catastrófico"),AND(AJ48="Media",AL48="Catastrófico"),AND(AJ48="Alta",AL48="Catastrófico"),AND(AJ48="Muy Alta",AL48="Catastrófico")),"Extremo","")))),"")</f>
        <v/>
      </c>
      <c r="AO48" s="195"/>
      <c r="AP48" s="186"/>
      <c r="AQ48" s="196"/>
      <c r="AR48" s="196"/>
      <c r="AS48" s="197"/>
      <c r="AT48" s="381"/>
      <c r="AU48" s="381"/>
      <c r="AV48" s="381"/>
    </row>
    <row r="49" spans="1:48" x14ac:dyDescent="0.2">
      <c r="A49" s="418">
        <v>7</v>
      </c>
      <c r="B49" s="387"/>
      <c r="C49" s="387"/>
      <c r="D49" s="421"/>
      <c r="E49" s="387"/>
      <c r="F49" s="387"/>
      <c r="G49" s="392"/>
      <c r="H49" s="392"/>
      <c r="I49" s="392"/>
      <c r="J49" s="392"/>
      <c r="K49" s="392"/>
      <c r="L49" s="392"/>
      <c r="M49" s="392"/>
      <c r="N49" s="392"/>
      <c r="O49" s="392"/>
      <c r="P49" s="392"/>
      <c r="Q49" s="392"/>
      <c r="R49" s="381"/>
      <c r="S49" s="367" t="str">
        <f>IF(R49&lt;=0,"",IF(R49&lt;=2,"Muy Baja",IF(R49&lt;=24,"Baja",IF(R49&lt;=500,"Media",IF(R49&lt;=5000,"Alta","Muy Alta")))))</f>
        <v/>
      </c>
      <c r="T49" s="364" t="str">
        <f>IF(S49="","",IF(S49="Muy Baja",0.2,IF(S49="Baja",0.4,IF(S49="Media",0.6,IF(S49="Alta",0.8,IF(S49="Muy Alta",1,))))))</f>
        <v/>
      </c>
      <c r="U49" s="353"/>
      <c r="V49" s="364">
        <f>IF(NOT(ISERROR(MATCH(U49,'Tabla Impacto'!$B$222:$B$224,0))),'Tabla Impacto'!$F$224&amp;"Por favor no seleccionar los criterios de impacto(Afectación Económica o presupuestal y Pérdida Reputacional)",U49)</f>
        <v>0</v>
      </c>
      <c r="W49" s="367" t="str">
        <f>IF(OR(V49='Tabla Impacto'!$C$12,V49='Tabla Impacto'!$D$12),"Leve",IF(OR(V49='Tabla Impacto'!$C$13,V49='Tabla Impacto'!$D$13),"Menor",IF(OR(V49='Tabla Impacto'!$C$14,V49='Tabla Impacto'!$D$14),"Moderado",IF(OR(V49='Tabla Impacto'!$C$15,V49='Tabla Impacto'!$D$15),"Mayor",IF(OR(V49='Tabla Impacto'!$C$16,V49='Tabla Impacto'!$D$16),"Catastrófico","")))))</f>
        <v/>
      </c>
      <c r="X49" s="364" t="str">
        <f>IF(W49="","",IF(W49="Leve",0.2,IF(W49="Menor",0.4,IF(W49="Moderado",0.6,IF(W49="Mayor",0.8,IF(W49="Catastrófico",1,))))))</f>
        <v/>
      </c>
      <c r="Y49" s="362" t="str">
        <f>IF(OR(AND(S49="Muy Baja",W49="Leve"),AND(S49="Muy Baja",W49="Menor"),AND(S49="Baja",W49="Leve")),"Bajo",IF(OR(AND(S49="Muy baja",W49="Moderado"),AND(S49="Baja",W49="Menor"),AND(S49="Baja",W49="Moderado"),AND(S49="Media",W49="Leve"),AND(S49="Media",W49="Menor"),AND(S49="Media",W49="Moderado"),AND(S49="Alta",W49="Leve"),AND(S49="Alta",W49="Menor")),"Moderado",IF(OR(AND(S49="Muy Baja",W49="Mayor"),AND(S49="Baja",W49="Mayor"),AND(S49="Media",W49="Mayor"),AND(S49="Alta",W49="Moderado"),AND(S49="Alta",W49="Mayor"),AND(S49="Muy Alta",W49="Leve"),AND(S49="Muy Alta",W49="Menor"),AND(S49="Muy Alta",W49="Moderado"),AND(S49="Muy Alta",W49="Mayor")),"Alto",IF(OR(AND(S49="Muy Baja",W49="Catastrófico"),AND(S49="Baja",W49="Catastrófico"),AND(S49="Media",W49="Catastrófico"),AND(S49="Alta",W49="Catastrófico"),AND(S49="Muy Alta",W49="Catastrófico")),"Extremo",""))))</f>
        <v/>
      </c>
      <c r="Z49" s="214">
        <v>1</v>
      </c>
      <c r="AA49" s="199"/>
      <c r="AB49" s="189" t="str">
        <f>IF(OR(AC49="Preventivo",AC49="Detectivo"),"Probabilidad",IF(AC49="Correctivo","Impacto",""))</f>
        <v/>
      </c>
      <c r="AC49" s="190"/>
      <c r="AD49" s="190"/>
      <c r="AE49" s="191" t="str">
        <f>IF(AND(AC49="Preventivo",AD49="Automático"),"50%",IF(AND(AC49="Preventivo",AD49="Manual"),"40%",IF(AND(AC49="Detectivo",AD49="Automático"),"40%",IF(AND(AC49="Detectivo",AD49="Manual"),"30%",IF(AND(AC49="Correctivo",AD49="Automático"),"35%",IF(AND(AC49="Correctivo",AD49="Manual"),"25%",""))))))</f>
        <v/>
      </c>
      <c r="AF49" s="190"/>
      <c r="AG49" s="190"/>
      <c r="AH49" s="190"/>
      <c r="AI49" s="192" t="str">
        <f>IFERROR(IF(AB49="Probabilidad",(T49-(+T49*AE49)),IF(AB49="Impacto",T49,"")),"")</f>
        <v/>
      </c>
      <c r="AJ49" s="193" t="str">
        <f>IFERROR(IF(AI49="","",IF(AI49&lt;=0.2,"Muy Baja",IF(AI49&lt;=0.4,"Baja",IF(AI49&lt;=0.6,"Media",IF(AI49&lt;=0.8,"Alta","Muy Alta"))))),"")</f>
        <v/>
      </c>
      <c r="AK49" s="191" t="str">
        <f>+AI49</f>
        <v/>
      </c>
      <c r="AL49" s="193" t="str">
        <f>IFERROR(IF(AM49="","",IF(AM49&lt;=0.2,"Leve",IF(AM49&lt;=0.4,"Menor",IF(AM49&lt;=0.6,"Moderado",IF(AM49&lt;=0.8,"Mayor","Catastrófico"))))),"")</f>
        <v/>
      </c>
      <c r="AM49" s="191" t="str">
        <f t="shared" ref="AM49" si="53">IFERROR(IF(AB49="Impacto",(X49-(+X49*AE49)),IF(AB49="Probabilidad",X49,"")),"")</f>
        <v/>
      </c>
      <c r="AN49" s="194" t="str">
        <f>IFERROR(IF(OR(AND(AJ49="Muy Baja",AL49="Leve"),AND(AJ49="Muy Baja",AL49="Menor"),AND(AJ49="Baja",AL49="Leve")),"Bajo",IF(OR(AND(AJ49="Muy baja",AL49="Moderado"),AND(AJ49="Baja",AL49="Menor"),AND(AJ49="Baja",AL49="Moderado"),AND(AJ49="Media",AL49="Leve"),AND(AJ49="Media",AL49="Menor"),AND(AJ49="Media",AL49="Moderado"),AND(AJ49="Alta",AL49="Leve"),AND(AJ49="Alta",AL49="Menor")),"Moderado",IF(OR(AND(AJ49="Muy Baja",AL49="Mayor"),AND(AJ49="Baja",AL49="Mayor"),AND(AJ49="Media",AL49="Mayor"),AND(AJ49="Alta",AL49="Moderado"),AND(AJ49="Alta",AL49="Mayor"),AND(AJ49="Muy Alta",AL49="Leve"),AND(AJ49="Muy Alta",AL49="Menor"),AND(AJ49="Muy Alta",AL49="Moderado"),AND(AJ49="Muy Alta",AL49="Mayor")),"Alto",IF(OR(AND(AJ49="Muy Baja",AL49="Catastrófico"),AND(AJ49="Baja",AL49="Catastrófico"),AND(AJ49="Media",AL49="Catastrófico"),AND(AJ49="Alta",AL49="Catastrófico"),AND(AJ49="Muy Alta",AL49="Catastrófico")),"Extremo","")))),"")</f>
        <v/>
      </c>
      <c r="AO49" s="195"/>
      <c r="AP49" s="186"/>
      <c r="AQ49" s="196"/>
      <c r="AR49" s="196"/>
      <c r="AS49" s="197"/>
      <c r="AT49" s="381"/>
      <c r="AU49" s="381"/>
      <c r="AV49" s="381"/>
    </row>
    <row r="50" spans="1:48" x14ac:dyDescent="0.2">
      <c r="A50" s="418"/>
      <c r="B50" s="387"/>
      <c r="C50" s="387"/>
      <c r="D50" s="421"/>
      <c r="E50" s="387"/>
      <c r="F50" s="387"/>
      <c r="G50" s="360"/>
      <c r="H50" s="360"/>
      <c r="I50" s="360"/>
      <c r="J50" s="360"/>
      <c r="K50" s="360"/>
      <c r="L50" s="360"/>
      <c r="M50" s="360"/>
      <c r="N50" s="360"/>
      <c r="O50" s="360"/>
      <c r="P50" s="360"/>
      <c r="Q50" s="360"/>
      <c r="R50" s="381"/>
      <c r="S50" s="367"/>
      <c r="T50" s="364"/>
      <c r="U50" s="353"/>
      <c r="V50" s="364">
        <f>IF(NOT(ISERROR(MATCH(U50,_xlfn.ANCHORARRAY(E61),0))),T63&amp;"Por favor no seleccionar los criterios de impacto",U50)</f>
        <v>0</v>
      </c>
      <c r="W50" s="367"/>
      <c r="X50" s="364"/>
      <c r="Y50" s="362"/>
      <c r="Z50" s="214">
        <v>2</v>
      </c>
      <c r="AA50" s="187"/>
      <c r="AB50" s="189" t="str">
        <f>IF(OR(AC50="Preventivo",AC50="Detectivo"),"Probabilidad",IF(AC50="Correctivo","Impacto",""))</f>
        <v/>
      </c>
      <c r="AC50" s="190"/>
      <c r="AD50" s="190"/>
      <c r="AE50" s="191" t="str">
        <f t="shared" ref="AE50:AE54" si="54">IF(AND(AC50="Preventivo",AD50="Automático"),"50%",IF(AND(AC50="Preventivo",AD50="Manual"),"40%",IF(AND(AC50="Detectivo",AD50="Automático"),"40%",IF(AND(AC50="Detectivo",AD50="Manual"),"30%",IF(AND(AC50="Correctivo",AD50="Automático"),"35%",IF(AND(AC50="Correctivo",AD50="Manual"),"25%",""))))))</f>
        <v/>
      </c>
      <c r="AF50" s="190"/>
      <c r="AG50" s="190"/>
      <c r="AH50" s="190"/>
      <c r="AI50" s="192" t="str">
        <f>IFERROR(IF(AND(AB49="Probabilidad",AB50="Probabilidad"),(AK49-(+AK49*AE50)),IF(AB50="Probabilidad",(T49-(+T49*AE50)),IF(AB50="Impacto",AK49,""))),"")</f>
        <v/>
      </c>
      <c r="AJ50" s="193" t="str">
        <f t="shared" si="2"/>
        <v/>
      </c>
      <c r="AK50" s="191" t="str">
        <f t="shared" ref="AK50:AK54" si="55">+AI50</f>
        <v/>
      </c>
      <c r="AL50" s="193" t="str">
        <f t="shared" si="4"/>
        <v/>
      </c>
      <c r="AM50" s="191" t="str">
        <f t="shared" ref="AM50" si="56">IFERROR(IF(AND(AB49="Impacto",AB50="Impacto"),(AM49-(+AM49*AE50)),IF(AB50="Impacto",($X$13-(+$X$13*AE50)),IF(AB50="Probabilidad",AM49,""))),"")</f>
        <v/>
      </c>
      <c r="AN50" s="194" t="str">
        <f t="shared" ref="AN50:AN51" si="57">IFERROR(IF(OR(AND(AJ50="Muy Baja",AL50="Leve"),AND(AJ50="Muy Baja",AL50="Menor"),AND(AJ50="Baja",AL50="Leve")),"Bajo",IF(OR(AND(AJ50="Muy baja",AL50="Moderado"),AND(AJ50="Baja",AL50="Menor"),AND(AJ50="Baja",AL50="Moderado"),AND(AJ50="Media",AL50="Leve"),AND(AJ50="Media",AL50="Menor"),AND(AJ50="Media",AL50="Moderado"),AND(AJ50="Alta",AL50="Leve"),AND(AJ50="Alta",AL50="Menor")),"Moderado",IF(OR(AND(AJ50="Muy Baja",AL50="Mayor"),AND(AJ50="Baja",AL50="Mayor"),AND(AJ50="Media",AL50="Mayor"),AND(AJ50="Alta",AL50="Moderado"),AND(AJ50="Alta",AL50="Mayor"),AND(AJ50="Muy Alta",AL50="Leve"),AND(AJ50="Muy Alta",AL50="Menor"),AND(AJ50="Muy Alta",AL50="Moderado"),AND(AJ50="Muy Alta",AL50="Mayor")),"Alto",IF(OR(AND(AJ50="Muy Baja",AL50="Catastrófico"),AND(AJ50="Baja",AL50="Catastrófico"),AND(AJ50="Media",AL50="Catastrófico"),AND(AJ50="Alta",AL50="Catastrófico"),AND(AJ50="Muy Alta",AL50="Catastrófico")),"Extremo","")))),"")</f>
        <v/>
      </c>
      <c r="AO50" s="195"/>
      <c r="AP50" s="186"/>
      <c r="AQ50" s="196"/>
      <c r="AR50" s="196"/>
      <c r="AS50" s="197"/>
      <c r="AT50" s="381"/>
      <c r="AU50" s="381"/>
      <c r="AV50" s="381"/>
    </row>
    <row r="51" spans="1:48" x14ac:dyDescent="0.2">
      <c r="A51" s="418"/>
      <c r="B51" s="387"/>
      <c r="C51" s="387"/>
      <c r="D51" s="421"/>
      <c r="E51" s="387"/>
      <c r="F51" s="387"/>
      <c r="G51" s="360"/>
      <c r="H51" s="360"/>
      <c r="I51" s="360"/>
      <c r="J51" s="360"/>
      <c r="K51" s="360"/>
      <c r="L51" s="360"/>
      <c r="M51" s="360"/>
      <c r="N51" s="360"/>
      <c r="O51" s="360"/>
      <c r="P51" s="360"/>
      <c r="Q51" s="360"/>
      <c r="R51" s="381"/>
      <c r="S51" s="367"/>
      <c r="T51" s="364"/>
      <c r="U51" s="353"/>
      <c r="V51" s="364">
        <f>IF(NOT(ISERROR(MATCH(U51,_xlfn.ANCHORARRAY(E62),0))),T64&amp;"Por favor no seleccionar los criterios de impacto",U51)</f>
        <v>0</v>
      </c>
      <c r="W51" s="367"/>
      <c r="X51" s="364"/>
      <c r="Y51" s="362"/>
      <c r="Z51" s="214">
        <v>3</v>
      </c>
      <c r="AA51" s="188"/>
      <c r="AB51" s="189" t="str">
        <f>IF(OR(AC51="Preventivo",AC51="Detectivo"),"Probabilidad",IF(AC51="Correctivo","Impacto",""))</f>
        <v/>
      </c>
      <c r="AC51" s="190"/>
      <c r="AD51" s="190"/>
      <c r="AE51" s="191" t="str">
        <f t="shared" si="54"/>
        <v/>
      </c>
      <c r="AF51" s="190"/>
      <c r="AG51" s="190"/>
      <c r="AH51" s="190"/>
      <c r="AI51" s="192" t="str">
        <f>IFERROR(IF(AND(AB50="Probabilidad",AB51="Probabilidad"),(AK50-(+AK50*AE51)),IF(AND(AB50="Impacto",AB51="Probabilidad"),(AK49-(+AK49*AE51)),IF(AB51="Impacto",AK50,""))),"")</f>
        <v/>
      </c>
      <c r="AJ51" s="193" t="str">
        <f t="shared" si="2"/>
        <v/>
      </c>
      <c r="AK51" s="191" t="str">
        <f t="shared" si="55"/>
        <v/>
      </c>
      <c r="AL51" s="193" t="str">
        <f t="shared" si="4"/>
        <v/>
      </c>
      <c r="AM51" s="191" t="str">
        <f t="shared" ref="AM51" si="58">IFERROR(IF(AND(AB50="Impacto",AB51="Impacto"),(AM50-(+AM50*AE51)),IF(AND(AB50="Probabilidad",AB51="Impacto"),(AM49-(+AM49*AE51)),IF(AB51="Probabilidad",AM50,""))),"")</f>
        <v/>
      </c>
      <c r="AN51" s="194" t="str">
        <f t="shared" si="57"/>
        <v/>
      </c>
      <c r="AO51" s="195"/>
      <c r="AP51" s="186"/>
      <c r="AQ51" s="196"/>
      <c r="AR51" s="196"/>
      <c r="AS51" s="197"/>
      <c r="AT51" s="381"/>
      <c r="AU51" s="381"/>
      <c r="AV51" s="381"/>
    </row>
    <row r="52" spans="1:48" x14ac:dyDescent="0.2">
      <c r="A52" s="418"/>
      <c r="B52" s="387"/>
      <c r="C52" s="387"/>
      <c r="D52" s="421"/>
      <c r="E52" s="387"/>
      <c r="F52" s="387"/>
      <c r="G52" s="360"/>
      <c r="H52" s="360"/>
      <c r="I52" s="360"/>
      <c r="J52" s="360"/>
      <c r="K52" s="360"/>
      <c r="L52" s="360"/>
      <c r="M52" s="360"/>
      <c r="N52" s="360"/>
      <c r="O52" s="360"/>
      <c r="P52" s="360"/>
      <c r="Q52" s="360"/>
      <c r="R52" s="381"/>
      <c r="S52" s="367"/>
      <c r="T52" s="364"/>
      <c r="U52" s="353"/>
      <c r="V52" s="364">
        <f>IF(NOT(ISERROR(MATCH(U52,_xlfn.ANCHORARRAY(E63),0))),T65&amp;"Por favor no seleccionar los criterios de impacto",U52)</f>
        <v>0</v>
      </c>
      <c r="W52" s="367"/>
      <c r="X52" s="364"/>
      <c r="Y52" s="362"/>
      <c r="Z52" s="214">
        <v>4</v>
      </c>
      <c r="AA52" s="187"/>
      <c r="AB52" s="189" t="str">
        <f t="shared" ref="AB52:AB54" si="59">IF(OR(AC52="Preventivo",AC52="Detectivo"),"Probabilidad",IF(AC52="Correctivo","Impacto",""))</f>
        <v/>
      </c>
      <c r="AC52" s="190"/>
      <c r="AD52" s="190"/>
      <c r="AE52" s="191" t="str">
        <f t="shared" si="54"/>
        <v/>
      </c>
      <c r="AF52" s="190"/>
      <c r="AG52" s="190"/>
      <c r="AH52" s="190"/>
      <c r="AI52" s="192" t="str">
        <f t="shared" ref="AI52:AI54" si="60">IFERROR(IF(AND(AB51="Probabilidad",AB52="Probabilidad"),(AK51-(+AK51*AE52)),IF(AND(AB51="Impacto",AB52="Probabilidad"),(AK50-(+AK50*AE52)),IF(AB52="Impacto",AK51,""))),"")</f>
        <v/>
      </c>
      <c r="AJ52" s="193" t="str">
        <f t="shared" si="2"/>
        <v/>
      </c>
      <c r="AK52" s="191" t="str">
        <f t="shared" si="55"/>
        <v/>
      </c>
      <c r="AL52" s="193" t="str">
        <f t="shared" si="4"/>
        <v/>
      </c>
      <c r="AM52" s="191" t="str">
        <f t="shared" si="13"/>
        <v/>
      </c>
      <c r="AN52" s="194" t="str">
        <f>IFERROR(IF(OR(AND(AJ52="Muy Baja",AL52="Leve"),AND(AJ52="Muy Baja",AL52="Menor"),AND(AJ52="Baja",AL52="Leve")),"Bajo",IF(OR(AND(AJ52="Muy baja",AL52="Moderado"),AND(AJ52="Baja",AL52="Menor"),AND(AJ52="Baja",AL52="Moderado"),AND(AJ52="Media",AL52="Leve"),AND(AJ52="Media",AL52="Menor"),AND(AJ52="Media",AL52="Moderado"),AND(AJ52="Alta",AL52="Leve"),AND(AJ52="Alta",AL52="Menor")),"Moderado",IF(OR(AND(AJ52="Muy Baja",AL52="Mayor"),AND(AJ52="Baja",AL52="Mayor"),AND(AJ52="Media",AL52="Mayor"),AND(AJ52="Alta",AL52="Moderado"),AND(AJ52="Alta",AL52="Mayor"),AND(AJ52="Muy Alta",AL52="Leve"),AND(AJ52="Muy Alta",AL52="Menor"),AND(AJ52="Muy Alta",AL52="Moderado"),AND(AJ52="Muy Alta",AL52="Mayor")),"Alto",IF(OR(AND(AJ52="Muy Baja",AL52="Catastrófico"),AND(AJ52="Baja",AL52="Catastrófico"),AND(AJ52="Media",AL52="Catastrófico"),AND(AJ52="Alta",AL52="Catastrófico"),AND(AJ52="Muy Alta",AL52="Catastrófico")),"Extremo","")))),"")</f>
        <v/>
      </c>
      <c r="AO52" s="195"/>
      <c r="AP52" s="186"/>
      <c r="AQ52" s="196"/>
      <c r="AR52" s="196"/>
      <c r="AS52" s="197"/>
      <c r="AT52" s="381"/>
      <c r="AU52" s="381"/>
      <c r="AV52" s="381"/>
    </row>
    <row r="53" spans="1:48" x14ac:dyDescent="0.2">
      <c r="A53" s="418"/>
      <c r="B53" s="387"/>
      <c r="C53" s="387"/>
      <c r="D53" s="421"/>
      <c r="E53" s="387"/>
      <c r="F53" s="387"/>
      <c r="G53" s="360"/>
      <c r="H53" s="360"/>
      <c r="I53" s="360"/>
      <c r="J53" s="360"/>
      <c r="K53" s="360"/>
      <c r="L53" s="360"/>
      <c r="M53" s="360"/>
      <c r="N53" s="360"/>
      <c r="O53" s="360"/>
      <c r="P53" s="360"/>
      <c r="Q53" s="360"/>
      <c r="R53" s="381"/>
      <c r="S53" s="367"/>
      <c r="T53" s="364"/>
      <c r="U53" s="353"/>
      <c r="V53" s="364">
        <f>IF(NOT(ISERROR(MATCH(U53,_xlfn.ANCHORARRAY(E64),0))),T66&amp;"Por favor no seleccionar los criterios de impacto",U53)</f>
        <v>0</v>
      </c>
      <c r="W53" s="367"/>
      <c r="X53" s="364"/>
      <c r="Y53" s="362"/>
      <c r="Z53" s="214">
        <v>5</v>
      </c>
      <c r="AA53" s="187"/>
      <c r="AB53" s="189" t="str">
        <f t="shared" si="59"/>
        <v/>
      </c>
      <c r="AC53" s="190"/>
      <c r="AD53" s="190"/>
      <c r="AE53" s="191" t="str">
        <f t="shared" si="54"/>
        <v/>
      </c>
      <c r="AF53" s="190"/>
      <c r="AG53" s="190"/>
      <c r="AH53" s="190"/>
      <c r="AI53" s="192" t="str">
        <f t="shared" si="60"/>
        <v/>
      </c>
      <c r="AJ53" s="193" t="str">
        <f t="shared" si="2"/>
        <v/>
      </c>
      <c r="AK53" s="191" t="str">
        <f t="shared" si="55"/>
        <v/>
      </c>
      <c r="AL53" s="193" t="str">
        <f t="shared" si="4"/>
        <v/>
      </c>
      <c r="AM53" s="191" t="str">
        <f t="shared" si="13"/>
        <v/>
      </c>
      <c r="AN53" s="194" t="str">
        <f t="shared" ref="AN53:AN54" si="61">IFERROR(IF(OR(AND(AJ53="Muy Baja",AL53="Leve"),AND(AJ53="Muy Baja",AL53="Menor"),AND(AJ53="Baja",AL53="Leve")),"Bajo",IF(OR(AND(AJ53="Muy baja",AL53="Moderado"),AND(AJ53="Baja",AL53="Menor"),AND(AJ53="Baja",AL53="Moderado"),AND(AJ53="Media",AL53="Leve"),AND(AJ53="Media",AL53="Menor"),AND(AJ53="Media",AL53="Moderado"),AND(AJ53="Alta",AL53="Leve"),AND(AJ53="Alta",AL53="Menor")),"Moderado",IF(OR(AND(AJ53="Muy Baja",AL53="Mayor"),AND(AJ53="Baja",AL53="Mayor"),AND(AJ53="Media",AL53="Mayor"),AND(AJ53="Alta",AL53="Moderado"),AND(AJ53="Alta",AL53="Mayor"),AND(AJ53="Muy Alta",AL53="Leve"),AND(AJ53="Muy Alta",AL53="Menor"),AND(AJ53="Muy Alta",AL53="Moderado"),AND(AJ53="Muy Alta",AL53="Mayor")),"Alto",IF(OR(AND(AJ53="Muy Baja",AL53="Catastrófico"),AND(AJ53="Baja",AL53="Catastrófico"),AND(AJ53="Media",AL53="Catastrófico"),AND(AJ53="Alta",AL53="Catastrófico"),AND(AJ53="Muy Alta",AL53="Catastrófico")),"Extremo","")))),"")</f>
        <v/>
      </c>
      <c r="AO53" s="195"/>
      <c r="AP53" s="186"/>
      <c r="AQ53" s="196"/>
      <c r="AR53" s="196"/>
      <c r="AS53" s="197"/>
      <c r="AT53" s="381"/>
      <c r="AU53" s="381"/>
      <c r="AV53" s="381"/>
    </row>
    <row r="54" spans="1:48" x14ac:dyDescent="0.2">
      <c r="A54" s="418"/>
      <c r="B54" s="387"/>
      <c r="C54" s="387"/>
      <c r="D54" s="421"/>
      <c r="E54" s="387"/>
      <c r="F54" s="387"/>
      <c r="G54" s="373"/>
      <c r="H54" s="373"/>
      <c r="I54" s="373"/>
      <c r="J54" s="373"/>
      <c r="K54" s="373"/>
      <c r="L54" s="373"/>
      <c r="M54" s="373"/>
      <c r="N54" s="373"/>
      <c r="O54" s="373"/>
      <c r="P54" s="373"/>
      <c r="Q54" s="373"/>
      <c r="R54" s="381"/>
      <c r="S54" s="367"/>
      <c r="T54" s="364"/>
      <c r="U54" s="353"/>
      <c r="V54" s="364">
        <f>IF(NOT(ISERROR(MATCH(U54,_xlfn.ANCHORARRAY(E65),0))),T67&amp;"Por favor no seleccionar los criterios de impacto",U54)</f>
        <v>0</v>
      </c>
      <c r="W54" s="367"/>
      <c r="X54" s="364"/>
      <c r="Y54" s="362"/>
      <c r="Z54" s="214">
        <v>6</v>
      </c>
      <c r="AA54" s="187"/>
      <c r="AB54" s="189" t="str">
        <f t="shared" si="59"/>
        <v/>
      </c>
      <c r="AC54" s="190"/>
      <c r="AD54" s="190"/>
      <c r="AE54" s="191" t="str">
        <f t="shared" si="54"/>
        <v/>
      </c>
      <c r="AF54" s="190"/>
      <c r="AG54" s="190"/>
      <c r="AH54" s="190"/>
      <c r="AI54" s="192" t="str">
        <f t="shared" si="60"/>
        <v/>
      </c>
      <c r="AJ54" s="193" t="str">
        <f t="shared" si="2"/>
        <v/>
      </c>
      <c r="AK54" s="191" t="str">
        <f t="shared" si="55"/>
        <v/>
      </c>
      <c r="AL54" s="193" t="str">
        <f t="shared" si="4"/>
        <v/>
      </c>
      <c r="AM54" s="191" t="str">
        <f t="shared" si="13"/>
        <v/>
      </c>
      <c r="AN54" s="194" t="str">
        <f t="shared" si="61"/>
        <v/>
      </c>
      <c r="AO54" s="195"/>
      <c r="AP54" s="186"/>
      <c r="AQ54" s="196"/>
      <c r="AR54" s="196"/>
      <c r="AS54" s="197"/>
      <c r="AT54" s="381"/>
      <c r="AU54" s="381"/>
      <c r="AV54" s="381"/>
    </row>
    <row r="55" spans="1:48" x14ac:dyDescent="0.2">
      <c r="A55" s="418">
        <v>8</v>
      </c>
      <c r="B55" s="387"/>
      <c r="C55" s="387"/>
      <c r="D55" s="387"/>
      <c r="E55" s="387"/>
      <c r="F55" s="387"/>
      <c r="G55" s="392"/>
      <c r="H55" s="392"/>
      <c r="I55" s="392"/>
      <c r="J55" s="392"/>
      <c r="K55" s="392"/>
      <c r="L55" s="392"/>
      <c r="M55" s="392"/>
      <c r="N55" s="392"/>
      <c r="O55" s="392"/>
      <c r="P55" s="392"/>
      <c r="Q55" s="392"/>
      <c r="R55" s="381"/>
      <c r="S55" s="367" t="str">
        <f>IF(R55&lt;=0,"",IF(R55&lt;=2,"Muy Baja",IF(R55&lt;=24,"Baja",IF(R55&lt;=500,"Media",IF(R55&lt;=5000,"Alta","Muy Alta")))))</f>
        <v/>
      </c>
      <c r="T55" s="364" t="str">
        <f>IF(S55="","",IF(S55="Muy Baja",0.2,IF(S55="Baja",0.4,IF(S55="Media",0.6,IF(S55="Alta",0.8,IF(S55="Muy Alta",1,))))))</f>
        <v/>
      </c>
      <c r="U55" s="353"/>
      <c r="V55" s="364">
        <f>IF(NOT(ISERROR(MATCH(U55,'Tabla Impacto'!$B$222:$B$224,0))),'Tabla Impacto'!$F$224&amp;"Por favor no seleccionar los criterios de impacto(Afectación Económica o presupuestal y Pérdida Reputacional)",U55)</f>
        <v>0</v>
      </c>
      <c r="W55" s="367" t="str">
        <f>IF(OR(V55='Tabla Impacto'!$C$12,V55='Tabla Impacto'!$D$12),"Leve",IF(OR(V55='Tabla Impacto'!$C$13,V55='Tabla Impacto'!$D$13),"Menor",IF(OR(V55='Tabla Impacto'!$C$14,V55='Tabla Impacto'!$D$14),"Moderado",IF(OR(V55='Tabla Impacto'!$C$15,V55='Tabla Impacto'!$D$15),"Mayor",IF(OR(V55='Tabla Impacto'!$C$16,V55='Tabla Impacto'!$D$16),"Catastrófico","")))))</f>
        <v/>
      </c>
      <c r="X55" s="364" t="str">
        <f>IF(W55="","",IF(W55="Leve",0.2,IF(W55="Menor",0.4,IF(W55="Moderado",0.6,IF(W55="Mayor",0.8,IF(W55="Catastrófico",1,))))))</f>
        <v/>
      </c>
      <c r="Y55" s="362" t="str">
        <f>IF(OR(AND(S55="Muy Baja",W55="Leve"),AND(S55="Muy Baja",W55="Menor"),AND(S55="Baja",W55="Leve")),"Bajo",IF(OR(AND(S55="Muy baja",W55="Moderado"),AND(S55="Baja",W55="Menor"),AND(S55="Baja",W55="Moderado"),AND(S55="Media",W55="Leve"),AND(S55="Media",W55="Menor"),AND(S55="Media",W55="Moderado"),AND(S55="Alta",W55="Leve"),AND(S55="Alta",W55="Menor")),"Moderado",IF(OR(AND(S55="Muy Baja",W55="Mayor"),AND(S55="Baja",W55="Mayor"),AND(S55="Media",W55="Mayor"),AND(S55="Alta",W55="Moderado"),AND(S55="Alta",W55="Mayor"),AND(S55="Muy Alta",W55="Leve"),AND(S55="Muy Alta",W55="Menor"),AND(S55="Muy Alta",W55="Moderado"),AND(S55="Muy Alta",W55="Mayor")),"Alto",IF(OR(AND(S55="Muy Baja",W55="Catastrófico"),AND(S55="Baja",W55="Catastrófico"),AND(S55="Media",W55="Catastrófico"),AND(S55="Alta",W55="Catastrófico"),AND(S55="Muy Alta",W55="Catastrófico")),"Extremo",""))))</f>
        <v/>
      </c>
      <c r="Z55" s="214">
        <v>1</v>
      </c>
      <c r="AA55" s="187"/>
      <c r="AB55" s="189" t="str">
        <f>IF(OR(AC55="Preventivo",AC55="Detectivo"),"Probabilidad",IF(AC55="Correctivo","Impacto",""))</f>
        <v/>
      </c>
      <c r="AC55" s="190"/>
      <c r="AD55" s="190"/>
      <c r="AE55" s="191" t="str">
        <f>IF(AND(AC55="Preventivo",AD55="Automático"),"50%",IF(AND(AC55="Preventivo",AD55="Manual"),"40%",IF(AND(AC55="Detectivo",AD55="Automático"),"40%",IF(AND(AC55="Detectivo",AD55="Manual"),"30%",IF(AND(AC55="Correctivo",AD55="Automático"),"35%",IF(AND(AC55="Correctivo",AD55="Manual"),"25%",""))))))</f>
        <v/>
      </c>
      <c r="AF55" s="190"/>
      <c r="AG55" s="190"/>
      <c r="AH55" s="190"/>
      <c r="AI55" s="192" t="str">
        <f>IFERROR(IF(AB55="Probabilidad",(T55-(+T55*AE55)),IF(AB55="Impacto",T55,"")),"")</f>
        <v/>
      </c>
      <c r="AJ55" s="193" t="str">
        <f>IFERROR(IF(AI55="","",IF(AI55&lt;=0.2,"Muy Baja",IF(AI55&lt;=0.4,"Baja",IF(AI55&lt;=0.6,"Media",IF(AI55&lt;=0.8,"Alta","Muy Alta"))))),"")</f>
        <v/>
      </c>
      <c r="AK55" s="191" t="str">
        <f>+AI55</f>
        <v/>
      </c>
      <c r="AL55" s="193" t="str">
        <f>IFERROR(IF(AM55="","",IF(AM55&lt;=0.2,"Leve",IF(AM55&lt;=0.4,"Menor",IF(AM55&lt;=0.6,"Moderado",IF(AM55&lt;=0.8,"Mayor","Catastrófico"))))),"")</f>
        <v/>
      </c>
      <c r="AM55" s="191" t="str">
        <f t="shared" ref="AM55" si="62">IFERROR(IF(AB55="Impacto",(X55-(+X55*AE55)),IF(AB55="Probabilidad",X55,"")),"")</f>
        <v/>
      </c>
      <c r="AN55" s="194" t="str">
        <f>IFERROR(IF(OR(AND(AJ55="Muy Baja",AL55="Leve"),AND(AJ55="Muy Baja",AL55="Menor"),AND(AJ55="Baja",AL55="Leve")),"Bajo",IF(OR(AND(AJ55="Muy baja",AL55="Moderado"),AND(AJ55="Baja",AL55="Menor"),AND(AJ55="Baja",AL55="Moderado"),AND(AJ55="Media",AL55="Leve"),AND(AJ55="Media",AL55="Menor"),AND(AJ55="Media",AL55="Moderado"),AND(AJ55="Alta",AL55="Leve"),AND(AJ55="Alta",AL55="Menor")),"Moderado",IF(OR(AND(AJ55="Muy Baja",AL55="Mayor"),AND(AJ55="Baja",AL55="Mayor"),AND(AJ55="Media",AL55="Mayor"),AND(AJ55="Alta",AL55="Moderado"),AND(AJ55="Alta",AL55="Mayor"),AND(AJ55="Muy Alta",AL55="Leve"),AND(AJ55="Muy Alta",AL55="Menor"),AND(AJ55="Muy Alta",AL55="Moderado"),AND(AJ55="Muy Alta",AL55="Mayor")),"Alto",IF(OR(AND(AJ55="Muy Baja",AL55="Catastrófico"),AND(AJ55="Baja",AL55="Catastrófico"),AND(AJ55="Media",AL55="Catastrófico"),AND(AJ55="Alta",AL55="Catastrófico"),AND(AJ55="Muy Alta",AL55="Catastrófico")),"Extremo","")))),"")</f>
        <v/>
      </c>
      <c r="AO55" s="195"/>
      <c r="AP55" s="186"/>
      <c r="AQ55" s="196"/>
      <c r="AR55" s="196"/>
      <c r="AS55" s="197"/>
      <c r="AT55" s="381"/>
      <c r="AU55" s="381"/>
      <c r="AV55" s="381"/>
    </row>
    <row r="56" spans="1:48" x14ac:dyDescent="0.2">
      <c r="A56" s="418"/>
      <c r="B56" s="387"/>
      <c r="C56" s="387"/>
      <c r="D56" s="387"/>
      <c r="E56" s="387"/>
      <c r="F56" s="387"/>
      <c r="G56" s="360"/>
      <c r="H56" s="360"/>
      <c r="I56" s="360"/>
      <c r="J56" s="360"/>
      <c r="K56" s="360"/>
      <c r="L56" s="360"/>
      <c r="M56" s="360"/>
      <c r="N56" s="360"/>
      <c r="O56" s="360"/>
      <c r="P56" s="360"/>
      <c r="Q56" s="360"/>
      <c r="R56" s="381"/>
      <c r="S56" s="367"/>
      <c r="T56" s="364"/>
      <c r="U56" s="353"/>
      <c r="V56" s="364">
        <f>IF(NOT(ISERROR(MATCH(U56,_xlfn.ANCHORARRAY(E67),0))),T69&amp;"Por favor no seleccionar los criterios de impacto",U56)</f>
        <v>0</v>
      </c>
      <c r="W56" s="367"/>
      <c r="X56" s="364"/>
      <c r="Y56" s="362"/>
      <c r="Z56" s="214">
        <v>2</v>
      </c>
      <c r="AA56" s="187"/>
      <c r="AB56" s="189" t="str">
        <f>IF(OR(AC56="Preventivo",AC56="Detectivo"),"Probabilidad",IF(AC56="Correctivo","Impacto",""))</f>
        <v/>
      </c>
      <c r="AC56" s="190"/>
      <c r="AD56" s="190"/>
      <c r="AE56" s="191" t="str">
        <f t="shared" ref="AE56:AE60" si="63">IF(AND(AC56="Preventivo",AD56="Automático"),"50%",IF(AND(AC56="Preventivo",AD56="Manual"),"40%",IF(AND(AC56="Detectivo",AD56="Automático"),"40%",IF(AND(AC56="Detectivo",AD56="Manual"),"30%",IF(AND(AC56="Correctivo",AD56="Automático"),"35%",IF(AND(AC56="Correctivo",AD56="Manual"),"25%",""))))))</f>
        <v/>
      </c>
      <c r="AF56" s="190"/>
      <c r="AG56" s="190"/>
      <c r="AH56" s="190"/>
      <c r="AI56" s="192" t="str">
        <f>IFERROR(IF(AND(AB55="Probabilidad",AB56="Probabilidad"),(AK55-(+AK55*AE56)),IF(AB56="Probabilidad",(T55-(+T55*AE56)),IF(AB56="Impacto",AK55,""))),"")</f>
        <v/>
      </c>
      <c r="AJ56" s="193" t="str">
        <f t="shared" si="2"/>
        <v/>
      </c>
      <c r="AK56" s="191" t="str">
        <f t="shared" ref="AK56:AK60" si="64">+AI56</f>
        <v/>
      </c>
      <c r="AL56" s="193" t="str">
        <f t="shared" si="4"/>
        <v/>
      </c>
      <c r="AM56" s="191" t="str">
        <f t="shared" ref="AM56" si="65">IFERROR(IF(AND(AB55="Impacto",AB56="Impacto"),(AM55-(+AM55*AE56)),IF(AB56="Impacto",($X$13-(+$X$13*AE56)),IF(AB56="Probabilidad",AM55,""))),"")</f>
        <v/>
      </c>
      <c r="AN56" s="194" t="str">
        <f t="shared" ref="AN56:AN57" si="66">IFERROR(IF(OR(AND(AJ56="Muy Baja",AL56="Leve"),AND(AJ56="Muy Baja",AL56="Menor"),AND(AJ56="Baja",AL56="Leve")),"Bajo",IF(OR(AND(AJ56="Muy baja",AL56="Moderado"),AND(AJ56="Baja",AL56="Menor"),AND(AJ56="Baja",AL56="Moderado"),AND(AJ56="Media",AL56="Leve"),AND(AJ56="Media",AL56="Menor"),AND(AJ56="Media",AL56="Moderado"),AND(AJ56="Alta",AL56="Leve"),AND(AJ56="Alta",AL56="Menor")),"Moderado",IF(OR(AND(AJ56="Muy Baja",AL56="Mayor"),AND(AJ56="Baja",AL56="Mayor"),AND(AJ56="Media",AL56="Mayor"),AND(AJ56="Alta",AL56="Moderado"),AND(AJ56="Alta",AL56="Mayor"),AND(AJ56="Muy Alta",AL56="Leve"),AND(AJ56="Muy Alta",AL56="Menor"),AND(AJ56="Muy Alta",AL56="Moderado"),AND(AJ56="Muy Alta",AL56="Mayor")),"Alto",IF(OR(AND(AJ56="Muy Baja",AL56="Catastrófico"),AND(AJ56="Baja",AL56="Catastrófico"),AND(AJ56="Media",AL56="Catastrófico"),AND(AJ56="Alta",AL56="Catastrófico"),AND(AJ56="Muy Alta",AL56="Catastrófico")),"Extremo","")))),"")</f>
        <v/>
      </c>
      <c r="AO56" s="195"/>
      <c r="AP56" s="186"/>
      <c r="AQ56" s="196"/>
      <c r="AR56" s="196"/>
      <c r="AS56" s="197"/>
      <c r="AT56" s="381"/>
      <c r="AU56" s="381"/>
      <c r="AV56" s="381"/>
    </row>
    <row r="57" spans="1:48" x14ac:dyDescent="0.2">
      <c r="A57" s="418"/>
      <c r="B57" s="387"/>
      <c r="C57" s="387"/>
      <c r="D57" s="387"/>
      <c r="E57" s="387"/>
      <c r="F57" s="387"/>
      <c r="G57" s="360"/>
      <c r="H57" s="360"/>
      <c r="I57" s="360"/>
      <c r="J57" s="360"/>
      <c r="K57" s="360"/>
      <c r="L57" s="360"/>
      <c r="M57" s="360"/>
      <c r="N57" s="360"/>
      <c r="O57" s="360"/>
      <c r="P57" s="360"/>
      <c r="Q57" s="360"/>
      <c r="R57" s="381"/>
      <c r="S57" s="367"/>
      <c r="T57" s="364"/>
      <c r="U57" s="353"/>
      <c r="V57" s="364">
        <f>IF(NOT(ISERROR(MATCH(U57,_xlfn.ANCHORARRAY(E68),0))),T70&amp;"Por favor no seleccionar los criterios de impacto",U57)</f>
        <v>0</v>
      </c>
      <c r="W57" s="367"/>
      <c r="X57" s="364"/>
      <c r="Y57" s="362"/>
      <c r="Z57" s="214">
        <v>3</v>
      </c>
      <c r="AA57" s="188"/>
      <c r="AB57" s="189" t="str">
        <f>IF(OR(AC57="Preventivo",AC57="Detectivo"),"Probabilidad",IF(AC57="Correctivo","Impacto",""))</f>
        <v/>
      </c>
      <c r="AC57" s="190"/>
      <c r="AD57" s="190"/>
      <c r="AE57" s="191" t="str">
        <f t="shared" si="63"/>
        <v/>
      </c>
      <c r="AF57" s="190"/>
      <c r="AG57" s="190"/>
      <c r="AH57" s="190"/>
      <c r="AI57" s="192" t="str">
        <f>IFERROR(IF(AND(AB56="Probabilidad",AB57="Probabilidad"),(AK56-(+AK56*AE57)),IF(AND(AB56="Impacto",AB57="Probabilidad"),(AK55-(+AK55*AE57)),IF(AB57="Impacto",AK56,""))),"")</f>
        <v/>
      </c>
      <c r="AJ57" s="193" t="str">
        <f t="shared" si="2"/>
        <v/>
      </c>
      <c r="AK57" s="191" t="str">
        <f t="shared" si="64"/>
        <v/>
      </c>
      <c r="AL57" s="193" t="str">
        <f t="shared" si="4"/>
        <v/>
      </c>
      <c r="AM57" s="191" t="str">
        <f t="shared" ref="AM57" si="67">IFERROR(IF(AND(AB56="Impacto",AB57="Impacto"),(AM56-(+AM56*AE57)),IF(AND(AB56="Probabilidad",AB57="Impacto"),(AM55-(+AM55*AE57)),IF(AB57="Probabilidad",AM56,""))),"")</f>
        <v/>
      </c>
      <c r="AN57" s="194" t="str">
        <f t="shared" si="66"/>
        <v/>
      </c>
      <c r="AO57" s="195"/>
      <c r="AP57" s="186"/>
      <c r="AQ57" s="196"/>
      <c r="AR57" s="196"/>
      <c r="AS57" s="197"/>
      <c r="AT57" s="381"/>
      <c r="AU57" s="381"/>
      <c r="AV57" s="381"/>
    </row>
    <row r="58" spans="1:48" x14ac:dyDescent="0.2">
      <c r="A58" s="418"/>
      <c r="B58" s="387"/>
      <c r="C58" s="387"/>
      <c r="D58" s="387"/>
      <c r="E58" s="387"/>
      <c r="F58" s="387"/>
      <c r="G58" s="360"/>
      <c r="H58" s="360"/>
      <c r="I58" s="360"/>
      <c r="J58" s="360"/>
      <c r="K58" s="360"/>
      <c r="L58" s="360"/>
      <c r="M58" s="360"/>
      <c r="N58" s="360"/>
      <c r="O58" s="360"/>
      <c r="P58" s="360"/>
      <c r="Q58" s="360"/>
      <c r="R58" s="381"/>
      <c r="S58" s="367"/>
      <c r="T58" s="364"/>
      <c r="U58" s="353"/>
      <c r="V58" s="364">
        <f>IF(NOT(ISERROR(MATCH(U58,_xlfn.ANCHORARRAY(E69),0))),T71&amp;"Por favor no seleccionar los criterios de impacto",U58)</f>
        <v>0</v>
      </c>
      <c r="W58" s="367"/>
      <c r="X58" s="364"/>
      <c r="Y58" s="362"/>
      <c r="Z58" s="214">
        <v>4</v>
      </c>
      <c r="AA58" s="187"/>
      <c r="AB58" s="189" t="str">
        <f t="shared" ref="AB58:AB60" si="68">IF(OR(AC58="Preventivo",AC58="Detectivo"),"Probabilidad",IF(AC58="Correctivo","Impacto",""))</f>
        <v/>
      </c>
      <c r="AC58" s="190"/>
      <c r="AD58" s="190"/>
      <c r="AE58" s="191" t="str">
        <f t="shared" si="63"/>
        <v/>
      </c>
      <c r="AF58" s="190"/>
      <c r="AG58" s="190"/>
      <c r="AH58" s="190"/>
      <c r="AI58" s="192" t="str">
        <f t="shared" ref="AI58:AI60" si="69">IFERROR(IF(AND(AB57="Probabilidad",AB58="Probabilidad"),(AK57-(+AK57*AE58)),IF(AND(AB57="Impacto",AB58="Probabilidad"),(AK56-(+AK56*AE58)),IF(AB58="Impacto",AK57,""))),"")</f>
        <v/>
      </c>
      <c r="AJ58" s="193" t="str">
        <f t="shared" si="2"/>
        <v/>
      </c>
      <c r="AK58" s="191" t="str">
        <f t="shared" si="64"/>
        <v/>
      </c>
      <c r="AL58" s="193" t="str">
        <f t="shared" si="4"/>
        <v/>
      </c>
      <c r="AM58" s="191" t="str">
        <f t="shared" si="13"/>
        <v/>
      </c>
      <c r="AN58" s="194" t="str">
        <f>IFERROR(IF(OR(AND(AJ58="Muy Baja",AL58="Leve"),AND(AJ58="Muy Baja",AL58="Menor"),AND(AJ58="Baja",AL58="Leve")),"Bajo",IF(OR(AND(AJ58="Muy baja",AL58="Moderado"),AND(AJ58="Baja",AL58="Menor"),AND(AJ58="Baja",AL58="Moderado"),AND(AJ58="Media",AL58="Leve"),AND(AJ58="Media",AL58="Menor"),AND(AJ58="Media",AL58="Moderado"),AND(AJ58="Alta",AL58="Leve"),AND(AJ58="Alta",AL58="Menor")),"Moderado",IF(OR(AND(AJ58="Muy Baja",AL58="Mayor"),AND(AJ58="Baja",AL58="Mayor"),AND(AJ58="Media",AL58="Mayor"),AND(AJ58="Alta",AL58="Moderado"),AND(AJ58="Alta",AL58="Mayor"),AND(AJ58="Muy Alta",AL58="Leve"),AND(AJ58="Muy Alta",AL58="Menor"),AND(AJ58="Muy Alta",AL58="Moderado"),AND(AJ58="Muy Alta",AL58="Mayor")),"Alto",IF(OR(AND(AJ58="Muy Baja",AL58="Catastrófico"),AND(AJ58="Baja",AL58="Catastrófico"),AND(AJ58="Media",AL58="Catastrófico"),AND(AJ58="Alta",AL58="Catastrófico"),AND(AJ58="Muy Alta",AL58="Catastrófico")),"Extremo","")))),"")</f>
        <v/>
      </c>
      <c r="AO58" s="195"/>
      <c r="AP58" s="186"/>
      <c r="AQ58" s="196"/>
      <c r="AR58" s="196"/>
      <c r="AS58" s="197"/>
      <c r="AT58" s="381"/>
      <c r="AU58" s="381"/>
      <c r="AV58" s="381"/>
    </row>
    <row r="59" spans="1:48" x14ac:dyDescent="0.2">
      <c r="A59" s="418"/>
      <c r="B59" s="387"/>
      <c r="C59" s="387"/>
      <c r="D59" s="387"/>
      <c r="E59" s="387"/>
      <c r="F59" s="387"/>
      <c r="G59" s="360"/>
      <c r="H59" s="360"/>
      <c r="I59" s="360"/>
      <c r="J59" s="360"/>
      <c r="K59" s="360"/>
      <c r="L59" s="360"/>
      <c r="M59" s="360"/>
      <c r="N59" s="360"/>
      <c r="O59" s="360"/>
      <c r="P59" s="360"/>
      <c r="Q59" s="360"/>
      <c r="R59" s="381"/>
      <c r="S59" s="367"/>
      <c r="T59" s="364"/>
      <c r="U59" s="353"/>
      <c r="V59" s="364">
        <f>IF(NOT(ISERROR(MATCH(U59,_xlfn.ANCHORARRAY(E70),0))),T72&amp;"Por favor no seleccionar los criterios de impacto",U59)</f>
        <v>0</v>
      </c>
      <c r="W59" s="367"/>
      <c r="X59" s="364"/>
      <c r="Y59" s="362"/>
      <c r="Z59" s="214">
        <v>5</v>
      </c>
      <c r="AA59" s="187"/>
      <c r="AB59" s="189" t="str">
        <f t="shared" si="68"/>
        <v/>
      </c>
      <c r="AC59" s="190"/>
      <c r="AD59" s="190"/>
      <c r="AE59" s="191" t="str">
        <f t="shared" si="63"/>
        <v/>
      </c>
      <c r="AF59" s="190"/>
      <c r="AG59" s="190"/>
      <c r="AH59" s="190"/>
      <c r="AI59" s="192" t="str">
        <f t="shared" si="69"/>
        <v/>
      </c>
      <c r="AJ59" s="193" t="str">
        <f t="shared" si="2"/>
        <v/>
      </c>
      <c r="AK59" s="191" t="str">
        <f t="shared" si="64"/>
        <v/>
      </c>
      <c r="AL59" s="193" t="str">
        <f t="shared" si="4"/>
        <v/>
      </c>
      <c r="AM59" s="191" t="str">
        <f t="shared" si="13"/>
        <v/>
      </c>
      <c r="AN59" s="194" t="str">
        <f t="shared" ref="AN59:AN60" si="70">IFERROR(IF(OR(AND(AJ59="Muy Baja",AL59="Leve"),AND(AJ59="Muy Baja",AL59="Menor"),AND(AJ59="Baja",AL59="Leve")),"Bajo",IF(OR(AND(AJ59="Muy baja",AL59="Moderado"),AND(AJ59="Baja",AL59="Menor"),AND(AJ59="Baja",AL59="Moderado"),AND(AJ59="Media",AL59="Leve"),AND(AJ59="Media",AL59="Menor"),AND(AJ59="Media",AL59="Moderado"),AND(AJ59="Alta",AL59="Leve"),AND(AJ59="Alta",AL59="Menor")),"Moderado",IF(OR(AND(AJ59="Muy Baja",AL59="Mayor"),AND(AJ59="Baja",AL59="Mayor"),AND(AJ59="Media",AL59="Mayor"),AND(AJ59="Alta",AL59="Moderado"),AND(AJ59="Alta",AL59="Mayor"),AND(AJ59="Muy Alta",AL59="Leve"),AND(AJ59="Muy Alta",AL59="Menor"),AND(AJ59="Muy Alta",AL59="Moderado"),AND(AJ59="Muy Alta",AL59="Mayor")),"Alto",IF(OR(AND(AJ59="Muy Baja",AL59="Catastrófico"),AND(AJ59="Baja",AL59="Catastrófico"),AND(AJ59="Media",AL59="Catastrófico"),AND(AJ59="Alta",AL59="Catastrófico"),AND(AJ59="Muy Alta",AL59="Catastrófico")),"Extremo","")))),"")</f>
        <v/>
      </c>
      <c r="AO59" s="195"/>
      <c r="AP59" s="186"/>
      <c r="AQ59" s="196"/>
      <c r="AR59" s="196"/>
      <c r="AS59" s="197"/>
      <c r="AT59" s="381"/>
      <c r="AU59" s="381"/>
      <c r="AV59" s="381"/>
    </row>
    <row r="60" spans="1:48" x14ac:dyDescent="0.2">
      <c r="A60" s="418"/>
      <c r="B60" s="387"/>
      <c r="C60" s="387"/>
      <c r="D60" s="387"/>
      <c r="E60" s="387"/>
      <c r="F60" s="387"/>
      <c r="G60" s="373"/>
      <c r="H60" s="373"/>
      <c r="I60" s="373"/>
      <c r="J60" s="373"/>
      <c r="K60" s="373"/>
      <c r="L60" s="373"/>
      <c r="M60" s="373"/>
      <c r="N60" s="373"/>
      <c r="O60" s="373"/>
      <c r="P60" s="373"/>
      <c r="Q60" s="373"/>
      <c r="R60" s="381"/>
      <c r="S60" s="367"/>
      <c r="T60" s="364"/>
      <c r="U60" s="353"/>
      <c r="V60" s="364">
        <f>IF(NOT(ISERROR(MATCH(U60,_xlfn.ANCHORARRAY(E71),0))),U73&amp;"Por favor no seleccionar los criterios de impacto",U60)</f>
        <v>0</v>
      </c>
      <c r="W60" s="367"/>
      <c r="X60" s="364"/>
      <c r="Y60" s="362"/>
      <c r="Z60" s="214">
        <v>6</v>
      </c>
      <c r="AA60" s="187"/>
      <c r="AB60" s="189" t="str">
        <f t="shared" si="68"/>
        <v/>
      </c>
      <c r="AC60" s="190"/>
      <c r="AD60" s="190"/>
      <c r="AE60" s="191" t="str">
        <f t="shared" si="63"/>
        <v/>
      </c>
      <c r="AF60" s="190"/>
      <c r="AG60" s="190"/>
      <c r="AH60" s="190"/>
      <c r="AI60" s="192" t="str">
        <f t="shared" si="69"/>
        <v/>
      </c>
      <c r="AJ60" s="193" t="str">
        <f t="shared" si="2"/>
        <v/>
      </c>
      <c r="AK60" s="191" t="str">
        <f t="shared" si="64"/>
        <v/>
      </c>
      <c r="AL60" s="193" t="str">
        <f t="shared" si="4"/>
        <v/>
      </c>
      <c r="AM60" s="191" t="str">
        <f t="shared" si="13"/>
        <v/>
      </c>
      <c r="AN60" s="194" t="str">
        <f t="shared" si="70"/>
        <v/>
      </c>
      <c r="AO60" s="195"/>
      <c r="AP60" s="186"/>
      <c r="AQ60" s="196"/>
      <c r="AR60" s="196"/>
      <c r="AS60" s="197"/>
      <c r="AT60" s="381"/>
      <c r="AU60" s="381"/>
      <c r="AV60" s="381"/>
    </row>
    <row r="61" spans="1:48" x14ac:dyDescent="0.2">
      <c r="A61" s="418">
        <v>9</v>
      </c>
      <c r="B61" s="387"/>
      <c r="C61" s="387"/>
      <c r="D61" s="387"/>
      <c r="E61" s="387"/>
      <c r="F61" s="387"/>
      <c r="G61" s="392"/>
      <c r="H61" s="392"/>
      <c r="I61" s="392"/>
      <c r="J61" s="392"/>
      <c r="K61" s="392"/>
      <c r="L61" s="392"/>
      <c r="M61" s="221"/>
      <c r="N61" s="221"/>
      <c r="O61" s="221"/>
      <c r="P61" s="392"/>
      <c r="Q61" s="392"/>
      <c r="R61" s="381"/>
      <c r="S61" s="367" t="str">
        <f>IF(R61&lt;=0,"",IF(R61&lt;=2,"Muy Baja",IF(R61&lt;=24,"Baja",IF(R61&lt;=500,"Media",IF(R61&lt;=5000,"Alta","Muy Alta")))))</f>
        <v/>
      </c>
      <c r="T61" s="364" t="str">
        <f>IF(S61="","",IF(S61="Muy Baja",0.2,IF(S61="Baja",0.4,IF(S61="Media",0.6,IF(S61="Alta",0.8,IF(S61="Muy Alta",1,))))))</f>
        <v/>
      </c>
      <c r="U61" s="353"/>
      <c r="V61" s="364">
        <f>IF(NOT(ISERROR(MATCH(U61,'Tabla Impacto'!$B$222:$B$224,0))),'Tabla Impacto'!$F$224&amp;"Por favor no seleccionar los criterios de impacto(Afectación Económica o presupuestal y Pérdida Reputacional)",U61)</f>
        <v>0</v>
      </c>
      <c r="W61" s="367" t="str">
        <f>IF(OR(V61='Tabla Impacto'!$C$12,V61='Tabla Impacto'!$D$12),"Leve",IF(OR(V61='Tabla Impacto'!$C$13,V61='Tabla Impacto'!$D$13),"Menor",IF(OR(V61='Tabla Impacto'!$C$14,V61='Tabla Impacto'!$D$14),"Moderado",IF(OR(V61='Tabla Impacto'!$C$15,V61='Tabla Impacto'!$D$15),"Mayor",IF(OR(V61='Tabla Impacto'!$C$16,V61='Tabla Impacto'!$D$16),"Catastrófico","")))))</f>
        <v/>
      </c>
      <c r="X61" s="364" t="str">
        <f>IF(W61="","",IF(W61="Leve",0.2,IF(W61="Menor",0.4,IF(W61="Moderado",0.6,IF(W61="Mayor",0.8,IF(W61="Catastrófico",1,))))))</f>
        <v/>
      </c>
      <c r="Y61" s="362" t="str">
        <f>IF(OR(AND(S61="Muy Baja",W61="Leve"),AND(S61="Muy Baja",W61="Menor"),AND(S61="Baja",W61="Leve")),"Bajo",IF(OR(AND(S61="Muy baja",W61="Moderado"),AND(S61="Baja",W61="Menor"),AND(S61="Baja",W61="Moderado"),AND(S61="Media",W61="Leve"),AND(S61="Media",W61="Menor"),AND(S61="Media",W61="Moderado"),AND(S61="Alta",W61="Leve"),AND(S61="Alta",W61="Menor")),"Moderado",IF(OR(AND(S61="Muy Baja",W61="Mayor"),AND(S61="Baja",W61="Mayor"),AND(S61="Media",W61="Mayor"),AND(S61="Alta",W61="Moderado"),AND(S61="Alta",W61="Mayor"),AND(S61="Muy Alta",W61="Leve"),AND(S61="Muy Alta",W61="Menor"),AND(S61="Muy Alta",W61="Moderado"),AND(S61="Muy Alta",W61="Mayor")),"Alto",IF(OR(AND(S61="Muy Baja",W61="Catastrófico"),AND(S61="Baja",W61="Catastrófico"),AND(S61="Media",W61="Catastrófico"),AND(S61="Alta",W61="Catastrófico"),AND(S61="Muy Alta",W61="Catastrófico")),"Extremo",""))))</f>
        <v/>
      </c>
      <c r="Z61" s="214">
        <v>1</v>
      </c>
      <c r="AA61" s="187"/>
      <c r="AB61" s="189" t="str">
        <f>IF(OR(AC61="Preventivo",AC61="Detectivo"),"Probabilidad",IF(AC61="Correctivo","Impacto",""))</f>
        <v/>
      </c>
      <c r="AC61" s="190"/>
      <c r="AD61" s="190"/>
      <c r="AE61" s="191" t="str">
        <f>IF(AND(AC61="Preventivo",AD61="Automático"),"50%",IF(AND(AC61="Preventivo",AD61="Manual"),"40%",IF(AND(AC61="Detectivo",AD61="Automático"),"40%",IF(AND(AC61="Detectivo",AD61="Manual"),"30%",IF(AND(AC61="Correctivo",AD61="Automático"),"35%",IF(AND(AC61="Correctivo",AD61="Manual"),"25%",""))))))</f>
        <v/>
      </c>
      <c r="AF61" s="190"/>
      <c r="AG61" s="190"/>
      <c r="AH61" s="190"/>
      <c r="AI61" s="192" t="str">
        <f>IFERROR(IF(AB61="Probabilidad",(T61-(+T61*AE61)),IF(AB61="Impacto",T61,"")),"")</f>
        <v/>
      </c>
      <c r="AJ61" s="193" t="str">
        <f>IFERROR(IF(AI61="","",IF(AI61&lt;=0.2,"Muy Baja",IF(AI61&lt;=0.4,"Baja",IF(AI61&lt;=0.6,"Media",IF(AI61&lt;=0.8,"Alta","Muy Alta"))))),"")</f>
        <v/>
      </c>
      <c r="AK61" s="191" t="str">
        <f>+AI61</f>
        <v/>
      </c>
      <c r="AL61" s="193" t="str">
        <f>IFERROR(IF(AM61="","",IF(AM61&lt;=0.2,"Leve",IF(AM61&lt;=0.4,"Menor",IF(AM61&lt;=0.6,"Moderado",IF(AM61&lt;=0.8,"Mayor","Catastrófico"))))),"")</f>
        <v/>
      </c>
      <c r="AM61" s="191" t="str">
        <f t="shared" ref="AM61" si="71">IFERROR(IF(AB61="Impacto",(X61-(+X61*AE61)),IF(AB61="Probabilidad",X61,"")),"")</f>
        <v/>
      </c>
      <c r="AN61" s="194" t="str">
        <f>IFERROR(IF(OR(AND(AJ61="Muy Baja",AL61="Leve"),AND(AJ61="Muy Baja",AL61="Menor"),AND(AJ61="Baja",AL61="Leve")),"Bajo",IF(OR(AND(AJ61="Muy baja",AL61="Moderado"),AND(AJ61="Baja",AL61="Menor"),AND(AJ61="Baja",AL61="Moderado"),AND(AJ61="Media",AL61="Leve"),AND(AJ61="Media",AL61="Menor"),AND(AJ61="Media",AL61="Moderado"),AND(AJ61="Alta",AL61="Leve"),AND(AJ61="Alta",AL61="Menor")),"Moderado",IF(OR(AND(AJ61="Muy Baja",AL61="Mayor"),AND(AJ61="Baja",AL61="Mayor"),AND(AJ61="Media",AL61="Mayor"),AND(AJ61="Alta",AL61="Moderado"),AND(AJ61="Alta",AL61="Mayor"),AND(AJ61="Muy Alta",AL61="Leve"),AND(AJ61="Muy Alta",AL61="Menor"),AND(AJ61="Muy Alta",AL61="Moderado"),AND(AJ61="Muy Alta",AL61="Mayor")),"Alto",IF(OR(AND(AJ61="Muy Baja",AL61="Catastrófico"),AND(AJ61="Baja",AL61="Catastrófico"),AND(AJ61="Media",AL61="Catastrófico"),AND(AJ61="Alta",AL61="Catastrófico"),AND(AJ61="Muy Alta",AL61="Catastrófico")),"Extremo","")))),"")</f>
        <v/>
      </c>
      <c r="AO61" s="195"/>
      <c r="AP61" s="186"/>
      <c r="AQ61" s="196"/>
      <c r="AR61" s="196"/>
      <c r="AS61" s="197"/>
      <c r="AT61" s="381"/>
      <c r="AU61" s="381"/>
      <c r="AV61" s="381"/>
    </row>
    <row r="62" spans="1:48" x14ac:dyDescent="0.2">
      <c r="A62" s="418"/>
      <c r="B62" s="387"/>
      <c r="C62" s="387"/>
      <c r="D62" s="387"/>
      <c r="E62" s="387"/>
      <c r="F62" s="387"/>
      <c r="G62" s="360"/>
      <c r="H62" s="360"/>
      <c r="I62" s="360"/>
      <c r="J62" s="360"/>
      <c r="K62" s="360"/>
      <c r="L62" s="360"/>
      <c r="M62" s="222"/>
      <c r="N62" s="222"/>
      <c r="O62" s="222"/>
      <c r="P62" s="360"/>
      <c r="Q62" s="360"/>
      <c r="R62" s="381"/>
      <c r="S62" s="367"/>
      <c r="T62" s="364"/>
      <c r="U62" s="353"/>
      <c r="V62" s="364">
        <f>IF(NOT(ISERROR(MATCH(U62,_xlfn.ANCHORARRAY(F73),0))),U75&amp;"Por favor no seleccionar los criterios de impacto",U62)</f>
        <v>0</v>
      </c>
      <c r="W62" s="367"/>
      <c r="X62" s="364"/>
      <c r="Y62" s="362"/>
      <c r="Z62" s="214">
        <v>2</v>
      </c>
      <c r="AA62" s="187"/>
      <c r="AB62" s="189" t="str">
        <f>IF(OR(AC62="Preventivo",AC62="Detectivo"),"Probabilidad",IF(AC62="Correctivo","Impacto",""))</f>
        <v/>
      </c>
      <c r="AC62" s="190"/>
      <c r="AD62" s="190"/>
      <c r="AE62" s="191" t="str">
        <f t="shared" ref="AE62:AE66" si="72">IF(AND(AC62="Preventivo",AD62="Automático"),"50%",IF(AND(AC62="Preventivo",AD62="Manual"),"40%",IF(AND(AC62="Detectivo",AD62="Automático"),"40%",IF(AND(AC62="Detectivo",AD62="Manual"),"30%",IF(AND(AC62="Correctivo",AD62="Automático"),"35%",IF(AND(AC62="Correctivo",AD62="Manual"),"25%",""))))))</f>
        <v/>
      </c>
      <c r="AF62" s="190"/>
      <c r="AG62" s="190"/>
      <c r="AH62" s="190"/>
      <c r="AI62" s="192" t="str">
        <f>IFERROR(IF(AND(AB61="Probabilidad",AB62="Probabilidad"),(AK61-(+AK61*AE62)),IF(AB62="Probabilidad",(T61-(+T61*AE62)),IF(AB62="Impacto",AK61,""))),"")</f>
        <v/>
      </c>
      <c r="AJ62" s="193" t="str">
        <f t="shared" si="2"/>
        <v/>
      </c>
      <c r="AK62" s="191" t="str">
        <f t="shared" ref="AK62:AK66" si="73">+AI62</f>
        <v/>
      </c>
      <c r="AL62" s="193" t="str">
        <f t="shared" si="4"/>
        <v/>
      </c>
      <c r="AM62" s="191" t="str">
        <f t="shared" ref="AM62" si="74">IFERROR(IF(AND(AB61="Impacto",AB62="Impacto"),(AM61-(+AM61*AE62)),IF(AB62="Impacto",($X$13-(+$X$13*AE62)),IF(AB62="Probabilidad",AM61,""))),"")</f>
        <v/>
      </c>
      <c r="AN62" s="194" t="str">
        <f t="shared" ref="AN62:AN63" si="75">IFERROR(IF(OR(AND(AJ62="Muy Baja",AL62="Leve"),AND(AJ62="Muy Baja",AL62="Menor"),AND(AJ62="Baja",AL62="Leve")),"Bajo",IF(OR(AND(AJ62="Muy baja",AL62="Moderado"),AND(AJ62="Baja",AL62="Menor"),AND(AJ62="Baja",AL62="Moderado"),AND(AJ62="Media",AL62="Leve"),AND(AJ62="Media",AL62="Menor"),AND(AJ62="Media",AL62="Moderado"),AND(AJ62="Alta",AL62="Leve"),AND(AJ62="Alta",AL62="Menor")),"Moderado",IF(OR(AND(AJ62="Muy Baja",AL62="Mayor"),AND(AJ62="Baja",AL62="Mayor"),AND(AJ62="Media",AL62="Mayor"),AND(AJ62="Alta",AL62="Moderado"),AND(AJ62="Alta",AL62="Mayor"),AND(AJ62="Muy Alta",AL62="Leve"),AND(AJ62="Muy Alta",AL62="Menor"),AND(AJ62="Muy Alta",AL62="Moderado"),AND(AJ62="Muy Alta",AL62="Mayor")),"Alto",IF(OR(AND(AJ62="Muy Baja",AL62="Catastrófico"),AND(AJ62="Baja",AL62="Catastrófico"),AND(AJ62="Media",AL62="Catastrófico"),AND(AJ62="Alta",AL62="Catastrófico"),AND(AJ62="Muy Alta",AL62="Catastrófico")),"Extremo","")))),"")</f>
        <v/>
      </c>
      <c r="AO62" s="195"/>
      <c r="AP62" s="186"/>
      <c r="AQ62" s="196"/>
      <c r="AR62" s="196"/>
      <c r="AS62" s="197"/>
      <c r="AT62" s="381"/>
      <c r="AU62" s="381"/>
      <c r="AV62" s="381"/>
    </row>
    <row r="63" spans="1:48" x14ac:dyDescent="0.2">
      <c r="A63" s="418"/>
      <c r="B63" s="387"/>
      <c r="C63" s="387"/>
      <c r="D63" s="387"/>
      <c r="E63" s="387"/>
      <c r="F63" s="387"/>
      <c r="G63" s="360"/>
      <c r="H63" s="360"/>
      <c r="I63" s="360"/>
      <c r="J63" s="360"/>
      <c r="K63" s="360"/>
      <c r="L63" s="360"/>
      <c r="M63" s="222"/>
      <c r="N63" s="222"/>
      <c r="O63" s="222"/>
      <c r="P63" s="360"/>
      <c r="Q63" s="360"/>
      <c r="R63" s="381"/>
      <c r="S63" s="367"/>
      <c r="T63" s="364"/>
      <c r="U63" s="353"/>
      <c r="V63" s="364">
        <f>IF(NOT(ISERROR(MATCH(U63,_xlfn.ANCHORARRAY(F74),0))),U76&amp;"Por favor no seleccionar los criterios de impacto",U63)</f>
        <v>0</v>
      </c>
      <c r="W63" s="367"/>
      <c r="X63" s="364"/>
      <c r="Y63" s="362"/>
      <c r="Z63" s="214">
        <v>3</v>
      </c>
      <c r="AA63" s="187"/>
      <c r="AB63" s="189" t="str">
        <f>IF(OR(AC63="Preventivo",AC63="Detectivo"),"Probabilidad",IF(AC63="Correctivo","Impacto",""))</f>
        <v/>
      </c>
      <c r="AC63" s="190"/>
      <c r="AD63" s="190"/>
      <c r="AE63" s="191" t="str">
        <f t="shared" si="72"/>
        <v/>
      </c>
      <c r="AF63" s="190"/>
      <c r="AG63" s="190"/>
      <c r="AH63" s="190"/>
      <c r="AI63" s="192" t="str">
        <f>IFERROR(IF(AND(AB62="Probabilidad",AB63="Probabilidad"),(AK62-(+AK62*AE63)),IF(AND(AB62="Impacto",AB63="Probabilidad"),(AK61-(+AK61*AE63)),IF(AB63="Impacto",AK62,""))),"")</f>
        <v/>
      </c>
      <c r="AJ63" s="193" t="str">
        <f t="shared" si="2"/>
        <v/>
      </c>
      <c r="AK63" s="191" t="str">
        <f t="shared" si="73"/>
        <v/>
      </c>
      <c r="AL63" s="193" t="str">
        <f t="shared" si="4"/>
        <v/>
      </c>
      <c r="AM63" s="191" t="str">
        <f t="shared" ref="AM63" si="76">IFERROR(IF(AND(AB62="Impacto",AB63="Impacto"),(AM62-(+AM62*AE63)),IF(AND(AB62="Probabilidad",AB63="Impacto"),(AM61-(+AM61*AE63)),IF(AB63="Probabilidad",AM62,""))),"")</f>
        <v/>
      </c>
      <c r="AN63" s="194" t="str">
        <f t="shared" si="75"/>
        <v/>
      </c>
      <c r="AO63" s="195"/>
      <c r="AP63" s="186"/>
      <c r="AQ63" s="196"/>
      <c r="AR63" s="196"/>
      <c r="AS63" s="197"/>
      <c r="AT63" s="381"/>
      <c r="AU63" s="381"/>
      <c r="AV63" s="381"/>
    </row>
    <row r="64" spans="1:48" x14ac:dyDescent="0.2">
      <c r="A64" s="418"/>
      <c r="B64" s="387"/>
      <c r="C64" s="387"/>
      <c r="D64" s="387"/>
      <c r="E64" s="387"/>
      <c r="F64" s="387"/>
      <c r="G64" s="360"/>
      <c r="H64" s="360"/>
      <c r="I64" s="360"/>
      <c r="J64" s="360"/>
      <c r="K64" s="360"/>
      <c r="L64" s="360"/>
      <c r="M64" s="222"/>
      <c r="N64" s="222"/>
      <c r="O64" s="222"/>
      <c r="P64" s="360"/>
      <c r="Q64" s="360"/>
      <c r="R64" s="381"/>
      <c r="S64" s="367"/>
      <c r="T64" s="364"/>
      <c r="U64" s="353"/>
      <c r="V64" s="364">
        <f>IF(NOT(ISERROR(MATCH(U64,_xlfn.ANCHORARRAY(F75),0))),U77&amp;"Por favor no seleccionar los criterios de impacto",U64)</f>
        <v>0</v>
      </c>
      <c r="W64" s="367"/>
      <c r="X64" s="364"/>
      <c r="Y64" s="362"/>
      <c r="Z64" s="214">
        <v>4</v>
      </c>
      <c r="AA64" s="187"/>
      <c r="AB64" s="189" t="str">
        <f t="shared" ref="AB64:AB66" si="77">IF(OR(AC64="Preventivo",AC64="Detectivo"),"Probabilidad",IF(AC64="Correctivo","Impacto",""))</f>
        <v/>
      </c>
      <c r="AC64" s="190"/>
      <c r="AD64" s="190"/>
      <c r="AE64" s="191" t="str">
        <f t="shared" si="72"/>
        <v/>
      </c>
      <c r="AF64" s="190"/>
      <c r="AG64" s="190"/>
      <c r="AH64" s="190"/>
      <c r="AI64" s="192" t="str">
        <f t="shared" ref="AI64:AI66" si="78">IFERROR(IF(AND(AB63="Probabilidad",AB64="Probabilidad"),(AK63-(+AK63*AE64)),IF(AND(AB63="Impacto",AB64="Probabilidad"),(AK62-(+AK62*AE64)),IF(AB64="Impacto",AK63,""))),"")</f>
        <v/>
      </c>
      <c r="AJ64" s="193" t="str">
        <f t="shared" si="2"/>
        <v/>
      </c>
      <c r="AK64" s="191" t="str">
        <f t="shared" si="73"/>
        <v/>
      </c>
      <c r="AL64" s="193" t="str">
        <f t="shared" si="4"/>
        <v/>
      </c>
      <c r="AM64" s="191" t="str">
        <f t="shared" si="13"/>
        <v/>
      </c>
      <c r="AN64" s="194" t="str">
        <f>IFERROR(IF(OR(AND(AJ64="Muy Baja",AL64="Leve"),AND(AJ64="Muy Baja",AL64="Menor"),AND(AJ64="Baja",AL64="Leve")),"Bajo",IF(OR(AND(AJ64="Muy baja",AL64="Moderado"),AND(AJ64="Baja",AL64="Menor"),AND(AJ64="Baja",AL64="Moderado"),AND(AJ64="Media",AL64="Leve"),AND(AJ64="Media",AL64="Menor"),AND(AJ64="Media",AL64="Moderado"),AND(AJ64="Alta",AL64="Leve"),AND(AJ64="Alta",AL64="Menor")),"Moderado",IF(OR(AND(AJ64="Muy Baja",AL64="Mayor"),AND(AJ64="Baja",AL64="Mayor"),AND(AJ64="Media",AL64="Mayor"),AND(AJ64="Alta",AL64="Moderado"),AND(AJ64="Alta",AL64="Mayor"),AND(AJ64="Muy Alta",AL64="Leve"),AND(AJ64="Muy Alta",AL64="Menor"),AND(AJ64="Muy Alta",AL64="Moderado"),AND(AJ64="Muy Alta",AL64="Mayor")),"Alto",IF(OR(AND(AJ64="Muy Baja",AL64="Catastrófico"),AND(AJ64="Baja",AL64="Catastrófico"),AND(AJ64="Media",AL64="Catastrófico"),AND(AJ64="Alta",AL64="Catastrófico"),AND(AJ64="Muy Alta",AL64="Catastrófico")),"Extremo","")))),"")</f>
        <v/>
      </c>
      <c r="AO64" s="195"/>
      <c r="AP64" s="186"/>
      <c r="AQ64" s="196"/>
      <c r="AR64" s="196"/>
      <c r="AS64" s="197"/>
      <c r="AT64" s="381"/>
      <c r="AU64" s="381"/>
      <c r="AV64" s="381"/>
    </row>
    <row r="65" spans="1:48" x14ac:dyDescent="0.2">
      <c r="A65" s="418"/>
      <c r="B65" s="387"/>
      <c r="C65" s="387"/>
      <c r="D65" s="387"/>
      <c r="E65" s="387"/>
      <c r="F65" s="387"/>
      <c r="G65" s="360"/>
      <c r="H65" s="360"/>
      <c r="I65" s="360"/>
      <c r="J65" s="360"/>
      <c r="K65" s="360"/>
      <c r="L65" s="360"/>
      <c r="M65" s="222"/>
      <c r="N65" s="222"/>
      <c r="O65" s="222"/>
      <c r="P65" s="360"/>
      <c r="Q65" s="360"/>
      <c r="R65" s="381"/>
      <c r="S65" s="367"/>
      <c r="T65" s="364"/>
      <c r="U65" s="353"/>
      <c r="V65" s="364">
        <f>IF(NOT(ISERROR(MATCH(U65,_xlfn.ANCHORARRAY(F76),0))),U78&amp;"Por favor no seleccionar los criterios de impacto",U65)</f>
        <v>0</v>
      </c>
      <c r="W65" s="367"/>
      <c r="X65" s="364"/>
      <c r="Y65" s="362"/>
      <c r="Z65" s="214">
        <v>5</v>
      </c>
      <c r="AA65" s="187"/>
      <c r="AB65" s="189" t="str">
        <f t="shared" si="77"/>
        <v/>
      </c>
      <c r="AC65" s="190"/>
      <c r="AD65" s="190"/>
      <c r="AE65" s="191" t="str">
        <f t="shared" si="72"/>
        <v/>
      </c>
      <c r="AF65" s="190"/>
      <c r="AG65" s="190"/>
      <c r="AH65" s="190"/>
      <c r="AI65" s="192" t="str">
        <f t="shared" si="78"/>
        <v/>
      </c>
      <c r="AJ65" s="193" t="str">
        <f t="shared" si="2"/>
        <v/>
      </c>
      <c r="AK65" s="191" t="str">
        <f t="shared" si="73"/>
        <v/>
      </c>
      <c r="AL65" s="193" t="str">
        <f t="shared" si="4"/>
        <v/>
      </c>
      <c r="AM65" s="191" t="str">
        <f t="shared" si="13"/>
        <v/>
      </c>
      <c r="AN65" s="194" t="str">
        <f t="shared" ref="AN65:AN66" si="79">IFERROR(IF(OR(AND(AJ65="Muy Baja",AL65="Leve"),AND(AJ65="Muy Baja",AL65="Menor"),AND(AJ65="Baja",AL65="Leve")),"Bajo",IF(OR(AND(AJ65="Muy baja",AL65="Moderado"),AND(AJ65="Baja",AL65="Menor"),AND(AJ65="Baja",AL65="Moderado"),AND(AJ65="Media",AL65="Leve"),AND(AJ65="Media",AL65="Menor"),AND(AJ65="Media",AL65="Moderado"),AND(AJ65="Alta",AL65="Leve"),AND(AJ65="Alta",AL65="Menor")),"Moderado",IF(OR(AND(AJ65="Muy Baja",AL65="Mayor"),AND(AJ65="Baja",AL65="Mayor"),AND(AJ65="Media",AL65="Mayor"),AND(AJ65="Alta",AL65="Moderado"),AND(AJ65="Alta",AL65="Mayor"),AND(AJ65="Muy Alta",AL65="Leve"),AND(AJ65="Muy Alta",AL65="Menor"),AND(AJ65="Muy Alta",AL65="Moderado"),AND(AJ65="Muy Alta",AL65="Mayor")),"Alto",IF(OR(AND(AJ65="Muy Baja",AL65="Catastrófico"),AND(AJ65="Baja",AL65="Catastrófico"),AND(AJ65="Media",AL65="Catastrófico"),AND(AJ65="Alta",AL65="Catastrófico"),AND(AJ65="Muy Alta",AL65="Catastrófico")),"Extremo","")))),"")</f>
        <v/>
      </c>
      <c r="AO65" s="195"/>
      <c r="AP65" s="186"/>
      <c r="AQ65" s="196"/>
      <c r="AR65" s="196"/>
      <c r="AS65" s="197"/>
      <c r="AT65" s="381"/>
      <c r="AU65" s="381"/>
      <c r="AV65" s="381"/>
    </row>
    <row r="66" spans="1:48" x14ac:dyDescent="0.2">
      <c r="A66" s="418"/>
      <c r="B66" s="387"/>
      <c r="C66" s="387"/>
      <c r="D66" s="387"/>
      <c r="E66" s="387"/>
      <c r="F66" s="387"/>
      <c r="G66" s="373"/>
      <c r="H66" s="373"/>
      <c r="I66" s="373"/>
      <c r="J66" s="373"/>
      <c r="K66" s="373"/>
      <c r="L66" s="373"/>
      <c r="M66" s="223"/>
      <c r="N66" s="223"/>
      <c r="O66" s="223"/>
      <c r="P66" s="373"/>
      <c r="Q66" s="373"/>
      <c r="R66" s="381"/>
      <c r="S66" s="367"/>
      <c r="T66" s="364"/>
      <c r="U66" s="353"/>
      <c r="V66" s="364">
        <f>IF(NOT(ISERROR(MATCH(U66,_xlfn.ANCHORARRAY(F77),0))),U79&amp;"Por favor no seleccionar los criterios de impacto",U66)</f>
        <v>0</v>
      </c>
      <c r="W66" s="367"/>
      <c r="X66" s="364"/>
      <c r="Y66" s="362"/>
      <c r="Z66" s="214">
        <v>6</v>
      </c>
      <c r="AA66" s="187"/>
      <c r="AB66" s="189" t="str">
        <f t="shared" si="77"/>
        <v/>
      </c>
      <c r="AC66" s="190"/>
      <c r="AD66" s="190"/>
      <c r="AE66" s="191" t="str">
        <f t="shared" si="72"/>
        <v/>
      </c>
      <c r="AF66" s="190"/>
      <c r="AG66" s="190"/>
      <c r="AH66" s="190"/>
      <c r="AI66" s="192" t="str">
        <f t="shared" si="78"/>
        <v/>
      </c>
      <c r="AJ66" s="193" t="str">
        <f t="shared" si="2"/>
        <v/>
      </c>
      <c r="AK66" s="191" t="str">
        <f t="shared" si="73"/>
        <v/>
      </c>
      <c r="AL66" s="193" t="str">
        <f t="shared" si="4"/>
        <v/>
      </c>
      <c r="AM66" s="191" t="str">
        <f t="shared" si="13"/>
        <v/>
      </c>
      <c r="AN66" s="194" t="str">
        <f t="shared" si="79"/>
        <v/>
      </c>
      <c r="AO66" s="195"/>
      <c r="AP66" s="186"/>
      <c r="AQ66" s="196"/>
      <c r="AR66" s="196"/>
      <c r="AS66" s="197"/>
      <c r="AT66" s="381"/>
      <c r="AU66" s="381"/>
      <c r="AV66" s="381"/>
    </row>
    <row r="67" spans="1:48" x14ac:dyDescent="0.2">
      <c r="A67" s="418">
        <v>10</v>
      </c>
      <c r="B67" s="387"/>
      <c r="C67" s="387"/>
      <c r="D67" s="387"/>
      <c r="E67" s="387"/>
      <c r="F67" s="387"/>
      <c r="G67" s="392"/>
      <c r="H67" s="392"/>
      <c r="I67" s="392"/>
      <c r="J67" s="392"/>
      <c r="K67" s="392"/>
      <c r="L67" s="392"/>
      <c r="M67" s="221"/>
      <c r="N67" s="221"/>
      <c r="O67" s="221"/>
      <c r="P67" s="392"/>
      <c r="Q67" s="392"/>
      <c r="R67" s="381"/>
      <c r="S67" s="367" t="str">
        <f>IF(R67&lt;=0,"",IF(R67&lt;=2,"Muy Baja",IF(R67&lt;=24,"Baja",IF(R67&lt;=500,"Media",IF(R67&lt;=5000,"Alta","Muy Alta")))))</f>
        <v/>
      </c>
      <c r="T67" s="364" t="str">
        <f>IF(S67="","",IF(S67="Muy Baja",0.2,IF(S67="Baja",0.4,IF(S67="Media",0.6,IF(S67="Alta",0.8,IF(S67="Muy Alta",1,))))))</f>
        <v/>
      </c>
      <c r="U67" s="353"/>
      <c r="V67" s="364">
        <f>IF(NOT(ISERROR(MATCH(U67,'Tabla Impacto'!$B$222:$B$224,0))),'Tabla Impacto'!$F$224&amp;"Por favor no seleccionar los criterios de impacto(Afectación Económica o presupuestal y Pérdida Reputacional)",U67)</f>
        <v>0</v>
      </c>
      <c r="W67" s="367" t="str">
        <f>IF(OR(V67='Tabla Impacto'!$C$12,V67='Tabla Impacto'!$D$12),"Leve",IF(OR(V67='Tabla Impacto'!$C$13,V67='Tabla Impacto'!$D$13),"Menor",IF(OR(V67='Tabla Impacto'!$C$14,V67='Tabla Impacto'!$D$14),"Moderado",IF(OR(V67='Tabla Impacto'!$C$15,V67='Tabla Impacto'!$D$15),"Mayor",IF(OR(V67='Tabla Impacto'!$C$16,V67='Tabla Impacto'!$D$16),"Catastrófico","")))))</f>
        <v/>
      </c>
      <c r="X67" s="364" t="str">
        <f>IF(W67="","",IF(W67="Leve",0.2,IF(W67="Menor",0.4,IF(W67="Moderado",0.6,IF(W67="Mayor",0.8,IF(W67="Catastrófico",1,))))))</f>
        <v/>
      </c>
      <c r="Y67" s="362" t="str">
        <f>IF(OR(AND(S67="Muy Baja",W67="Leve"),AND(S67="Muy Baja",W67="Menor"),AND(S67="Baja",W67="Leve")),"Bajo",IF(OR(AND(S67="Muy baja",W67="Moderado"),AND(S67="Baja",W67="Menor"),AND(S67="Baja",W67="Moderado"),AND(S67="Media",W67="Leve"),AND(S67="Media",W67="Menor"),AND(S67="Media",W67="Moderado"),AND(S67="Alta",W67="Leve"),AND(S67="Alta",W67="Menor")),"Moderado",IF(OR(AND(S67="Muy Baja",W67="Mayor"),AND(S67="Baja",W67="Mayor"),AND(S67="Media",W67="Mayor"),AND(S67="Alta",W67="Moderado"),AND(S67="Alta",W67="Mayor"),AND(S67="Muy Alta",W67="Leve"),AND(S67="Muy Alta",W67="Menor"),AND(S67="Muy Alta",W67="Moderado"),AND(S67="Muy Alta",W67="Mayor")),"Alto",IF(OR(AND(S67="Muy Baja",W67="Catastrófico"),AND(S67="Baja",W67="Catastrófico"),AND(S67="Media",W67="Catastrófico"),AND(S67="Alta",W67="Catastrófico"),AND(S67="Muy Alta",W67="Catastrófico")),"Extremo",""))))</f>
        <v/>
      </c>
      <c r="Z67" s="214">
        <v>1</v>
      </c>
      <c r="AA67" s="187"/>
      <c r="AB67" s="189" t="str">
        <f>IF(OR(AC67="Preventivo",AC67="Detectivo"),"Probabilidad",IF(AC67="Correctivo","Impacto",""))</f>
        <v/>
      </c>
      <c r="AC67" s="190"/>
      <c r="AD67" s="190"/>
      <c r="AE67" s="191" t="str">
        <f>IF(AND(AC67="Preventivo",AD67="Automático"),"50%",IF(AND(AC67="Preventivo",AD67="Manual"),"40%",IF(AND(AC67="Detectivo",AD67="Automático"),"40%",IF(AND(AC67="Detectivo",AD67="Manual"),"30%",IF(AND(AC67="Correctivo",AD67="Automático"),"35%",IF(AND(AC67="Correctivo",AD67="Manual"),"25%",""))))))</f>
        <v/>
      </c>
      <c r="AF67" s="190"/>
      <c r="AG67" s="190"/>
      <c r="AH67" s="190"/>
      <c r="AI67" s="192" t="str">
        <f>IFERROR(IF(AB67="Probabilidad",(T67-(+T67*AE67)),IF(AB67="Impacto",T67,"")),"")</f>
        <v/>
      </c>
      <c r="AJ67" s="193" t="str">
        <f>IFERROR(IF(AI67="","",IF(AI67&lt;=0.2,"Muy Baja",IF(AI67&lt;=0.4,"Baja",IF(AI67&lt;=0.6,"Media",IF(AI67&lt;=0.8,"Alta","Muy Alta"))))),"")</f>
        <v/>
      </c>
      <c r="AK67" s="191" t="str">
        <f>+AI67</f>
        <v/>
      </c>
      <c r="AL67" s="193" t="str">
        <f>IFERROR(IF(AM67="","",IF(AM67&lt;=0.2,"Leve",IF(AM67&lt;=0.4,"Menor",IF(AM67&lt;=0.6,"Moderado",IF(AM67&lt;=0.8,"Mayor","Catastrófico"))))),"")</f>
        <v/>
      </c>
      <c r="AM67" s="191" t="str">
        <f t="shared" ref="AM67" si="80">IFERROR(IF(AB67="Impacto",(X67-(+X67*AE67)),IF(AB67="Probabilidad",X67,"")),"")</f>
        <v/>
      </c>
      <c r="AN67" s="194" t="str">
        <f>IFERROR(IF(OR(AND(AJ67="Muy Baja",AL67="Leve"),AND(AJ67="Muy Baja",AL67="Menor"),AND(AJ67="Baja",AL67="Leve")),"Bajo",IF(OR(AND(AJ67="Muy baja",AL67="Moderado"),AND(AJ67="Baja",AL67="Menor"),AND(AJ67="Baja",AL67="Moderado"),AND(AJ67="Media",AL67="Leve"),AND(AJ67="Media",AL67="Menor"),AND(AJ67="Media",AL67="Moderado"),AND(AJ67="Alta",AL67="Leve"),AND(AJ67="Alta",AL67="Menor")),"Moderado",IF(OR(AND(AJ67="Muy Baja",AL67="Mayor"),AND(AJ67="Baja",AL67="Mayor"),AND(AJ67="Media",AL67="Mayor"),AND(AJ67="Alta",AL67="Moderado"),AND(AJ67="Alta",AL67="Mayor"),AND(AJ67="Muy Alta",AL67="Leve"),AND(AJ67="Muy Alta",AL67="Menor"),AND(AJ67="Muy Alta",AL67="Moderado"),AND(AJ67="Muy Alta",AL67="Mayor")),"Alto",IF(OR(AND(AJ67="Muy Baja",AL67="Catastrófico"),AND(AJ67="Baja",AL67="Catastrófico"),AND(AJ67="Media",AL67="Catastrófico"),AND(AJ67="Alta",AL67="Catastrófico"),AND(AJ67="Muy Alta",AL67="Catastrófico")),"Extremo","")))),"")</f>
        <v/>
      </c>
      <c r="AO67" s="195"/>
      <c r="AP67" s="186"/>
      <c r="AQ67" s="196"/>
      <c r="AR67" s="196"/>
      <c r="AS67" s="197"/>
      <c r="AT67" s="381"/>
      <c r="AU67" s="381"/>
      <c r="AV67" s="381"/>
    </row>
    <row r="68" spans="1:48" x14ac:dyDescent="0.2">
      <c r="A68" s="418"/>
      <c r="B68" s="387"/>
      <c r="C68" s="387"/>
      <c r="D68" s="387"/>
      <c r="E68" s="387"/>
      <c r="F68" s="387"/>
      <c r="G68" s="360"/>
      <c r="H68" s="360"/>
      <c r="I68" s="360"/>
      <c r="J68" s="360"/>
      <c r="K68" s="360"/>
      <c r="L68" s="360"/>
      <c r="M68" s="222"/>
      <c r="N68" s="222"/>
      <c r="O68" s="222"/>
      <c r="P68" s="360"/>
      <c r="Q68" s="360"/>
      <c r="R68" s="381"/>
      <c r="S68" s="367"/>
      <c r="T68" s="364"/>
      <c r="U68" s="353"/>
      <c r="V68" s="364">
        <f>IF(NOT(ISERROR(MATCH(U68,_xlfn.ANCHORARRAY(F79),0))),U81&amp;"Por favor no seleccionar los criterios de impacto",U68)</f>
        <v>0</v>
      </c>
      <c r="W68" s="367"/>
      <c r="X68" s="364"/>
      <c r="Y68" s="362"/>
      <c r="Z68" s="214">
        <v>2</v>
      </c>
      <c r="AA68" s="187"/>
      <c r="AB68" s="189" t="str">
        <f>IF(OR(AC68="Preventivo",AC68="Detectivo"),"Probabilidad",IF(AC68="Correctivo","Impacto",""))</f>
        <v/>
      </c>
      <c r="AC68" s="190"/>
      <c r="AD68" s="190"/>
      <c r="AE68" s="191" t="str">
        <f t="shared" ref="AE68:AE72" si="81">IF(AND(AC68="Preventivo",AD68="Automático"),"50%",IF(AND(AC68="Preventivo",AD68="Manual"),"40%",IF(AND(AC68="Detectivo",AD68="Automático"),"40%",IF(AND(AC68="Detectivo",AD68="Manual"),"30%",IF(AND(AC68="Correctivo",AD68="Automático"),"35%",IF(AND(AC68="Correctivo",AD68="Manual"),"25%",""))))))</f>
        <v/>
      </c>
      <c r="AF68" s="190"/>
      <c r="AG68" s="190"/>
      <c r="AH68" s="190"/>
      <c r="AI68" s="192" t="str">
        <f>IFERROR(IF(AND(AB67="Probabilidad",AB68="Probabilidad"),(AK67-(+AK67*AE68)),IF(AB68="Probabilidad",(T67-(+T67*AE68)),IF(AB68="Impacto",AK67,""))),"")</f>
        <v/>
      </c>
      <c r="AJ68" s="193" t="str">
        <f t="shared" si="2"/>
        <v/>
      </c>
      <c r="AK68" s="191" t="str">
        <f t="shared" ref="AK68:AK72" si="82">+AI68</f>
        <v/>
      </c>
      <c r="AL68" s="193" t="str">
        <f t="shared" si="4"/>
        <v/>
      </c>
      <c r="AM68" s="191" t="str">
        <f t="shared" ref="AM68" si="83">IFERROR(IF(AND(AB67="Impacto",AB68="Impacto"),(AM67-(+AM67*AE68)),IF(AB68="Impacto",($X$13-(+$X$13*AE68)),IF(AB68="Probabilidad",AM67,""))),"")</f>
        <v/>
      </c>
      <c r="AN68" s="194" t="str">
        <f t="shared" ref="AN68:AN69" si="84">IFERROR(IF(OR(AND(AJ68="Muy Baja",AL68="Leve"),AND(AJ68="Muy Baja",AL68="Menor"),AND(AJ68="Baja",AL68="Leve")),"Bajo",IF(OR(AND(AJ68="Muy baja",AL68="Moderado"),AND(AJ68="Baja",AL68="Menor"),AND(AJ68="Baja",AL68="Moderado"),AND(AJ68="Media",AL68="Leve"),AND(AJ68="Media",AL68="Menor"),AND(AJ68="Media",AL68="Moderado"),AND(AJ68="Alta",AL68="Leve"),AND(AJ68="Alta",AL68="Menor")),"Moderado",IF(OR(AND(AJ68="Muy Baja",AL68="Mayor"),AND(AJ68="Baja",AL68="Mayor"),AND(AJ68="Media",AL68="Mayor"),AND(AJ68="Alta",AL68="Moderado"),AND(AJ68="Alta",AL68="Mayor"),AND(AJ68="Muy Alta",AL68="Leve"),AND(AJ68="Muy Alta",AL68="Menor"),AND(AJ68="Muy Alta",AL68="Moderado"),AND(AJ68="Muy Alta",AL68="Mayor")),"Alto",IF(OR(AND(AJ68="Muy Baja",AL68="Catastrófico"),AND(AJ68="Baja",AL68="Catastrófico"),AND(AJ68="Media",AL68="Catastrófico"),AND(AJ68="Alta",AL68="Catastrófico"),AND(AJ68="Muy Alta",AL68="Catastrófico")),"Extremo","")))),"")</f>
        <v/>
      </c>
      <c r="AO68" s="195"/>
      <c r="AP68" s="186"/>
      <c r="AQ68" s="196"/>
      <c r="AR68" s="196"/>
      <c r="AS68" s="197"/>
      <c r="AT68" s="381"/>
      <c r="AU68" s="381"/>
      <c r="AV68" s="381"/>
    </row>
    <row r="69" spans="1:48" x14ac:dyDescent="0.2">
      <c r="A69" s="418"/>
      <c r="B69" s="387"/>
      <c r="C69" s="387"/>
      <c r="D69" s="387"/>
      <c r="E69" s="387"/>
      <c r="F69" s="387"/>
      <c r="G69" s="360"/>
      <c r="H69" s="360"/>
      <c r="I69" s="360"/>
      <c r="J69" s="360"/>
      <c r="K69" s="360"/>
      <c r="L69" s="360"/>
      <c r="M69" s="222"/>
      <c r="N69" s="222"/>
      <c r="O69" s="222"/>
      <c r="P69" s="360"/>
      <c r="Q69" s="360"/>
      <c r="R69" s="381"/>
      <c r="S69" s="367"/>
      <c r="T69" s="364"/>
      <c r="U69" s="353"/>
      <c r="V69" s="364">
        <f>IF(NOT(ISERROR(MATCH(U69,_xlfn.ANCHORARRAY(F80),0))),U82&amp;"Por favor no seleccionar los criterios de impacto",U69)</f>
        <v>0</v>
      </c>
      <c r="W69" s="367"/>
      <c r="X69" s="364"/>
      <c r="Y69" s="362"/>
      <c r="Z69" s="214">
        <v>3</v>
      </c>
      <c r="AA69" s="187"/>
      <c r="AB69" s="189" t="str">
        <f>IF(OR(AC69="Preventivo",AC69="Detectivo"),"Probabilidad",IF(AC69="Correctivo","Impacto",""))</f>
        <v/>
      </c>
      <c r="AC69" s="190"/>
      <c r="AD69" s="190"/>
      <c r="AE69" s="191" t="str">
        <f t="shared" si="81"/>
        <v/>
      </c>
      <c r="AF69" s="190"/>
      <c r="AG69" s="190"/>
      <c r="AH69" s="190"/>
      <c r="AI69" s="192" t="str">
        <f>IFERROR(IF(AND(AB68="Probabilidad",AB69="Probabilidad"),(AK68-(+AK68*AE69)),IF(AND(AB68="Impacto",AB69="Probabilidad"),(AK67-(+AK67*AE69)),IF(AB69="Impacto",AK68,""))),"")</f>
        <v/>
      </c>
      <c r="AJ69" s="193" t="str">
        <f t="shared" si="2"/>
        <v/>
      </c>
      <c r="AK69" s="191" t="str">
        <f t="shared" si="82"/>
        <v/>
      </c>
      <c r="AL69" s="193" t="str">
        <f t="shared" si="4"/>
        <v/>
      </c>
      <c r="AM69" s="191" t="str">
        <f t="shared" ref="AM69" si="85">IFERROR(IF(AND(AB68="Impacto",AB69="Impacto"),(AM68-(+AM68*AE69)),IF(AND(AB68="Probabilidad",AB69="Impacto"),(AM67-(+AM67*AE69)),IF(AB69="Probabilidad",AM68,""))),"")</f>
        <v/>
      </c>
      <c r="AN69" s="194" t="str">
        <f t="shared" si="84"/>
        <v/>
      </c>
      <c r="AO69" s="195"/>
      <c r="AP69" s="186"/>
      <c r="AQ69" s="196"/>
      <c r="AR69" s="196"/>
      <c r="AS69" s="197"/>
      <c r="AT69" s="381"/>
      <c r="AU69" s="381"/>
      <c r="AV69" s="381"/>
    </row>
    <row r="70" spans="1:48" x14ac:dyDescent="0.2">
      <c r="A70" s="418"/>
      <c r="B70" s="387"/>
      <c r="C70" s="387"/>
      <c r="D70" s="387"/>
      <c r="E70" s="387"/>
      <c r="F70" s="387"/>
      <c r="G70" s="360"/>
      <c r="H70" s="360"/>
      <c r="I70" s="360"/>
      <c r="J70" s="360"/>
      <c r="K70" s="360"/>
      <c r="L70" s="360"/>
      <c r="M70" s="222"/>
      <c r="N70" s="222"/>
      <c r="O70" s="222"/>
      <c r="P70" s="360"/>
      <c r="Q70" s="360"/>
      <c r="R70" s="381"/>
      <c r="S70" s="367"/>
      <c r="T70" s="364"/>
      <c r="U70" s="353"/>
      <c r="V70" s="364">
        <f>IF(NOT(ISERROR(MATCH(U70,_xlfn.ANCHORARRAY(F81),0))),U83&amp;"Por favor no seleccionar los criterios de impacto",U70)</f>
        <v>0</v>
      </c>
      <c r="W70" s="367"/>
      <c r="X70" s="364"/>
      <c r="Y70" s="362"/>
      <c r="Z70" s="214">
        <v>4</v>
      </c>
      <c r="AA70" s="187"/>
      <c r="AB70" s="189" t="str">
        <f t="shared" ref="AB70:AB72" si="86">IF(OR(AC70="Preventivo",AC70="Detectivo"),"Probabilidad",IF(AC70="Correctivo","Impacto",""))</f>
        <v/>
      </c>
      <c r="AC70" s="190"/>
      <c r="AD70" s="190"/>
      <c r="AE70" s="191" t="str">
        <f t="shared" si="81"/>
        <v/>
      </c>
      <c r="AF70" s="190"/>
      <c r="AG70" s="190"/>
      <c r="AH70" s="190"/>
      <c r="AI70" s="192" t="str">
        <f t="shared" ref="AI70:AI72" si="87">IFERROR(IF(AND(AB69="Probabilidad",AB70="Probabilidad"),(AK69-(+AK69*AE70)),IF(AND(AB69="Impacto",AB70="Probabilidad"),(AK68-(+AK68*AE70)),IF(AB70="Impacto",AK69,""))),"")</f>
        <v/>
      </c>
      <c r="AJ70" s="193" t="str">
        <f t="shared" si="2"/>
        <v/>
      </c>
      <c r="AK70" s="191" t="str">
        <f t="shared" si="82"/>
        <v/>
      </c>
      <c r="AL70" s="193" t="str">
        <f t="shared" si="4"/>
        <v/>
      </c>
      <c r="AM70" s="191" t="str">
        <f t="shared" si="13"/>
        <v/>
      </c>
      <c r="AN70" s="194" t="str">
        <f>IFERROR(IF(OR(AND(AJ70="Muy Baja",AL70="Leve"),AND(AJ70="Muy Baja",AL70="Menor"),AND(AJ70="Baja",AL70="Leve")),"Bajo",IF(OR(AND(AJ70="Muy baja",AL70="Moderado"),AND(AJ70="Baja",AL70="Menor"),AND(AJ70="Baja",AL70="Moderado"),AND(AJ70="Media",AL70="Leve"),AND(AJ70="Media",AL70="Menor"),AND(AJ70="Media",AL70="Moderado"),AND(AJ70="Alta",AL70="Leve"),AND(AJ70="Alta",AL70="Menor")),"Moderado",IF(OR(AND(AJ70="Muy Baja",AL70="Mayor"),AND(AJ70="Baja",AL70="Mayor"),AND(AJ70="Media",AL70="Mayor"),AND(AJ70="Alta",AL70="Moderado"),AND(AJ70="Alta",AL70="Mayor"),AND(AJ70="Muy Alta",AL70="Leve"),AND(AJ70="Muy Alta",AL70="Menor"),AND(AJ70="Muy Alta",AL70="Moderado"),AND(AJ70="Muy Alta",AL70="Mayor")),"Alto",IF(OR(AND(AJ70="Muy Baja",AL70="Catastrófico"),AND(AJ70="Baja",AL70="Catastrófico"),AND(AJ70="Media",AL70="Catastrófico"),AND(AJ70="Alta",AL70="Catastrófico"),AND(AJ70="Muy Alta",AL70="Catastrófico")),"Extremo","")))),"")</f>
        <v/>
      </c>
      <c r="AO70" s="195"/>
      <c r="AP70" s="186"/>
      <c r="AQ70" s="196"/>
      <c r="AR70" s="196"/>
      <c r="AS70" s="197"/>
      <c r="AT70" s="381"/>
      <c r="AU70" s="381"/>
      <c r="AV70" s="381"/>
    </row>
    <row r="71" spans="1:48" x14ac:dyDescent="0.2">
      <c r="A71" s="418"/>
      <c r="B71" s="387"/>
      <c r="C71" s="387"/>
      <c r="D71" s="387"/>
      <c r="E71" s="387"/>
      <c r="F71" s="387"/>
      <c r="G71" s="360"/>
      <c r="H71" s="360"/>
      <c r="I71" s="360"/>
      <c r="J71" s="360"/>
      <c r="K71" s="360"/>
      <c r="L71" s="360"/>
      <c r="M71" s="222"/>
      <c r="N71" s="222"/>
      <c r="O71" s="222"/>
      <c r="P71" s="360"/>
      <c r="Q71" s="360"/>
      <c r="R71" s="381"/>
      <c r="S71" s="367"/>
      <c r="T71" s="364"/>
      <c r="U71" s="353"/>
      <c r="V71" s="364">
        <f>IF(NOT(ISERROR(MATCH(U71,_xlfn.ANCHORARRAY(F82),0))),U84&amp;"Por favor no seleccionar los criterios de impacto",U71)</f>
        <v>0</v>
      </c>
      <c r="W71" s="367"/>
      <c r="X71" s="364"/>
      <c r="Y71" s="362"/>
      <c r="Z71" s="214">
        <v>5</v>
      </c>
      <c r="AA71" s="187"/>
      <c r="AB71" s="189" t="str">
        <f t="shared" si="86"/>
        <v/>
      </c>
      <c r="AC71" s="190"/>
      <c r="AD71" s="190"/>
      <c r="AE71" s="191" t="str">
        <f t="shared" si="81"/>
        <v/>
      </c>
      <c r="AF71" s="190"/>
      <c r="AG71" s="190"/>
      <c r="AH71" s="190"/>
      <c r="AI71" s="192" t="str">
        <f t="shared" si="87"/>
        <v/>
      </c>
      <c r="AJ71" s="193" t="str">
        <f t="shared" si="2"/>
        <v/>
      </c>
      <c r="AK71" s="191" t="str">
        <f t="shared" si="82"/>
        <v/>
      </c>
      <c r="AL71" s="193" t="str">
        <f t="shared" si="4"/>
        <v/>
      </c>
      <c r="AM71" s="191" t="str">
        <f t="shared" si="13"/>
        <v/>
      </c>
      <c r="AN71" s="194" t="str">
        <f t="shared" ref="AN71:AN72" si="88">IFERROR(IF(OR(AND(AJ71="Muy Baja",AL71="Leve"),AND(AJ71="Muy Baja",AL71="Menor"),AND(AJ71="Baja",AL71="Leve")),"Bajo",IF(OR(AND(AJ71="Muy baja",AL71="Moderado"),AND(AJ71="Baja",AL71="Menor"),AND(AJ71="Baja",AL71="Moderado"),AND(AJ71="Media",AL71="Leve"),AND(AJ71="Media",AL71="Menor"),AND(AJ71="Media",AL71="Moderado"),AND(AJ71="Alta",AL71="Leve"),AND(AJ71="Alta",AL71="Menor")),"Moderado",IF(OR(AND(AJ71="Muy Baja",AL71="Mayor"),AND(AJ71="Baja",AL71="Mayor"),AND(AJ71="Media",AL71="Mayor"),AND(AJ71="Alta",AL71="Moderado"),AND(AJ71="Alta",AL71="Mayor"),AND(AJ71="Muy Alta",AL71="Leve"),AND(AJ71="Muy Alta",AL71="Menor"),AND(AJ71="Muy Alta",AL71="Moderado"),AND(AJ71="Muy Alta",AL71="Mayor")),"Alto",IF(OR(AND(AJ71="Muy Baja",AL71="Catastrófico"),AND(AJ71="Baja",AL71="Catastrófico"),AND(AJ71="Media",AL71="Catastrófico"),AND(AJ71="Alta",AL71="Catastrófico"),AND(AJ71="Muy Alta",AL71="Catastrófico")),"Extremo","")))),"")</f>
        <v/>
      </c>
      <c r="AO71" s="195"/>
      <c r="AP71" s="186"/>
      <c r="AQ71" s="196"/>
      <c r="AR71" s="196"/>
      <c r="AS71" s="197"/>
      <c r="AT71" s="381"/>
      <c r="AU71" s="381"/>
      <c r="AV71" s="381"/>
    </row>
    <row r="72" spans="1:48" x14ac:dyDescent="0.2">
      <c r="A72" s="418"/>
      <c r="B72" s="387"/>
      <c r="C72" s="387"/>
      <c r="D72" s="387"/>
      <c r="E72" s="387"/>
      <c r="F72" s="387"/>
      <c r="G72" s="373"/>
      <c r="H72" s="373"/>
      <c r="I72" s="373"/>
      <c r="J72" s="373"/>
      <c r="K72" s="373"/>
      <c r="L72" s="373"/>
      <c r="M72" s="223"/>
      <c r="N72" s="223"/>
      <c r="O72" s="223"/>
      <c r="P72" s="373"/>
      <c r="Q72" s="373"/>
      <c r="R72" s="381"/>
      <c r="S72" s="367"/>
      <c r="T72" s="364"/>
      <c r="U72" s="353"/>
      <c r="V72" s="364">
        <f>IF(NOT(ISERROR(MATCH(U72,_xlfn.ANCHORARRAY(F83),0))),U85&amp;"Por favor no seleccionar los criterios de impacto",U72)</f>
        <v>0</v>
      </c>
      <c r="W72" s="367"/>
      <c r="X72" s="364"/>
      <c r="Y72" s="362"/>
      <c r="Z72" s="214">
        <v>6</v>
      </c>
      <c r="AA72" s="187"/>
      <c r="AB72" s="189" t="str">
        <f t="shared" si="86"/>
        <v/>
      </c>
      <c r="AC72" s="190"/>
      <c r="AD72" s="190"/>
      <c r="AE72" s="191" t="str">
        <f t="shared" si="81"/>
        <v/>
      </c>
      <c r="AF72" s="190"/>
      <c r="AG72" s="190"/>
      <c r="AH72" s="190"/>
      <c r="AI72" s="192" t="str">
        <f t="shared" si="87"/>
        <v/>
      </c>
      <c r="AJ72" s="193" t="str">
        <f t="shared" si="2"/>
        <v/>
      </c>
      <c r="AK72" s="191" t="str">
        <f t="shared" si="82"/>
        <v/>
      </c>
      <c r="AL72" s="193" t="str">
        <f t="shared" si="4"/>
        <v/>
      </c>
      <c r="AM72" s="191" t="str">
        <f t="shared" si="13"/>
        <v/>
      </c>
      <c r="AN72" s="194" t="str">
        <f t="shared" si="88"/>
        <v/>
      </c>
      <c r="AO72" s="195"/>
      <c r="AP72" s="186"/>
      <c r="AQ72" s="196"/>
      <c r="AR72" s="196"/>
      <c r="AS72" s="197"/>
      <c r="AT72" s="381"/>
      <c r="AU72" s="381"/>
      <c r="AV72" s="381"/>
    </row>
    <row r="73" spans="1:48" ht="49.5" customHeight="1" x14ac:dyDescent="0.2">
      <c r="A73" s="216"/>
      <c r="B73" s="422" t="s">
        <v>261</v>
      </c>
      <c r="C73" s="423"/>
      <c r="D73" s="423"/>
      <c r="E73" s="423"/>
      <c r="F73" s="423"/>
      <c r="G73" s="423"/>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3"/>
      <c r="AL73" s="423"/>
      <c r="AM73" s="423"/>
      <c r="AN73" s="423"/>
      <c r="AO73" s="423"/>
      <c r="AP73" s="423"/>
      <c r="AQ73" s="423"/>
      <c r="AR73" s="423"/>
      <c r="AS73" s="423"/>
      <c r="AT73" s="423"/>
    </row>
    <row r="75" spans="1:48" ht="15.75" x14ac:dyDescent="0.2">
      <c r="A75" s="198"/>
      <c r="B75" s="206" t="s">
        <v>262</v>
      </c>
      <c r="C75" s="198"/>
      <c r="D75" s="198"/>
      <c r="E75" s="198"/>
      <c r="R75" s="198"/>
    </row>
  </sheetData>
  <dataConsolidate/>
  <mergeCells count="343">
    <mergeCell ref="C6:T6"/>
    <mergeCell ref="W6:Y6"/>
    <mergeCell ref="Z6:AR6"/>
    <mergeCell ref="C7:T7"/>
    <mergeCell ref="Z7:AR7"/>
    <mergeCell ref="C8:T8"/>
    <mergeCell ref="Z8:AR8"/>
    <mergeCell ref="A6:B6"/>
    <mergeCell ref="A7:B7"/>
    <mergeCell ref="A8:B8"/>
    <mergeCell ref="A1:C4"/>
    <mergeCell ref="D1:T2"/>
    <mergeCell ref="X1:AR2"/>
    <mergeCell ref="D3:I3"/>
    <mergeCell ref="J3:T3"/>
    <mergeCell ref="X3:AL3"/>
    <mergeCell ref="AM3:AR3"/>
    <mergeCell ref="D4:T4"/>
    <mergeCell ref="X4:AR4"/>
    <mergeCell ref="K10:O10"/>
    <mergeCell ref="P10:Q10"/>
    <mergeCell ref="T10:Z10"/>
    <mergeCell ref="AA10:AI10"/>
    <mergeCell ref="AJ10:AN10"/>
    <mergeCell ref="AO10:AS10"/>
    <mergeCell ref="AT10:AV10"/>
    <mergeCell ref="A11:A12"/>
    <mergeCell ref="B11:B12"/>
    <mergeCell ref="C11:C12"/>
    <mergeCell ref="D11:D12"/>
    <mergeCell ref="E11:E12"/>
    <mergeCell ref="F11:F12"/>
    <mergeCell ref="K11:K12"/>
    <mergeCell ref="L11:L12"/>
    <mergeCell ref="M11:M12"/>
    <mergeCell ref="I11:I12"/>
    <mergeCell ref="J11:J12"/>
    <mergeCell ref="AS11:AS12"/>
    <mergeCell ref="AT11:AT12"/>
    <mergeCell ref="AU11:AU12"/>
    <mergeCell ref="AA11:AA12"/>
    <mergeCell ref="N11:N12"/>
    <mergeCell ref="O11:O12"/>
    <mergeCell ref="V11:V12"/>
    <mergeCell ref="W11:W12"/>
    <mergeCell ref="R11:R12"/>
    <mergeCell ref="S11:S12"/>
    <mergeCell ref="T11:T12"/>
    <mergeCell ref="U11:U12"/>
    <mergeCell ref="X11:X12"/>
    <mergeCell ref="Y11:Y12"/>
    <mergeCell ref="Z11:Z12"/>
    <mergeCell ref="AM11:AM12"/>
    <mergeCell ref="AN11:AN12"/>
    <mergeCell ref="AO11:AO12"/>
    <mergeCell ref="AB11:AB12"/>
    <mergeCell ref="AC11:AH11"/>
    <mergeCell ref="AI11:AI12"/>
    <mergeCell ref="AJ11:AJ12"/>
    <mergeCell ref="AK11:AK12"/>
    <mergeCell ref="AL11:AL12"/>
    <mergeCell ref="R13:R18"/>
    <mergeCell ref="S13:S18"/>
    <mergeCell ref="T13:T18"/>
    <mergeCell ref="U13:U18"/>
    <mergeCell ref="V13:V18"/>
    <mergeCell ref="Y13:Y18"/>
    <mergeCell ref="AT13:AT18"/>
    <mergeCell ref="AU13:AU18"/>
    <mergeCell ref="A13:A18"/>
    <mergeCell ref="B13:B18"/>
    <mergeCell ref="C13:C18"/>
    <mergeCell ref="D13:D18"/>
    <mergeCell ref="E13:E18"/>
    <mergeCell ref="F13:F18"/>
    <mergeCell ref="G13:G18"/>
    <mergeCell ref="H13:H18"/>
    <mergeCell ref="I13:I18"/>
    <mergeCell ref="J13:J18"/>
    <mergeCell ref="AV11:AV12"/>
    <mergeCell ref="AP11:AP12"/>
    <mergeCell ref="AQ11:AQ12"/>
    <mergeCell ref="AR11:AR12"/>
    <mergeCell ref="K19:K24"/>
    <mergeCell ref="L19:L24"/>
    <mergeCell ref="M19:M24"/>
    <mergeCell ref="N19:N24"/>
    <mergeCell ref="O19:O24"/>
    <mergeCell ref="P19:P24"/>
    <mergeCell ref="AT19:AT24"/>
    <mergeCell ref="AU19:AU24"/>
    <mergeCell ref="AV19:AV24"/>
    <mergeCell ref="Y19:Y24"/>
    <mergeCell ref="K13:K18"/>
    <mergeCell ref="L13:L18"/>
    <mergeCell ref="M13:M18"/>
    <mergeCell ref="N13:N18"/>
    <mergeCell ref="O13:O18"/>
    <mergeCell ref="P13:P18"/>
    <mergeCell ref="W13:W18"/>
    <mergeCell ref="X13:X18"/>
    <mergeCell ref="AV13:AV18"/>
    <mergeCell ref="Q13:Q18"/>
    <mergeCell ref="A19:A24"/>
    <mergeCell ref="B19:B24"/>
    <mergeCell ref="C19:C24"/>
    <mergeCell ref="D19:D24"/>
    <mergeCell ref="E19:E24"/>
    <mergeCell ref="F19:F24"/>
    <mergeCell ref="W19:W24"/>
    <mergeCell ref="X19:X24"/>
    <mergeCell ref="Q19:Q24"/>
    <mergeCell ref="R19:R24"/>
    <mergeCell ref="S19:S24"/>
    <mergeCell ref="T19:T24"/>
    <mergeCell ref="U19:U24"/>
    <mergeCell ref="V19:V24"/>
    <mergeCell ref="G19:G24"/>
    <mergeCell ref="H19:H24"/>
    <mergeCell ref="I19:I24"/>
    <mergeCell ref="J19:J24"/>
    <mergeCell ref="K25:K30"/>
    <mergeCell ref="L25:L30"/>
    <mergeCell ref="M25:M30"/>
    <mergeCell ref="N25:N30"/>
    <mergeCell ref="O25:O30"/>
    <mergeCell ref="P25:P30"/>
    <mergeCell ref="A25:A30"/>
    <mergeCell ref="B25:B30"/>
    <mergeCell ref="C25:C30"/>
    <mergeCell ref="D25:D30"/>
    <mergeCell ref="E25:E30"/>
    <mergeCell ref="F25:F30"/>
    <mergeCell ref="G25:G30"/>
    <mergeCell ref="H25:H30"/>
    <mergeCell ref="I25:I30"/>
    <mergeCell ref="J25:J30"/>
    <mergeCell ref="W25:W30"/>
    <mergeCell ref="X25:X30"/>
    <mergeCell ref="Y25:Y30"/>
    <mergeCell ref="AT25:AT30"/>
    <mergeCell ref="AU25:AU30"/>
    <mergeCell ref="AV25:AV30"/>
    <mergeCell ref="Q25:Q30"/>
    <mergeCell ref="R25:R30"/>
    <mergeCell ref="S25:S30"/>
    <mergeCell ref="T25:T30"/>
    <mergeCell ref="U25:U30"/>
    <mergeCell ref="V25:V30"/>
    <mergeCell ref="K31:K36"/>
    <mergeCell ref="L31:L36"/>
    <mergeCell ref="M31:M36"/>
    <mergeCell ref="N31:N36"/>
    <mergeCell ref="O31:O36"/>
    <mergeCell ref="P31:P36"/>
    <mergeCell ref="A31:A36"/>
    <mergeCell ref="B31:B36"/>
    <mergeCell ref="C31:C36"/>
    <mergeCell ref="D31:D36"/>
    <mergeCell ref="E31:E36"/>
    <mergeCell ref="F31:F36"/>
    <mergeCell ref="G31:G36"/>
    <mergeCell ref="H31:H36"/>
    <mergeCell ref="I31:I36"/>
    <mergeCell ref="J31:J36"/>
    <mergeCell ref="W31:W36"/>
    <mergeCell ref="X31:X36"/>
    <mergeCell ref="Y31:Y36"/>
    <mergeCell ref="AT31:AT36"/>
    <mergeCell ref="AU31:AU36"/>
    <mergeCell ref="AV31:AV36"/>
    <mergeCell ref="Q31:Q36"/>
    <mergeCell ref="R31:R36"/>
    <mergeCell ref="S31:S36"/>
    <mergeCell ref="T31:T36"/>
    <mergeCell ref="U31:U36"/>
    <mergeCell ref="V31:V36"/>
    <mergeCell ref="K37:K42"/>
    <mergeCell ref="L37:L42"/>
    <mergeCell ref="M37:M42"/>
    <mergeCell ref="N37:N42"/>
    <mergeCell ref="O37:O42"/>
    <mergeCell ref="P37:P42"/>
    <mergeCell ref="A37:A42"/>
    <mergeCell ref="B37:B42"/>
    <mergeCell ref="C37:C42"/>
    <mergeCell ref="D37:D42"/>
    <mergeCell ref="E37:E42"/>
    <mergeCell ref="F37:F42"/>
    <mergeCell ref="G37:G42"/>
    <mergeCell ref="H37:H42"/>
    <mergeCell ref="I37:I42"/>
    <mergeCell ref="J37:J42"/>
    <mergeCell ref="W37:W42"/>
    <mergeCell ref="X37:X42"/>
    <mergeCell ref="Y37:Y42"/>
    <mergeCell ref="AT37:AT42"/>
    <mergeCell ref="AU37:AU42"/>
    <mergeCell ref="AV37:AV42"/>
    <mergeCell ref="Q37:Q42"/>
    <mergeCell ref="R37:R42"/>
    <mergeCell ref="S37:S42"/>
    <mergeCell ref="T37:T42"/>
    <mergeCell ref="U37:U42"/>
    <mergeCell ref="V37:V42"/>
    <mergeCell ref="K43:K48"/>
    <mergeCell ref="L43:L48"/>
    <mergeCell ref="M43:M48"/>
    <mergeCell ref="N43:N48"/>
    <mergeCell ref="O43:O48"/>
    <mergeCell ref="P43:P48"/>
    <mergeCell ref="A43:A48"/>
    <mergeCell ref="B43:B48"/>
    <mergeCell ref="C43:C48"/>
    <mergeCell ref="D43:D48"/>
    <mergeCell ref="E43:E48"/>
    <mergeCell ref="F43:F48"/>
    <mergeCell ref="G43:G48"/>
    <mergeCell ref="H43:H48"/>
    <mergeCell ref="I43:I48"/>
    <mergeCell ref="J43:J48"/>
    <mergeCell ref="W43:W48"/>
    <mergeCell ref="X43:X48"/>
    <mergeCell ref="Y43:Y48"/>
    <mergeCell ref="AT43:AT48"/>
    <mergeCell ref="AU43:AU48"/>
    <mergeCell ref="AV43:AV48"/>
    <mergeCell ref="Q43:Q48"/>
    <mergeCell ref="R43:R48"/>
    <mergeCell ref="S43:S48"/>
    <mergeCell ref="T43:T48"/>
    <mergeCell ref="U43:U48"/>
    <mergeCell ref="V43:V48"/>
    <mergeCell ref="K49:K54"/>
    <mergeCell ref="L49:L54"/>
    <mergeCell ref="M49:M54"/>
    <mergeCell ref="N49:N54"/>
    <mergeCell ref="O49:O54"/>
    <mergeCell ref="P49:P54"/>
    <mergeCell ref="A49:A54"/>
    <mergeCell ref="B49:B54"/>
    <mergeCell ref="C49:C54"/>
    <mergeCell ref="D49:D54"/>
    <mergeCell ref="E49:E54"/>
    <mergeCell ref="F49:F54"/>
    <mergeCell ref="G49:G54"/>
    <mergeCell ref="H49:H54"/>
    <mergeCell ref="I49:I54"/>
    <mergeCell ref="J49:J54"/>
    <mergeCell ref="W49:W54"/>
    <mergeCell ref="X49:X54"/>
    <mergeCell ref="Y49:Y54"/>
    <mergeCell ref="AT49:AT54"/>
    <mergeCell ref="AU49:AU54"/>
    <mergeCell ref="AV49:AV54"/>
    <mergeCell ref="Q49:Q54"/>
    <mergeCell ref="R49:R54"/>
    <mergeCell ref="S49:S54"/>
    <mergeCell ref="T49:T54"/>
    <mergeCell ref="U49:U54"/>
    <mergeCell ref="V49:V54"/>
    <mergeCell ref="K55:K60"/>
    <mergeCell ref="L55:L60"/>
    <mergeCell ref="M55:M60"/>
    <mergeCell ref="N55:N60"/>
    <mergeCell ref="O55:O60"/>
    <mergeCell ref="P55:P60"/>
    <mergeCell ref="A55:A60"/>
    <mergeCell ref="B55:B60"/>
    <mergeCell ref="C55:C60"/>
    <mergeCell ref="D55:D60"/>
    <mergeCell ref="E55:E60"/>
    <mergeCell ref="F55:F60"/>
    <mergeCell ref="G55:G60"/>
    <mergeCell ref="H55:H60"/>
    <mergeCell ref="I55:I60"/>
    <mergeCell ref="J55:J60"/>
    <mergeCell ref="W55:W60"/>
    <mergeCell ref="X55:X60"/>
    <mergeCell ref="Y55:Y60"/>
    <mergeCell ref="AT55:AT60"/>
    <mergeCell ref="AU55:AU60"/>
    <mergeCell ref="AV55:AV60"/>
    <mergeCell ref="Q55:Q60"/>
    <mergeCell ref="R55:R60"/>
    <mergeCell ref="S55:S60"/>
    <mergeCell ref="T55:T60"/>
    <mergeCell ref="U55:U60"/>
    <mergeCell ref="V55:V60"/>
    <mergeCell ref="Y61:Y66"/>
    <mergeCell ref="K61:K66"/>
    <mergeCell ref="L61:L66"/>
    <mergeCell ref="P61:P66"/>
    <mergeCell ref="Q61:Q66"/>
    <mergeCell ref="R61:R66"/>
    <mergeCell ref="S61:S66"/>
    <mergeCell ref="A61:A66"/>
    <mergeCell ref="B61:B66"/>
    <mergeCell ref="C61:C66"/>
    <mergeCell ref="D61:D66"/>
    <mergeCell ref="E61:E66"/>
    <mergeCell ref="F61:F66"/>
    <mergeCell ref="D67:D72"/>
    <mergeCell ref="E67:E72"/>
    <mergeCell ref="F67:F72"/>
    <mergeCell ref="K67:K72"/>
    <mergeCell ref="T61:T66"/>
    <mergeCell ref="U61:U66"/>
    <mergeCell ref="V61:V66"/>
    <mergeCell ref="W61:W66"/>
    <mergeCell ref="X61:X66"/>
    <mergeCell ref="G67:G72"/>
    <mergeCell ref="H67:H72"/>
    <mergeCell ref="I67:I72"/>
    <mergeCell ref="J67:J72"/>
    <mergeCell ref="G61:G66"/>
    <mergeCell ref="H61:H66"/>
    <mergeCell ref="I61:I66"/>
    <mergeCell ref="J61:J66"/>
    <mergeCell ref="AU67:AU72"/>
    <mergeCell ref="AV67:AV72"/>
    <mergeCell ref="B73:AT73"/>
    <mergeCell ref="A10:J10"/>
    <mergeCell ref="G11:G12"/>
    <mergeCell ref="H11:H12"/>
    <mergeCell ref="U67:U72"/>
    <mergeCell ref="V67:V72"/>
    <mergeCell ref="W67:W72"/>
    <mergeCell ref="X67:X72"/>
    <mergeCell ref="Y67:Y72"/>
    <mergeCell ref="AT67:AT72"/>
    <mergeCell ref="L67:L72"/>
    <mergeCell ref="P67:P72"/>
    <mergeCell ref="Q67:Q72"/>
    <mergeCell ref="R67:R72"/>
    <mergeCell ref="S67:S72"/>
    <mergeCell ref="T67:T72"/>
    <mergeCell ref="AT61:AT66"/>
    <mergeCell ref="AU61:AU66"/>
    <mergeCell ref="AV61:AV66"/>
    <mergeCell ref="A67:A72"/>
    <mergeCell ref="B67:B72"/>
    <mergeCell ref="C67:C72"/>
  </mergeCells>
  <conditionalFormatting sqref="S13 S19">
    <cfRule type="cellIs" dxfId="238" priority="227" operator="equal">
      <formula>"Muy Alta"</formula>
    </cfRule>
    <cfRule type="cellIs" dxfId="237" priority="228" operator="equal">
      <formula>"Alta"</formula>
    </cfRule>
    <cfRule type="cellIs" dxfId="236" priority="229" operator="equal">
      <formula>"Media"</formula>
    </cfRule>
    <cfRule type="cellIs" dxfId="235" priority="230" operator="equal">
      <formula>"Baja"</formula>
    </cfRule>
    <cfRule type="cellIs" dxfId="234" priority="231" operator="equal">
      <formula>"Muy Baja"</formula>
    </cfRule>
  </conditionalFormatting>
  <conditionalFormatting sqref="W13 W19 W25 W31 W37 W43 W49 W55 W61 W67">
    <cfRule type="cellIs" dxfId="233" priority="222" operator="equal">
      <formula>"Catastrófico"</formula>
    </cfRule>
    <cfRule type="cellIs" dxfId="232" priority="223" operator="equal">
      <formula>"Mayor"</formula>
    </cfRule>
    <cfRule type="cellIs" dxfId="231" priority="224" operator="equal">
      <formula>"Moderado"</formula>
    </cfRule>
    <cfRule type="cellIs" dxfId="230" priority="225" operator="equal">
      <formula>"Menor"</formula>
    </cfRule>
    <cfRule type="cellIs" dxfId="229" priority="226" operator="equal">
      <formula>"Leve"</formula>
    </cfRule>
  </conditionalFormatting>
  <conditionalFormatting sqref="Y13">
    <cfRule type="cellIs" dxfId="228" priority="218" operator="equal">
      <formula>"Extremo"</formula>
    </cfRule>
    <cfRule type="cellIs" dxfId="227" priority="219" operator="equal">
      <formula>"Alto"</formula>
    </cfRule>
    <cfRule type="cellIs" dxfId="226" priority="220" operator="equal">
      <formula>"Moderado"</formula>
    </cfRule>
    <cfRule type="cellIs" dxfId="225" priority="221" operator="equal">
      <formula>"Bajo"</formula>
    </cfRule>
  </conditionalFormatting>
  <conditionalFormatting sqref="AJ13:AJ18">
    <cfRule type="cellIs" dxfId="224" priority="213" operator="equal">
      <formula>"Muy Alta"</formula>
    </cfRule>
    <cfRule type="cellIs" dxfId="223" priority="214" operator="equal">
      <formula>"Alta"</formula>
    </cfRule>
    <cfRule type="cellIs" dxfId="222" priority="215" operator="equal">
      <formula>"Media"</formula>
    </cfRule>
    <cfRule type="cellIs" dxfId="221" priority="216" operator="equal">
      <formula>"Baja"</formula>
    </cfRule>
    <cfRule type="cellIs" dxfId="220" priority="217" operator="equal">
      <formula>"Muy Baja"</formula>
    </cfRule>
  </conditionalFormatting>
  <conditionalFormatting sqref="AL13:AL18">
    <cfRule type="cellIs" dxfId="219" priority="208" operator="equal">
      <formula>"Catastrófico"</formula>
    </cfRule>
    <cfRule type="cellIs" dxfId="218" priority="209" operator="equal">
      <formula>"Mayor"</formula>
    </cfRule>
    <cfRule type="cellIs" dxfId="217" priority="210" operator="equal">
      <formula>"Moderado"</formula>
    </cfRule>
    <cfRule type="cellIs" dxfId="216" priority="211" operator="equal">
      <formula>"Menor"</formula>
    </cfRule>
    <cfRule type="cellIs" dxfId="215" priority="212" operator="equal">
      <formula>"Leve"</formula>
    </cfRule>
  </conditionalFormatting>
  <conditionalFormatting sqref="AN13:AN18">
    <cfRule type="cellIs" dxfId="214" priority="204" operator="equal">
      <formula>"Extremo"</formula>
    </cfRule>
    <cfRule type="cellIs" dxfId="213" priority="205" operator="equal">
      <formula>"Alto"</formula>
    </cfRule>
    <cfRule type="cellIs" dxfId="212" priority="206" operator="equal">
      <formula>"Moderado"</formula>
    </cfRule>
    <cfRule type="cellIs" dxfId="211" priority="207" operator="equal">
      <formula>"Bajo"</formula>
    </cfRule>
  </conditionalFormatting>
  <conditionalFormatting sqref="S61">
    <cfRule type="cellIs" dxfId="210" priority="48" operator="equal">
      <formula>"Muy Alta"</formula>
    </cfRule>
    <cfRule type="cellIs" dxfId="209" priority="49" operator="equal">
      <formula>"Alta"</formula>
    </cfRule>
    <cfRule type="cellIs" dxfId="208" priority="50" operator="equal">
      <formula>"Media"</formula>
    </cfRule>
    <cfRule type="cellIs" dxfId="207" priority="51" operator="equal">
      <formula>"Baja"</formula>
    </cfRule>
    <cfRule type="cellIs" dxfId="206" priority="52" operator="equal">
      <formula>"Muy Baja"</formula>
    </cfRule>
  </conditionalFormatting>
  <conditionalFormatting sqref="Y19">
    <cfRule type="cellIs" dxfId="205" priority="200" operator="equal">
      <formula>"Extremo"</formula>
    </cfRule>
    <cfRule type="cellIs" dxfId="204" priority="201" operator="equal">
      <formula>"Alto"</formula>
    </cfRule>
    <cfRule type="cellIs" dxfId="203" priority="202" operator="equal">
      <formula>"Moderado"</formula>
    </cfRule>
    <cfRule type="cellIs" dxfId="202" priority="203" operator="equal">
      <formula>"Bajo"</formula>
    </cfRule>
  </conditionalFormatting>
  <conditionalFormatting sqref="AJ19:AJ24">
    <cfRule type="cellIs" dxfId="201" priority="195" operator="equal">
      <formula>"Muy Alta"</formula>
    </cfRule>
    <cfRule type="cellIs" dxfId="200" priority="196" operator="equal">
      <formula>"Alta"</formula>
    </cfRule>
    <cfRule type="cellIs" dxfId="199" priority="197" operator="equal">
      <formula>"Media"</formula>
    </cfRule>
    <cfRule type="cellIs" dxfId="198" priority="198" operator="equal">
      <formula>"Baja"</formula>
    </cfRule>
    <cfRule type="cellIs" dxfId="197" priority="199" operator="equal">
      <formula>"Muy Baja"</formula>
    </cfRule>
  </conditionalFormatting>
  <conditionalFormatting sqref="AL19:AL24">
    <cfRule type="cellIs" dxfId="196" priority="190" operator="equal">
      <formula>"Catastrófico"</formula>
    </cfRule>
    <cfRule type="cellIs" dxfId="195" priority="191" operator="equal">
      <formula>"Mayor"</formula>
    </cfRule>
    <cfRule type="cellIs" dxfId="194" priority="192" operator="equal">
      <formula>"Moderado"</formula>
    </cfRule>
    <cfRule type="cellIs" dxfId="193" priority="193" operator="equal">
      <formula>"Menor"</formula>
    </cfRule>
    <cfRule type="cellIs" dxfId="192" priority="194" operator="equal">
      <formula>"Leve"</formula>
    </cfRule>
  </conditionalFormatting>
  <conditionalFormatting sqref="AN19:AN24">
    <cfRule type="cellIs" dxfId="191" priority="186" operator="equal">
      <formula>"Extremo"</formula>
    </cfRule>
    <cfRule type="cellIs" dxfId="190" priority="187" operator="equal">
      <formula>"Alto"</formula>
    </cfRule>
    <cfRule type="cellIs" dxfId="189" priority="188" operator="equal">
      <formula>"Moderado"</formula>
    </cfRule>
    <cfRule type="cellIs" dxfId="188" priority="189" operator="equal">
      <formula>"Bajo"</formula>
    </cfRule>
  </conditionalFormatting>
  <conditionalFormatting sqref="S25">
    <cfRule type="cellIs" dxfId="187" priority="181" operator="equal">
      <formula>"Muy Alta"</formula>
    </cfRule>
    <cfRule type="cellIs" dxfId="186" priority="182" operator="equal">
      <formula>"Alta"</formula>
    </cfRule>
    <cfRule type="cellIs" dxfId="185" priority="183" operator="equal">
      <formula>"Media"</formula>
    </cfRule>
    <cfRule type="cellIs" dxfId="184" priority="184" operator="equal">
      <formula>"Baja"</formula>
    </cfRule>
    <cfRule type="cellIs" dxfId="183" priority="185" operator="equal">
      <formula>"Muy Baja"</formula>
    </cfRule>
  </conditionalFormatting>
  <conditionalFormatting sqref="Y25">
    <cfRule type="cellIs" dxfId="182" priority="177" operator="equal">
      <formula>"Extremo"</formula>
    </cfRule>
    <cfRule type="cellIs" dxfId="181" priority="178" operator="equal">
      <formula>"Alto"</formula>
    </cfRule>
    <cfRule type="cellIs" dxfId="180" priority="179" operator="equal">
      <formula>"Moderado"</formula>
    </cfRule>
    <cfRule type="cellIs" dxfId="179" priority="180" operator="equal">
      <formula>"Bajo"</formula>
    </cfRule>
  </conditionalFormatting>
  <conditionalFormatting sqref="AJ25:AJ30">
    <cfRule type="cellIs" dxfId="178" priority="172" operator="equal">
      <formula>"Muy Alta"</formula>
    </cfRule>
    <cfRule type="cellIs" dxfId="177" priority="173" operator="equal">
      <formula>"Alta"</formula>
    </cfRule>
    <cfRule type="cellIs" dxfId="176" priority="174" operator="equal">
      <formula>"Media"</formula>
    </cfRule>
    <cfRule type="cellIs" dxfId="175" priority="175" operator="equal">
      <formula>"Baja"</formula>
    </cfRule>
    <cfRule type="cellIs" dxfId="174" priority="176" operator="equal">
      <formula>"Muy Baja"</formula>
    </cfRule>
  </conditionalFormatting>
  <conditionalFormatting sqref="AL25:AL30">
    <cfRule type="cellIs" dxfId="173" priority="167" operator="equal">
      <formula>"Catastrófico"</formula>
    </cfRule>
    <cfRule type="cellIs" dxfId="172" priority="168" operator="equal">
      <formula>"Mayor"</formula>
    </cfRule>
    <cfRule type="cellIs" dxfId="171" priority="169" operator="equal">
      <formula>"Moderado"</formula>
    </cfRule>
    <cfRule type="cellIs" dxfId="170" priority="170" operator="equal">
      <formula>"Menor"</formula>
    </cfRule>
    <cfRule type="cellIs" dxfId="169" priority="171" operator="equal">
      <formula>"Leve"</formula>
    </cfRule>
  </conditionalFormatting>
  <conditionalFormatting sqref="AN25:AN30">
    <cfRule type="cellIs" dxfId="168" priority="163" operator="equal">
      <formula>"Extremo"</formula>
    </cfRule>
    <cfRule type="cellIs" dxfId="167" priority="164" operator="equal">
      <formula>"Alto"</formula>
    </cfRule>
    <cfRule type="cellIs" dxfId="166" priority="165" operator="equal">
      <formula>"Moderado"</formula>
    </cfRule>
    <cfRule type="cellIs" dxfId="165" priority="166" operator="equal">
      <formula>"Bajo"</formula>
    </cfRule>
  </conditionalFormatting>
  <conditionalFormatting sqref="S31">
    <cfRule type="cellIs" dxfId="164" priority="158" operator="equal">
      <formula>"Muy Alta"</formula>
    </cfRule>
    <cfRule type="cellIs" dxfId="163" priority="159" operator="equal">
      <formula>"Alta"</formula>
    </cfRule>
    <cfRule type="cellIs" dxfId="162" priority="160" operator="equal">
      <formula>"Media"</formula>
    </cfRule>
    <cfRule type="cellIs" dxfId="161" priority="161" operator="equal">
      <formula>"Baja"</formula>
    </cfRule>
    <cfRule type="cellIs" dxfId="160" priority="162" operator="equal">
      <formula>"Muy Baja"</formula>
    </cfRule>
  </conditionalFormatting>
  <conditionalFormatting sqref="Y31">
    <cfRule type="cellIs" dxfId="159" priority="154" operator="equal">
      <formula>"Extremo"</formula>
    </cfRule>
    <cfRule type="cellIs" dxfId="158" priority="155" operator="equal">
      <formula>"Alto"</formula>
    </cfRule>
    <cfRule type="cellIs" dxfId="157" priority="156" operator="equal">
      <formula>"Moderado"</formula>
    </cfRule>
    <cfRule type="cellIs" dxfId="156" priority="157" operator="equal">
      <formula>"Bajo"</formula>
    </cfRule>
  </conditionalFormatting>
  <conditionalFormatting sqref="AJ31:AJ36">
    <cfRule type="cellIs" dxfId="155" priority="149" operator="equal">
      <formula>"Muy Alta"</formula>
    </cfRule>
    <cfRule type="cellIs" dxfId="154" priority="150" operator="equal">
      <formula>"Alta"</formula>
    </cfRule>
    <cfRule type="cellIs" dxfId="153" priority="151" operator="equal">
      <formula>"Media"</formula>
    </cfRule>
    <cfRule type="cellIs" dxfId="152" priority="152" operator="equal">
      <formula>"Baja"</formula>
    </cfRule>
    <cfRule type="cellIs" dxfId="151" priority="153" operator="equal">
      <formula>"Muy Baja"</formula>
    </cfRule>
  </conditionalFormatting>
  <conditionalFormatting sqref="AL31:AL36">
    <cfRule type="cellIs" dxfId="150" priority="144" operator="equal">
      <formula>"Catastrófico"</formula>
    </cfRule>
    <cfRule type="cellIs" dxfId="149" priority="145" operator="equal">
      <formula>"Mayor"</formula>
    </cfRule>
    <cfRule type="cellIs" dxfId="148" priority="146" operator="equal">
      <formula>"Moderado"</formula>
    </cfRule>
    <cfRule type="cellIs" dxfId="147" priority="147" operator="equal">
      <formula>"Menor"</formula>
    </cfRule>
    <cfRule type="cellIs" dxfId="146" priority="148" operator="equal">
      <formula>"Leve"</formula>
    </cfRule>
  </conditionalFormatting>
  <conditionalFormatting sqref="AN31:AN36">
    <cfRule type="cellIs" dxfId="145" priority="140" operator="equal">
      <formula>"Extremo"</formula>
    </cfRule>
    <cfRule type="cellIs" dxfId="144" priority="141" operator="equal">
      <formula>"Alto"</formula>
    </cfRule>
    <cfRule type="cellIs" dxfId="143" priority="142" operator="equal">
      <formula>"Moderado"</formula>
    </cfRule>
    <cfRule type="cellIs" dxfId="142" priority="143" operator="equal">
      <formula>"Bajo"</formula>
    </cfRule>
  </conditionalFormatting>
  <conditionalFormatting sqref="S37">
    <cfRule type="cellIs" dxfId="141" priority="135" operator="equal">
      <formula>"Muy Alta"</formula>
    </cfRule>
    <cfRule type="cellIs" dxfId="140" priority="136" operator="equal">
      <formula>"Alta"</formula>
    </cfRule>
    <cfRule type="cellIs" dxfId="139" priority="137" operator="equal">
      <formula>"Media"</formula>
    </cfRule>
    <cfRule type="cellIs" dxfId="138" priority="138" operator="equal">
      <formula>"Baja"</formula>
    </cfRule>
    <cfRule type="cellIs" dxfId="137" priority="139" operator="equal">
      <formula>"Muy Baja"</formula>
    </cfRule>
  </conditionalFormatting>
  <conditionalFormatting sqref="Y37">
    <cfRule type="cellIs" dxfId="136" priority="131" operator="equal">
      <formula>"Extremo"</formula>
    </cfRule>
    <cfRule type="cellIs" dxfId="135" priority="132" operator="equal">
      <formula>"Alto"</formula>
    </cfRule>
    <cfRule type="cellIs" dxfId="134" priority="133" operator="equal">
      <formula>"Moderado"</formula>
    </cfRule>
    <cfRule type="cellIs" dxfId="133" priority="134" operator="equal">
      <formula>"Bajo"</formula>
    </cfRule>
  </conditionalFormatting>
  <conditionalFormatting sqref="AJ37:AJ42">
    <cfRule type="cellIs" dxfId="132" priority="126" operator="equal">
      <formula>"Muy Alta"</formula>
    </cfRule>
    <cfRule type="cellIs" dxfId="131" priority="127" operator="equal">
      <formula>"Alta"</formula>
    </cfRule>
    <cfRule type="cellIs" dxfId="130" priority="128" operator="equal">
      <formula>"Media"</formula>
    </cfRule>
    <cfRule type="cellIs" dxfId="129" priority="129" operator="equal">
      <formula>"Baja"</formula>
    </cfRule>
    <cfRule type="cellIs" dxfId="128" priority="130" operator="equal">
      <formula>"Muy Baja"</formula>
    </cfRule>
  </conditionalFormatting>
  <conditionalFormatting sqref="AL37:AL42">
    <cfRule type="cellIs" dxfId="127" priority="121" operator="equal">
      <formula>"Catastrófico"</formula>
    </cfRule>
    <cfRule type="cellIs" dxfId="126" priority="122" operator="equal">
      <formula>"Mayor"</formula>
    </cfRule>
    <cfRule type="cellIs" dxfId="125" priority="123" operator="equal">
      <formula>"Moderado"</formula>
    </cfRule>
    <cfRule type="cellIs" dxfId="124" priority="124" operator="equal">
      <formula>"Menor"</formula>
    </cfRule>
    <cfRule type="cellIs" dxfId="123" priority="125" operator="equal">
      <formula>"Leve"</formula>
    </cfRule>
  </conditionalFormatting>
  <conditionalFormatting sqref="AN37:AN42">
    <cfRule type="cellIs" dxfId="122" priority="117" operator="equal">
      <formula>"Extremo"</formula>
    </cfRule>
    <cfRule type="cellIs" dxfId="121" priority="118" operator="equal">
      <formula>"Alto"</formula>
    </cfRule>
    <cfRule type="cellIs" dxfId="120" priority="119" operator="equal">
      <formula>"Moderado"</formula>
    </cfRule>
    <cfRule type="cellIs" dxfId="119" priority="120" operator="equal">
      <formula>"Bajo"</formula>
    </cfRule>
  </conditionalFormatting>
  <conditionalFormatting sqref="S43">
    <cfRule type="cellIs" dxfId="118" priority="112" operator="equal">
      <formula>"Muy Alta"</formula>
    </cfRule>
    <cfRule type="cellIs" dxfId="117" priority="113" operator="equal">
      <formula>"Alta"</formula>
    </cfRule>
    <cfRule type="cellIs" dxfId="116" priority="114" operator="equal">
      <formula>"Media"</formula>
    </cfRule>
    <cfRule type="cellIs" dxfId="115" priority="115" operator="equal">
      <formula>"Baja"</formula>
    </cfRule>
    <cfRule type="cellIs" dxfId="114" priority="116" operator="equal">
      <formula>"Muy Baja"</formula>
    </cfRule>
  </conditionalFormatting>
  <conditionalFormatting sqref="Y43">
    <cfRule type="cellIs" dxfId="113" priority="108" operator="equal">
      <formula>"Extremo"</formula>
    </cfRule>
    <cfRule type="cellIs" dxfId="112" priority="109" operator="equal">
      <formula>"Alto"</formula>
    </cfRule>
    <cfRule type="cellIs" dxfId="111" priority="110" operator="equal">
      <formula>"Moderado"</formula>
    </cfRule>
    <cfRule type="cellIs" dxfId="110" priority="111" operator="equal">
      <formula>"Bajo"</formula>
    </cfRule>
  </conditionalFormatting>
  <conditionalFormatting sqref="AJ43:AJ48">
    <cfRule type="cellIs" dxfId="109" priority="103" operator="equal">
      <formula>"Muy Alta"</formula>
    </cfRule>
    <cfRule type="cellIs" dxfId="108" priority="104" operator="equal">
      <formula>"Alta"</formula>
    </cfRule>
    <cfRule type="cellIs" dxfId="107" priority="105" operator="equal">
      <formula>"Media"</formula>
    </cfRule>
    <cfRule type="cellIs" dxfId="106" priority="106" operator="equal">
      <formula>"Baja"</formula>
    </cfRule>
    <cfRule type="cellIs" dxfId="105" priority="107" operator="equal">
      <formula>"Muy Baja"</formula>
    </cfRule>
  </conditionalFormatting>
  <conditionalFormatting sqref="AL43:AL48">
    <cfRule type="cellIs" dxfId="104" priority="98" operator="equal">
      <formula>"Catastrófico"</formula>
    </cfRule>
    <cfRule type="cellIs" dxfId="103" priority="99" operator="equal">
      <formula>"Mayor"</formula>
    </cfRule>
    <cfRule type="cellIs" dxfId="102" priority="100" operator="equal">
      <formula>"Moderado"</formula>
    </cfRule>
    <cfRule type="cellIs" dxfId="101" priority="101" operator="equal">
      <formula>"Menor"</formula>
    </cfRule>
    <cfRule type="cellIs" dxfId="100" priority="102" operator="equal">
      <formula>"Leve"</formula>
    </cfRule>
  </conditionalFormatting>
  <conditionalFormatting sqref="AN43:AN48">
    <cfRule type="cellIs" dxfId="99" priority="94" operator="equal">
      <formula>"Extremo"</formula>
    </cfRule>
    <cfRule type="cellIs" dxfId="98" priority="95" operator="equal">
      <formula>"Alto"</formula>
    </cfRule>
    <cfRule type="cellIs" dxfId="97" priority="96" operator="equal">
      <formula>"Moderado"</formula>
    </cfRule>
    <cfRule type="cellIs" dxfId="96" priority="97" operator="equal">
      <formula>"Bajo"</formula>
    </cfRule>
  </conditionalFormatting>
  <conditionalFormatting sqref="S49">
    <cfRule type="cellIs" dxfId="95" priority="89" operator="equal">
      <formula>"Muy Alta"</formula>
    </cfRule>
    <cfRule type="cellIs" dxfId="94" priority="90" operator="equal">
      <formula>"Alta"</formula>
    </cfRule>
    <cfRule type="cellIs" dxfId="93" priority="91" operator="equal">
      <formula>"Media"</formula>
    </cfRule>
    <cfRule type="cellIs" dxfId="92" priority="92" operator="equal">
      <formula>"Baja"</formula>
    </cfRule>
    <cfRule type="cellIs" dxfId="91" priority="93" operator="equal">
      <formula>"Muy Baja"</formula>
    </cfRule>
  </conditionalFormatting>
  <conditionalFormatting sqref="Y49">
    <cfRule type="cellIs" dxfId="90" priority="85" operator="equal">
      <formula>"Extremo"</formula>
    </cfRule>
    <cfRule type="cellIs" dxfId="89" priority="86" operator="equal">
      <formula>"Alto"</formula>
    </cfRule>
    <cfRule type="cellIs" dxfId="88" priority="87" operator="equal">
      <formula>"Moderado"</formula>
    </cfRule>
    <cfRule type="cellIs" dxfId="87" priority="88" operator="equal">
      <formula>"Bajo"</formula>
    </cfRule>
  </conditionalFormatting>
  <conditionalFormatting sqref="AJ49:AJ54">
    <cfRule type="cellIs" dxfId="86" priority="80" operator="equal">
      <formula>"Muy Alta"</formula>
    </cfRule>
    <cfRule type="cellIs" dxfId="85" priority="81" operator="equal">
      <formula>"Alta"</formula>
    </cfRule>
    <cfRule type="cellIs" dxfId="84" priority="82" operator="equal">
      <formula>"Media"</formula>
    </cfRule>
    <cfRule type="cellIs" dxfId="83" priority="83" operator="equal">
      <formula>"Baja"</formula>
    </cfRule>
    <cfRule type="cellIs" dxfId="82" priority="84" operator="equal">
      <formula>"Muy Baja"</formula>
    </cfRule>
  </conditionalFormatting>
  <conditionalFormatting sqref="AL49:AL54">
    <cfRule type="cellIs" dxfId="81" priority="75" operator="equal">
      <formula>"Catastrófico"</formula>
    </cfRule>
    <cfRule type="cellIs" dxfId="80" priority="76" operator="equal">
      <formula>"Mayor"</formula>
    </cfRule>
    <cfRule type="cellIs" dxfId="79" priority="77" operator="equal">
      <formula>"Moderado"</formula>
    </cfRule>
    <cfRule type="cellIs" dxfId="78" priority="78" operator="equal">
      <formula>"Menor"</formula>
    </cfRule>
    <cfRule type="cellIs" dxfId="77" priority="79" operator="equal">
      <formula>"Leve"</formula>
    </cfRule>
  </conditionalFormatting>
  <conditionalFormatting sqref="AN49:AN54">
    <cfRule type="cellIs" dxfId="76" priority="71" operator="equal">
      <formula>"Extremo"</formula>
    </cfRule>
    <cfRule type="cellIs" dxfId="75" priority="72" operator="equal">
      <formula>"Alto"</formula>
    </cfRule>
    <cfRule type="cellIs" dxfId="74" priority="73" operator="equal">
      <formula>"Moderado"</formula>
    </cfRule>
    <cfRule type="cellIs" dxfId="73" priority="74" operator="equal">
      <formula>"Bajo"</formula>
    </cfRule>
  </conditionalFormatting>
  <conditionalFormatting sqref="Y55">
    <cfRule type="cellIs" dxfId="72" priority="67" operator="equal">
      <formula>"Extremo"</formula>
    </cfRule>
    <cfRule type="cellIs" dxfId="71" priority="68" operator="equal">
      <formula>"Alto"</formula>
    </cfRule>
    <cfRule type="cellIs" dxfId="70" priority="69" operator="equal">
      <formula>"Moderado"</formula>
    </cfRule>
    <cfRule type="cellIs" dxfId="69" priority="70" operator="equal">
      <formula>"Bajo"</formula>
    </cfRule>
  </conditionalFormatting>
  <conditionalFormatting sqref="AJ55:AJ60">
    <cfRule type="cellIs" dxfId="68" priority="62" operator="equal">
      <formula>"Muy Alta"</formula>
    </cfRule>
    <cfRule type="cellIs" dxfId="67" priority="63" operator="equal">
      <formula>"Alta"</formula>
    </cfRule>
    <cfRule type="cellIs" dxfId="66" priority="64" operator="equal">
      <formula>"Media"</formula>
    </cfRule>
    <cfRule type="cellIs" dxfId="65" priority="65" operator="equal">
      <formula>"Baja"</formula>
    </cfRule>
    <cfRule type="cellIs" dxfId="64" priority="66" operator="equal">
      <formula>"Muy Baja"</formula>
    </cfRule>
  </conditionalFormatting>
  <conditionalFormatting sqref="AL55:AL60">
    <cfRule type="cellIs" dxfId="63" priority="57" operator="equal">
      <formula>"Catastrófico"</formula>
    </cfRule>
    <cfRule type="cellIs" dxfId="62" priority="58" operator="equal">
      <formula>"Mayor"</formula>
    </cfRule>
    <cfRule type="cellIs" dxfId="61" priority="59" operator="equal">
      <formula>"Moderado"</formula>
    </cfRule>
    <cfRule type="cellIs" dxfId="60" priority="60" operator="equal">
      <formula>"Menor"</formula>
    </cfRule>
    <cfRule type="cellIs" dxfId="59" priority="61" operator="equal">
      <formula>"Leve"</formula>
    </cfRule>
  </conditionalFormatting>
  <conditionalFormatting sqref="AN55:AN60">
    <cfRule type="cellIs" dxfId="58" priority="53" operator="equal">
      <formula>"Extremo"</formula>
    </cfRule>
    <cfRule type="cellIs" dxfId="57" priority="54" operator="equal">
      <formula>"Alto"</formula>
    </cfRule>
    <cfRule type="cellIs" dxfId="56" priority="55" operator="equal">
      <formula>"Moderado"</formula>
    </cfRule>
    <cfRule type="cellIs" dxfId="55" priority="56" operator="equal">
      <formula>"Bajo"</formula>
    </cfRule>
  </conditionalFormatting>
  <conditionalFormatting sqref="Y61">
    <cfRule type="cellIs" dxfId="54" priority="44" operator="equal">
      <formula>"Extremo"</formula>
    </cfRule>
    <cfRule type="cellIs" dxfId="53" priority="45" operator="equal">
      <formula>"Alto"</formula>
    </cfRule>
    <cfRule type="cellIs" dxfId="52" priority="46" operator="equal">
      <formula>"Moderado"</formula>
    </cfRule>
    <cfRule type="cellIs" dxfId="51" priority="47" operator="equal">
      <formula>"Bajo"</formula>
    </cfRule>
  </conditionalFormatting>
  <conditionalFormatting sqref="AJ61:AJ66">
    <cfRule type="cellIs" dxfId="50" priority="39" operator="equal">
      <formula>"Muy Alta"</formula>
    </cfRule>
    <cfRule type="cellIs" dxfId="49" priority="40" operator="equal">
      <formula>"Alta"</formula>
    </cfRule>
    <cfRule type="cellIs" dxfId="48" priority="41" operator="equal">
      <formula>"Media"</formula>
    </cfRule>
    <cfRule type="cellIs" dxfId="47" priority="42" operator="equal">
      <formula>"Baja"</formula>
    </cfRule>
    <cfRule type="cellIs" dxfId="46" priority="43" operator="equal">
      <formula>"Muy Baja"</formula>
    </cfRule>
  </conditionalFormatting>
  <conditionalFormatting sqref="AL61:AL66">
    <cfRule type="cellIs" dxfId="45" priority="34" operator="equal">
      <formula>"Catastrófico"</formula>
    </cfRule>
    <cfRule type="cellIs" dxfId="44" priority="35" operator="equal">
      <formula>"Mayor"</formula>
    </cfRule>
    <cfRule type="cellIs" dxfId="43" priority="36" operator="equal">
      <formula>"Moderado"</formula>
    </cfRule>
    <cfRule type="cellIs" dxfId="42" priority="37" operator="equal">
      <formula>"Menor"</formula>
    </cfRule>
    <cfRule type="cellIs" dxfId="41" priority="38" operator="equal">
      <formula>"Leve"</formula>
    </cfRule>
  </conditionalFormatting>
  <conditionalFormatting sqref="AN61:AN66">
    <cfRule type="cellIs" dxfId="40" priority="30" operator="equal">
      <formula>"Extremo"</formula>
    </cfRule>
    <cfRule type="cellIs" dxfId="39" priority="31" operator="equal">
      <formula>"Alto"</formula>
    </cfRule>
    <cfRule type="cellIs" dxfId="38" priority="32" operator="equal">
      <formula>"Moderado"</formula>
    </cfRule>
    <cfRule type="cellIs" dxfId="37" priority="33" operator="equal">
      <formula>"Bajo"</formula>
    </cfRule>
  </conditionalFormatting>
  <conditionalFormatting sqref="S67">
    <cfRule type="cellIs" dxfId="36" priority="25" operator="equal">
      <formula>"Muy Alta"</formula>
    </cfRule>
    <cfRule type="cellIs" dxfId="35" priority="26" operator="equal">
      <formula>"Alta"</formula>
    </cfRule>
    <cfRule type="cellIs" dxfId="34" priority="27" operator="equal">
      <formula>"Media"</formula>
    </cfRule>
    <cfRule type="cellIs" dxfId="33" priority="28" operator="equal">
      <formula>"Baja"</formula>
    </cfRule>
    <cfRule type="cellIs" dxfId="32" priority="29" operator="equal">
      <formula>"Muy Baja"</formula>
    </cfRule>
  </conditionalFormatting>
  <conditionalFormatting sqref="Y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J67:AJ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L67:AL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N67:AN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V13:V72">
    <cfRule type="containsText" dxfId="13" priority="6" operator="containsText" text="❌">
      <formula>NOT(ISERROR(SEARCH("❌",V13)))</formula>
    </cfRule>
  </conditionalFormatting>
  <conditionalFormatting sqref="S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26" max="23" man="1"/>
  </colBreaks>
  <drawing r:id="rId2"/>
  <extLst>
    <ext xmlns:x14="http://schemas.microsoft.com/office/spreadsheetml/2009/9/main" uri="{CCE6A557-97BC-4b89-ADB6-D9C93CAAB3DF}">
      <x14:dataValidations xmlns:xm="http://schemas.microsoft.com/office/excel/2006/main" disablePrompts="1" count="16">
        <x14:dataValidation type="list" allowBlank="1" showInputMessage="1" showErrorMessage="1" xr:uid="{00000000-0002-0000-0800-000000000000}">
          <x14:formula1>
            <xm:f>Listas!$H$14:$H$18</xm:f>
          </x14:formula1>
          <xm:sqref>Q13:Q72</xm:sqref>
        </x14:dataValidation>
        <x14:dataValidation type="list" allowBlank="1" showInputMessage="1" showErrorMessage="1" xr:uid="{00000000-0002-0000-0800-000001000000}">
          <x14:formula1>
            <xm:f>Listas!$H$8:$H$12</xm:f>
          </x14:formula1>
          <xm:sqref>P13:P72</xm:sqref>
        </x14:dataValidation>
        <x14:dataValidation type="list" allowBlank="1" showInputMessage="1" showErrorMessage="1" xr:uid="{00000000-0002-0000-0800-000002000000}">
          <x14:formula1>
            <xm:f>Intructivo!$C$300:$C$316</xm:f>
          </x14:formula1>
          <xm:sqref>C6:Z6</xm:sqref>
        </x14:dataValidation>
        <x14:dataValidation type="list" allowBlank="1" showInputMessage="1" showErrorMessage="1" xr:uid="{00000000-0002-0000-0800-000003000000}">
          <x14:formula1>
            <xm:f>Listas!$F$8:$F$9</xm:f>
          </x14:formula1>
          <xm:sqref>K13:K72</xm:sqref>
        </x14:dataValidation>
        <x14:dataValidation type="list" allowBlank="1" showInputMessage="1" showErrorMessage="1" xr:uid="{00000000-0002-0000-0800-000004000000}">
          <x14:formula1>
            <xm:f>Listas!$B$20:$B$22</xm:f>
          </x14:formula1>
          <xm:sqref>F13:F72</xm:sqref>
        </x14:dataValidation>
        <x14:dataValidation type="custom" allowBlank="1" showInputMessage="1" showErrorMessage="1" error="Recuerde que las acciones se generan bajo la medida de mitigar el riesgo" xr:uid="{00000000-0002-0000-0800-000005000000}">
          <x14:formula1>
            <xm:f>IF(OR(#REF!=Listas!$B$2,#REF!=Listas!$B$3,#REF!=Listas!$B$4),ISBLANK(#REF!),ISTEXT(#REF!))</xm:f>
          </x14:formula1>
          <xm:sqref>AT19:AV19 AT67:AV67 AT61:AV61 AT55:AV55 AT49:AV49 AT43:AV43 AT37:AV37 AT31:AV31 AT25:AV25</xm:sqref>
        </x14:dataValidation>
        <x14:dataValidation type="list" allowBlank="1" showInputMessage="1" showErrorMessage="1" xr:uid="{00000000-0002-0000-0800-000006000000}">
          <x14:formula1>
            <xm:f>'Tabla Impacto'!$F$211:$F$222</xm:f>
          </x14:formula1>
          <xm:sqref>U13:U72</xm:sqref>
        </x14:dataValidation>
        <x14:dataValidation type="list" allowBlank="1" showInputMessage="1" showErrorMessage="1" xr:uid="{00000000-0002-0000-0800-000007000000}">
          <x14:formula1>
            <xm:f>Listas!$B$2:$B$5</xm:f>
          </x14:formula1>
          <xm:sqref>AO13:AO72</xm:sqref>
        </x14:dataValidation>
        <x14:dataValidation type="list" allowBlank="1" showInputMessage="1" showErrorMessage="1" xr:uid="{00000000-0002-0000-0800-000008000000}">
          <x14:formula1>
            <xm:f>Listas!$E$2:$E$4</xm:f>
          </x14:formula1>
          <xm:sqref>B13:B72</xm:sqref>
        </x14:dataValidation>
        <x14:dataValidation type="list" allowBlank="1" showInputMessage="1" showErrorMessage="1" xr:uid="{00000000-0002-0000-0800-000009000000}">
          <x14:formula1>
            <xm:f>'Tabla Valoración controles'!$D$13:$D$14</xm:f>
          </x14:formula1>
          <xm:sqref>AH13:AH72</xm:sqref>
        </x14:dataValidation>
        <x14:dataValidation type="list" allowBlank="1" showInputMessage="1" showErrorMessage="1" xr:uid="{00000000-0002-0000-0800-00000A000000}">
          <x14:formula1>
            <xm:f>'Tabla Valoración controles'!$D$11:$D$12</xm:f>
          </x14:formula1>
          <xm:sqref>AG13:AG72</xm:sqref>
        </x14:dataValidation>
        <x14:dataValidation type="list" allowBlank="1" showInputMessage="1" showErrorMessage="1" xr:uid="{00000000-0002-0000-0800-00000B000000}">
          <x14:formula1>
            <xm:f>'Tabla Valoración controles'!$D$9:$D$10</xm:f>
          </x14:formula1>
          <xm:sqref>AF13:AF72</xm:sqref>
        </x14:dataValidation>
        <x14:dataValidation type="list" allowBlank="1" showInputMessage="1" showErrorMessage="1" xr:uid="{00000000-0002-0000-0800-00000C000000}">
          <x14:formula1>
            <xm:f>'Tabla Valoración controles'!$D$7:$D$8</xm:f>
          </x14:formula1>
          <xm:sqref>AD13:AD72</xm:sqref>
        </x14:dataValidation>
        <x14:dataValidation type="list" allowBlank="1" showInputMessage="1" showErrorMessage="1" xr:uid="{00000000-0002-0000-0800-00000D000000}">
          <x14:formula1>
            <xm:f>'Tabla Valoración controles'!$D$4:$D$6</xm:f>
          </x14:formula1>
          <xm:sqref>AC13:AC72</xm:sqref>
        </x14:dataValidation>
        <x14:dataValidation type="list" allowBlank="1" showInputMessage="1" showErrorMessage="1" xr:uid="{00000000-0002-0000-0800-00000E000000}">
          <x14:formula1>
            <xm:f>Amenazas!$C$2:$C$11</xm:f>
          </x14:formula1>
          <xm:sqref>G13:G72</xm:sqref>
        </x14:dataValidation>
        <x14:dataValidation type="list" allowBlank="1" showInputMessage="1" showErrorMessage="1" xr:uid="{00000000-0002-0000-0800-00000F000000}">
          <x14:formula1>
            <xm:f>Listas!$B$25:$B$32</xm:f>
          </x14:formula1>
          <xm:sqref>I13:I72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9" ma:contentTypeDescription="Crear nuevo documento." ma:contentTypeScope="" ma:versionID="1546d84508d0a19fa9f2decf4348aac9">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54bed18be0c869b59340f686d3cdf95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D5E4EF-2809-49C9-8DCF-B2E4E5208101}">
  <ds:schemaRefs>
    <ds:schemaRef ds:uri="http://schemas.microsoft.com/office/2006/metadata/properties"/>
    <ds:schemaRef ds:uri="http://schemas.microsoft.com/office/infopath/2007/PartnerControls"/>
    <ds:schemaRef ds:uri="http://schemas.microsoft.com/sharepoint/v3"/>
    <ds:schemaRef ds:uri="70eaac67-e064-433b-ba54-6f78c0f1ecb1"/>
    <ds:schemaRef ds:uri="64d77176-54eb-4753-be67-9b2e2fa23e0f"/>
  </ds:schemaRefs>
</ds:datastoreItem>
</file>

<file path=customXml/itemProps2.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3.xml><?xml version="1.0" encoding="utf-8"?>
<ds:datastoreItem xmlns:ds="http://schemas.openxmlformats.org/officeDocument/2006/customXml" ds:itemID="{28F9D396-168A-421B-BF9D-116A92C77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Intructivo</vt:lpstr>
      <vt:lpstr>Revisión DOFA</vt:lpstr>
      <vt:lpstr>Listas</vt:lpstr>
      <vt:lpstr>Riesgos de Gestión</vt:lpstr>
      <vt:lpstr>Matriz Calor Inherente</vt:lpstr>
      <vt:lpstr>Matriz Calor Residual</vt:lpstr>
      <vt:lpstr>Riesgos de Corrupción</vt:lpstr>
      <vt:lpstr>Impacto Corrupción </vt:lpstr>
      <vt:lpstr>Riesgos de Seguridad</vt:lpstr>
      <vt:lpstr>Tabla probabilidad</vt:lpstr>
      <vt:lpstr>Tabla Impacto</vt:lpstr>
      <vt:lpstr>Tipo de riesgos</vt:lpstr>
      <vt:lpstr>Amenazas</vt:lpstr>
      <vt:lpstr>Ejemplos de riesgos</vt:lpstr>
      <vt:lpstr>Tabla Valoración controles</vt:lpstr>
      <vt:lpstr>Hoja1</vt:lpstr>
      <vt:lpstr>'Impacto Corrupción '!Área_de_impresión</vt:lpstr>
      <vt:lpstr>'Riesgos de Corrupción'!Área_de_impresión</vt:lpstr>
      <vt:lpstr>'Riesgos de Gestión'!Área_de_impresión</vt:lpstr>
      <vt:lpstr>'Riesgos de Seguridad'!Área_de_impresión</vt:lpstr>
      <vt:lpstr>'Riesgos de Corrupción'!Títulos_a_imprimir</vt:lpstr>
      <vt:lpstr>'Riesgos de Gestión'!Títulos_a_imprimir</vt:lpstr>
      <vt:lpstr>'Riesgos de Seguridad'!Títulos_a_imprimir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maria natalia norato mora</cp:lastModifiedBy>
  <cp:revision/>
  <cp:lastPrinted>2022-11-28T21:48:11Z</cp:lastPrinted>
  <dcterms:created xsi:type="dcterms:W3CDTF">2020-03-24T23:12:47Z</dcterms:created>
  <dcterms:modified xsi:type="dcterms:W3CDTF">2023-01-31T02:05:08Z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