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24226"/>
  <mc:AlternateContent xmlns:mc="http://schemas.openxmlformats.org/markup-compatibility/2006">
    <mc:Choice Requires="x15">
      <x15ac:absPath xmlns:x15ac="http://schemas.microsoft.com/office/spreadsheetml/2010/11/ac" url="https://d.docs.live.net/4592eb41938d7ffb/Documentos/UMV/2023/a. Enero/Mapa de Riesgos 2023/"/>
    </mc:Choice>
  </mc:AlternateContent>
  <xr:revisionPtr revIDLastSave="4" documentId="11_7DA76B85D78A590867DD4CDC16D41D851341317D" xr6:coauthVersionLast="47" xr6:coauthVersionMax="47" xr10:uidLastSave="{B3AF3AC4-2163-4C89-9EC6-E27486613A25}"/>
  <bookViews>
    <workbookView xWindow="-120" yWindow="-120" windowWidth="20730" windowHeight="11040" tabRatio="933" activeTab="3" xr2:uid="{00000000-000D-0000-FFFF-FFFF00000000}"/>
  </bookViews>
  <sheets>
    <sheet name="Intructivo" sheetId="20" r:id="rId1"/>
    <sheet name="Revisión DOFA" sheetId="21" state="hidden" r:id="rId2"/>
    <sheet name="Listas" sheetId="16" state="hidden" r:id="rId3"/>
    <sheet name="Riesgos de Gestión" sheetId="1" r:id="rId4"/>
    <sheet name="Matriz Calor Inherente" sheetId="18" r:id="rId5"/>
    <sheet name="Matriz Calor Residual" sheetId="19" r:id="rId6"/>
    <sheet name="Riesgos de Corrupción" sheetId="31" r:id="rId7"/>
    <sheet name="Impacto Corrupción " sheetId="22" r:id="rId8"/>
    <sheet name="Riesgos de Seguridad" sheetId="32" r:id="rId9"/>
    <sheet name="Tabla probabilidad" sheetId="12" r:id="rId10"/>
    <sheet name="Tabla Impacto" sheetId="13" r:id="rId11"/>
    <sheet name="Tipo de riesgos" sheetId="23" r:id="rId12"/>
    <sheet name="Amenazas" sheetId="28" r:id="rId13"/>
    <sheet name="Ejemplos de riesgos" sheetId="26" r:id="rId14"/>
    <sheet name="Tabla Valoración controles" sheetId="15" r:id="rId15"/>
    <sheet name="Hoja1" sheetId="11" state="hidden" r:id="rId16"/>
  </sheets>
  <externalReferences>
    <externalReference r:id="rId17"/>
    <externalReference r:id="rId18"/>
  </externalReferences>
  <definedNames>
    <definedName name="_xlnm.Print_Area" localSheetId="7">'Impacto Corrupción '!$A$1:$G$26</definedName>
    <definedName name="_xlnm.Print_Area" localSheetId="6">'Riesgos de Corrupción'!$A$1:$AR$66</definedName>
    <definedName name="_xlnm.Print_Area" localSheetId="3">'Riesgos de Gestión'!$A$1:$AR$76</definedName>
    <definedName name="_xlnm.Print_Area" localSheetId="8">'Riesgos de Seguridad'!$A$1:$AV$24</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 localSheetId="7">#REF!</definedName>
    <definedName name="impactoco">#REF!</definedName>
    <definedName name="infraestructura">#REF!</definedName>
    <definedName name="interno">#REF!</definedName>
    <definedName name="macroprocesos">#REF!</definedName>
    <definedName name="medio_ambientales">#REF!</definedName>
    <definedName name="opciondelriesgo" localSheetId="7">[1]FORMULAS!$K$4:$K$7</definedName>
    <definedName name="opciondelriesgo">[2]FORMULAS!$K$4:$K$7</definedName>
    <definedName name="personal">#REF!</definedName>
    <definedName name="políticos">#REF!</definedName>
    <definedName name="probabilidad" localSheetId="7">#REF!</definedName>
    <definedName name="probabilidad">[2]FORMULAS!$G$4:$G$8</definedName>
    <definedName name="proceso">#REF!</definedName>
    <definedName name="procesos" localSheetId="7">#REF!</definedName>
    <definedName name="procesos">[2]FORMULAS!$B$4:$B$21</definedName>
    <definedName name="sociales">#REF!</definedName>
    <definedName name="tecnología">#REF!</definedName>
    <definedName name="tecnológicos">#REF!</definedName>
    <definedName name="tipo_de_amenaza" localSheetId="7">[1]FORMULAS!$E$4:$E$11</definedName>
    <definedName name="tipo_de_amenaza">[2]FORMULAS!$E$4:$E$11</definedName>
    <definedName name="tipo_de_riesgos" localSheetId="7">[1]FORMULAS!$C$4:$C$6</definedName>
    <definedName name="tipo_de_riesgos">[2]FORMULAS!$C$4:$C$6</definedName>
    <definedName name="_xlnm.Print_Titles" localSheetId="6">'Riesgos de Corrupción'!$1:$8</definedName>
    <definedName name="_xlnm.Print_Titles" localSheetId="3">'Riesgos de Gestión'!$1:$8</definedName>
    <definedName name="_xlnm.Print_Titles" localSheetId="8">'Riesgos de Seguridad'!$1:$8</definedName>
  </definedNames>
  <calcPr calcId="191029"/>
  <pivotCaches>
    <pivotCache cacheId="0"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2" i="32" l="1"/>
  <c r="AB72" i="32"/>
  <c r="AI72" i="32" s="1"/>
  <c r="V72" i="32"/>
  <c r="AE71" i="32"/>
  <c r="AB71" i="32"/>
  <c r="AM72" i="32" s="1"/>
  <c r="AL72" i="32" s="1"/>
  <c r="V71" i="32"/>
  <c r="AE70" i="32"/>
  <c r="AB70" i="32"/>
  <c r="AM71" i="32" s="1"/>
  <c r="AL71" i="32" s="1"/>
  <c r="V70" i="32"/>
  <c r="AE69" i="32"/>
  <c r="AB69" i="32"/>
  <c r="V69" i="32"/>
  <c r="AE68" i="32"/>
  <c r="AB68" i="32"/>
  <c r="V68" i="32"/>
  <c r="AE67" i="32"/>
  <c r="AB67" i="32"/>
  <c r="T67" i="32"/>
  <c r="S67" i="32"/>
  <c r="AE66" i="32"/>
  <c r="AB66" i="32"/>
  <c r="V66" i="32"/>
  <c r="AE65" i="32"/>
  <c r="AB65" i="32"/>
  <c r="V65" i="32"/>
  <c r="AE64" i="32"/>
  <c r="AB64" i="32"/>
  <c r="AI65" i="32" s="1"/>
  <c r="V64" i="32"/>
  <c r="AE63" i="32"/>
  <c r="AB63" i="32"/>
  <c r="V63" i="32"/>
  <c r="AE62" i="32"/>
  <c r="AB62" i="32"/>
  <c r="AI63" i="32" s="1"/>
  <c r="V62" i="32"/>
  <c r="AE61" i="32"/>
  <c r="AB61" i="32"/>
  <c r="S61" i="32"/>
  <c r="AE60" i="32"/>
  <c r="AB60" i="32"/>
  <c r="V60" i="32"/>
  <c r="AE59" i="32"/>
  <c r="AB59" i="32"/>
  <c r="AI60" i="32" s="1"/>
  <c r="V59" i="32"/>
  <c r="AE58" i="32"/>
  <c r="AB58" i="32"/>
  <c r="V58" i="32"/>
  <c r="AE57" i="32"/>
  <c r="AB57" i="32"/>
  <c r="AM58" i="32" s="1"/>
  <c r="AL58" i="32" s="1"/>
  <c r="V57" i="32"/>
  <c r="AE56" i="32"/>
  <c r="AB56" i="32"/>
  <c r="V56" i="32"/>
  <c r="AE55" i="32"/>
  <c r="AB55" i="32"/>
  <c r="AM55" i="32" s="1"/>
  <c r="AL55" i="32" s="1"/>
  <c r="S55" i="32"/>
  <c r="AE54" i="32"/>
  <c r="AB54" i="32"/>
  <c r="V54" i="32"/>
  <c r="AE53" i="32"/>
  <c r="AB53" i="32"/>
  <c r="AM54" i="32" s="1"/>
  <c r="AL54" i="32" s="1"/>
  <c r="V53" i="32"/>
  <c r="AE52" i="32"/>
  <c r="AB52" i="32"/>
  <c r="V52" i="32"/>
  <c r="AE51" i="32"/>
  <c r="AB51" i="32"/>
  <c r="AM52" i="32" s="1"/>
  <c r="AL52" i="32" s="1"/>
  <c r="V51" i="32"/>
  <c r="AE50" i="32"/>
  <c r="AB50" i="32"/>
  <c r="V50" i="32"/>
  <c r="AE49" i="32"/>
  <c r="AB49" i="32"/>
  <c r="AM49" i="32" s="1"/>
  <c r="AL49" i="32" s="1"/>
  <c r="S49" i="32"/>
  <c r="T49" i="32" s="1"/>
  <c r="AE48" i="32"/>
  <c r="AB48" i="32"/>
  <c r="AM48" i="32" s="1"/>
  <c r="AL48" i="32" s="1"/>
  <c r="V48" i="32"/>
  <c r="AE47" i="32"/>
  <c r="AB47" i="32"/>
  <c r="V47" i="32"/>
  <c r="AE46" i="32"/>
  <c r="AB46" i="32"/>
  <c r="AM46" i="32" s="1"/>
  <c r="AL46" i="32" s="1"/>
  <c r="V46" i="32"/>
  <c r="AE45" i="32"/>
  <c r="AB45" i="32"/>
  <c r="V45" i="32"/>
  <c r="AE44" i="32"/>
  <c r="AB44" i="32"/>
  <c r="AM45" i="32" s="1"/>
  <c r="AL45" i="32" s="1"/>
  <c r="V44" i="32"/>
  <c r="AE43" i="32"/>
  <c r="AB43" i="32"/>
  <c r="AI43" i="32" s="1"/>
  <c r="AJ43" i="32" s="1"/>
  <c r="S43" i="32"/>
  <c r="AE42" i="32"/>
  <c r="AB42" i="32"/>
  <c r="V42" i="32"/>
  <c r="AE41" i="32"/>
  <c r="AB41" i="32"/>
  <c r="V41" i="32"/>
  <c r="AE40" i="32"/>
  <c r="AB40" i="32"/>
  <c r="V40" i="32"/>
  <c r="AI39" i="32"/>
  <c r="AK39" i="32" s="1"/>
  <c r="AE39" i="32"/>
  <c r="AB39" i="32"/>
  <c r="V39" i="32"/>
  <c r="AE38" i="32"/>
  <c r="AB38" i="32"/>
  <c r="V38" i="32"/>
  <c r="AE37" i="32"/>
  <c r="AB37" i="32"/>
  <c r="AI37" i="32" s="1"/>
  <c r="S37" i="32"/>
  <c r="T37" i="32" s="1"/>
  <c r="AM36" i="32"/>
  <c r="AL36" i="32" s="1"/>
  <c r="AE36" i="32"/>
  <c r="AB36" i="32"/>
  <c r="V36" i="32"/>
  <c r="AE35" i="32"/>
  <c r="AB35" i="32"/>
  <c r="AI36" i="32" s="1"/>
  <c r="AK36" i="32" s="1"/>
  <c r="V35" i="32"/>
  <c r="AE34" i="32"/>
  <c r="AB34" i="32"/>
  <c r="V34" i="32"/>
  <c r="AE33" i="32"/>
  <c r="AB33" i="32"/>
  <c r="AM34" i="32" s="1"/>
  <c r="AL34" i="32" s="1"/>
  <c r="V33" i="32"/>
  <c r="AE32" i="32"/>
  <c r="AB32" i="32"/>
  <c r="V32" i="32"/>
  <c r="AE31" i="32"/>
  <c r="AB31" i="32"/>
  <c r="AM31" i="32" s="1"/>
  <c r="AL31" i="32" s="1"/>
  <c r="S31" i="32"/>
  <c r="AE30" i="32"/>
  <c r="AB30" i="32"/>
  <c r="V30" i="32"/>
  <c r="AE29" i="32"/>
  <c r="AB29" i="32"/>
  <c r="V29" i="32"/>
  <c r="AE28" i="32"/>
  <c r="AB28" i="32"/>
  <c r="AM29" i="32" s="1"/>
  <c r="AL29" i="32" s="1"/>
  <c r="V28" i="32"/>
  <c r="AE27" i="32"/>
  <c r="AB27" i="32"/>
  <c r="V27" i="32"/>
  <c r="AE26" i="32"/>
  <c r="AB26" i="32"/>
  <c r="AM27" i="32" s="1"/>
  <c r="AL27" i="32" s="1"/>
  <c r="V26" i="32"/>
  <c r="AE25" i="32"/>
  <c r="AB25" i="32"/>
  <c r="S25" i="32"/>
  <c r="AE24" i="32"/>
  <c r="AB24" i="32"/>
  <c r="V24" i="32"/>
  <c r="AE23" i="32"/>
  <c r="AB23" i="32"/>
  <c r="AM24" i="32" s="1"/>
  <c r="AL24" i="32" s="1"/>
  <c r="V23" i="32"/>
  <c r="AE22" i="32"/>
  <c r="AB22" i="32"/>
  <c r="V22" i="32"/>
  <c r="AE21" i="32"/>
  <c r="AB21" i="32"/>
  <c r="AM22" i="32" s="1"/>
  <c r="AL22" i="32" s="1"/>
  <c r="V21" i="32"/>
  <c r="AE20" i="32"/>
  <c r="AB20" i="32"/>
  <c r="V20" i="32"/>
  <c r="AE19" i="32"/>
  <c r="AB19" i="32"/>
  <c r="AM19" i="32" s="1"/>
  <c r="AL19" i="32" s="1"/>
  <c r="T19" i="32"/>
  <c r="S19" i="32"/>
  <c r="AE18" i="32"/>
  <c r="AB18" i="32"/>
  <c r="V18" i="32"/>
  <c r="AE17" i="32"/>
  <c r="AB17" i="32"/>
  <c r="AM18" i="32" s="1"/>
  <c r="AL18" i="32" s="1"/>
  <c r="V17" i="32"/>
  <c r="AE16" i="32"/>
  <c r="AB16" i="32"/>
  <c r="AM17" i="32" s="1"/>
  <c r="AL17" i="32" s="1"/>
  <c r="V16" i="32"/>
  <c r="AE15" i="32"/>
  <c r="AB15" i="32"/>
  <c r="V15" i="32"/>
  <c r="AE14" i="32"/>
  <c r="AB14" i="32"/>
  <c r="AI15" i="32" s="1"/>
  <c r="V14" i="32"/>
  <c r="AE13" i="32"/>
  <c r="AB13" i="32"/>
  <c r="S13" i="32"/>
  <c r="AA72" i="31"/>
  <c r="X72" i="31"/>
  <c r="R72" i="31"/>
  <c r="AA71" i="31"/>
  <c r="X71" i="31"/>
  <c r="AE72" i="31" s="1"/>
  <c r="R71" i="31"/>
  <c r="AA70" i="31"/>
  <c r="X70" i="31"/>
  <c r="R70" i="31"/>
  <c r="AA69" i="31"/>
  <c r="X69" i="31"/>
  <c r="AI70" i="31" s="1"/>
  <c r="AH70" i="31" s="1"/>
  <c r="R69" i="31"/>
  <c r="AA68" i="31"/>
  <c r="X68" i="31"/>
  <c r="R68" i="31"/>
  <c r="AE67" i="31"/>
  <c r="AF67" i="31" s="1"/>
  <c r="AA67" i="31"/>
  <c r="X67" i="31"/>
  <c r="AI67" i="31" s="1"/>
  <c r="AH67" i="31" s="1"/>
  <c r="O67" i="31"/>
  <c r="P67" i="31" s="1"/>
  <c r="AA66" i="31"/>
  <c r="X66" i="31"/>
  <c r="AE66" i="31" s="1"/>
  <c r="AG66" i="31" s="1"/>
  <c r="R66" i="31"/>
  <c r="AA65" i="31"/>
  <c r="X65" i="31"/>
  <c r="R65" i="31"/>
  <c r="AA64" i="31"/>
  <c r="X64" i="31"/>
  <c r="R64" i="31"/>
  <c r="AA63" i="31"/>
  <c r="X63" i="31"/>
  <c r="AE64" i="31" s="1"/>
  <c r="R63" i="31"/>
  <c r="AA62" i="31"/>
  <c r="X62" i="31"/>
  <c r="R62" i="31"/>
  <c r="AA61" i="31"/>
  <c r="X61" i="31"/>
  <c r="AE62" i="31" s="1"/>
  <c r="O61" i="31"/>
  <c r="P61" i="31" s="1"/>
  <c r="AA60" i="31"/>
  <c r="X60" i="31"/>
  <c r="R60" i="31"/>
  <c r="AA59" i="31"/>
  <c r="X59" i="31"/>
  <c r="R59" i="31"/>
  <c r="AI58" i="31"/>
  <c r="AH58" i="31" s="1"/>
  <c r="AA58" i="31"/>
  <c r="X58" i="31"/>
  <c r="R58" i="31"/>
  <c r="AA57" i="31"/>
  <c r="X57" i="31"/>
  <c r="AE58" i="31" s="1"/>
  <c r="R57" i="31"/>
  <c r="AA56" i="31"/>
  <c r="X56" i="31"/>
  <c r="AI57" i="31" s="1"/>
  <c r="AH57" i="31" s="1"/>
  <c r="R56" i="31"/>
  <c r="AA55" i="31"/>
  <c r="X55" i="31"/>
  <c r="O55" i="31"/>
  <c r="AA54" i="31"/>
  <c r="X54" i="31"/>
  <c r="R54" i="31"/>
  <c r="AA53" i="31"/>
  <c r="X53" i="31"/>
  <c r="R53" i="31"/>
  <c r="AA52" i="31"/>
  <c r="X52" i="31"/>
  <c r="R52" i="31"/>
  <c r="AA51" i="31"/>
  <c r="X51" i="31"/>
  <c r="AI52" i="31" s="1"/>
  <c r="AH52" i="31" s="1"/>
  <c r="R51" i="31"/>
  <c r="AA50" i="31"/>
  <c r="X50" i="31"/>
  <c r="R50" i="31"/>
  <c r="AA49" i="31"/>
  <c r="X49" i="31"/>
  <c r="AI49" i="31" s="1"/>
  <c r="AH49" i="31" s="1"/>
  <c r="O49" i="31"/>
  <c r="P49" i="31" s="1"/>
  <c r="AA48" i="31"/>
  <c r="X48" i="31"/>
  <c r="R48" i="31"/>
  <c r="AA47" i="31"/>
  <c r="X47" i="31"/>
  <c r="AE48" i="31" s="1"/>
  <c r="AF48" i="31" s="1"/>
  <c r="R47" i="31"/>
  <c r="AA46" i="31"/>
  <c r="X46" i="31"/>
  <c r="AE46" i="31" s="1"/>
  <c r="R46" i="31"/>
  <c r="AA45" i="31"/>
  <c r="X45" i="31"/>
  <c r="AI45" i="31" s="1"/>
  <c r="AH45" i="31" s="1"/>
  <c r="R45" i="31"/>
  <c r="AA44" i="31"/>
  <c r="X44" i="31"/>
  <c r="R44" i="31"/>
  <c r="AA43" i="31"/>
  <c r="X43" i="31"/>
  <c r="AI43" i="31" s="1"/>
  <c r="AH43" i="31" s="1"/>
  <c r="O43" i="31"/>
  <c r="P43" i="31" s="1"/>
  <c r="AA42" i="31"/>
  <c r="X42" i="31"/>
  <c r="AI42" i="31" s="1"/>
  <c r="AH42" i="31" s="1"/>
  <c r="R42" i="31"/>
  <c r="AI41" i="31"/>
  <c r="AH41" i="31" s="1"/>
  <c r="AA41" i="31"/>
  <c r="X41" i="31"/>
  <c r="R41" i="31"/>
  <c r="AA40" i="31"/>
  <c r="X40" i="31"/>
  <c r="AE41" i="31" s="1"/>
  <c r="R40" i="31"/>
  <c r="AA39" i="31"/>
  <c r="X39" i="31"/>
  <c r="AI40" i="31" s="1"/>
  <c r="AH40" i="31" s="1"/>
  <c r="R39" i="31"/>
  <c r="AA38" i="31"/>
  <c r="X38" i="31"/>
  <c r="R38" i="31"/>
  <c r="AA37" i="31"/>
  <c r="X37" i="31"/>
  <c r="AI38" i="31" s="1"/>
  <c r="AH38" i="31" s="1"/>
  <c r="O37" i="31"/>
  <c r="AA36" i="31"/>
  <c r="X36" i="31"/>
  <c r="R36" i="31"/>
  <c r="AA35" i="31"/>
  <c r="X35" i="31"/>
  <c r="AI36" i="31" s="1"/>
  <c r="AH36" i="31" s="1"/>
  <c r="R35" i="31"/>
  <c r="AA34" i="31"/>
  <c r="X34" i="31"/>
  <c r="AE35" i="31" s="1"/>
  <c r="AG35" i="31" s="1"/>
  <c r="R34" i="31"/>
  <c r="AA33" i="31"/>
  <c r="X33" i="31"/>
  <c r="R33" i="31"/>
  <c r="AA32" i="31"/>
  <c r="X32" i="31"/>
  <c r="AE33" i="31" s="1"/>
  <c r="R32" i="31"/>
  <c r="AI31" i="31"/>
  <c r="AH31" i="31" s="1"/>
  <c r="AA31" i="31"/>
  <c r="X31" i="31"/>
  <c r="AE31" i="31" s="1"/>
  <c r="O31" i="31"/>
  <c r="P31" i="31" s="1"/>
  <c r="AE30" i="31"/>
  <c r="AG30" i="31" s="1"/>
  <c r="AA30" i="31"/>
  <c r="X30" i="31"/>
  <c r="R30" i="31"/>
  <c r="AA29" i="31"/>
  <c r="X29" i="31"/>
  <c r="R29" i="31"/>
  <c r="AA28" i="31"/>
  <c r="X28" i="31"/>
  <c r="AI28" i="31" s="1"/>
  <c r="AH28" i="31" s="1"/>
  <c r="R28" i="31"/>
  <c r="AA27" i="31"/>
  <c r="X27" i="31"/>
  <c r="R27" i="31"/>
  <c r="AA26" i="31"/>
  <c r="X26" i="31"/>
  <c r="R26" i="31"/>
  <c r="AA25" i="31"/>
  <c r="X25" i="31"/>
  <c r="AI26" i="31" s="1"/>
  <c r="AH26" i="31" s="1"/>
  <c r="O25" i="31"/>
  <c r="P25" i="31" s="1"/>
  <c r="AA24" i="31"/>
  <c r="X24" i="31"/>
  <c r="R24" i="31"/>
  <c r="AA23" i="31"/>
  <c r="X23" i="31"/>
  <c r="AE24" i="31" s="1"/>
  <c r="R23" i="31"/>
  <c r="AA22" i="31"/>
  <c r="X22" i="31"/>
  <c r="R22" i="31"/>
  <c r="AA21" i="31"/>
  <c r="X21" i="31"/>
  <c r="AI22" i="31" s="1"/>
  <c r="AH22" i="31" s="1"/>
  <c r="R21" i="31"/>
  <c r="AA20" i="31"/>
  <c r="X20" i="31"/>
  <c r="AE20" i="31" s="1"/>
  <c r="AF20" i="31" s="1"/>
  <c r="R20" i="31"/>
  <c r="AA19" i="31"/>
  <c r="X19" i="31"/>
  <c r="AI19" i="31" s="1"/>
  <c r="AH19" i="31" s="1"/>
  <c r="O19" i="31"/>
  <c r="P19" i="31" s="1"/>
  <c r="AA18" i="31"/>
  <c r="X18" i="31"/>
  <c r="AE18" i="31" s="1"/>
  <c r="R18" i="31"/>
  <c r="AA17" i="31"/>
  <c r="X17" i="31"/>
  <c r="R17" i="31"/>
  <c r="AA16" i="31"/>
  <c r="X16" i="31"/>
  <c r="R16" i="31"/>
  <c r="AA15" i="31"/>
  <c r="X15" i="31"/>
  <c r="AI16" i="31" s="1"/>
  <c r="AH16" i="31" s="1"/>
  <c r="R15" i="31"/>
  <c r="AA14" i="31"/>
  <c r="X14" i="31"/>
  <c r="R14" i="31"/>
  <c r="AA13" i="31"/>
  <c r="X13" i="31"/>
  <c r="O13" i="31"/>
  <c r="P13" i="31" s="1"/>
  <c r="AE29" i="31" l="1"/>
  <c r="AG29" i="31" s="1"/>
  <c r="AI38" i="32"/>
  <c r="AM47" i="32"/>
  <c r="AL47" i="32" s="1"/>
  <c r="AI27" i="31"/>
  <c r="AH27" i="31" s="1"/>
  <c r="AI48" i="31"/>
  <c r="AH48" i="31" s="1"/>
  <c r="AE51" i="31"/>
  <c r="AF51" i="31" s="1"/>
  <c r="AE52" i="31"/>
  <c r="AG52" i="31" s="1"/>
  <c r="AI63" i="31"/>
  <c r="AH63" i="31" s="1"/>
  <c r="AI64" i="31"/>
  <c r="AH64" i="31" s="1"/>
  <c r="AI69" i="31"/>
  <c r="AH69" i="31" s="1"/>
  <c r="AM28" i="32"/>
  <c r="AL28" i="32" s="1"/>
  <c r="AI53" i="32"/>
  <c r="AK53" i="32" s="1"/>
  <c r="AI54" i="32"/>
  <c r="AK54" i="32" s="1"/>
  <c r="AM62" i="32"/>
  <c r="AL62" i="32" s="1"/>
  <c r="AM63" i="32"/>
  <c r="AL63" i="32" s="1"/>
  <c r="AM69" i="32"/>
  <c r="AL69" i="32" s="1"/>
  <c r="AE68" i="31"/>
  <c r="AF68" i="31" s="1"/>
  <c r="AM15" i="32"/>
  <c r="AL15" i="32" s="1"/>
  <c r="AM26" i="32"/>
  <c r="AL26" i="32" s="1"/>
  <c r="AI33" i="32"/>
  <c r="AI51" i="32"/>
  <c r="AM68" i="32"/>
  <c r="AL68" i="32" s="1"/>
  <c r="T31" i="32"/>
  <c r="AG67" i="31"/>
  <c r="AI35" i="32"/>
  <c r="AK35" i="32" s="1"/>
  <c r="AI48" i="32"/>
  <c r="AM66" i="32"/>
  <c r="AL66" i="32" s="1"/>
  <c r="AI68" i="32"/>
  <c r="AI34" i="31"/>
  <c r="AH34" i="31" s="1"/>
  <c r="AI47" i="31"/>
  <c r="AH47" i="31" s="1"/>
  <c r="AE49" i="31"/>
  <c r="AG49" i="31" s="1"/>
  <c r="AI60" i="31"/>
  <c r="AH60" i="31" s="1"/>
  <c r="AE65" i="31"/>
  <c r="AF65" i="31" s="1"/>
  <c r="AE69" i="31"/>
  <c r="AG69" i="31" s="1"/>
  <c r="AM30" i="32"/>
  <c r="AL30" i="32" s="1"/>
  <c r="AM41" i="32"/>
  <c r="AL41" i="32" s="1"/>
  <c r="AI46" i="32"/>
  <c r="AI55" i="32"/>
  <c r="AK55" i="32" s="1"/>
  <c r="AG33" i="31"/>
  <c r="AF33" i="31"/>
  <c r="AG64" i="31"/>
  <c r="AF64" i="31"/>
  <c r="AG46" i="31"/>
  <c r="AF46" i="31"/>
  <c r="AE50" i="31"/>
  <c r="AE60" i="31"/>
  <c r="AI21" i="31"/>
  <c r="AH21" i="31" s="1"/>
  <c r="AI23" i="31"/>
  <c r="AH23" i="31" s="1"/>
  <c r="AI24" i="31"/>
  <c r="AH24" i="31" s="1"/>
  <c r="AI30" i="31"/>
  <c r="AH30" i="31" s="1"/>
  <c r="AE34" i="31"/>
  <c r="AF34" i="31" s="1"/>
  <c r="AJ34" i="31" s="1"/>
  <c r="AE38" i="31"/>
  <c r="AG38" i="31" s="1"/>
  <c r="AE42" i="31"/>
  <c r="AE45" i="31"/>
  <c r="AI53" i="31"/>
  <c r="AH53" i="31" s="1"/>
  <c r="AI61" i="31"/>
  <c r="AH61" i="31" s="1"/>
  <c r="AE63" i="31"/>
  <c r="AF49" i="31"/>
  <c r="AI50" i="31"/>
  <c r="AH50" i="31" s="1"/>
  <c r="AI18" i="31"/>
  <c r="AH18" i="31" s="1"/>
  <c r="AE32" i="31"/>
  <c r="AI56" i="31"/>
  <c r="AH56" i="31" s="1"/>
  <c r="AI59" i="31"/>
  <c r="AH59" i="31" s="1"/>
  <c r="AI66" i="31"/>
  <c r="AH66" i="31" s="1"/>
  <c r="AI33" i="31"/>
  <c r="AH33" i="31" s="1"/>
  <c r="AE37" i="31"/>
  <c r="AF37" i="31" s="1"/>
  <c r="AE47" i="31"/>
  <c r="AI54" i="31"/>
  <c r="AH54" i="31" s="1"/>
  <c r="AI62" i="31"/>
  <c r="AH62" i="31" s="1"/>
  <c r="AI71" i="31"/>
  <c r="AH71" i="31" s="1"/>
  <c r="AI72" i="31"/>
  <c r="AH72" i="31" s="1"/>
  <c r="AE17" i="31"/>
  <c r="AF17" i="31" s="1"/>
  <c r="AE19" i="31"/>
  <c r="AF19" i="31" s="1"/>
  <c r="AE28" i="31"/>
  <c r="AE55" i="31"/>
  <c r="AG55" i="31" s="1"/>
  <c r="AE59" i="31"/>
  <c r="AE21" i="31"/>
  <c r="AG21" i="31" s="1"/>
  <c r="AE27" i="31"/>
  <c r="AI35" i="31"/>
  <c r="AH35" i="31" s="1"/>
  <c r="AI39" i="31"/>
  <c r="AH39" i="31" s="1"/>
  <c r="AI44" i="31"/>
  <c r="AH44" i="31" s="1"/>
  <c r="AE61" i="31"/>
  <c r="AF29" i="31"/>
  <c r="AF30" i="31"/>
  <c r="AK68" i="32"/>
  <c r="AJ68" i="32"/>
  <c r="AN68" i="32" s="1"/>
  <c r="AK51" i="32"/>
  <c r="AJ51" i="32"/>
  <c r="AK48" i="32"/>
  <c r="AJ48" i="32"/>
  <c r="AN48" i="32" s="1"/>
  <c r="AK65" i="32"/>
  <c r="AJ65" i="32"/>
  <c r="AK38" i="32"/>
  <c r="AJ38" i="32"/>
  <c r="AI71" i="32"/>
  <c r="AI17" i="32"/>
  <c r="AI18" i="32"/>
  <c r="AI34" i="32"/>
  <c r="AJ35" i="32"/>
  <c r="AM39" i="32"/>
  <c r="AL39" i="32" s="1"/>
  <c r="AI47" i="32"/>
  <c r="AJ47" i="32" s="1"/>
  <c r="AN47" i="32" s="1"/>
  <c r="AJ54" i="32"/>
  <c r="AN54" i="32" s="1"/>
  <c r="AJ55" i="32"/>
  <c r="AN55" i="32" s="1"/>
  <c r="AI20" i="32"/>
  <c r="AK20" i="32" s="1"/>
  <c r="AI19" i="32"/>
  <c r="AI23" i="32"/>
  <c r="AJ23" i="32" s="1"/>
  <c r="AI25" i="32"/>
  <c r="AJ25" i="32" s="1"/>
  <c r="AM32" i="32"/>
  <c r="AL32" i="32" s="1"/>
  <c r="AM20" i="32"/>
  <c r="AL20" i="32" s="1"/>
  <c r="AM23" i="32"/>
  <c r="AL23" i="32" s="1"/>
  <c r="AM25" i="32"/>
  <c r="AL25" i="32" s="1"/>
  <c r="T55" i="32"/>
  <c r="AM67" i="32"/>
  <c r="AL67" i="32" s="1"/>
  <c r="AI24" i="32"/>
  <c r="AJ24" i="32" s="1"/>
  <c r="AN24" i="32" s="1"/>
  <c r="AI29" i="32"/>
  <c r="AK29" i="32" s="1"/>
  <c r="AM57" i="32"/>
  <c r="AL57" i="32" s="1"/>
  <c r="AM70" i="32"/>
  <c r="AL70" i="32" s="1"/>
  <c r="AI70" i="32"/>
  <c r="AK70" i="32" s="1"/>
  <c r="AM51" i="32"/>
  <c r="AL51" i="32" s="1"/>
  <c r="AN51" i="32" s="1"/>
  <c r="AI57" i="32"/>
  <c r="AI22" i="32"/>
  <c r="AJ22" i="32" s="1"/>
  <c r="AN22" i="32" s="1"/>
  <c r="AI40" i="32"/>
  <c r="AK40" i="32" s="1"/>
  <c r="AM59" i="32"/>
  <c r="AL59" i="32" s="1"/>
  <c r="AM60" i="32"/>
  <c r="AL60" i="32" s="1"/>
  <c r="AM65" i="32"/>
  <c r="AL65" i="32" s="1"/>
  <c r="AN65" i="32" s="1"/>
  <c r="AM16" i="32"/>
  <c r="AL16" i="32" s="1"/>
  <c r="AI16" i="32"/>
  <c r="AK16" i="32" s="1"/>
  <c r="AM37" i="32"/>
  <c r="AL37" i="32" s="1"/>
  <c r="AM40" i="32"/>
  <c r="AL40" i="32" s="1"/>
  <c r="AI50" i="32"/>
  <c r="AI52" i="32"/>
  <c r="AI56" i="32"/>
  <c r="AK56" i="32" s="1"/>
  <c r="AI64" i="32"/>
  <c r="AK64" i="32" s="1"/>
  <c r="AI66" i="32"/>
  <c r="AI69" i="32"/>
  <c r="AI21" i="32"/>
  <c r="AI26" i="32"/>
  <c r="AJ26" i="32" s="1"/>
  <c r="AN26" i="32" s="1"/>
  <c r="AI30" i="32"/>
  <c r="AK30" i="32" s="1"/>
  <c r="AM33" i="32"/>
  <c r="AL33" i="32" s="1"/>
  <c r="AM42" i="32"/>
  <c r="AL42" i="32" s="1"/>
  <c r="AM44" i="32"/>
  <c r="AL44" i="32" s="1"/>
  <c r="AI67" i="32"/>
  <c r="AE16" i="31"/>
  <c r="AG16" i="31" s="1"/>
  <c r="AK46" i="32"/>
  <c r="AJ46" i="32"/>
  <c r="AN46" i="32" s="1"/>
  <c r="AK50" i="32"/>
  <c r="AJ50" i="32"/>
  <c r="AK33" i="32"/>
  <c r="AJ33" i="32"/>
  <c r="AK60" i="32"/>
  <c r="AJ60" i="32"/>
  <c r="AJ34" i="32"/>
  <c r="AN34" i="32" s="1"/>
  <c r="AK34" i="32"/>
  <c r="AK47" i="32"/>
  <c r="AK15" i="32"/>
  <c r="AJ15" i="32"/>
  <c r="AN15" i="32" s="1"/>
  <c r="AJ37" i="32"/>
  <c r="AK37" i="32"/>
  <c r="AK63" i="32"/>
  <c r="AJ63" i="32"/>
  <c r="AN63" i="32" s="1"/>
  <c r="AK72" i="32"/>
  <c r="AJ72" i="32"/>
  <c r="AN72" i="32" s="1"/>
  <c r="AJ29" i="32"/>
  <c r="AN29" i="32" s="1"/>
  <c r="AM50" i="32"/>
  <c r="AL50" i="32" s="1"/>
  <c r="AJ53" i="32"/>
  <c r="AM64" i="32"/>
  <c r="AL64" i="32" s="1"/>
  <c r="AJ70" i="32"/>
  <c r="T25" i="32"/>
  <c r="AJ40" i="32"/>
  <c r="T13" i="32"/>
  <c r="AI13" i="32" s="1"/>
  <c r="AM21" i="32"/>
  <c r="AL21" i="32" s="1"/>
  <c r="AI28" i="32"/>
  <c r="AI31" i="32"/>
  <c r="AM35" i="32"/>
  <c r="AL35" i="32" s="1"/>
  <c r="AN35" i="32" s="1"/>
  <c r="AM38" i="32"/>
  <c r="AL38" i="32" s="1"/>
  <c r="AN38" i="32" s="1"/>
  <c r="AI42" i="32"/>
  <c r="AK43" i="32"/>
  <c r="AI45" i="32"/>
  <c r="AI59" i="32"/>
  <c r="T61" i="32"/>
  <c r="AI62" i="32"/>
  <c r="AI27" i="32"/>
  <c r="AI32" i="32"/>
  <c r="AI49" i="32"/>
  <c r="AM53" i="32"/>
  <c r="AL53" i="32" s="1"/>
  <c r="AM56" i="32"/>
  <c r="AL56" i="32" s="1"/>
  <c r="AJ36" i="32"/>
  <c r="AN36" i="32" s="1"/>
  <c r="AJ39" i="32"/>
  <c r="AN39" i="32" s="1"/>
  <c r="AK25" i="32"/>
  <c r="T43" i="32"/>
  <c r="AI61" i="32"/>
  <c r="AM43" i="32"/>
  <c r="AL43" i="32" s="1"/>
  <c r="AN43" i="32" s="1"/>
  <c r="AI41" i="32"/>
  <c r="AI44" i="32"/>
  <c r="AM13" i="32"/>
  <c r="AL13" i="32" s="1"/>
  <c r="AM61" i="32"/>
  <c r="AL61" i="32" s="1"/>
  <c r="AI58" i="32"/>
  <c r="AJ33" i="31"/>
  <c r="AJ49" i="31"/>
  <c r="AJ67" i="31"/>
  <c r="AJ48" i="31"/>
  <c r="AJ64" i="31"/>
  <c r="AG42" i="31"/>
  <c r="AF42" i="31"/>
  <c r="AJ42" i="31" s="1"/>
  <c r="AG72" i="31"/>
  <c r="AF72" i="31"/>
  <c r="AG59" i="31"/>
  <c r="AF59" i="31"/>
  <c r="AJ59" i="31" s="1"/>
  <c r="AG27" i="31"/>
  <c r="AF27" i="31"/>
  <c r="AJ27" i="31" s="1"/>
  <c r="AG31" i="31"/>
  <c r="AF31" i="31"/>
  <c r="AJ31" i="31" s="1"/>
  <c r="AG18" i="31"/>
  <c r="AF18" i="31"/>
  <c r="AJ18" i="31" s="1"/>
  <c r="AJ19" i="31"/>
  <c r="AJ30" i="31"/>
  <c r="AG45" i="31"/>
  <c r="AF45" i="31"/>
  <c r="AJ45" i="31" s="1"/>
  <c r="AG58" i="31"/>
  <c r="AF58" i="31"/>
  <c r="AJ58" i="31" s="1"/>
  <c r="AG24" i="31"/>
  <c r="AF24" i="31"/>
  <c r="AJ24" i="31" s="1"/>
  <c r="AG41" i="31"/>
  <c r="AF41" i="31"/>
  <c r="AJ41" i="31" s="1"/>
  <c r="AG62" i="31"/>
  <c r="AF62" i="31"/>
  <c r="AJ62" i="31" s="1"/>
  <c r="AG28" i="31"/>
  <c r="AF28" i="31"/>
  <c r="AJ28" i="31" s="1"/>
  <c r="P37" i="31"/>
  <c r="AG20" i="31"/>
  <c r="AF21" i="31"/>
  <c r="AJ21" i="31" s="1"/>
  <c r="AE22" i="31"/>
  <c r="AE25" i="31"/>
  <c r="AI29" i="31"/>
  <c r="AH29" i="31" s="1"/>
  <c r="AJ29" i="31" s="1"/>
  <c r="AI32" i="31"/>
  <c r="AH32" i="31" s="1"/>
  <c r="AF35" i="31"/>
  <c r="AE36" i="31"/>
  <c r="AG37" i="31"/>
  <c r="AF38" i="31"/>
  <c r="AJ38" i="31" s="1"/>
  <c r="AE39" i="31"/>
  <c r="AI46" i="31"/>
  <c r="AH46" i="31" s="1"/>
  <c r="AJ46" i="31" s="1"/>
  <c r="AG48" i="31"/>
  <c r="AG51" i="31"/>
  <c r="AF52" i="31"/>
  <c r="AJ52" i="31" s="1"/>
  <c r="AE53" i="31"/>
  <c r="P55" i="31"/>
  <c r="AF55" i="31"/>
  <c r="AE56" i="31"/>
  <c r="AG65" i="31"/>
  <c r="AF66" i="31"/>
  <c r="AJ66" i="31" s="1"/>
  <c r="AG68" i="31"/>
  <c r="AF69" i="31"/>
  <c r="AJ69" i="31" s="1"/>
  <c r="AE70" i="31"/>
  <c r="AE23" i="31"/>
  <c r="AE26" i="31"/>
  <c r="AE40" i="31"/>
  <c r="AE43" i="31"/>
  <c r="AE54" i="31"/>
  <c r="AE57" i="31"/>
  <c r="AE71" i="31"/>
  <c r="AE13" i="31"/>
  <c r="AI17" i="31"/>
  <c r="AH17" i="31" s="1"/>
  <c r="AI20" i="31"/>
  <c r="AH20" i="31" s="1"/>
  <c r="AJ20" i="31" s="1"/>
  <c r="AI37" i="31"/>
  <c r="AH37" i="31" s="1"/>
  <c r="AJ37" i="31" s="1"/>
  <c r="AE44" i="31"/>
  <c r="AI51" i="31"/>
  <c r="AH51" i="31" s="1"/>
  <c r="AJ51" i="31" s="1"/>
  <c r="AI65" i="31"/>
  <c r="AH65" i="31" s="1"/>
  <c r="AJ65" i="31" s="1"/>
  <c r="AI68" i="31"/>
  <c r="AH68" i="31" s="1"/>
  <c r="AJ68" i="31" s="1"/>
  <c r="AI55" i="31"/>
  <c r="AH55" i="31" s="1"/>
  <c r="AI25" i="31"/>
  <c r="AH25" i="31" s="1"/>
  <c r="O13" i="1"/>
  <c r="P13" i="1" s="1"/>
  <c r="X13" i="1"/>
  <c r="AA13" i="1"/>
  <c r="X14" i="1"/>
  <c r="AA14" i="1"/>
  <c r="X15" i="1"/>
  <c r="AA15" i="1"/>
  <c r="X16" i="1"/>
  <c r="AA16" i="1"/>
  <c r="X17" i="1"/>
  <c r="AA17" i="1"/>
  <c r="X18" i="1"/>
  <c r="AA18" i="1"/>
  <c r="R17" i="1"/>
  <c r="R15" i="1"/>
  <c r="R16" i="1"/>
  <c r="R14" i="1"/>
  <c r="R18" i="1"/>
  <c r="AK23" i="32" l="1"/>
  <c r="AJ56" i="32"/>
  <c r="AJ35" i="31"/>
  <c r="AJ72" i="31"/>
  <c r="AJ17" i="31"/>
  <c r="AG17" i="31"/>
  <c r="AG60" i="31"/>
  <c r="AF60" i="31"/>
  <c r="AJ60" i="31" s="1"/>
  <c r="AG34" i="31"/>
  <c r="AG19" i="31"/>
  <c r="AG32" i="31"/>
  <c r="AF32" i="31"/>
  <c r="AJ32" i="31" s="1"/>
  <c r="AG50" i="31"/>
  <c r="AF50" i="31"/>
  <c r="AJ50" i="31" s="1"/>
  <c r="AG47" i="31"/>
  <c r="AF47" i="31"/>
  <c r="AJ47" i="31" s="1"/>
  <c r="AF61" i="31"/>
  <c r="AJ61" i="31" s="1"/>
  <c r="AG61" i="31"/>
  <c r="AF63" i="31"/>
  <c r="AJ63" i="31" s="1"/>
  <c r="AG63" i="31"/>
  <c r="AF16" i="31"/>
  <c r="AJ16" i="31" s="1"/>
  <c r="AN40" i="32"/>
  <c r="AN60" i="32"/>
  <c r="AN70" i="32"/>
  <c r="AK26" i="32"/>
  <c r="AJ30" i="32"/>
  <c r="AN30" i="32" s="1"/>
  <c r="AK24" i="32"/>
  <c r="AJ20" i="32"/>
  <c r="AN20" i="32" s="1"/>
  <c r="AK22" i="32"/>
  <c r="AJ16" i="32"/>
  <c r="AN16" i="32" s="1"/>
  <c r="AI14" i="31"/>
  <c r="AH14" i="31" s="1"/>
  <c r="AI15" i="31"/>
  <c r="AH15" i="31" s="1"/>
  <c r="AJ21" i="32"/>
  <c r="AN21" i="32" s="1"/>
  <c r="AK21" i="32"/>
  <c r="AK57" i="32"/>
  <c r="AJ57" i="32"/>
  <c r="AN57" i="32" s="1"/>
  <c r="AK19" i="32"/>
  <c r="AJ19" i="32"/>
  <c r="AN19" i="32" s="1"/>
  <c r="AJ18" i="32"/>
  <c r="AN18" i="32" s="1"/>
  <c r="AK18" i="32"/>
  <c r="AN33" i="32"/>
  <c r="AJ69" i="32"/>
  <c r="AN69" i="32" s="1"/>
  <c r="AK69" i="32"/>
  <c r="AK17" i="32"/>
  <c r="AJ17" i="32"/>
  <c r="AN17" i="32" s="1"/>
  <c r="AK71" i="32"/>
  <c r="AJ71" i="32"/>
  <c r="AN71" i="32" s="1"/>
  <c r="AJ66" i="32"/>
  <c r="AN66" i="32" s="1"/>
  <c r="AK66" i="32"/>
  <c r="AN37" i="32"/>
  <c r="AK67" i="32"/>
  <c r="AJ67" i="32"/>
  <c r="AN67" i="32" s="1"/>
  <c r="AJ64" i="32"/>
  <c r="AJ52" i="32"/>
  <c r="AN52" i="32" s="1"/>
  <c r="AK52" i="32"/>
  <c r="AN25" i="32"/>
  <c r="AN23" i="32"/>
  <c r="AK13" i="32"/>
  <c r="AI14" i="32" s="1"/>
  <c r="AJ13" i="32"/>
  <c r="AN13" i="32" s="1"/>
  <c r="AK45" i="32"/>
  <c r="AJ45" i="32"/>
  <c r="AN45" i="32" s="1"/>
  <c r="AK61" i="32"/>
  <c r="AJ61" i="32"/>
  <c r="AN61" i="32" s="1"/>
  <c r="AN56" i="32"/>
  <c r="AN50" i="32"/>
  <c r="AK58" i="32"/>
  <c r="AJ58" i="32"/>
  <c r="AN58" i="32" s="1"/>
  <c r="AK49" i="32"/>
  <c r="AJ49" i="32"/>
  <c r="AN49" i="32" s="1"/>
  <c r="AK42" i="32"/>
  <c r="AJ42" i="32"/>
  <c r="AN42" i="32" s="1"/>
  <c r="AN53" i="32"/>
  <c r="AK32" i="32"/>
  <c r="AJ32" i="32"/>
  <c r="AN32" i="32" s="1"/>
  <c r="AK62" i="32"/>
  <c r="AJ62" i="32"/>
  <c r="AN62" i="32" s="1"/>
  <c r="AK31" i="32"/>
  <c r="AJ31" i="32"/>
  <c r="AN31" i="32" s="1"/>
  <c r="AM14" i="32"/>
  <c r="AL14" i="32" s="1"/>
  <c r="AK44" i="32"/>
  <c r="AJ44" i="32"/>
  <c r="AN44" i="32" s="1"/>
  <c r="AN64" i="32"/>
  <c r="AK27" i="32"/>
  <c r="AJ27" i="32"/>
  <c r="AN27" i="32" s="1"/>
  <c r="AK28" i="32"/>
  <c r="AJ28" i="32"/>
  <c r="AN28" i="32" s="1"/>
  <c r="AK41" i="32"/>
  <c r="AJ41" i="32"/>
  <c r="AN41" i="32" s="1"/>
  <c r="AK59" i="32"/>
  <c r="AJ59" i="32"/>
  <c r="AN59" i="32" s="1"/>
  <c r="AG40" i="31"/>
  <c r="AF40" i="31"/>
  <c r="AJ40" i="31" s="1"/>
  <c r="AG56" i="31"/>
  <c r="AF56" i="31"/>
  <c r="AJ56" i="31" s="1"/>
  <c r="AG39" i="31"/>
  <c r="AF39" i="31"/>
  <c r="AJ39" i="31" s="1"/>
  <c r="AG25" i="31"/>
  <c r="AF25" i="31"/>
  <c r="AJ25" i="31" s="1"/>
  <c r="AG44" i="31"/>
  <c r="AF44" i="31"/>
  <c r="AJ44" i="31" s="1"/>
  <c r="AG22" i="31"/>
  <c r="AF22" i="31"/>
  <c r="AJ22" i="31" s="1"/>
  <c r="AG26" i="31"/>
  <c r="AF26" i="31"/>
  <c r="AJ26" i="31" s="1"/>
  <c r="AJ55" i="31"/>
  <c r="AG23" i="31"/>
  <c r="AF23" i="31"/>
  <c r="AJ23" i="31" s="1"/>
  <c r="AG57" i="31"/>
  <c r="AF57" i="31"/>
  <c r="AJ57" i="31" s="1"/>
  <c r="AG13" i="31"/>
  <c r="AE14" i="31" s="1"/>
  <c r="AF13" i="31"/>
  <c r="AG70" i="31"/>
  <c r="AF70" i="31"/>
  <c r="AJ70" i="31" s="1"/>
  <c r="AG53" i="31"/>
  <c r="AF53" i="31"/>
  <c r="AJ53" i="31" s="1"/>
  <c r="AG36" i="31"/>
  <c r="AF36" i="31"/>
  <c r="AJ36" i="31" s="1"/>
  <c r="AG54" i="31"/>
  <c r="AF54" i="31"/>
  <c r="AJ54" i="31" s="1"/>
  <c r="AG43" i="31"/>
  <c r="AF43" i="31"/>
  <c r="AJ43" i="31" s="1"/>
  <c r="AG71" i="31"/>
  <c r="AF71" i="31"/>
  <c r="AJ71" i="31" s="1"/>
  <c r="AE17" i="1"/>
  <c r="AF17" i="1" s="1"/>
  <c r="AI18" i="1"/>
  <c r="AH18" i="1" s="1"/>
  <c r="AE18" i="1"/>
  <c r="AG18" i="1" s="1"/>
  <c r="AI16" i="1"/>
  <c r="AH16" i="1" s="1"/>
  <c r="AE13" i="1"/>
  <c r="AG13" i="1" s="1"/>
  <c r="AE14" i="1" s="1"/>
  <c r="AI17" i="1"/>
  <c r="AH17" i="1" s="1"/>
  <c r="AE16" i="1"/>
  <c r="AK14" i="32" l="1"/>
  <c r="AJ14" i="32"/>
  <c r="AN14" i="32" s="1"/>
  <c r="AG14" i="31"/>
  <c r="AE15" i="31" s="1"/>
  <c r="AF14" i="31"/>
  <c r="AJ14" i="31" s="1"/>
  <c r="AG17" i="1"/>
  <c r="AF18" i="1"/>
  <c r="AJ18" i="1" s="1"/>
  <c r="AF13" i="1"/>
  <c r="AF14" i="1"/>
  <c r="AG14" i="1"/>
  <c r="AE15" i="1" s="1"/>
  <c r="AF15" i="1" s="1"/>
  <c r="AF16" i="1"/>
  <c r="AJ16" i="1" s="1"/>
  <c r="AG16" i="1"/>
  <c r="AJ17" i="1"/>
  <c r="AG15" i="31" l="1"/>
  <c r="AF15" i="31"/>
  <c r="AJ15" i="31" s="1"/>
  <c r="AG15" i="1"/>
  <c r="O55" i="1" l="1"/>
  <c r="X19" i="1" l="1"/>
  <c r="X20" i="1"/>
  <c r="E24" i="22" l="1"/>
  <c r="E8" i="13"/>
  <c r="E7" i="13"/>
  <c r="E6" i="13"/>
  <c r="E5" i="13"/>
  <c r="R22" i="1"/>
  <c r="R71" i="1"/>
  <c r="R38" i="1"/>
  <c r="R54" i="1"/>
  <c r="R20" i="1"/>
  <c r="R35" i="1"/>
  <c r="R32" i="1"/>
  <c r="R42" i="1"/>
  <c r="R47" i="1"/>
  <c r="R59" i="1"/>
  <c r="R64" i="1"/>
  <c r="R40" i="1"/>
  <c r="R70" i="1"/>
  <c r="R45" i="1"/>
  <c r="R30" i="1"/>
  <c r="R63" i="1"/>
  <c r="R28" i="1"/>
  <c r="R29" i="1"/>
  <c r="R57" i="1"/>
  <c r="R24" i="1"/>
  <c r="R58" i="1"/>
  <c r="R62" i="1"/>
  <c r="R69" i="1"/>
  <c r="R68" i="1"/>
  <c r="R21" i="1"/>
  <c r="R46" i="1"/>
  <c r="R44" i="1"/>
  <c r="R53" i="1"/>
  <c r="R50" i="1"/>
  <c r="R36" i="1"/>
  <c r="R39" i="1"/>
  <c r="R23" i="1"/>
  <c r="R51" i="1"/>
  <c r="R41" i="1"/>
  <c r="R72" i="1"/>
  <c r="R27" i="1"/>
  <c r="R26" i="1"/>
  <c r="R65" i="1"/>
  <c r="R48" i="1"/>
  <c r="R56" i="1"/>
  <c r="R33" i="1"/>
  <c r="R60" i="1"/>
  <c r="R34" i="1"/>
  <c r="R52" i="1"/>
  <c r="R66" i="1"/>
  <c r="F222" i="13" l="1"/>
  <c r="F212" i="13"/>
  <c r="F213" i="13"/>
  <c r="F214" i="13"/>
  <c r="F215" i="13"/>
  <c r="F216" i="13"/>
  <c r="F217" i="13"/>
  <c r="F218" i="13"/>
  <c r="F219" i="13"/>
  <c r="F220" i="13"/>
  <c r="F221" i="13"/>
  <c r="F211" i="13"/>
  <c r="B222" i="13" a="1"/>
  <c r="B222" i="13" l="1"/>
  <c r="X55" i="1"/>
  <c r="X50" i="1"/>
  <c r="X44" i="1"/>
  <c r="R13" i="1" l="1"/>
  <c r="S13" i="1" s="1"/>
  <c r="T13" i="1" s="1"/>
  <c r="AI13" i="1" s="1"/>
  <c r="V19" i="32"/>
  <c r="W19" i="32" s="1"/>
  <c r="R43" i="31"/>
  <c r="S43" i="31" s="1"/>
  <c r="R31" i="31"/>
  <c r="S31" i="31" s="1"/>
  <c r="R19" i="31"/>
  <c r="S19" i="31" s="1"/>
  <c r="V13" i="32"/>
  <c r="W13" i="32" s="1"/>
  <c r="V49" i="32"/>
  <c r="W49" i="32" s="1"/>
  <c r="V31" i="32"/>
  <c r="W31" i="32" s="1"/>
  <c r="R49" i="31"/>
  <c r="S49" i="31" s="1"/>
  <c r="V67" i="32"/>
  <c r="W67" i="32" s="1"/>
  <c r="R61" i="31"/>
  <c r="S61" i="31" s="1"/>
  <c r="R25" i="31"/>
  <c r="S25" i="31" s="1"/>
  <c r="V25" i="32"/>
  <c r="W25" i="32" s="1"/>
  <c r="V55" i="32"/>
  <c r="W55" i="32" s="1"/>
  <c r="R37" i="31"/>
  <c r="S37" i="31" s="1"/>
  <c r="R13" i="31"/>
  <c r="S13" i="31" s="1"/>
  <c r="R55" i="31"/>
  <c r="S55" i="31" s="1"/>
  <c r="V61" i="32"/>
  <c r="W61" i="32" s="1"/>
  <c r="V43" i="32"/>
  <c r="W43" i="32" s="1"/>
  <c r="V37" i="32"/>
  <c r="W37" i="32" s="1"/>
  <c r="R67" i="31"/>
  <c r="S67" i="31" s="1"/>
  <c r="AI55" i="1"/>
  <c r="U1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X31" i="32" l="1"/>
  <c r="Y31" i="32"/>
  <c r="T37" i="31"/>
  <c r="U37" i="31"/>
  <c r="X49" i="32"/>
  <c r="Y49" i="32"/>
  <c r="X61" i="32"/>
  <c r="Y61" i="32"/>
  <c r="U13" i="31"/>
  <c r="T13" i="31"/>
  <c r="AI13" i="31" s="1"/>
  <c r="AH13" i="31" s="1"/>
  <c r="AJ13" i="31" s="1"/>
  <c r="X55" i="32"/>
  <c r="Y55" i="32"/>
  <c r="X13" i="32"/>
  <c r="Y13" i="32"/>
  <c r="T67" i="31"/>
  <c r="U67" i="31"/>
  <c r="X25" i="32"/>
  <c r="Y25" i="32"/>
  <c r="T19" i="31"/>
  <c r="U19" i="31"/>
  <c r="X37" i="32"/>
  <c r="Y37" i="32"/>
  <c r="T31" i="31"/>
  <c r="U31" i="31"/>
  <c r="U25" i="31"/>
  <c r="T25" i="31"/>
  <c r="X43" i="32"/>
  <c r="Y43" i="32"/>
  <c r="U61" i="31"/>
  <c r="T61" i="31"/>
  <c r="T43" i="31"/>
  <c r="U43" i="31"/>
  <c r="Y19" i="32"/>
  <c r="X19" i="32"/>
  <c r="Y67" i="32"/>
  <c r="X67" i="32"/>
  <c r="T55" i="31"/>
  <c r="U55" i="31"/>
  <c r="T49" i="31"/>
  <c r="U49" i="31"/>
  <c r="AH13" i="1"/>
  <c r="AJ13" i="1" s="1"/>
  <c r="AI14" i="1"/>
  <c r="AA72" i="1"/>
  <c r="X72" i="1"/>
  <c r="AA71" i="1"/>
  <c r="X71" i="1"/>
  <c r="AA70" i="1"/>
  <c r="X70" i="1"/>
  <c r="AA69" i="1"/>
  <c r="X69" i="1"/>
  <c r="AA68" i="1"/>
  <c r="X68" i="1"/>
  <c r="AA67" i="1"/>
  <c r="X67" i="1"/>
  <c r="O67" i="1"/>
  <c r="P67" i="1" s="1"/>
  <c r="AA66" i="1"/>
  <c r="X66" i="1"/>
  <c r="AA65" i="1"/>
  <c r="X65" i="1"/>
  <c r="AA64" i="1"/>
  <c r="X64" i="1"/>
  <c r="AA63" i="1"/>
  <c r="X63" i="1"/>
  <c r="AA62" i="1"/>
  <c r="X62" i="1"/>
  <c r="AA61" i="1"/>
  <c r="X61" i="1"/>
  <c r="O61" i="1"/>
  <c r="P61" i="1" s="1"/>
  <c r="AA60" i="1"/>
  <c r="X60" i="1"/>
  <c r="AA59" i="1"/>
  <c r="X59" i="1"/>
  <c r="AA58" i="1"/>
  <c r="X58" i="1"/>
  <c r="AA57" i="1"/>
  <c r="X57" i="1"/>
  <c r="AA56" i="1"/>
  <c r="X56" i="1"/>
  <c r="AA55" i="1"/>
  <c r="P55" i="1"/>
  <c r="AA54" i="1"/>
  <c r="X54" i="1"/>
  <c r="AA53" i="1"/>
  <c r="X53" i="1"/>
  <c r="AA52" i="1"/>
  <c r="X52" i="1"/>
  <c r="AA51" i="1"/>
  <c r="X51" i="1"/>
  <c r="AA50" i="1"/>
  <c r="AA49" i="1"/>
  <c r="X49" i="1"/>
  <c r="O49" i="1"/>
  <c r="P49" i="1" s="1"/>
  <c r="AA48" i="1"/>
  <c r="X48" i="1"/>
  <c r="AA47" i="1"/>
  <c r="X47" i="1"/>
  <c r="AA46" i="1"/>
  <c r="X46" i="1"/>
  <c r="AA45" i="1"/>
  <c r="X45" i="1"/>
  <c r="AA44" i="1"/>
  <c r="AA43" i="1"/>
  <c r="X43" i="1"/>
  <c r="O43" i="1"/>
  <c r="P43" i="1" s="1"/>
  <c r="AA42" i="1"/>
  <c r="X42" i="1"/>
  <c r="AA41" i="1"/>
  <c r="X41" i="1"/>
  <c r="AA40" i="1"/>
  <c r="X40" i="1"/>
  <c r="AA39" i="1"/>
  <c r="X39" i="1"/>
  <c r="AA38" i="1"/>
  <c r="X38" i="1"/>
  <c r="AA37" i="1"/>
  <c r="X37" i="1"/>
  <c r="O37" i="1"/>
  <c r="AA36" i="1"/>
  <c r="X36" i="1"/>
  <c r="AA35" i="1"/>
  <c r="X35" i="1"/>
  <c r="AA34" i="1"/>
  <c r="X34" i="1"/>
  <c r="AA33" i="1"/>
  <c r="X33" i="1"/>
  <c r="AA32" i="1"/>
  <c r="X32" i="1"/>
  <c r="AA31" i="1"/>
  <c r="X31" i="1"/>
  <c r="O31" i="1"/>
  <c r="P31" i="1" s="1"/>
  <c r="AA30" i="1"/>
  <c r="X30" i="1"/>
  <c r="AA29" i="1"/>
  <c r="X29" i="1"/>
  <c r="AA28" i="1"/>
  <c r="X28" i="1"/>
  <c r="AA27" i="1"/>
  <c r="X27" i="1"/>
  <c r="AA26" i="1"/>
  <c r="X26" i="1"/>
  <c r="AA25" i="1"/>
  <c r="X25" i="1"/>
  <c r="O25" i="1"/>
  <c r="P25" i="1" s="1"/>
  <c r="O19" i="1"/>
  <c r="AA24" i="1"/>
  <c r="X24" i="1"/>
  <c r="AA23" i="1"/>
  <c r="X23" i="1"/>
  <c r="AA22" i="1"/>
  <c r="X22" i="1"/>
  <c r="AA21" i="1"/>
  <c r="X21" i="1"/>
  <c r="AA20" i="1"/>
  <c r="AA19" i="1"/>
  <c r="AH14" i="1" l="1"/>
  <c r="AJ14" i="1" s="1"/>
  <c r="AI15" i="1"/>
  <c r="AH15" i="1" s="1"/>
  <c r="AJ15" i="1" s="1"/>
  <c r="P37" i="1"/>
  <c r="AI29" i="1"/>
  <c r="AI40" i="1"/>
  <c r="AI48" i="1"/>
  <c r="AI60" i="1"/>
  <c r="AI71" i="1"/>
  <c r="AI23" i="1"/>
  <c r="AI30" i="1"/>
  <c r="AI41" i="1"/>
  <c r="AI36" i="1"/>
  <c r="AI63" i="1"/>
  <c r="AI64" i="1"/>
  <c r="AI34" i="1"/>
  <c r="AI65" i="1"/>
  <c r="AI28" i="1"/>
  <c r="AI39" i="1"/>
  <c r="AI47" i="1"/>
  <c r="AI59" i="1"/>
  <c r="AI70" i="1"/>
  <c r="AI33" i="1"/>
  <c r="AI53" i="1"/>
  <c r="AH53" i="1" s="1"/>
  <c r="AI72" i="1"/>
  <c r="AI31" i="1"/>
  <c r="AI32" i="1"/>
  <c r="AI22" i="1"/>
  <c r="AI21" i="1"/>
  <c r="AI44" i="1"/>
  <c r="AI43" i="1"/>
  <c r="AI26" i="1"/>
  <c r="AI25" i="1"/>
  <c r="AI57" i="1"/>
  <c r="AI56" i="1"/>
  <c r="AI68" i="1"/>
  <c r="AI67" i="1"/>
  <c r="AI52" i="1"/>
  <c r="AI51" i="1"/>
  <c r="AI24" i="1"/>
  <c r="AI27" i="1"/>
  <c r="AI38" i="1"/>
  <c r="AI37" i="1"/>
  <c r="AI42" i="1"/>
  <c r="AI46" i="1"/>
  <c r="AI45" i="1"/>
  <c r="AI54" i="1"/>
  <c r="AH54" i="1" s="1"/>
  <c r="AI58" i="1"/>
  <c r="AI69" i="1"/>
  <c r="AI35" i="1"/>
  <c r="AI50" i="1"/>
  <c r="AI49" i="1"/>
  <c r="AI62" i="1"/>
  <c r="AI61" i="1"/>
  <c r="AI66" i="1"/>
  <c r="P19" i="1"/>
  <c r="AE19" i="1" s="1"/>
  <c r="AE67" i="1"/>
  <c r="AE61" i="1"/>
  <c r="AE55" i="1"/>
  <c r="AE49" i="1"/>
  <c r="AE53" i="1"/>
  <c r="AE54" i="1"/>
  <c r="AE43" i="1"/>
  <c r="AE37" i="1"/>
  <c r="AE31" i="1"/>
  <c r="AE25" i="1"/>
  <c r="AF67" i="1" l="1"/>
  <c r="AG67" i="1"/>
  <c r="AE68" i="1" s="1"/>
  <c r="AF68" i="1" s="1"/>
  <c r="AF61" i="1"/>
  <c r="AG61" i="1"/>
  <c r="AE62" i="1" s="1"/>
  <c r="AG62" i="1" s="1"/>
  <c r="AE63" i="1" s="1"/>
  <c r="AF55" i="1"/>
  <c r="AG55" i="1"/>
  <c r="AE56" i="1" s="1"/>
  <c r="AG56" i="1" s="1"/>
  <c r="AE57" i="1" s="1"/>
  <c r="AF54" i="1"/>
  <c r="AG54" i="1"/>
  <c r="AF53" i="1"/>
  <c r="AG53" i="1"/>
  <c r="AF49" i="1"/>
  <c r="AG49" i="1"/>
  <c r="AF43" i="1"/>
  <c r="AG43" i="1"/>
  <c r="AE44" i="1" s="1"/>
  <c r="AG44" i="1" s="1"/>
  <c r="AE45" i="1" s="1"/>
  <c r="AF37" i="1"/>
  <c r="AG37" i="1"/>
  <c r="AF31" i="1"/>
  <c r="AG31" i="1"/>
  <c r="AE32" i="1" s="1"/>
  <c r="AG32" i="1" s="1"/>
  <c r="AE33" i="1" s="1"/>
  <c r="AF33" i="1" s="1"/>
  <c r="AF25" i="1"/>
  <c r="AG25" i="1"/>
  <c r="AE26" i="1" s="1"/>
  <c r="AF26" i="1" s="1"/>
  <c r="AF19" i="1"/>
  <c r="AG19" i="1"/>
  <c r="AE20" i="1" s="1"/>
  <c r="AF62" i="1" l="1"/>
  <c r="AF56" i="1"/>
  <c r="AG26" i="1"/>
  <c r="AE27" i="1" s="1"/>
  <c r="AF27" i="1" s="1"/>
  <c r="AF44" i="1"/>
  <c r="AF32" i="1"/>
  <c r="AF45" i="1"/>
  <c r="AG45" i="1"/>
  <c r="AG63" i="1"/>
  <c r="AE64" i="1" s="1"/>
  <c r="AF63" i="1"/>
  <c r="AG57" i="1"/>
  <c r="AE58" i="1" s="1"/>
  <c r="AF57" i="1"/>
  <c r="AG68" i="1"/>
  <c r="AE69" i="1" s="1"/>
  <c r="AE38" i="1"/>
  <c r="AE50" i="1"/>
  <c r="AG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3" i="1"/>
  <c r="AJ54" i="1"/>
  <c r="AF64" i="1" l="1"/>
  <c r="AG64" i="1"/>
  <c r="AF58" i="1"/>
  <c r="AG58" i="1"/>
  <c r="AE59" i="1" s="1"/>
  <c r="AG27" i="1"/>
  <c r="AE28" i="1" s="1"/>
  <c r="AG28" i="1" s="1"/>
  <c r="AF69" i="1"/>
  <c r="AG69" i="1"/>
  <c r="AE70" i="1" s="1"/>
  <c r="AF50" i="1"/>
  <c r="AG50" i="1"/>
  <c r="AE51" i="1" s="1"/>
  <c r="AF51" i="1" s="1"/>
  <c r="AE46" i="1"/>
  <c r="AF38" i="1"/>
  <c r="AG38" i="1"/>
  <c r="AE39" i="1" s="1"/>
  <c r="AF39" i="1" s="1"/>
  <c r="AE35" i="1"/>
  <c r="AF35" i="1" s="1"/>
  <c r="AE34" i="1"/>
  <c r="AF20" i="1"/>
  <c r="AG20" i="1"/>
  <c r="AE21" i="1" s="1"/>
  <c r="AF21" i="1" s="1"/>
  <c r="AG51" i="1" l="1"/>
  <c r="AE52" i="1" s="1"/>
  <c r="AF52" i="1" s="1"/>
  <c r="AG39" i="1"/>
  <c r="AE40" i="1" s="1"/>
  <c r="AG40" i="1" s="1"/>
  <c r="AE41" i="1" s="1"/>
  <c r="AF59" i="1"/>
  <c r="AG59" i="1"/>
  <c r="AE60" i="1" s="1"/>
  <c r="AE65" i="1"/>
  <c r="AE66" i="1"/>
  <c r="AF28" i="1"/>
  <c r="AF46" i="1"/>
  <c r="AG46" i="1"/>
  <c r="AE47" i="1" s="1"/>
  <c r="AF47" i="1" s="1"/>
  <c r="AE29" i="1"/>
  <c r="AG70" i="1"/>
  <c r="AF70" i="1"/>
  <c r="AF34" i="1"/>
  <c r="AG34" i="1"/>
  <c r="AG35" i="1"/>
  <c r="AE36" i="1" s="1"/>
  <c r="AG21" i="1"/>
  <c r="AE22" i="1" s="1"/>
  <c r="AF22" i="1" s="1"/>
  <c r="AG52" i="1" l="1"/>
  <c r="AF40" i="1"/>
  <c r="AF66" i="1"/>
  <c r="AG66" i="1"/>
  <c r="AF65" i="1"/>
  <c r="AG65" i="1"/>
  <c r="AF60" i="1"/>
  <c r="AG60" i="1"/>
  <c r="AE71" i="1"/>
  <c r="AE72" i="1"/>
  <c r="AG47" i="1"/>
  <c r="AE48" i="1" s="1"/>
  <c r="AF48" i="1" s="1"/>
  <c r="AG41" i="1"/>
  <c r="AE42" i="1" s="1"/>
  <c r="AF41" i="1"/>
  <c r="AF29" i="1"/>
  <c r="AG29" i="1"/>
  <c r="AE30" i="1" s="1"/>
  <c r="AF30" i="1" s="1"/>
  <c r="AF36" i="1"/>
  <c r="AG36" i="1"/>
  <c r="AG22" i="1"/>
  <c r="AE23" i="1" s="1"/>
  <c r="AG23" i="1" s="1"/>
  <c r="AE24" i="1" s="1"/>
  <c r="AF72" i="1" l="1"/>
  <c r="AG72" i="1"/>
  <c r="AF71" i="1"/>
  <c r="AG71" i="1"/>
  <c r="AF42" i="1"/>
  <c r="AG42" i="1"/>
  <c r="AG48" i="1"/>
  <c r="AG30" i="1"/>
  <c r="AF23" i="1"/>
  <c r="AF24" i="1"/>
  <c r="AG24" i="1"/>
  <c r="R43" i="1" l="1"/>
  <c r="S43" i="1" s="1"/>
  <c r="R31" i="1"/>
  <c r="S31" i="1" s="1"/>
  <c r="R25" i="1"/>
  <c r="S25" i="1" s="1"/>
  <c r="R55" i="1"/>
  <c r="S55" i="1" s="1"/>
  <c r="R49" i="1"/>
  <c r="S49" i="1" s="1"/>
  <c r="R37" i="1"/>
  <c r="S37" i="1" s="1"/>
  <c r="AD40" i="18" s="1"/>
  <c r="R67" i="1"/>
  <c r="S67" i="1" s="1"/>
  <c r="R61" i="1"/>
  <c r="S61" i="1" s="1"/>
  <c r="R19" i="1"/>
  <c r="S19" i="1" s="1"/>
  <c r="Z42" i="18" l="1"/>
  <c r="N42" i="18"/>
  <c r="AF26" i="18"/>
  <c r="N26" i="18"/>
  <c r="AF18" i="18"/>
  <c r="T10" i="18"/>
  <c r="N34" i="18"/>
  <c r="T34" i="18"/>
  <c r="T18" i="18"/>
  <c r="Z18" i="18"/>
  <c r="Z10" i="18"/>
  <c r="AL18" i="18"/>
  <c r="Z26" i="18"/>
  <c r="U61" i="1"/>
  <c r="T61"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T55" i="1"/>
  <c r="AJ42" i="18"/>
  <c r="AJ18" i="18"/>
  <c r="AD26" i="18"/>
  <c r="L10" i="18"/>
  <c r="AD10" i="18"/>
  <c r="X18" i="18"/>
  <c r="AD42" i="18"/>
  <c r="L18" i="18"/>
  <c r="R10" i="18"/>
  <c r="U55" i="1"/>
  <c r="T67" i="1"/>
  <c r="AB36" i="18"/>
  <c r="AH12" i="18"/>
  <c r="P28" i="18"/>
  <c r="AH20" i="18"/>
  <c r="P36" i="18"/>
  <c r="V12" i="18"/>
  <c r="AH28" i="18"/>
  <c r="AB20" i="18"/>
  <c r="J12" i="18"/>
  <c r="J20" i="18"/>
  <c r="U67" i="1"/>
  <c r="P44" i="18"/>
  <c r="AB44" i="18"/>
  <c r="V28" i="18"/>
  <c r="V36" i="18"/>
  <c r="J28" i="18"/>
  <c r="AH36" i="18"/>
  <c r="J44" i="18"/>
  <c r="P12" i="18"/>
  <c r="AB12" i="18"/>
  <c r="V44" i="18"/>
  <c r="AH44" i="18"/>
  <c r="V20" i="18"/>
  <c r="P20" i="18"/>
  <c r="J36" i="18"/>
  <c r="AB28" i="18"/>
  <c r="T38" i="18"/>
  <c r="AF22" i="18"/>
  <c r="N38" i="18"/>
  <c r="AF30" i="18"/>
  <c r="AL6" i="18"/>
  <c r="Z6" i="18"/>
  <c r="U25" i="1"/>
  <c r="T14" i="18"/>
  <c r="T22" i="18"/>
  <c r="N6" i="18"/>
  <c r="AL30" i="18"/>
  <c r="Z22" i="18"/>
  <c r="Z14" i="18"/>
  <c r="T25" i="1"/>
  <c r="Z30" i="18"/>
  <c r="AL38" i="18"/>
  <c r="AL14" i="18"/>
  <c r="AF6" i="18"/>
  <c r="AL22" i="18"/>
  <c r="T30" i="18"/>
  <c r="Z38" i="18"/>
  <c r="AF14" i="18"/>
  <c r="N30" i="18"/>
  <c r="N14" i="18"/>
  <c r="N22" i="18"/>
  <c r="AF38" i="18"/>
  <c r="T6" i="18"/>
  <c r="T37" i="1"/>
  <c r="X32" i="18"/>
  <c r="AD32" i="18"/>
  <c r="AJ8" i="18"/>
  <c r="L16" i="18"/>
  <c r="R32" i="18"/>
  <c r="AJ32" i="18"/>
  <c r="U37" i="1"/>
  <c r="R40" i="18"/>
  <c r="AJ40" i="18"/>
  <c r="AD24" i="18"/>
  <c r="AJ24" i="18"/>
  <c r="R24" i="18"/>
  <c r="AJ16" i="18"/>
  <c r="AD8" i="18"/>
  <c r="L32" i="18"/>
  <c r="L40" i="18"/>
  <c r="R16" i="18"/>
  <c r="L24" i="18"/>
  <c r="AD16" i="18"/>
  <c r="L8" i="18"/>
  <c r="R8" i="18"/>
  <c r="X40" i="18"/>
  <c r="X8" i="18"/>
  <c r="X16" i="18"/>
  <c r="X24" i="18"/>
  <c r="T31" i="1"/>
  <c r="J40" i="18"/>
  <c r="J16" i="18"/>
  <c r="P16" i="18"/>
  <c r="V8" i="18"/>
  <c r="J8" i="18"/>
  <c r="J24" i="18"/>
  <c r="AH16" i="18"/>
  <c r="AB16" i="18"/>
  <c r="AB40" i="18"/>
  <c r="P32" i="18"/>
  <c r="P40" i="18"/>
  <c r="AH24" i="18"/>
  <c r="AB32" i="18"/>
  <c r="J32" i="18"/>
  <c r="V16" i="18"/>
  <c r="V40" i="18"/>
  <c r="AH32" i="18"/>
  <c r="V24" i="18"/>
  <c r="V32" i="18"/>
  <c r="AH8" i="18"/>
  <c r="AB8" i="18"/>
  <c r="P8" i="18"/>
  <c r="U31" i="1"/>
  <c r="AH40" i="18"/>
  <c r="AB24" i="18"/>
  <c r="P24" i="18"/>
  <c r="AD38" i="18"/>
  <c r="L30" i="18"/>
  <c r="AD30" i="18"/>
  <c r="AJ6" i="18"/>
  <c r="L14" i="18"/>
  <c r="L22" i="18"/>
  <c r="X6" i="18"/>
  <c r="L6" i="18"/>
  <c r="U19" i="1"/>
  <c r="R38" i="18"/>
  <c r="AJ38" i="18"/>
  <c r="L38" i="18"/>
  <c r="AD6" i="18"/>
  <c r="R6" i="18"/>
  <c r="AJ30" i="18"/>
  <c r="R30" i="18"/>
  <c r="AD22" i="18"/>
  <c r="AJ14" i="18"/>
  <c r="AJ22" i="18"/>
  <c r="AD14" i="18"/>
  <c r="X38" i="18"/>
  <c r="X14" i="18"/>
  <c r="R22" i="18"/>
  <c r="X22" i="18"/>
  <c r="T19" i="1"/>
  <c r="AI19" i="1" s="1"/>
  <c r="AI20" i="1" s="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T49" i="1"/>
  <c r="AH34" i="18"/>
  <c r="AH42" i="18"/>
  <c r="AH18" i="18"/>
  <c r="AB10" i="18"/>
  <c r="J26" i="18"/>
  <c r="V18" i="18"/>
  <c r="V42" i="18"/>
  <c r="J42" i="18"/>
  <c r="P10" i="18"/>
  <c r="AB26" i="18"/>
  <c r="J34" i="18"/>
  <c r="J18" i="18"/>
  <c r="AH10" i="18"/>
  <c r="AB34" i="18"/>
  <c r="P26" i="18"/>
  <c r="P34" i="18"/>
  <c r="V34" i="18"/>
  <c r="AH26" i="18"/>
  <c r="J10" i="18"/>
  <c r="U49" i="1"/>
  <c r="P18" i="18"/>
  <c r="AB42" i="18"/>
  <c r="V10" i="18"/>
  <c r="AB18" i="18"/>
  <c r="P42" i="18"/>
  <c r="V26" i="18"/>
  <c r="Z32" i="18"/>
  <c r="N24" i="18"/>
  <c r="AL32" i="18"/>
  <c r="AL40" i="18"/>
  <c r="N8" i="18"/>
  <c r="AF24" i="18"/>
  <c r="Z40" i="18"/>
  <c r="Z16" i="18"/>
  <c r="N32" i="18"/>
  <c r="T32" i="18"/>
  <c r="N40" i="18"/>
  <c r="T8" i="18"/>
  <c r="T43" i="1"/>
  <c r="AF32" i="18"/>
  <c r="AL8" i="18"/>
  <c r="T24" i="18"/>
  <c r="N16" i="18"/>
  <c r="T16" i="18"/>
  <c r="Z24" i="18"/>
  <c r="AF16" i="18"/>
  <c r="U43" i="1"/>
  <c r="T40" i="18"/>
  <c r="AF8" i="18"/>
  <c r="AL24" i="18"/>
  <c r="Z8" i="18"/>
  <c r="AF40" i="18"/>
  <c r="AL16" i="18"/>
  <c r="AH31" i="1" l="1"/>
  <c r="AH67" i="1"/>
  <c r="AH43" i="1"/>
  <c r="AH55" i="1"/>
  <c r="AH19" i="1"/>
  <c r="AH25" i="1"/>
  <c r="AH49" i="1"/>
  <c r="AH37" i="1"/>
  <c r="AH50" i="1" l="1"/>
  <c r="AH56" i="1"/>
  <c r="AH62" i="1"/>
  <c r="AH38" i="1"/>
  <c r="AH44" i="1"/>
  <c r="AH32" i="1"/>
  <c r="AH26" i="1"/>
  <c r="J40" i="19"/>
  <c r="V30" i="19"/>
  <c r="AH20" i="19"/>
  <c r="J30" i="19"/>
  <c r="V20" i="19"/>
  <c r="AH10" i="19"/>
  <c r="P10" i="19"/>
  <c r="AB50" i="19"/>
  <c r="J50" i="19"/>
  <c r="AB40" i="19"/>
  <c r="P30" i="19"/>
  <c r="V50" i="19"/>
  <c r="P50" i="19"/>
  <c r="AB10" i="19"/>
  <c r="AH30" i="19"/>
  <c r="AH40" i="19"/>
  <c r="J10" i="19"/>
  <c r="AB20" i="19"/>
  <c r="AH50" i="19"/>
  <c r="AJ37" i="1"/>
  <c r="V10" i="19"/>
  <c r="P20" i="19"/>
  <c r="J20" i="19"/>
  <c r="P40" i="19"/>
  <c r="V40" i="19"/>
  <c r="AB30" i="19"/>
  <c r="J11" i="19"/>
  <c r="V11" i="19"/>
  <c r="AB21" i="19"/>
  <c r="P31" i="19"/>
  <c r="J31" i="19"/>
  <c r="AB41" i="19"/>
  <c r="AJ43"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AJ67" i="1"/>
  <c r="P25" i="19"/>
  <c r="V55" i="19"/>
  <c r="J15" i="19"/>
  <c r="AB15" i="19"/>
  <c r="J35" i="19"/>
  <c r="AB35" i="19"/>
  <c r="J55" i="19"/>
  <c r="AB25" i="19"/>
  <c r="P35" i="19"/>
  <c r="P55" i="19"/>
  <c r="AB45" i="19"/>
  <c r="P15" i="19"/>
  <c r="J47" i="19"/>
  <c r="V27" i="19"/>
  <c r="AH7" i="19"/>
  <c r="P47" i="19"/>
  <c r="AB27" i="19"/>
  <c r="J17" i="19"/>
  <c r="V47" i="19"/>
  <c r="J37" i="19"/>
  <c r="AJ19" i="1"/>
  <c r="AB37" i="19"/>
  <c r="J27" i="19"/>
  <c r="V7" i="19"/>
  <c r="AH37" i="19"/>
  <c r="P27" i="19"/>
  <c r="AB7" i="19"/>
  <c r="P17" i="19"/>
  <c r="V17" i="19"/>
  <c r="AH47" i="19"/>
  <c r="P37" i="19"/>
  <c r="AB17" i="19"/>
  <c r="J7" i="19"/>
  <c r="V37" i="19"/>
  <c r="AH17" i="19"/>
  <c r="P7" i="19"/>
  <c r="AH27" i="19"/>
  <c r="AB47" i="19"/>
  <c r="AJ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H61" i="1"/>
  <c r="AJ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J2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H45" i="1"/>
  <c r="V32" i="19"/>
  <c r="P42" i="19"/>
  <c r="J12" i="19"/>
  <c r="J32" i="19"/>
  <c r="AB52" i="19"/>
  <c r="AJ49" i="1"/>
  <c r="J22" i="19"/>
  <c r="V22" i="19"/>
  <c r="J52" i="19"/>
  <c r="AH12" i="19"/>
  <c r="J42" i="19"/>
  <c r="AH42" i="19"/>
  <c r="P32" i="19"/>
  <c r="AB12" i="19"/>
  <c r="AH32" i="19"/>
  <c r="AB32" i="19"/>
  <c r="AB42" i="19"/>
  <c r="V42" i="19"/>
  <c r="V12" i="19"/>
  <c r="V52" i="19"/>
  <c r="AB22" i="19"/>
  <c r="AH52" i="19"/>
  <c r="AH22" i="19"/>
  <c r="P22" i="19"/>
  <c r="P12" i="19"/>
  <c r="P52" i="19"/>
  <c r="AH51" i="1"/>
  <c r="AH20" i="1"/>
  <c r="AH68" i="1" l="1"/>
  <c r="K45" i="19" s="1"/>
  <c r="AH52" i="1"/>
  <c r="S12" i="19" s="1"/>
  <c r="W37" i="19"/>
  <c r="AI7" i="19"/>
  <c r="W17" i="19"/>
  <c r="W27" i="19"/>
  <c r="Q47" i="19"/>
  <c r="W7" i="19"/>
  <c r="AI17" i="19"/>
  <c r="K47" i="19"/>
  <c r="AI47" i="19"/>
  <c r="Q27" i="19"/>
  <c r="AC27" i="19"/>
  <c r="AC47" i="19"/>
  <c r="AC37" i="19"/>
  <c r="AI37" i="19"/>
  <c r="AJ20" i="1"/>
  <c r="AC17" i="19"/>
  <c r="K37" i="19"/>
  <c r="AC7" i="19"/>
  <c r="W47" i="19"/>
  <c r="Q37" i="19"/>
  <c r="AI27" i="19"/>
  <c r="Q7" i="19"/>
  <c r="K27" i="19"/>
  <c r="K17" i="19"/>
  <c r="K7" i="19"/>
  <c r="Q17" i="19"/>
  <c r="AC14" i="19"/>
  <c r="Q14" i="19"/>
  <c r="AI54" i="19"/>
  <c r="Q54" i="19"/>
  <c r="Q24" i="19"/>
  <c r="AI14" i="19"/>
  <c r="W24" i="19"/>
  <c r="AC44" i="19"/>
  <c r="K54" i="19"/>
  <c r="AI34" i="19"/>
  <c r="W14" i="19"/>
  <c r="K24" i="19"/>
  <c r="AC24" i="19"/>
  <c r="AI44" i="19"/>
  <c r="AI24" i="19"/>
  <c r="W44" i="19"/>
  <c r="Q44" i="19"/>
  <c r="AC54" i="19"/>
  <c r="AJ62"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J44" i="1"/>
  <c r="P54" i="19"/>
  <c r="AH14" i="19"/>
  <c r="AB14" i="19"/>
  <c r="AH34" i="19"/>
  <c r="AB54" i="19"/>
  <c r="AH54" i="19"/>
  <c r="AJ61"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J51" i="1"/>
  <c r="AD12" i="19"/>
  <c r="AD32" i="19"/>
  <c r="AD22" i="19"/>
  <c r="X52" i="19"/>
  <c r="AD52" i="19"/>
  <c r="L42" i="19"/>
  <c r="R42" i="19"/>
  <c r="AJ21" i="19"/>
  <c r="AD31" i="19"/>
  <c r="R21" i="19"/>
  <c r="AD41" i="19"/>
  <c r="AJ11" i="19"/>
  <c r="AJ51" i="19"/>
  <c r="AJ45" i="1"/>
  <c r="L41" i="19"/>
  <c r="AD11" i="19"/>
  <c r="L21" i="19"/>
  <c r="L11" i="19"/>
  <c r="X51" i="19"/>
  <c r="X21" i="19"/>
  <c r="R11" i="19"/>
  <c r="R31" i="19"/>
  <c r="AJ41" i="19"/>
  <c r="L31" i="19"/>
  <c r="R51" i="19"/>
  <c r="X31" i="19"/>
  <c r="X11" i="19"/>
  <c r="X41" i="19"/>
  <c r="AJ31" i="19"/>
  <c r="AD51" i="19"/>
  <c r="R41" i="19"/>
  <c r="AD21" i="19"/>
  <c r="L51" i="19"/>
  <c r="AH21" i="1"/>
  <c r="AH33" i="1"/>
  <c r="AH57" i="1"/>
  <c r="K42" i="19"/>
  <c r="AC32" i="19"/>
  <c r="W42" i="19"/>
  <c r="AI52" i="19"/>
  <c r="K22" i="19"/>
  <c r="Q32" i="19"/>
  <c r="AI12" i="19"/>
  <c r="AC52" i="19"/>
  <c r="Q42" i="19"/>
  <c r="AC42" i="19"/>
  <c r="K12" i="19"/>
  <c r="Q22" i="19"/>
  <c r="W52" i="19"/>
  <c r="AI42" i="19"/>
  <c r="W32" i="19"/>
  <c r="AI22" i="19"/>
  <c r="W12" i="19"/>
  <c r="AI32" i="19"/>
  <c r="AC12" i="19"/>
  <c r="Q12" i="19"/>
  <c r="Q52" i="19"/>
  <c r="AJ50" i="1"/>
  <c r="K32" i="19"/>
  <c r="W22" i="19"/>
  <c r="K52" i="19"/>
  <c r="AC22" i="19"/>
  <c r="AC40" i="19"/>
  <c r="W10" i="19"/>
  <c r="AC50" i="19"/>
  <c r="Q10" i="19"/>
  <c r="Q30" i="19"/>
  <c r="W50" i="19"/>
  <c r="K40" i="19"/>
  <c r="Q50" i="19"/>
  <c r="W20" i="19"/>
  <c r="AJ38"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H63" i="1"/>
  <c r="K39" i="19"/>
  <c r="AC39" i="19"/>
  <c r="W29" i="19"/>
  <c r="AI49" i="19"/>
  <c r="W9" i="19"/>
  <c r="AC19" i="19"/>
  <c r="Q49" i="19"/>
  <c r="W49" i="19"/>
  <c r="AC9" i="19"/>
  <c r="AI9" i="19"/>
  <c r="Q29" i="19"/>
  <c r="W39" i="19"/>
  <c r="Q39" i="19"/>
  <c r="AJ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J56" i="1"/>
  <c r="Q33" i="19"/>
  <c r="AI23" i="19"/>
  <c r="K53" i="19"/>
  <c r="AC23" i="19"/>
  <c r="AC13" i="19"/>
  <c r="W23" i="19"/>
  <c r="W33" i="19"/>
  <c r="Q13" i="19"/>
  <c r="W13" i="19"/>
  <c r="AI13" i="19"/>
  <c r="Q43" i="19"/>
  <c r="Q23" i="19"/>
  <c r="W53" i="19"/>
  <c r="AK42" i="19"/>
  <c r="AE32" i="19"/>
  <c r="AJ52" i="1"/>
  <c r="Y52" i="19"/>
  <c r="S22" i="19"/>
  <c r="AK52" i="19"/>
  <c r="M22" i="19"/>
  <c r="AK32" i="19"/>
  <c r="AE22" i="19"/>
  <c r="AE42" i="19"/>
  <c r="S42" i="19"/>
  <c r="AH46" i="1"/>
  <c r="AH48" i="1"/>
  <c r="AH47" i="1"/>
  <c r="AH39"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J26" i="1"/>
  <c r="M12" i="19" l="1"/>
  <c r="S52" i="19"/>
  <c r="AK22" i="19"/>
  <c r="AK12" i="19"/>
  <c r="AE52" i="19"/>
  <c r="Y42" i="19"/>
  <c r="Q55" i="19"/>
  <c r="Y22" i="19"/>
  <c r="Y32" i="19"/>
  <c r="AE12" i="19"/>
  <c r="M52" i="19"/>
  <c r="Y12" i="19"/>
  <c r="S32" i="19"/>
  <c r="M32" i="19"/>
  <c r="M42" i="19"/>
  <c r="W45" i="19"/>
  <c r="K25" i="19"/>
  <c r="W55" i="19"/>
  <c r="AI25" i="19"/>
  <c r="AI45" i="19"/>
  <c r="Q25" i="19"/>
  <c r="AJ68" i="1"/>
  <c r="AC35" i="19"/>
  <c r="AI15" i="19"/>
  <c r="Q35" i="19"/>
  <c r="W25" i="19"/>
  <c r="AC25" i="19"/>
  <c r="AI55" i="19"/>
  <c r="K15" i="19"/>
  <c r="Q15" i="19"/>
  <c r="K35" i="19"/>
  <c r="W35" i="19"/>
  <c r="W15" i="19"/>
  <c r="AC15" i="19"/>
  <c r="Q45" i="19"/>
  <c r="AC55" i="19"/>
  <c r="K55" i="19"/>
  <c r="AC45" i="19"/>
  <c r="AI35" i="19"/>
  <c r="AH69" i="1"/>
  <c r="AH27" i="1"/>
  <c r="R18" i="19" s="1"/>
  <c r="R40" i="19"/>
  <c r="AD10" i="19"/>
  <c r="X40" i="19"/>
  <c r="AJ10" i="19"/>
  <c r="R50" i="19"/>
  <c r="X10" i="19"/>
  <c r="R30" i="19"/>
  <c r="AJ39" i="1"/>
  <c r="L10" i="19"/>
  <c r="L50" i="19"/>
  <c r="AJ20" i="19"/>
  <c r="AJ40" i="19"/>
  <c r="AD30" i="19"/>
  <c r="R20" i="19"/>
  <c r="AD50" i="19"/>
  <c r="AJ30" i="19"/>
  <c r="AJ50" i="19"/>
  <c r="X30" i="19"/>
  <c r="AD20" i="19"/>
  <c r="L40" i="19"/>
  <c r="X50" i="19"/>
  <c r="X20" i="19"/>
  <c r="AD40" i="19"/>
  <c r="R10" i="19"/>
  <c r="L30" i="19"/>
  <c r="L20" i="19"/>
  <c r="AH58" i="1"/>
  <c r="AH72" i="1"/>
  <c r="AD47" i="19"/>
  <c r="AJ27" i="19"/>
  <c r="AD27" i="19"/>
  <c r="AJ7" i="19"/>
  <c r="AJ37" i="19"/>
  <c r="L27" i="19"/>
  <c r="AD17" i="19"/>
  <c r="L37" i="19"/>
  <c r="R17" i="19"/>
  <c r="AJ17" i="19"/>
  <c r="X7" i="19"/>
  <c r="X47" i="19"/>
  <c r="L7" i="19"/>
  <c r="L17" i="19"/>
  <c r="R27" i="19"/>
  <c r="X27" i="19"/>
  <c r="R7" i="19"/>
  <c r="X17" i="19"/>
  <c r="AJ47" i="19"/>
  <c r="L47" i="19"/>
  <c r="R37" i="19"/>
  <c r="AD7" i="19"/>
  <c r="X37" i="19"/>
  <c r="AJ21" i="1"/>
  <c r="R47" i="19"/>
  <c r="AD37" i="19"/>
  <c r="AH29" i="1"/>
  <c r="AH28" i="1"/>
  <c r="AH30" i="1"/>
  <c r="AJ43" i="19"/>
  <c r="AD33" i="19"/>
  <c r="X33" i="19"/>
  <c r="X13" i="19"/>
  <c r="AD43" i="19"/>
  <c r="L43" i="19"/>
  <c r="AJ57" i="1"/>
  <c r="X23" i="19"/>
  <c r="R33" i="19"/>
  <c r="R43" i="19"/>
  <c r="AD53" i="19"/>
  <c r="AJ13" i="19"/>
  <c r="R23" i="19"/>
  <c r="R13" i="19"/>
  <c r="AJ53" i="19"/>
  <c r="L33" i="19"/>
  <c r="L23" i="19"/>
  <c r="X43" i="19"/>
  <c r="X53" i="19"/>
  <c r="AD13" i="19"/>
  <c r="L53" i="19"/>
  <c r="L13" i="19"/>
  <c r="AD23" i="19"/>
  <c r="AJ33" i="19"/>
  <c r="AJ23" i="19"/>
  <c r="R53" i="19"/>
  <c r="AH22" i="1"/>
  <c r="Z11" i="19"/>
  <c r="AF31" i="19"/>
  <c r="T51" i="19"/>
  <c r="N51" i="19"/>
  <c r="Z41" i="19"/>
  <c r="AF21" i="19"/>
  <c r="AL31" i="19"/>
  <c r="T31" i="19"/>
  <c r="Z31" i="19"/>
  <c r="N21" i="19"/>
  <c r="N31" i="19"/>
  <c r="AL11" i="19"/>
  <c r="T11" i="19"/>
  <c r="AF11" i="19"/>
  <c r="AL41" i="19"/>
  <c r="T21" i="19"/>
  <c r="Z21" i="19"/>
  <c r="AL51" i="19"/>
  <c r="N11" i="19"/>
  <c r="AF51" i="19"/>
  <c r="N41" i="19"/>
  <c r="Z51" i="19"/>
  <c r="AJ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J48" i="1"/>
  <c r="AG11" i="19"/>
  <c r="AM41" i="19"/>
  <c r="AA21" i="19"/>
  <c r="AA51" i="19"/>
  <c r="U51" i="19"/>
  <c r="U31" i="19"/>
  <c r="AA11" i="19"/>
  <c r="AG21" i="19"/>
  <c r="O31" i="19"/>
  <c r="AH64" i="1"/>
  <c r="AH34" i="1"/>
  <c r="AH35" i="1"/>
  <c r="AH36"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H40" i="1"/>
  <c r="AE11" i="19"/>
  <c r="Y41" i="19"/>
  <c r="M41" i="19"/>
  <c r="Y21" i="19"/>
  <c r="AK41" i="19"/>
  <c r="S31" i="19"/>
  <c r="M31" i="19"/>
  <c r="M51" i="19"/>
  <c r="Y51" i="19"/>
  <c r="AK21" i="19"/>
  <c r="AK31" i="19"/>
  <c r="Y11" i="19"/>
  <c r="AE41" i="19"/>
  <c r="AE21" i="19"/>
  <c r="S51" i="19"/>
  <c r="AE51" i="19"/>
  <c r="AK51" i="19"/>
  <c r="M21" i="19"/>
  <c r="AE31" i="19"/>
  <c r="AJ46" i="1"/>
  <c r="S41" i="19"/>
  <c r="AK11" i="19"/>
  <c r="S11" i="19"/>
  <c r="Y31" i="19"/>
  <c r="S21" i="19"/>
  <c r="M11" i="19"/>
  <c r="L54" i="19"/>
  <c r="AJ14" i="19"/>
  <c r="AD44" i="19"/>
  <c r="X54" i="19"/>
  <c r="R14" i="19"/>
  <c r="AD24" i="19"/>
  <c r="AD34" i="19"/>
  <c r="R54" i="19"/>
  <c r="L34" i="19"/>
  <c r="AJ34" i="19"/>
  <c r="X24" i="19"/>
  <c r="AJ24" i="19"/>
  <c r="X44" i="19"/>
  <c r="R24" i="19"/>
  <c r="AJ63" i="1"/>
  <c r="X34" i="19"/>
  <c r="L14" i="19"/>
  <c r="AD14" i="19"/>
  <c r="L44" i="19"/>
  <c r="R44" i="19"/>
  <c r="AD54" i="19"/>
  <c r="X14" i="19"/>
  <c r="AJ44" i="19"/>
  <c r="R34" i="19"/>
  <c r="AJ54" i="19"/>
  <c r="L24" i="19"/>
  <c r="AD29" i="19"/>
  <c r="AD19" i="19"/>
  <c r="R39" i="19"/>
  <c r="R9" i="19"/>
  <c r="X49" i="19"/>
  <c r="X9" i="19"/>
  <c r="AD39" i="19"/>
  <c r="R29" i="19"/>
  <c r="L49" i="19"/>
  <c r="X19" i="19"/>
  <c r="X29" i="19"/>
  <c r="X39" i="19"/>
  <c r="L9" i="19"/>
  <c r="AJ33" i="1"/>
  <c r="AD9" i="19"/>
  <c r="AJ49" i="19"/>
  <c r="L39" i="19"/>
  <c r="R19" i="19"/>
  <c r="AJ39" i="19"/>
  <c r="AJ29" i="19"/>
  <c r="AJ19" i="19"/>
  <c r="AJ9" i="19"/>
  <c r="AD49" i="19"/>
  <c r="L19" i="19"/>
  <c r="L29" i="19"/>
  <c r="R49" i="19"/>
  <c r="R15" i="19" l="1"/>
  <c r="R55" i="19"/>
  <c r="AD25" i="19"/>
  <c r="L55" i="19"/>
  <c r="AJ35" i="19"/>
  <c r="X55" i="19"/>
  <c r="X35" i="19"/>
  <c r="AJ69" i="1"/>
  <c r="AD15" i="19"/>
  <c r="X25" i="19"/>
  <c r="X45" i="19"/>
  <c r="L35" i="19"/>
  <c r="R35" i="19"/>
  <c r="AJ15" i="19"/>
  <c r="L15" i="19"/>
  <c r="AJ25" i="19"/>
  <c r="AJ55" i="19"/>
  <c r="L45" i="19"/>
  <c r="AD35" i="19"/>
  <c r="R25" i="19"/>
  <c r="AD45" i="19"/>
  <c r="R45" i="19"/>
  <c r="AD55" i="19"/>
  <c r="X15" i="19"/>
  <c r="L25" i="19"/>
  <c r="AJ45" i="19"/>
  <c r="AH71" i="1"/>
  <c r="Z35" i="19" s="1"/>
  <c r="AH70" i="1"/>
  <c r="AJ48" i="19"/>
  <c r="L18" i="19"/>
  <c r="AD8" i="19"/>
  <c r="AJ8" i="19"/>
  <c r="AJ28" i="19"/>
  <c r="R48" i="19"/>
  <c r="X48" i="19"/>
  <c r="L8" i="19"/>
  <c r="AD28" i="19"/>
  <c r="X38" i="19"/>
  <c r="AJ27" i="1"/>
  <c r="X8" i="19"/>
  <c r="L48" i="19"/>
  <c r="AD48" i="19"/>
  <c r="AD38" i="19"/>
  <c r="X18" i="19"/>
  <c r="R38" i="19"/>
  <c r="R8" i="19"/>
  <c r="L38" i="19"/>
  <c r="R28" i="19"/>
  <c r="AJ38" i="19"/>
  <c r="AD18" i="19"/>
  <c r="L28" i="19"/>
  <c r="AJ18" i="19"/>
  <c r="X28" i="19"/>
  <c r="AH41" i="1"/>
  <c r="AH42" i="1"/>
  <c r="AG39" i="19"/>
  <c r="AG29" i="19"/>
  <c r="AM19" i="19"/>
  <c r="O39" i="19"/>
  <c r="AJ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J64" i="1"/>
  <c r="AE24" i="19"/>
  <c r="S14" i="19"/>
  <c r="AK17" i="19"/>
  <c r="S27" i="19"/>
  <c r="S37" i="19"/>
  <c r="AE27" i="19"/>
  <c r="Y47" i="19"/>
  <c r="S7" i="19"/>
  <c r="M17" i="19"/>
  <c r="AE17" i="19"/>
  <c r="AK27" i="19"/>
  <c r="Y7" i="19"/>
  <c r="Y37" i="19"/>
  <c r="AE37" i="19"/>
  <c r="Y27" i="19"/>
  <c r="M47" i="19"/>
  <c r="AJ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J28" i="1"/>
  <c r="AE28" i="19"/>
  <c r="AA55" i="19"/>
  <c r="O45" i="19"/>
  <c r="AA15" i="19"/>
  <c r="AM55" i="19"/>
  <c r="O55" i="19"/>
  <c r="AG35" i="19"/>
  <c r="AM25" i="19"/>
  <c r="AM35" i="19"/>
  <c r="AA25" i="19"/>
  <c r="AM45" i="19"/>
  <c r="AG25" i="19"/>
  <c r="AA35" i="19"/>
  <c r="O25" i="19"/>
  <c r="U25" i="19"/>
  <c r="AG45" i="19"/>
  <c r="U35" i="19"/>
  <c r="AA45" i="19"/>
  <c r="AM15" i="19"/>
  <c r="U45" i="19"/>
  <c r="O35" i="19"/>
  <c r="O15" i="19"/>
  <c r="AJ72" i="1"/>
  <c r="AG15" i="19"/>
  <c r="U15" i="19"/>
  <c r="AG55" i="19"/>
  <c r="U55" i="19"/>
  <c r="AE40" i="19"/>
  <c r="Y30" i="19"/>
  <c r="M20" i="19"/>
  <c r="AJ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J35" i="1"/>
  <c r="T19" i="19"/>
  <c r="AL49" i="19"/>
  <c r="T29" i="19"/>
  <c r="AF29" i="19"/>
  <c r="T18" i="19"/>
  <c r="N48" i="19"/>
  <c r="N8" i="19"/>
  <c r="T28" i="19"/>
  <c r="AF38" i="19"/>
  <c r="Z28" i="19"/>
  <c r="Z18" i="19"/>
  <c r="AF8" i="19"/>
  <c r="AJ29" i="1"/>
  <c r="AL8" i="19"/>
  <c r="Z48" i="19"/>
  <c r="AL48" i="19"/>
  <c r="AL28" i="19"/>
  <c r="N38" i="19"/>
  <c r="AL38" i="19"/>
  <c r="AF28" i="19"/>
  <c r="AF18" i="19"/>
  <c r="AL18" i="19"/>
  <c r="Z8" i="19"/>
  <c r="T48" i="19"/>
  <c r="T8" i="19"/>
  <c r="T38" i="19"/>
  <c r="Z38" i="19"/>
  <c r="AF48" i="19"/>
  <c r="N28" i="19"/>
  <c r="N18" i="19"/>
  <c r="S39" i="19"/>
  <c r="M49" i="19"/>
  <c r="AE19" i="19"/>
  <c r="S49" i="19"/>
  <c r="AK19" i="19"/>
  <c r="Y9" i="19"/>
  <c r="M29" i="19"/>
  <c r="AE49" i="19"/>
  <c r="Y39" i="19"/>
  <c r="AK49" i="19"/>
  <c r="AK29" i="19"/>
  <c r="AK39" i="19"/>
  <c r="S19" i="19"/>
  <c r="M19" i="19"/>
  <c r="AE9" i="19"/>
  <c r="AE39" i="19"/>
  <c r="M39" i="19"/>
  <c r="AK9" i="19"/>
  <c r="Y19" i="19"/>
  <c r="S29" i="19"/>
  <c r="S9" i="19"/>
  <c r="AE29" i="19"/>
  <c r="Y49" i="19"/>
  <c r="AJ34" i="1"/>
  <c r="M9" i="19"/>
  <c r="Y29" i="19"/>
  <c r="AH59" i="1"/>
  <c r="AH60"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H65" i="1"/>
  <c r="AH66" i="1"/>
  <c r="AH24" i="1"/>
  <c r="AH23" i="1"/>
  <c r="O8" i="19"/>
  <c r="AA48" i="19"/>
  <c r="AM38" i="19"/>
  <c r="U48" i="19"/>
  <c r="AA18" i="19"/>
  <c r="AG18" i="19"/>
  <c r="AG48" i="19"/>
  <c r="AM18" i="19"/>
  <c r="AA28" i="19"/>
  <c r="AG28" i="19"/>
  <c r="AA8" i="19"/>
  <c r="U18" i="19"/>
  <c r="AG38" i="19"/>
  <c r="U38" i="19"/>
  <c r="AM8" i="19"/>
  <c r="AA38" i="19"/>
  <c r="AM48" i="19"/>
  <c r="U28" i="19"/>
  <c r="O38" i="19"/>
  <c r="U8" i="19"/>
  <c r="AG8" i="19"/>
  <c r="AJ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J58"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L35" i="19" l="1"/>
  <c r="AJ71" i="1"/>
  <c r="N25" i="19"/>
  <c r="AF15" i="19"/>
  <c r="AF25" i="19"/>
  <c r="N15" i="19"/>
  <c r="Z25" i="19"/>
  <c r="N45" i="19"/>
  <c r="Z55" i="19"/>
  <c r="N35" i="19"/>
  <c r="AF35" i="19"/>
  <c r="Z45" i="19"/>
  <c r="Z15" i="19"/>
  <c r="AL45" i="19"/>
  <c r="AL25" i="19"/>
  <c r="AL55" i="19"/>
  <c r="AF45" i="19"/>
  <c r="AL15" i="19"/>
  <c r="N55" i="19"/>
  <c r="T55" i="19"/>
  <c r="T45" i="19"/>
  <c r="T25" i="19"/>
  <c r="AF55" i="19"/>
  <c r="T15" i="19"/>
  <c r="T35" i="19"/>
  <c r="Y35" i="19"/>
  <c r="Y45" i="19"/>
  <c r="M25" i="19"/>
  <c r="AE55" i="19"/>
  <c r="AE35" i="19"/>
  <c r="S55" i="19"/>
  <c r="M35" i="19"/>
  <c r="AK25" i="19"/>
  <c r="AE25" i="19"/>
  <c r="S45" i="19"/>
  <c r="M45" i="19"/>
  <c r="Y55" i="19"/>
  <c r="M55" i="19"/>
  <c r="S15" i="19"/>
  <c r="AE45" i="19"/>
  <c r="S35" i="19"/>
  <c r="S25" i="19"/>
  <c r="AK15" i="19"/>
  <c r="M15" i="19"/>
  <c r="AK35" i="19"/>
  <c r="AK55" i="19"/>
  <c r="Y25" i="19"/>
  <c r="AJ70" i="1"/>
  <c r="Y15" i="19"/>
  <c r="AE15" i="19"/>
  <c r="AK45" i="19"/>
  <c r="AG24" i="19"/>
  <c r="O44" i="19"/>
  <c r="O24" i="19"/>
  <c r="AM14" i="19"/>
  <c r="AG34" i="19"/>
  <c r="O34" i="19"/>
  <c r="AA44" i="19"/>
  <c r="O14" i="19"/>
  <c r="AA54" i="19"/>
  <c r="U14" i="19"/>
  <c r="AM44" i="19"/>
  <c r="AA34" i="19"/>
  <c r="AM24" i="19"/>
  <c r="AM54" i="19"/>
  <c r="AG14" i="19"/>
  <c r="AM34" i="19"/>
  <c r="U54" i="19"/>
  <c r="AG44" i="19"/>
  <c r="AA24" i="19"/>
  <c r="AG54" i="19"/>
  <c r="U34" i="19"/>
  <c r="U24" i="19"/>
  <c r="AJ66" i="1"/>
  <c r="AA14" i="19"/>
  <c r="O54" i="19"/>
  <c r="U44" i="19"/>
  <c r="U43" i="19"/>
  <c r="U13" i="19"/>
  <c r="AM53" i="19"/>
  <c r="AA53" i="19"/>
  <c r="AA43" i="19"/>
  <c r="O53" i="19"/>
  <c r="O23" i="19"/>
  <c r="O13" i="19"/>
  <c r="AG43" i="19"/>
  <c r="U33" i="19"/>
  <c r="U23" i="19"/>
  <c r="AM13" i="19"/>
  <c r="AM23" i="19"/>
  <c r="AG13" i="19"/>
  <c r="AA23" i="19"/>
  <c r="AG33" i="19"/>
  <c r="AA33" i="19"/>
  <c r="AM33" i="19"/>
  <c r="AA13" i="19"/>
  <c r="AJ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J65" i="1"/>
  <c r="AF53" i="19"/>
  <c r="T43" i="19"/>
  <c r="Z53" i="19"/>
  <c r="N43" i="19"/>
  <c r="T23" i="19"/>
  <c r="AF43" i="19"/>
  <c r="Z13" i="19"/>
  <c r="Z43" i="19"/>
  <c r="AF23" i="19"/>
  <c r="AL13" i="19"/>
  <c r="Z23" i="19"/>
  <c r="AL43" i="19"/>
  <c r="AF13" i="19"/>
  <c r="AL23" i="19"/>
  <c r="N13" i="19"/>
  <c r="T33" i="19"/>
  <c r="AL53" i="19"/>
  <c r="N23" i="19"/>
  <c r="N53" i="19"/>
  <c r="AF33" i="19"/>
  <c r="N33" i="19"/>
  <c r="AJ59" i="1"/>
  <c r="T53" i="19"/>
  <c r="AL33" i="19"/>
  <c r="T13" i="19"/>
  <c r="Z33" i="19"/>
  <c r="Z47" i="19"/>
  <c r="T7" i="19"/>
  <c r="AL37" i="19"/>
  <c r="T17" i="19"/>
  <c r="Z17" i="19"/>
  <c r="AF7" i="19"/>
  <c r="AF37" i="19"/>
  <c r="N17" i="19"/>
  <c r="AF27" i="19"/>
  <c r="AJ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J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J24" i="1"/>
  <c r="AA17" i="19"/>
  <c r="O7" i="19"/>
  <c r="AA37" i="19"/>
  <c r="AA27" i="19"/>
  <c r="AM27" i="19"/>
  <c r="U17" i="19"/>
  <c r="U47" i="19"/>
  <c r="AG17" i="19"/>
  <c r="O47" i="19"/>
  <c r="Z40" i="19"/>
  <c r="AJ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<sst xmlns="http://schemas.openxmlformats.org/spreadsheetml/2006/main" count="786" uniqueCount="458">
  <si>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</si>
  <si>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</si>
  <si>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</si>
  <si>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t>
    </r>
    <r>
      <rPr>
        <b/>
        <sz val="11"/>
        <rFont val="Arial Narrow"/>
        <family val="2"/>
      </rPr>
      <t xml:space="preserve">DOFA </t>
    </r>
    <r>
      <rPr>
        <sz val="11"/>
        <rFont val="Arial Narrow"/>
        <family val="2"/>
      </rPr>
      <t xml:space="preserve">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</si>
  <si>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</si>
  <si>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</si>
  <si>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</si>
  <si>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</si>
  <si>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</si>
  <si>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</si>
  <si>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</si>
  <si>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</si>
  <si>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</si>
  <si>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</si>
  <si>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</si>
  <si>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</si>
  <si>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</si>
  <si>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</si>
  <si>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</si>
  <si>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</si>
  <si>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</si>
  <si>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</si>
  <si>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</si>
  <si>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</si>
  <si>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</si>
  <si>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</si>
  <si>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</si>
  <si>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</si>
  <si>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</si>
  <si>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</si>
  <si>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</si>
  <si>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</si>
  <si>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</si>
  <si>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</si>
  <si>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</si>
  <si>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</si>
  <si>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</si>
  <si>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</si>
  <si>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</si>
  <si>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</si>
  <si>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</si>
  <si>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</si>
  <si>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</si>
  <si>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</si>
  <si>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</si>
  <si>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</si>
  <si>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</si>
  <si>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</si>
  <si>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</si>
  <si>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</si>
  <si>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</si>
  <si>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</si>
  <si>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</si>
  <si>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</si>
  <si>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</si>
  <si>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</si>
  <si>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</si>
  <si>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</si>
  <si>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</si>
  <si>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</si>
  <si>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Control de cambios </t>
  </si>
  <si>
    <t>el registra la actualización de los riesgos a partir de 2023</t>
  </si>
  <si>
    <t>Versión inicial</t>
  </si>
  <si>
    <t>tipo de riesgos</t>
  </si>
  <si>
    <t>Fecha de cambio</t>
  </si>
  <si>
    <t>Aspecto(s) que cambiaron</t>
  </si>
  <si>
    <t>Descripción de los cambios efectuados</t>
  </si>
  <si>
    <t>2023 -v1</t>
  </si>
  <si>
    <t>na</t>
  </si>
  <si>
    <t>2023 -v2</t>
  </si>
  <si>
    <t>gestión</t>
  </si>
  <si>
    <t>interno</t>
  </si>
  <si>
    <t>se incorporo una nueva por el covid 2+</t>
  </si>
  <si>
    <t>1. Direccionamiento estratégico e innovación</t>
  </si>
  <si>
    <t>2. Atención a partes interesadas y comunicaciones</t>
  </si>
  <si>
    <t>3. Estrategia y gobierno de TI</t>
  </si>
  <si>
    <t>4. Planificación de la intervención vial</t>
  </si>
  <si>
    <t>5. Producción de mezcla y provisión de maquinaria y equipos</t>
  </si>
  <si>
    <t>6. Intervención de la malla vial</t>
  </si>
  <si>
    <t>7. Gestión de servicios e infraestructura tecnológica</t>
  </si>
  <si>
    <t>8. Gestión de recursos físicos</t>
  </si>
  <si>
    <t>9. Gestión contractual</t>
  </si>
  <si>
    <t>10. Gestión financiera</t>
  </si>
  <si>
    <t>11. Gestión de laboratorio</t>
  </si>
  <si>
    <t>12. Gestión de talento humano</t>
  </si>
  <si>
    <t>13. Gestión ambiental</t>
  </si>
  <si>
    <t>14. Gestión documental</t>
  </si>
  <si>
    <t>15. Gestión jurídica</t>
  </si>
  <si>
    <t xml:space="preserve">16. Control, evaluación y mejora de la gestión  </t>
  </si>
  <si>
    <t>17. Control disciplinario interno</t>
  </si>
  <si>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</si>
  <si>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</si>
  <si>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</si>
  <si>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</si>
  <si>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</si>
  <si>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</si>
  <si>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</si>
  <si>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</si>
  <si>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</si>
  <si>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</si>
  <si>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</si>
  <si>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</si>
  <si>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</si>
  <si>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</si>
  <si>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</si>
  <si>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</si>
  <si>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</si>
  <si>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</si>
  <si>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</si>
  <si>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</si>
  <si>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</si>
  <si>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</si>
  <si>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</si>
  <si>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</si>
  <si>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</si>
  <si>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</si>
  <si>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</si>
  <si>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</si>
  <si>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Económico</t>
  </si>
  <si>
    <t>Evitar</t>
  </si>
  <si>
    <t>Reputacional</t>
  </si>
  <si>
    <t>Reducir (compartir)</t>
  </si>
  <si>
    <t>Económico y Reputacional</t>
  </si>
  <si>
    <t>Reducir (mitigar)</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</si>
  <si>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</si>
  <si>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</si>
  <si>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</si>
  <si>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</si>
  <si>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</si>
  <si>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</si>
  <si>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</si>
  <si>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</si>
  <si>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</si>
  <si>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</si>
  <si>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4.Mejorar las condiciones de Infraestructura que permitan el uso y disfrute del espacio público en Bogotá D.C.</t>
  </si>
  <si>
    <t xml:space="preserve">Gestión </t>
  </si>
  <si>
    <t>Relaciones Laborales</t>
  </si>
  <si>
    <t>NA</t>
  </si>
  <si>
    <t>Daños Activos Fisicos</t>
  </si>
  <si>
    <t>Proyecto de inversión</t>
  </si>
  <si>
    <t>Ejecucion y Administracion de procesos</t>
  </si>
  <si>
    <t>7858 Conservación de la Malla Vial Distrital y Cicloinfraestructura de Bogotá</t>
  </si>
  <si>
    <t>Fallas Tecnologicas</t>
  </si>
  <si>
    <t xml:space="preserve">7859 Fortalecimiento Institucional </t>
  </si>
  <si>
    <t>Usuarios, productos y practicas , organizacionales</t>
  </si>
  <si>
    <t>7860 Fortalecimiento de los componentes de TI para la transformación digital</t>
  </si>
  <si>
    <t>Corrupción</t>
  </si>
  <si>
    <t>Fraude Externo</t>
  </si>
  <si>
    <t>7903 Apoyo a la adecuación y conservación del espacio público de Bogotá</t>
  </si>
  <si>
    <t>Fraude Interno</t>
  </si>
  <si>
    <t>Soborno</t>
  </si>
  <si>
    <t>seguridad</t>
  </si>
  <si>
    <t xml:space="preserve">Pérdida de la integridad </t>
  </si>
  <si>
    <t xml:space="preserve">Pérdida de la confidencialidad </t>
  </si>
  <si>
    <t xml:space="preserve">Pérdida de la disponibilidad </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</si>
  <si>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</si>
  <si>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</si>
  <si>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</si>
  <si>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</si>
  <si>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</si>
  <si>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</si>
  <si>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</si>
  <si>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</si>
  <si>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</si>
  <si>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</si>
  <si>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</si>
  <si>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</si>
  <si>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</si>
  <si>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</si>
  <si>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</si>
  <si>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</si>
  <si>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</si>
  <si>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</si>
  <si>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</si>
  <si>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</si>
  <si>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</si>
  <si>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</si>
  <si>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</si>
  <si>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</si>
  <si>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</si>
  <si>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</si>
  <si>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</si>
  <si>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</si>
  <si>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</si>
  <si>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</si>
  <si>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</si>
  <si>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</si>
  <si>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</si>
  <si>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</si>
  <si>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</si>
  <si>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</si>
  <si>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</si>
  <si>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</si>
  <si>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</si>
  <si>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</si>
  <si>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</si>
  <si>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</si>
  <si>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</si>
  <si>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</si>
  <si>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</si>
  <si>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</si>
  <si>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</si>
  <si>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</si>
  <si>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</si>
  <si>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</si>
  <si>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</si>
  <si>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</si>
  <si>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</si>
  <si>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DE PROCESO</t>
  </si>
  <si>
    <t>CÓDIGO: DESI-FM-018</t>
  </si>
  <si>
    <t>VERSIÓN: 11</t>
  </si>
  <si>
    <t>Proceso:</t>
  </si>
  <si>
    <t>Objetivo:</t>
  </si>
  <si>
    <t>Alcance:</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</si>
  <si>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</si>
  <si>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</si>
  <si>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</si>
  <si>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</si>
  <si>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</si>
  <si>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</si>
  <si>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</si>
  <si>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ACCION DE CONTINGENCIA</t>
  </si>
  <si>
    <t xml:space="preserve">Referencia </t>
  </si>
  <si>
    <t xml:space="preserve">Actividad clave o fase del proyecto </t>
  </si>
  <si>
    <t>Internas</t>
  </si>
  <si>
    <t>Externas</t>
  </si>
  <si>
    <t>Efectos (Consecuencias)</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</si>
  <si>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</si>
  <si>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</si>
  <si>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</si>
  <si>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</si>
  <si>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</si>
  <si>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</si>
  <si>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</si>
  <si>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</si>
  <si>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</si>
  <si>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</si>
  <si>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</si>
  <si>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</si>
  <si>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Acción</t>
  </si>
  <si>
    <t>Responsable</t>
  </si>
  <si>
    <t>Producto</t>
  </si>
  <si>
    <t>Fecha Implementación</t>
  </si>
  <si>
    <t>ACCIÓN</t>
  </si>
  <si>
    <t>SOPORTE / PRODUCTO</t>
  </si>
  <si>
    <t>RESPONSABLE</t>
  </si>
  <si>
    <t xml:space="preserve">Proyecto de Inversión asociado </t>
  </si>
  <si>
    <t>Tipo</t>
  </si>
  <si>
    <t>Implementación</t>
  </si>
  <si>
    <t>Calificación</t>
  </si>
  <si>
    <t>Documentación</t>
  </si>
  <si>
    <t>Frecuencia</t>
  </si>
  <si>
    <t>Evidencia</t>
  </si>
  <si>
    <t xml:space="preserve">     El riesgo afecta la imagen de la entidad con algunos usuarios de relevancia frente al logro de los objetivos</t>
  </si>
  <si>
    <t>Preventivo</t>
  </si>
  <si>
    <t>Manual</t>
  </si>
  <si>
    <t>Documentado</t>
  </si>
  <si>
    <t>Continua</t>
  </si>
  <si>
    <t>Con Registro</t>
  </si>
  <si>
    <t>Detectivo</t>
  </si>
  <si>
    <t>Sin Documentar</t>
  </si>
  <si>
    <r>
      <rPr>
        <b/>
        <sz val="12"/>
        <rFont val="Arial"/>
        <family val="2"/>
      </rPr>
      <t xml:space="preserve">*Nota: </t>
    </r>
    <r>
      <rPr>
        <sz val="12"/>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</si>
  <si>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</si>
  <si>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 RIESGOS GESTIÓN</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</si>
  <si>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</si>
  <si>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</si>
  <si>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</si>
  <si>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</si>
  <si>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</si>
  <si>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</si>
  <si>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</si>
  <si>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</si>
  <si>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</si>
  <si>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</si>
  <si>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</si>
  <si>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</si>
  <si>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</si>
  <si>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</si>
  <si>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</si>
  <si>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 RIESGOS GESTIÓN</t>
  </si>
  <si>
    <t>Actividad clave o fase del proyecto</t>
  </si>
  <si>
    <t>Correctivo</t>
  </si>
  <si>
    <t>IMPACTO CORRUPCIÓN</t>
  </si>
  <si>
    <t>No.</t>
  </si>
  <si>
    <t>SI EL RIESGO DE CORRUPCIÓN SE MATERIALIZA PODRÍA...</t>
  </si>
  <si>
    <t>RESPUESTA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</si>
  <si>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</si>
  <si>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</si>
  <si>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</si>
  <si>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</si>
  <si>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</si>
  <si>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</si>
  <si>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</si>
  <si>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</si>
  <si>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</si>
  <si>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</si>
  <si>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</si>
  <si>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</si>
  <si>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</si>
  <si>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</si>
  <si>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</si>
  <si>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</si>
  <si>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</si>
  <si>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</si>
  <si>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</si>
  <si>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</si>
  <si>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</si>
  <si>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TOTAL RESPUESTAS AFIRMATIVAS </t>
  </si>
  <si>
    <r>
      <t>Responder afirmativamente de 1 a 5 pregunta(s) genera un impacto</t>
    </r>
    <r>
      <rPr>
        <b/>
        <sz val="10"/>
        <rFont val="Arial"/>
        <family val="2"/>
      </rPr>
      <t xml:space="preserve"> Moderado</t>
    </r>
    <r>
      <rPr>
        <sz val="11"/>
        <color theme="1"/>
        <rFont val="Arial"/>
        <family val="2"/>
      </rPr>
      <t xml:space="preserve">
Responder afirmativamente de 6 a 11 preguntas genera un impacto </t>
    </r>
    <r>
      <rPr>
        <b/>
        <sz val="10"/>
        <rFont val="Arial"/>
        <family val="2"/>
      </rPr>
      <t xml:space="preserve">Mayor </t>
    </r>
    <r>
      <rPr>
        <sz val="11"/>
        <color theme="1"/>
        <rFont val="Arial"/>
        <family val="2"/>
      </rPr>
      <t xml:space="preserve">
Responder afirmativamente de 12 a 19 preguntas genera un impacto </t>
    </r>
    <r>
      <rPr>
        <b/>
        <sz val="10"/>
        <rFont val="Arial"/>
        <family val="2"/>
      </rPr>
      <t>Catastrófico</t>
    </r>
    <r>
      <rPr>
        <sz val="11"/>
        <color theme="1"/>
        <rFont val="Arial"/>
        <family val="2"/>
      </rPr>
      <t>.</t>
    </r>
  </si>
  <si>
    <t>Tipo de activo</t>
  </si>
  <si>
    <t>Activo de información</t>
  </si>
  <si>
    <t>Tipo de amenaza</t>
  </si>
  <si>
    <t>Amenaza</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</si>
  <si>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</si>
  <si>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</si>
  <si>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</si>
  <si>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</si>
  <si>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</si>
  <si>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</si>
  <si>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</si>
  <si>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</si>
  <si>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</si>
  <si>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</si>
  <si>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</si>
  <si>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</si>
  <si>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</si>
  <si>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</si>
  <si>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</si>
  <si>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</si>
  <si>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</si>
  <si>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</si>
  <si>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</si>
  <si>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</si>
  <si>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Menor</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</si>
  <si>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</si>
  <si>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</si>
  <si>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</si>
  <si>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</si>
  <si>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</si>
  <si>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</si>
  <si>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</si>
  <si>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</si>
  <si>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</si>
  <si>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</si>
  <si>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</si>
  <si>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</si>
  <si>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</si>
  <si>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</si>
  <si>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</si>
  <si>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 xml:space="preserve">     Afectación menor a 130 SMLMV .</t>
  </si>
  <si>
    <t xml:space="preserve">     El riesgo afecta la imagen de alguna área de la organización</t>
  </si>
  <si>
    <t>Pérdida_Reputacional</t>
  </si>
  <si>
    <t xml:space="preserve">     Entre 130 y 650 SMLMV </t>
  </si>
  <si>
    <t xml:space="preserve">     El riesgo afecta la imagen de la entidad internamente, de conocimiento general, nivel interno, de junta dircetiva y accionistas y/o de provedores</t>
  </si>
  <si>
    <t xml:space="preserve">     Entre 650 y 1300 SMLMV </t>
  </si>
  <si>
    <t xml:space="preserve">     Entre 1300 y 6500 SMLMV </t>
  </si>
  <si>
    <t xml:space="preserve">     El riesgo afecta la imagen de de la entidad con efecto publicitario sostenido a nivel de sector administrativo, nivel departamental o municipal</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</si>
  <si>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</si>
  <si>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</si>
  <si>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</si>
  <si>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</si>
  <si>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</si>
  <si>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</si>
  <si>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</si>
  <si>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</si>
  <si>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</si>
  <si>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</si>
  <si>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Gestión</t>
  </si>
  <si>
    <t>Ejecución y administración de procesos</t>
  </si>
  <si>
    <t>Pérdidas derivadas de errores en la ejecución y administración de procesos.</t>
  </si>
  <si>
    <t>Relaciones laborales</t>
  </si>
  <si>
    <t>Pérdidas que surgen de acciones contrarias a las leyes o acuerdos de empleo, salud o seguridad, del pago de demandas por  daños personales o de discriminación.</t>
  </si>
  <si>
    <t>Daños a activos fijos/ eventos externos</t>
  </si>
  <si>
    <t>Pérdida por daños o extravíos de los activos fijos por desastres naturales u otros riesgos/eventos externos como atentados, vandalismo, orden público.</t>
  </si>
  <si>
    <t>Seguridad Digital</t>
  </si>
  <si>
    <t>Fallas tecnológicas</t>
  </si>
  <si>
    <t>Errores en hardware, software, telecomunicaciones, interrupción de servicios básicos.</t>
  </si>
  <si>
    <t>Fraude externo</t>
  </si>
  <si>
    <t>Pérdida derivada de actos de fraude por personas ajenas a la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</si>
  <si>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</si>
  <si>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</si>
  <si>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Cuando una persona da u ofrece “dinero u otra utilidad para que se realice u omita un acto propio del cargo de un funcionario público, o para que se ejecute uno contrario a sus deberes oficiales”</t>
  </si>
  <si>
    <t>Determina que la información no esté disponible ni sea revelada a individuos, entidades o procesos no autorizados.</t>
  </si>
  <si>
    <t>Determina la exactitud y completitud de la información, permitiendo que la información sea precisa, coherente y completa desde su creación hasta su destrucción.</t>
  </si>
  <si>
    <t>Determina la accesibilidad y utilización de la información por solicitud de una persona entidad o proceso autorizada cuando así lo requiera esta, en el momento y en la forma que se requiere ahora y en el futuro, al igual que los recursos necesarios para su uso.</t>
  </si>
  <si>
    <t>TIPO DE ACTIVO</t>
  </si>
  <si>
    <t>INFORMACIÓN</t>
  </si>
  <si>
    <t>SOFTWARE</t>
  </si>
  <si>
    <t>HARDWARE</t>
  </si>
  <si>
    <t>INSTALACIONES</t>
  </si>
  <si>
    <t>PROCESOS</t>
  </si>
  <si>
    <t>RECURSOS HUMANOS</t>
  </si>
  <si>
    <t>RED</t>
  </si>
  <si>
    <t>SERVICIOS</t>
  </si>
  <si>
    <t>EQUIPAMIENTO AUXILIAR</t>
  </si>
  <si>
    <t>COMPONENTES DE RED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</si>
  <si>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</si>
  <si>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</si>
  <si>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</si>
  <si>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</si>
  <si>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</si>
  <si>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</si>
  <si>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</si>
  <si>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</si>
  <si>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</si>
  <si>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</si>
  <si>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</si>
  <si>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</si>
  <si>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</si>
  <si>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</si>
  <si>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</si>
  <si>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</si>
  <si>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</si>
  <si>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</si>
  <si>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</si>
  <si>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</si>
  <si>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</si>
  <si>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</si>
  <si>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</si>
  <si>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</si>
  <si>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</si>
  <si>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</si>
  <si>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FECHA DE APLICACIÓN: NOVIEMBRE 2022</t>
  </si>
  <si>
    <t xml:space="preserve">Tratamiento del riesgo -Plan de acción </t>
  </si>
  <si>
    <t xml:space="preserve">Acción de Contigencia </t>
  </si>
  <si>
    <t>Objetivo Institucional  asociado</t>
  </si>
  <si>
    <t xml:space="preserve">Sanción de un ente regulador al incumplir con la legislacion ambiental vigente aplicable a la entidad </t>
  </si>
  <si>
    <t>Desconocimiento en los lineamientos por parte de los colaboradores del equipo ambiental
Deficiencia en el seguimiento y control de los criterios ambientales en los diferentes procesos
Inadecuada implementación de las medidas de control y seguimiento ambiental en las sedes de la Entidad</t>
  </si>
  <si>
    <t xml:space="preserve">Posibilidad de afectación economica y reputacional por sanción de un ente regulador al incumplir con la legislacion ambiental vigente aplicable a la entidad por el desconocimiento en los lineamientos de los colaboradores del equipo ambiental, deficiencia en el seguimiento y control de los criterios ambientales en los diferentes procesos, y la inadecuada implementacion de las medidas de control y seguimiento ambiental en las sedes de la Entidad. </t>
  </si>
  <si>
    <t>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t>
  </si>
  <si>
    <t>Inicia con la identificación de los aspectos e impactos ambientales, continúa con la valoración de los impactos generados y la identificación normativa aplicable al componente ambiental del proceso y finaliza con la formulación, implementación y seguimiento del Plan Institucional de Gestión Ambiental  PIGA de la Entidad con el fin de establecer  las acciones encaminadas a  la mitigación de los impactos ambientales que generan las actividades de la UAERMV.</t>
  </si>
  <si>
    <t>•Revisar la normatividad ambiental vigente
• Revisar que se mantenga actualizada Matriz de Cumplimiento Legal (Normograma).</t>
  </si>
  <si>
    <t xml:space="preserve">*Una visión  arraigada frente al que hacer en las diferentes áreas de la entidad, que dificulte el cambio en la cultura ambiental. 
*Demora en la entrega de información de  algunos procesos para realizar el seguimiento y control ambiental. </t>
  </si>
  <si>
    <t xml:space="preserve">Cambios en la normatividad que la entidad desconozca </t>
  </si>
  <si>
    <t>El gerente GASA designa a los coordinadores (as) GAM para verificar bimestralmente que se cumplan las sensibilizaciones sobre los lineamientos ambientales establecidos en el cronograma y como evidencia queda el análisis de los resultados de las encuestas realizadas en las sensibilizaciones, en caso que los resultados de la encuesta no superen el 70% se repite la sensibilización.</t>
  </si>
  <si>
    <r>
      <t xml:space="preserve">Los coordinadores (as) GAM designados por el gerente GASA revisan de manera </t>
    </r>
    <r>
      <rPr>
        <b/>
        <sz val="12"/>
        <color theme="1"/>
        <rFont val="Arial"/>
        <family val="2"/>
      </rPr>
      <t>bimestral</t>
    </r>
    <r>
      <rPr>
        <sz val="12"/>
        <color theme="1"/>
        <rFont val="Arial"/>
        <family val="2"/>
      </rPr>
      <t xml:space="preserve"> que los puntos de control y evidencia de aplicacion de requisitos legales  establecidos en el normograma del proceso se estén llevando a cabo, por su parte  el gerente GASA valida que esta información sea verás en la mesa de apoyo del CIDG para el componente ambiental,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t>
    </r>
  </si>
  <si>
    <r>
      <rPr>
        <b/>
        <sz val="12"/>
        <color theme="1"/>
        <rFont val="Arial"/>
        <family val="2"/>
      </rPr>
      <t>Los profesionales designados por el Gerente GASA</t>
    </r>
    <r>
      <rPr>
        <sz val="12"/>
        <color theme="1"/>
        <rFont val="Arial"/>
        <family val="2"/>
      </rPr>
      <t xml:space="preserve"> (Del equipo PIGA) realizarán por lo menos (2) dos visitas de seguimiento al </t>
    </r>
    <r>
      <rPr>
        <b/>
        <sz val="12"/>
        <color theme="1"/>
        <rFont val="Arial"/>
        <family val="2"/>
      </rPr>
      <t>mes a cada</t>
    </r>
    <r>
      <rPr>
        <sz val="12"/>
        <color theme="1"/>
        <rFont val="Arial"/>
        <family val="2"/>
      </rPr>
      <t xml:space="preserve"> una de las sedes de la entidad, para </t>
    </r>
    <r>
      <rPr>
        <b/>
        <sz val="12"/>
        <color theme="1"/>
        <rFont val="Arial"/>
        <family val="2"/>
      </rPr>
      <t>validar</t>
    </r>
    <r>
      <rPr>
        <sz val="12"/>
        <color theme="1"/>
        <rFont val="Arial"/>
        <family val="2"/>
      </rPr>
      <t xml:space="preserve"> la correcta implementación de los controles operacionales. Lo anterior se </t>
    </r>
    <r>
      <rPr>
        <b/>
        <sz val="12"/>
        <color theme="1"/>
        <rFont val="Arial"/>
        <family val="2"/>
      </rPr>
      <t>evidenciará</t>
    </r>
    <r>
      <rPr>
        <sz val="12"/>
        <color theme="1"/>
        <rFont val="Arial"/>
        <family val="2"/>
      </rPr>
      <t xml:space="preserve"> por medio de informe mensual del Coordinador GAM dirigido al Gerente GASA con el resultado de las visitas realizadas. 
En caso que se identifiquen anomalías se procede a informar al supervisor del contrato para tomar las medidas correctivas necesarias.</t>
    </r>
  </si>
  <si>
    <t>Realizar dos autoevaluaciones al cumplimiento del PIGA y de la legislación ambiental en la UAERMV de conformidad a las visitas anuales realizadas por la SDA</t>
  </si>
  <si>
    <t>Gerencia GASA
Coordinadores ambientales</t>
  </si>
  <si>
    <t xml:space="preserve">Herramienta de verificación diligenciada </t>
  </si>
  <si>
    <t xml:space="preserve">Elaborar plan de acción con las situaciones encontradas </t>
  </si>
  <si>
    <t xml:space="preserve">Plan de acción ejecutado </t>
  </si>
  <si>
    <t>Gerente Ambiental, Social y Atencion al Usuario</t>
  </si>
  <si>
    <t>Por la ocurrencia de accidentes ambientales producto de actividades misionales que afecten el suelo, aire y el agua</t>
  </si>
  <si>
    <t xml:space="preserve">Debilidades en la información preventiva para evitar la presentación de accidentes ambientales. 
Exceso de confianza en la manipulacion de elementos y maquinaria durante la operacion de las actividades misionales  </t>
  </si>
  <si>
    <t xml:space="preserve">Posibilidad de afectacion economica y reputacional por la ocurrencia de accidentes ambientales producto de las actividades misionales que afecten el suelo, aire y el agua debido a Debilidades en la información preventiva para evitar la presentación de accidentes ambientales y/o Exceso de confianza en la manipulacion de elementos y maquinaria durante la operacion de las actividades misionales  </t>
  </si>
  <si>
    <t>•Formular los controles necesarios para la prevención y/o mitigación de los impactos ambientales identificados en las actividades a ejecutar.  
•Identificar los aspectos y valorar los impactos ambientales asociados a la misionalidad de la entidad</t>
  </si>
  <si>
    <t xml:space="preserve">*Falta de apropiación por parte de los colaborares de la Entidad frente a los lineamientos establecidos por el proceso de Gestion ambiental-GAM, para la protección de los recursos naturales </t>
  </si>
  <si>
    <r>
      <rPr>
        <b/>
        <sz val="12"/>
        <color theme="1"/>
        <rFont val="Arial"/>
        <family val="2"/>
      </rPr>
      <t>El Gerente GAS</t>
    </r>
    <r>
      <rPr>
        <sz val="12"/>
        <color theme="1"/>
        <rFont val="Arial"/>
        <family val="2"/>
      </rPr>
      <t xml:space="preserve">A designa a los coordinadores (as) GAM para </t>
    </r>
    <r>
      <rPr>
        <b/>
        <sz val="12"/>
        <color theme="1"/>
        <rFont val="Arial"/>
        <family val="2"/>
      </rPr>
      <t>verificar bimestralmente</t>
    </r>
    <r>
      <rPr>
        <sz val="12"/>
        <color theme="1"/>
        <rFont val="Arial"/>
        <family val="2"/>
      </rPr>
      <t xml:space="preserve"> la efectividad de las sensibilizaciones impartidas sobre los lineamientos de prevención y atencion de derrames de sustancias peligrosas en sedes y frentes de obra, la </t>
    </r>
    <r>
      <rPr>
        <b/>
        <sz val="12"/>
        <color theme="1"/>
        <rFont val="Arial"/>
        <family val="2"/>
      </rPr>
      <t>evidencia</t>
    </r>
    <r>
      <rPr>
        <sz val="12"/>
        <color theme="1"/>
        <rFont val="Arial"/>
        <family val="2"/>
      </rPr>
      <t xml:space="preserve"> será el análisis de resultados de las evaluaciones que se realizan en las sensibilizaciones.
</t>
    </r>
    <r>
      <rPr>
        <b/>
        <sz val="12"/>
        <color theme="1"/>
        <rFont val="Arial"/>
        <family val="2"/>
      </rPr>
      <t xml:space="preserve">En caso que </t>
    </r>
    <r>
      <rPr>
        <sz val="12"/>
        <color theme="1"/>
        <rFont val="Arial"/>
        <family val="2"/>
      </rPr>
      <t>los resultados de la evaluación, no supere el 70% de las respuestas correctas, se repite la sensibilización.</t>
    </r>
  </si>
  <si>
    <r>
      <rPr>
        <b/>
        <sz val="12"/>
        <color theme="1"/>
        <rFont val="Arial"/>
        <family val="2"/>
      </rPr>
      <t xml:space="preserve">Los profesionales ambientales y SST, </t>
    </r>
    <r>
      <rPr>
        <sz val="12"/>
        <color theme="1"/>
        <rFont val="Arial"/>
        <family val="2"/>
      </rPr>
      <t xml:space="preserve">designados por el Gerente GASA, </t>
    </r>
    <r>
      <rPr>
        <b/>
        <sz val="12"/>
        <color theme="1"/>
        <rFont val="Arial"/>
        <family val="2"/>
      </rPr>
      <t>verifican</t>
    </r>
    <r>
      <rPr>
        <sz val="12"/>
        <color theme="1"/>
        <rFont val="Arial"/>
        <family val="2"/>
      </rPr>
      <t xml:space="preserve"> las actividades de manejo de sustancias peligrosas en la sedes operativa y de producción así como en frentes de obra en intervención, con el fin de evaluar prácticas y establecer si es el caso, oportunidades de mejora, a través de inspección </t>
    </r>
    <r>
      <rPr>
        <b/>
        <sz val="12"/>
        <color theme="1"/>
        <rFont val="Arial"/>
        <family val="2"/>
      </rPr>
      <t>trimestral. L</t>
    </r>
    <r>
      <rPr>
        <sz val="12"/>
        <color theme="1"/>
        <rFont val="Arial"/>
        <family val="2"/>
      </rPr>
      <t xml:space="preserve">a </t>
    </r>
    <r>
      <rPr>
        <b/>
        <sz val="12"/>
        <color theme="1"/>
        <rFont val="Arial"/>
        <family val="2"/>
      </rPr>
      <t>evidencia</t>
    </r>
    <r>
      <rPr>
        <sz val="12"/>
        <color theme="1"/>
        <rFont val="Arial"/>
        <family val="2"/>
      </rPr>
      <t xml:space="preserve"> son los formatos diligenciados GAM-FM-012 de las prácticas para  la prevención de accidentes ambientales.
</t>
    </r>
    <r>
      <rPr>
        <b/>
        <sz val="12"/>
        <color theme="1"/>
        <rFont val="Arial"/>
        <family val="2"/>
      </rPr>
      <t xml:space="preserve">En el caso </t>
    </r>
    <r>
      <rPr>
        <sz val="12"/>
        <color theme="1"/>
        <rFont val="Arial"/>
        <family val="2"/>
      </rPr>
      <t>que se evidencie prácticas inadecuadas que pueden generar un accidentes, se detine la actividad, se debe volver a socializar los lineamientos establecidos y nuevamente se aplica la herramienta.</t>
    </r>
  </si>
  <si>
    <t xml:space="preserve">Febrero y Agosto de 2023 </t>
  </si>
  <si>
    <t>Divulgar piezas comunicativas que sensibilicen a los colaboradores sobre el manejo y manipulacion de sustancias peligrosas</t>
  </si>
  <si>
    <t>Gerencia GASA
Coordinadores ambientales y SST</t>
  </si>
  <si>
    <t>Piezas publicadas</t>
  </si>
  <si>
    <t>enero a diciembre de 2023</t>
  </si>
  <si>
    <t>Eventos naturales o antrópicos
 (Por ej Terremoto, derrame inundación, explosión inducida)</t>
  </si>
  <si>
    <t xml:space="preserve">Sanciones económicas o perdida de legitimidad institucional. </t>
  </si>
  <si>
    <t>Afectacion en la salud pública por presentación de accidentes 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</si>
</sst>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94"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sz val="11"/>
      <color theme="1"/>
      <name val="Arial"/>
      <family val="2"/>
    </font>
    <font>
      <b/>
      <sz val="14"/>
      <name val="Arial"/>
      <family val="2"/>
    </font>
    <font>
      <b/>
      <sz val="10"/>
      <name val="Arial"/>
      <family val="2"/>
    </font>
    <font>
      <b/>
      <sz val="11"/>
      <color theme="1"/>
      <name val="Arial"/>
      <family val="2"/>
    </font>
    <font>
      <b/>
      <sz val="9"/>
      <color theme="1"/>
      <name val="Arial"/>
      <family val="2"/>
    </font>
    <font>
      <sz val="9"/>
      <color theme="1"/>
      <name val="Arial"/>
      <family val="2"/>
    </font>
    <font>
      <b/>
      <sz val="18"/>
      <color theme="1"/>
      <name val="Arial"/>
      <family val="2"/>
    </font>
    <font>
      <sz val="12"/>
      <color rgb="FF203764"/>
      <name val="Calibri"/>
      <family val="2"/>
      <scheme val="minor"/>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sz val="12"/>
      <color theme="1"/>
      <name val="Arial"/>
      <family val="2"/>
    </font>
    <font>
      <b/>
      <sz val="10"/>
      <color theme="0"/>
      <name val="Arial Narrow"/>
      <family val="2"/>
    </font>
    <font>
      <sz val="8"/>
      <name val="Calibri"/>
      <family val="2"/>
      <scheme val="minor"/>
    </font>
    <font>
      <b/>
      <sz val="16"/>
      <color theme="5" tint="-0.249977111117893"/>
      <name val="Arial"/>
      <family val="2"/>
    </font>
    <font>
      <b/>
      <sz val="24"/>
      <color theme="1"/>
      <name val="Arial Narrow"/>
      <family val="2"/>
    </font>
    <font>
      <sz val="13"/>
      <name val="Arial"/>
      <family val="2"/>
    </font>
    <font>
      <sz val="12"/>
      <color rgb="FF000000"/>
      <name val="Arial"/>
    </font>
    <font>
      <b/>
      <sz val="12"/>
      <color theme="1"/>
      <name val="Arial"/>
      <family val="2"/>
    </font>
  </fonts>
  <fills count="3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BDD7EE"/>
        <bgColor rgb="FF000000"/>
      </patternFill>
    </fill>
    <fill>
      <patternFill patternType="solid">
        <fgColor rgb="FFFFF2CC"/>
        <bgColor rgb="FF000000"/>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59999389629810485"/>
        <bgColor indexed="64"/>
      </patternFill>
    </fill>
  </fills>
  <borders count="12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medium">
        <color indexed="64"/>
      </left>
      <right style="hair">
        <color theme="6" tint="-0.499984740745262"/>
      </right>
      <top style="hair">
        <color theme="6" tint="-0.499984740745262"/>
      </top>
      <bottom style="hair">
        <color theme="6" tint="-0.499984740745262"/>
      </bottom>
      <diagonal/>
    </border>
    <border>
      <left style="hair">
        <color theme="6" tint="-0.499984740745262"/>
      </left>
      <right style="medium">
        <color indexed="64"/>
      </right>
      <top style="hair">
        <color theme="6" tint="-0.499984740745262"/>
      </top>
      <bottom style="hair">
        <color theme="6" tint="-0.499984740745262"/>
      </bottom>
      <diagonal/>
    </border>
    <border>
      <left style="medium">
        <color indexed="64"/>
      </left>
      <right style="hair">
        <color theme="6" tint="-0.499984740745262"/>
      </right>
      <top style="hair">
        <color theme="6" tint="-0.499984740745262"/>
      </top>
      <bottom style="medium">
        <color indexed="64"/>
      </bottom>
      <diagonal/>
    </border>
    <border>
      <left style="hair">
        <color theme="6" tint="-0.499984740745262"/>
      </left>
      <right style="medium">
        <color indexed="64"/>
      </right>
      <top style="hair">
        <color theme="6" tint="-0.499984740745262"/>
      </top>
      <bottom style="medium">
        <color indexed="64"/>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theme="6" tint="-0.499984740745262"/>
      </left>
      <right/>
      <top/>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hair">
        <color theme="6" tint="-0.499984740745262"/>
      </left>
      <right style="hair">
        <color theme="6" tint="-0.499984740745262"/>
      </right>
      <top style="medium">
        <color indexed="64"/>
      </top>
      <bottom style="hair">
        <color theme="6" tint="-0.499984740745262"/>
      </bottom>
      <diagonal/>
    </border>
    <border>
      <left style="hair">
        <color theme="6" tint="-0.499984740745262"/>
      </left>
      <right style="hair">
        <color theme="6" tint="-0.499984740745262"/>
      </right>
      <top style="medium">
        <color indexed="64"/>
      </top>
      <bottom/>
      <diagonal/>
    </border>
    <border>
      <left style="hair">
        <color theme="6" tint="-0.499984740745262"/>
      </left>
      <right style="hair">
        <color theme="6" tint="-0.499984740745262"/>
      </right>
      <top style="hair">
        <color theme="6" tint="-0.499984740745262"/>
      </top>
      <bottom style="medium">
        <color indexed="64"/>
      </bottom>
      <diagonal/>
    </border>
    <border>
      <left style="hair">
        <color theme="6" tint="-0.499984740745262"/>
      </left>
      <right style="hair">
        <color theme="6" tint="-0.499984740745262"/>
      </right>
      <top/>
      <bottom style="medium">
        <color indexed="64"/>
      </bottom>
      <diagonal/>
    </border>
  </borders>
  <cellStyleXfs count="7">
    <xf numFmtId="0" fontId="0" fillId="0" borderId="0"/>
    <xf numFmtId="9" fontId="12" fillId="0" borderId="0" applyFont="0" applyFill="0" applyBorder="0" applyAlignment="0" applyProtection="0"/>
    <xf numFmtId="0" fontId="42" fillId="0" borderId="0"/>
    <xf numFmtId="0" fontId="43" fillId="0" borderId="0"/>
    <xf numFmtId="0" fontId="4" fillId="0" borderId="0"/>
    <xf numFmtId="44" fontId="12" fillId="0" borderId="0" applyFont="0" applyFill="0" applyBorder="0" applyAlignment="0" applyProtection="0"/>
    <xf numFmtId="44" fontId="12" fillId="0" borderId="0" applyFont="0" applyFill="0" applyBorder="0" applyAlignment="0" applyProtection="0"/>
  </cellStyleXfs>
  <cellXfs count="639">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4" xfId="0" applyFont="1" applyFill="1" applyBorder="1" applyAlignment="1">
      <alignment horizontal="center" vertical="center" wrapText="1" readingOrder="1"/>
    </xf>
    <xf numFmtId="0" fontId="8" fillId="0" borderId="4" xfId="0" applyFont="1" applyBorder="1" applyAlignment="1">
      <alignment horizontal="justify" vertical="center" wrapText="1" readingOrder="1"/>
    </xf>
    <xf numFmtId="9" fontId="8" fillId="0" borderId="4"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8" fillId="6" borderId="0" xfId="0" applyFont="1" applyFill="1" applyAlignment="1">
      <alignment horizontal="center" vertical="center" wrapText="1" readingOrder="1"/>
    </xf>
    <xf numFmtId="0" fontId="29" fillId="5" borderId="4"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4"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7" fillId="11" borderId="5" xfId="0" applyFont="1" applyFill="1" applyBorder="1" applyAlignment="1" applyProtection="1">
      <alignment horizontal="center" vertical="center" wrapText="1" readingOrder="1"/>
      <protection hidden="1"/>
    </xf>
    <xf numFmtId="0" fontId="17" fillId="11" borderId="12" xfId="0" applyFont="1" applyFill="1" applyBorder="1" applyAlignment="1" applyProtection="1">
      <alignment horizontal="center" vertical="center" wrapText="1" readingOrder="1"/>
      <protection hidden="1"/>
    </xf>
    <xf numFmtId="0" fontId="17" fillId="11" borderId="6" xfId="0" applyFont="1" applyFill="1" applyBorder="1" applyAlignment="1" applyProtection="1">
      <alignment horizontal="center" vertical="center" wrapText="1" readingOrder="1"/>
      <protection hidden="1"/>
    </xf>
    <xf numFmtId="0" fontId="17" fillId="12" borderId="5" xfId="0" applyFont="1" applyFill="1" applyBorder="1" applyAlignment="1" applyProtection="1">
      <alignment horizont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6" xfId="0" applyFont="1" applyFill="1" applyBorder="1" applyAlignment="1" applyProtection="1">
      <alignment horizontal="center" wrapText="1" readingOrder="1"/>
      <protection hidden="1"/>
    </xf>
    <xf numFmtId="0" fontId="17" fillId="11" borderId="7" xfId="0" applyFont="1" applyFill="1" applyBorder="1" applyAlignment="1" applyProtection="1">
      <alignment horizontal="center" vertic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8" xfId="0" applyFont="1" applyFill="1" applyBorder="1" applyAlignment="1" applyProtection="1">
      <alignment horizontal="center" vertical="center" wrapText="1" readingOrder="1"/>
      <protection hidden="1"/>
    </xf>
    <xf numFmtId="0" fontId="17" fillId="12" borderId="7" xfId="0" applyFont="1" applyFill="1" applyBorder="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17" fillId="12" borderId="8" xfId="0" applyFont="1" applyFill="1" applyBorder="1" applyAlignment="1" applyProtection="1">
      <alignment horizontal="center" wrapText="1" readingOrder="1"/>
      <protection hidden="1"/>
    </xf>
    <xf numFmtId="0" fontId="17" fillId="11" borderId="9" xfId="0" applyFont="1" applyFill="1" applyBorder="1" applyAlignment="1" applyProtection="1">
      <alignment horizontal="center" vertical="center" wrapText="1" readingOrder="1"/>
      <protection hidden="1"/>
    </xf>
    <xf numFmtId="0" fontId="17" fillId="11" borderId="11" xfId="0" applyFont="1" applyFill="1" applyBorder="1" applyAlignment="1" applyProtection="1">
      <alignment horizontal="center" vertical="center" wrapText="1" readingOrder="1"/>
      <protection hidden="1"/>
    </xf>
    <xf numFmtId="0" fontId="17" fillId="11" borderId="10" xfId="0" applyFont="1" applyFill="1" applyBorder="1" applyAlignment="1" applyProtection="1">
      <alignment horizontal="center" vertical="center" wrapText="1" readingOrder="1"/>
      <protection hidden="1"/>
    </xf>
    <xf numFmtId="0" fontId="17" fillId="12" borderId="9" xfId="0" applyFont="1" applyFill="1" applyBorder="1" applyAlignment="1" applyProtection="1">
      <alignment horizontal="center" wrapText="1" readingOrder="1"/>
      <protection hidden="1"/>
    </xf>
    <xf numFmtId="0" fontId="17" fillId="12" borderId="11" xfId="0" applyFont="1" applyFill="1" applyBorder="1" applyAlignment="1" applyProtection="1">
      <alignment horizontal="center" wrapText="1" readingOrder="1"/>
      <protection hidden="1"/>
    </xf>
    <xf numFmtId="0" fontId="17" fillId="12" borderId="10" xfId="0" applyFont="1" applyFill="1" applyBorder="1" applyAlignment="1" applyProtection="1">
      <alignment horizontal="center" wrapText="1" readingOrder="1"/>
      <protection hidden="1"/>
    </xf>
    <xf numFmtId="0" fontId="17" fillId="13" borderId="5"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6" xfId="0" applyFont="1" applyFill="1" applyBorder="1" applyAlignment="1" applyProtection="1">
      <alignment horizontal="center" wrapText="1" readingOrder="1"/>
      <protection hidden="1"/>
    </xf>
    <xf numFmtId="0" fontId="17" fillId="13" borderId="7" xfId="0" applyFont="1" applyFill="1" applyBorder="1" applyAlignment="1" applyProtection="1">
      <alignment horizontal="center" wrapText="1" readingOrder="1"/>
      <protection hidden="1"/>
    </xf>
    <xf numFmtId="0" fontId="17" fillId="13" borderId="0" xfId="0" applyFont="1" applyFill="1" applyAlignment="1" applyProtection="1">
      <alignment horizontal="center" wrapText="1" readingOrder="1"/>
      <protection hidden="1"/>
    </xf>
    <xf numFmtId="0" fontId="17" fillId="13" borderId="8" xfId="0" applyFont="1" applyFill="1" applyBorder="1" applyAlignment="1" applyProtection="1">
      <alignment horizontal="center" wrapText="1" readingOrder="1"/>
      <protection hidden="1"/>
    </xf>
    <xf numFmtId="0" fontId="17" fillId="13" borderId="9" xfId="0" applyFont="1" applyFill="1" applyBorder="1" applyAlignment="1" applyProtection="1">
      <alignment horizontal="center" wrapText="1" readingOrder="1"/>
      <protection hidden="1"/>
    </xf>
    <xf numFmtId="0" fontId="17" fillId="13" borderId="11" xfId="0" applyFont="1" applyFill="1" applyBorder="1" applyAlignment="1" applyProtection="1">
      <alignment horizontal="center" wrapText="1" readingOrder="1"/>
      <protection hidden="1"/>
    </xf>
    <xf numFmtId="0" fontId="17" fillId="13" borderId="10" xfId="0" applyFont="1" applyFill="1" applyBorder="1" applyAlignment="1" applyProtection="1">
      <alignment horizontal="center" wrapText="1" readingOrder="1"/>
      <protection hidden="1"/>
    </xf>
    <xf numFmtId="0" fontId="17" fillId="5" borderId="5"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6" xfId="0" applyFont="1" applyFill="1" applyBorder="1" applyAlignment="1" applyProtection="1">
      <alignment horizontal="center" wrapText="1" readingOrder="1"/>
      <protection hidden="1"/>
    </xf>
    <xf numFmtId="0" fontId="17" fillId="5" borderId="7" xfId="0" applyFont="1" applyFill="1" applyBorder="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5" borderId="8" xfId="0" applyFont="1" applyFill="1" applyBorder="1" applyAlignment="1" applyProtection="1">
      <alignment horizontal="center" wrapText="1" readingOrder="1"/>
      <protection hidden="1"/>
    </xf>
    <xf numFmtId="0" fontId="17" fillId="5" borderId="9" xfId="0" applyFont="1" applyFill="1" applyBorder="1" applyAlignment="1" applyProtection="1">
      <alignment horizontal="center" wrapText="1" readingOrder="1"/>
      <protection hidden="1"/>
    </xf>
    <xf numFmtId="0" fontId="17" fillId="5" borderId="11" xfId="0" applyFont="1" applyFill="1" applyBorder="1" applyAlignment="1" applyProtection="1">
      <alignment horizontal="center" wrapText="1" readingOrder="1"/>
      <protection hidden="1"/>
    </xf>
    <xf numFmtId="0" fontId="17" fillId="5" borderId="10"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0" fillId="3" borderId="0" xfId="0" applyFill="1"/>
    <xf numFmtId="0" fontId="44" fillId="3" borderId="40" xfId="2" applyFont="1" applyFill="1" applyBorder="1"/>
    <xf numFmtId="0" fontId="44" fillId="3" borderId="41" xfId="2" applyFont="1" applyFill="1" applyBorder="1"/>
    <xf numFmtId="0" fontId="44" fillId="3" borderId="42"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23" xfId="0" applyFont="1" applyFill="1" applyBorder="1" applyAlignment="1">
      <alignment horizontal="center" vertical="center" wrapText="1" readingOrder="1"/>
    </xf>
    <xf numFmtId="0" fontId="34" fillId="3" borderId="23" xfId="0" applyFont="1" applyFill="1" applyBorder="1" applyAlignment="1">
      <alignment horizontal="justify" vertical="center" wrapText="1" readingOrder="1"/>
    </xf>
    <xf numFmtId="9" fontId="33" fillId="3" borderId="32" xfId="0" applyNumberFormat="1"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4" fillId="3" borderId="22" xfId="0" applyFont="1" applyFill="1" applyBorder="1" applyAlignment="1">
      <alignment horizontal="justify" vertical="center" wrapText="1" readingOrder="1"/>
    </xf>
    <xf numFmtId="9" fontId="33" fillId="3" borderId="27" xfId="0" applyNumberFormat="1" applyFont="1" applyFill="1" applyBorder="1" applyAlignment="1">
      <alignment horizontal="center" vertical="center" wrapText="1" readingOrder="1"/>
    </xf>
    <xf numFmtId="0" fontId="34" fillId="3" borderId="27"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0" fontId="34" fillId="3" borderId="29" xfId="0" applyFont="1" applyFill="1" applyBorder="1" applyAlignment="1">
      <alignment horizontal="justify" vertical="center" wrapText="1" readingOrder="1"/>
    </xf>
    <xf numFmtId="0" fontId="34" fillId="3" borderId="30" xfId="0" applyFont="1" applyFill="1" applyBorder="1" applyAlignment="1">
      <alignment horizontal="center" vertical="center" wrapText="1" readingOrder="1"/>
    </xf>
    <xf numFmtId="0" fontId="41" fillId="3" borderId="0" xfId="0" applyFont="1" applyFill="1"/>
    <xf numFmtId="0" fontId="33" fillId="15" borderId="34" xfId="0" applyFont="1" applyFill="1" applyBorder="1" applyAlignment="1">
      <alignment horizontal="center" vertical="center" wrapText="1" readingOrder="1"/>
    </xf>
    <xf numFmtId="0" fontId="33" fillId="15" borderId="35" xfId="0" applyFont="1" applyFill="1" applyBorder="1" applyAlignment="1">
      <alignment horizontal="center" vertical="center" wrapText="1" readingOrder="1"/>
    </xf>
    <xf numFmtId="0" fontId="11" fillId="3" borderId="0" xfId="0" applyFont="1" applyFill="1"/>
    <xf numFmtId="0" fontId="10" fillId="3" borderId="0" xfId="0" applyFont="1" applyFill="1" applyAlignment="1">
      <alignment horizontal="justify" vertical="center" wrapText="1" readingOrder="1"/>
    </xf>
    <xf numFmtId="0" fontId="13" fillId="3" borderId="0" xfId="0" applyFont="1" applyFill="1"/>
    <xf numFmtId="0" fontId="3" fillId="3" borderId="0" xfId="0" applyFont="1" applyFill="1" applyAlignment="1">
      <alignment horizontal="left" vertical="center"/>
    </xf>
    <xf numFmtId="0" fontId="44" fillId="3" borderId="7" xfId="2" applyFont="1" applyFill="1" applyBorder="1"/>
    <xf numFmtId="0" fontId="49" fillId="3" borderId="0" xfId="0" applyFont="1" applyFill="1" applyAlignment="1">
      <alignment horizontal="left" vertical="center" wrapText="1"/>
    </xf>
    <xf numFmtId="0" fontId="50" fillId="3" borderId="0" xfId="0" applyFont="1" applyFill="1" applyAlignment="1">
      <alignment horizontal="left" vertical="top" wrapText="1"/>
    </xf>
    <xf numFmtId="0" fontId="44" fillId="3" borderId="0" xfId="2" applyFont="1" applyFill="1"/>
    <xf numFmtId="0" fontId="44" fillId="3" borderId="8" xfId="2" applyFont="1" applyFill="1" applyBorder="1"/>
    <xf numFmtId="0" fontId="44" fillId="3" borderId="9" xfId="2" applyFont="1" applyFill="1" applyBorder="1"/>
    <xf numFmtId="0" fontId="44" fillId="3" borderId="11" xfId="2" applyFont="1" applyFill="1" applyBorder="1"/>
    <xf numFmtId="0" fontId="44" fillId="3" borderId="10" xfId="2" applyFont="1" applyFill="1" applyBorder="1"/>
    <xf numFmtId="0" fontId="48" fillId="3" borderId="0" xfId="2" applyFont="1" applyFill="1" applyAlignment="1">
      <alignment horizontal="left" vertical="center" wrapText="1"/>
    </xf>
    <xf numFmtId="0" fontId="44" fillId="3" borderId="0" xfId="2" applyFont="1" applyFill="1" applyAlignment="1">
      <alignment horizontal="left" vertical="center" wrapText="1"/>
    </xf>
    <xf numFmtId="0" fontId="44" fillId="3" borderId="0" xfId="2" quotePrefix="1" applyFont="1" applyFill="1" applyAlignment="1">
      <alignment horizontal="left" vertical="center" wrapText="1"/>
    </xf>
    <xf numFmtId="0" fontId="46" fillId="3" borderId="7" xfId="2" quotePrefix="1" applyFont="1" applyFill="1" applyBorder="1" applyAlignment="1">
      <alignment horizontal="left" vertical="top" wrapText="1"/>
    </xf>
    <xf numFmtId="0" fontId="47" fillId="3" borderId="0" xfId="2" quotePrefix="1" applyFont="1" applyFill="1" applyAlignment="1">
      <alignment horizontal="left" vertical="top" wrapText="1"/>
    </xf>
    <xf numFmtId="0" fontId="47" fillId="3" borderId="8" xfId="2" quotePrefix="1" applyFont="1" applyFill="1" applyBorder="1" applyAlignment="1">
      <alignment horizontal="left" vertical="top" wrapText="1"/>
    </xf>
    <xf numFmtId="0" fontId="29" fillId="0" borderId="64" xfId="0" applyFont="1" applyBorder="1" applyAlignment="1">
      <alignment horizontal="justify" vertical="center" wrapText="1" readingOrder="1"/>
    </xf>
    <xf numFmtId="0" fontId="29" fillId="0" borderId="65" xfId="0" applyFont="1" applyBorder="1" applyAlignment="1">
      <alignment horizontal="justify" vertical="center" wrapText="1" readingOrder="1"/>
    </xf>
    <xf numFmtId="165" fontId="27"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54" fillId="3" borderId="0" xfId="0" applyFont="1" applyFill="1"/>
    <xf numFmtId="0" fontId="55" fillId="3" borderId="0" xfId="0" applyFont="1" applyFill="1" applyAlignment="1">
      <alignment horizontal="justify" vertical="center" wrapText="1" readingOrder="1"/>
    </xf>
    <xf numFmtId="0" fontId="54" fillId="0" borderId="0" xfId="0" applyFont="1"/>
    <xf numFmtId="0" fontId="56" fillId="3" borderId="0" xfId="0" applyFont="1" applyFill="1" applyAlignment="1">
      <alignment vertical="center"/>
    </xf>
    <xf numFmtId="44" fontId="0" fillId="3" borderId="0" xfId="5" applyFont="1" applyFill="1" applyAlignment="1">
      <alignment horizontal="left" vertical="center"/>
    </xf>
    <xf numFmtId="44" fontId="54" fillId="3" borderId="0" xfId="5" applyFont="1" applyFill="1" applyAlignment="1">
      <alignment horizontal="left" vertical="center"/>
    </xf>
    <xf numFmtId="44" fontId="0" fillId="0" borderId="0" xfId="5" applyFont="1" applyAlignment="1">
      <alignment horizontal="left" vertical="center"/>
    </xf>
    <xf numFmtId="44" fontId="26" fillId="0" borderId="0" xfId="5" applyFont="1" applyAlignment="1">
      <alignment horizontal="left" vertical="center"/>
    </xf>
    <xf numFmtId="0" fontId="0" fillId="0" borderId="0" xfId="0" applyAlignment="1">
      <alignment wrapText="1"/>
    </xf>
    <xf numFmtId="0" fontId="25" fillId="0" borderId="0" xfId="0" applyFont="1" applyAlignment="1">
      <alignment wrapText="1"/>
    </xf>
    <xf numFmtId="0" fontId="0" fillId="0" borderId="0" xfId="0" applyAlignment="1">
      <alignment vertical="center" wrapText="1"/>
    </xf>
    <xf numFmtId="0" fontId="57" fillId="0" borderId="0" xfId="0" applyFont="1"/>
    <xf numFmtId="0" fontId="58" fillId="0" borderId="0" xfId="0" applyFont="1"/>
    <xf numFmtId="0" fontId="59" fillId="0" borderId="0" xfId="0" applyFont="1"/>
    <xf numFmtId="0" fontId="60" fillId="0" borderId="0" xfId="0" applyFont="1" applyAlignment="1">
      <alignment wrapText="1"/>
    </xf>
    <xf numFmtId="0" fontId="59" fillId="0" borderId="0" xfId="0" applyFont="1" applyAlignment="1">
      <alignment wrapText="1"/>
    </xf>
    <xf numFmtId="0" fontId="57" fillId="0" borderId="8" xfId="0" applyFont="1" applyBorder="1"/>
    <xf numFmtId="0" fontId="62" fillId="0" borderId="8" xfId="0" applyFont="1" applyBorder="1"/>
    <xf numFmtId="0" fontId="63" fillId="19" borderId="69" xfId="0" applyFont="1" applyFill="1" applyBorder="1" applyAlignment="1">
      <alignment horizontal="center" vertical="center" wrapText="1"/>
    </xf>
    <xf numFmtId="0" fontId="64" fillId="19" borderId="10" xfId="0" applyFont="1" applyFill="1" applyBorder="1" applyAlignment="1">
      <alignment horizontal="center" vertical="center" wrapText="1"/>
    </xf>
    <xf numFmtId="0" fontId="63" fillId="19" borderId="33" xfId="0" applyFont="1" applyFill="1" applyBorder="1" applyAlignment="1">
      <alignment horizontal="center" vertical="center" wrapText="1"/>
    </xf>
    <xf numFmtId="0" fontId="62" fillId="0" borderId="0" xfId="0" applyFont="1"/>
    <xf numFmtId="0" fontId="63" fillId="19" borderId="69" xfId="0" applyFont="1" applyFill="1" applyBorder="1" applyAlignment="1">
      <alignment horizontal="center" vertical="center" textRotation="90" wrapText="1"/>
    </xf>
    <xf numFmtId="0" fontId="60" fillId="0" borderId="6" xfId="0" applyFont="1" applyBorder="1" applyAlignment="1">
      <alignment horizontal="justify" vertical="center" wrapText="1"/>
    </xf>
    <xf numFmtId="0" fontId="63" fillId="19" borderId="68" xfId="0" applyFont="1" applyFill="1" applyBorder="1" applyAlignment="1">
      <alignment horizontal="center" vertical="center" textRotation="90" wrapText="1"/>
    </xf>
    <xf numFmtId="0" fontId="60" fillId="0" borderId="68" xfId="0" applyFont="1" applyBorder="1" applyAlignment="1">
      <alignment horizontal="left" vertical="center" wrapText="1"/>
    </xf>
    <xf numFmtId="0" fontId="63" fillId="19" borderId="71" xfId="0" applyFont="1" applyFill="1" applyBorder="1" applyAlignment="1">
      <alignment horizontal="center" vertical="center" textRotation="90" wrapText="1"/>
    </xf>
    <xf numFmtId="0" fontId="60" fillId="0" borderId="69" xfId="0" applyFont="1" applyBorder="1" applyAlignment="1">
      <alignment horizontal="left" vertical="center" wrapText="1"/>
    </xf>
    <xf numFmtId="0" fontId="63" fillId="19" borderId="6" xfId="0" applyFont="1" applyFill="1" applyBorder="1" applyAlignment="1">
      <alignment horizontal="center" vertical="center" textRotation="90" wrapText="1"/>
    </xf>
    <xf numFmtId="0" fontId="67" fillId="0" borderId="68" xfId="0" applyFont="1" applyBorder="1" applyAlignment="1">
      <alignment horizontal="left" vertical="center" wrapText="1"/>
    </xf>
    <xf numFmtId="0" fontId="63" fillId="19" borderId="36" xfId="0" applyFont="1" applyFill="1" applyBorder="1" applyAlignment="1">
      <alignment horizontal="center" vertical="center" textRotation="90" wrapText="1"/>
    </xf>
    <xf numFmtId="0" fontId="68" fillId="0" borderId="8" xfId="0" applyFont="1" applyBorder="1"/>
    <xf numFmtId="0" fontId="69" fillId="20" borderId="6" xfId="0" applyFont="1" applyFill="1" applyBorder="1" applyAlignment="1">
      <alignment horizontal="center" vertical="center" textRotation="90" wrapText="1"/>
    </xf>
    <xf numFmtId="0" fontId="68" fillId="0" borderId="0" xfId="0" applyFont="1"/>
    <xf numFmtId="0" fontId="68" fillId="20" borderId="36" xfId="0" applyFont="1" applyFill="1" applyBorder="1"/>
    <xf numFmtId="0" fontId="70" fillId="20" borderId="69" xfId="0" applyFont="1" applyFill="1" applyBorder="1" applyAlignment="1">
      <alignment horizontal="center" vertical="center" wrapText="1"/>
    </xf>
    <xf numFmtId="0" fontId="69" fillId="20" borderId="69" xfId="0" applyFont="1" applyFill="1" applyBorder="1" applyAlignment="1">
      <alignment horizontal="center" vertical="center" wrapText="1"/>
    </xf>
    <xf numFmtId="0" fontId="64" fillId="0" borderId="0" xfId="0" applyFont="1" applyAlignment="1">
      <alignment horizontal="center" vertical="center"/>
    </xf>
    <xf numFmtId="0" fontId="63" fillId="0" borderId="0" xfId="0" applyFont="1" applyAlignment="1">
      <alignment horizontal="center" vertical="center"/>
    </xf>
    <xf numFmtId="0" fontId="60" fillId="0" borderId="0" xfId="0" applyFont="1"/>
    <xf numFmtId="0" fontId="71" fillId="0" borderId="0" xfId="0" applyFont="1" applyAlignment="1">
      <alignment vertical="center" wrapText="1"/>
    </xf>
    <xf numFmtId="0" fontId="71" fillId="0" borderId="73"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2" xfId="0" applyFont="1" applyBorder="1" applyAlignment="1">
      <alignment vertical="center" wrapText="1"/>
    </xf>
    <xf numFmtId="0" fontId="71" fillId="0" borderId="27" xfId="0" applyFont="1" applyBorder="1" applyAlignment="1">
      <alignment vertical="center" wrapText="1"/>
    </xf>
    <xf numFmtId="0" fontId="76" fillId="0" borderId="77" xfId="0" applyFont="1" applyBorder="1" applyAlignment="1">
      <alignment horizontal="justify" vertical="center" wrapText="1"/>
    </xf>
    <xf numFmtId="0" fontId="76" fillId="0" borderId="79" xfId="0" applyFont="1" applyBorder="1" applyAlignment="1">
      <alignment horizontal="justify" vertical="center" wrapText="1"/>
    </xf>
    <xf numFmtId="0" fontId="75" fillId="16" borderId="77" xfId="0" applyFont="1" applyFill="1" applyBorder="1" applyAlignment="1">
      <alignment horizontal="center" vertical="center" wrapText="1"/>
    </xf>
    <xf numFmtId="0" fontId="75" fillId="16" borderId="79" xfId="0" applyFont="1" applyFill="1" applyBorder="1" applyAlignment="1">
      <alignment horizontal="center" vertical="center" wrapText="1"/>
    </xf>
    <xf numFmtId="0" fontId="75" fillId="16" borderId="81" xfId="0" applyFont="1" applyFill="1" applyBorder="1" applyAlignment="1">
      <alignment horizontal="center" vertical="center" wrapText="1"/>
    </xf>
    <xf numFmtId="0" fontId="73" fillId="16" borderId="29" xfId="0" applyFont="1" applyFill="1" applyBorder="1" applyAlignment="1">
      <alignment horizontal="center" vertical="center" wrapText="1"/>
    </xf>
    <xf numFmtId="0" fontId="73" fillId="16" borderId="30" xfId="0" applyFont="1" applyFill="1" applyBorder="1" applyAlignment="1">
      <alignment horizontal="center" vertical="center" wrapText="1"/>
    </xf>
    <xf numFmtId="0" fontId="75" fillId="19" borderId="69" xfId="0" applyFont="1" applyFill="1" applyBorder="1" applyAlignment="1">
      <alignment horizontal="center" vertical="center" wrapText="1"/>
    </xf>
    <xf numFmtId="0" fontId="75" fillId="19" borderId="36" xfId="0" applyFont="1" applyFill="1" applyBorder="1" applyAlignment="1">
      <alignment horizontal="center" vertical="center" wrapText="1"/>
    </xf>
    <xf numFmtId="0" fontId="76" fillId="0" borderId="10" xfId="0" applyFont="1" applyBorder="1" applyAlignment="1">
      <alignment horizontal="justify" vertical="center" wrapText="1"/>
    </xf>
    <xf numFmtId="0" fontId="60" fillId="0" borderId="5" xfId="0" applyFont="1" applyBorder="1" applyAlignment="1">
      <alignment horizontal="justify" vertical="center" wrapText="1"/>
    </xf>
    <xf numFmtId="0" fontId="60" fillId="0" borderId="5" xfId="0" applyFont="1" applyBorder="1" applyAlignment="1">
      <alignment horizontal="left" vertical="center" wrapText="1"/>
    </xf>
    <xf numFmtId="0" fontId="59" fillId="0" borderId="24" xfId="0" applyFont="1" applyBorder="1" applyAlignment="1">
      <alignment horizontal="left" vertical="center" wrapText="1"/>
    </xf>
    <xf numFmtId="0" fontId="59" fillId="0" borderId="5" xfId="0" applyFont="1" applyBorder="1" applyAlignment="1">
      <alignment horizontal="justify" vertical="center" wrapText="1"/>
    </xf>
    <xf numFmtId="0" fontId="62" fillId="0" borderId="85" xfId="0" applyFont="1" applyBorder="1" applyAlignment="1">
      <alignment horizontal="center" vertical="center"/>
    </xf>
    <xf numFmtId="0" fontId="62" fillId="0" borderId="84" xfId="0" applyFont="1" applyBorder="1" applyAlignment="1">
      <alignment horizontal="center" vertical="center"/>
    </xf>
    <xf numFmtId="0" fontId="68" fillId="0" borderId="86" xfId="0" applyFont="1" applyBorder="1" applyAlignment="1">
      <alignment horizontal="center" vertical="center"/>
    </xf>
    <xf numFmtId="0" fontId="78" fillId="24" borderId="89" xfId="0" applyFont="1" applyFill="1" applyBorder="1" applyAlignment="1">
      <alignment horizontal="left" vertical="center" wrapText="1" readingOrder="1"/>
    </xf>
    <xf numFmtId="0" fontId="78" fillId="25" borderId="89" xfId="0" applyFont="1" applyFill="1" applyBorder="1" applyAlignment="1">
      <alignment horizontal="left" vertical="center" wrapText="1" readingOrder="1"/>
    </xf>
    <xf numFmtId="0" fontId="84" fillId="0" borderId="84" xfId="0" applyFont="1" applyBorder="1" applyAlignment="1">
      <alignment vertical="center" wrapText="1"/>
    </xf>
    <xf numFmtId="0" fontId="83" fillId="0" borderId="84" xfId="0" applyFont="1" applyBorder="1" applyAlignment="1">
      <alignment vertical="center"/>
    </xf>
    <xf numFmtId="0" fontId="83" fillId="0" borderId="84" xfId="0" applyFont="1" applyBorder="1" applyAlignment="1">
      <alignment vertical="center" wrapText="1"/>
    </xf>
    <xf numFmtId="0" fontId="83" fillId="26" borderId="0" xfId="0" applyFont="1" applyFill="1" applyAlignment="1">
      <alignment horizontal="center" vertical="center"/>
    </xf>
    <xf numFmtId="0" fontId="75" fillId="26" borderId="69" xfId="0" applyFont="1" applyFill="1" applyBorder="1" applyAlignment="1">
      <alignment horizontal="center" vertical="center" wrapText="1"/>
    </xf>
    <xf numFmtId="0" fontId="75" fillId="26" borderId="36" xfId="0" applyFont="1" applyFill="1" applyBorder="1" applyAlignment="1">
      <alignment horizontal="center" vertical="center" wrapText="1"/>
    </xf>
    <xf numFmtId="0" fontId="71" fillId="0" borderId="74"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7" xfId="0" applyFont="1" applyBorder="1" applyAlignment="1">
      <alignment horizontal="center" vertical="center" wrapText="1"/>
    </xf>
    <xf numFmtId="0" fontId="0" fillId="3" borderId="0" xfId="0" applyFill="1" applyAlignment="1">
      <alignment vertical="top"/>
    </xf>
    <xf numFmtId="44" fontId="0" fillId="3" borderId="0" xfId="5" applyFont="1" applyFill="1" applyAlignment="1">
      <alignment horizontal="left" vertical="top"/>
    </xf>
    <xf numFmtId="0" fontId="0" fillId="0" borderId="0" xfId="0" applyAlignment="1">
      <alignment vertical="top"/>
    </xf>
    <xf numFmtId="44" fontId="53" fillId="3" borderId="0" xfId="5" applyFont="1" applyFill="1" applyAlignment="1">
      <alignment vertical="top"/>
    </xf>
    <xf numFmtId="0" fontId="80" fillId="0" borderId="90" xfId="0" applyFont="1" applyBorder="1" applyAlignment="1" applyProtection="1">
      <alignment horizontal="center" vertical="center" wrapText="1"/>
      <protection locked="0"/>
    </xf>
    <xf numFmtId="0" fontId="80" fillId="0" borderId="90" xfId="0" applyFont="1" applyBorder="1" applyAlignment="1" applyProtection="1">
      <alignment horizontal="justify" vertical="center" wrapText="1"/>
      <protection locked="0"/>
    </xf>
    <xf numFmtId="0" fontId="80" fillId="0" borderId="90" xfId="0" applyFont="1" applyBorder="1" applyAlignment="1" applyProtection="1">
      <alignment horizontal="justify" vertical="center"/>
      <protection locked="0"/>
    </xf>
    <xf numFmtId="0" fontId="80" fillId="0" borderId="90" xfId="0" applyFont="1" applyBorder="1" applyAlignment="1" applyProtection="1">
      <alignment horizontal="center" vertical="center"/>
      <protection hidden="1"/>
    </xf>
    <xf numFmtId="0" fontId="80" fillId="0" borderId="90" xfId="0" applyFont="1" applyBorder="1" applyAlignment="1" applyProtection="1">
      <alignment horizontal="center" vertical="center" textRotation="90"/>
      <protection locked="0"/>
    </xf>
    <xf numFmtId="9" fontId="80" fillId="0" borderId="90" xfId="0" applyNumberFormat="1" applyFont="1" applyBorder="1" applyAlignment="1" applyProtection="1">
      <alignment horizontal="center" vertical="center"/>
      <protection hidden="1"/>
    </xf>
    <xf numFmtId="164" fontId="80" fillId="0" borderId="90" xfId="1" applyNumberFormat="1" applyFont="1" applyFill="1" applyBorder="1" applyAlignment="1">
      <alignment horizontal="center" vertical="center"/>
    </xf>
    <xf numFmtId="0" fontId="81" fillId="0" borderId="90" xfId="0" applyFont="1" applyBorder="1" applyAlignment="1" applyProtection="1">
      <alignment horizontal="center" vertical="center" textRotation="90" wrapText="1"/>
      <protection hidden="1"/>
    </xf>
    <xf numFmtId="0" fontId="81" fillId="0" borderId="90" xfId="0" applyFont="1" applyBorder="1" applyAlignment="1" applyProtection="1">
      <alignment horizontal="center" vertical="center" textRotation="90"/>
      <protection hidden="1"/>
    </xf>
    <xf numFmtId="0" fontId="80" fillId="0" borderId="90" xfId="0" applyFont="1" applyBorder="1" applyAlignment="1" applyProtection="1">
      <alignment horizontal="center" vertical="center" textRotation="90" wrapText="1"/>
      <protection locked="0"/>
    </xf>
    <xf numFmtId="0" fontId="80" fillId="0" borderId="90" xfId="0" applyFont="1" applyBorder="1" applyAlignment="1" applyProtection="1">
      <alignment horizontal="center" vertical="center"/>
      <protection locked="0"/>
    </xf>
    <xf numFmtId="14" fontId="80" fillId="0" borderId="90" xfId="0" applyNumberFormat="1" applyFont="1" applyBorder="1" applyAlignment="1" applyProtection="1">
      <alignment horizontal="center" vertical="center"/>
      <protection locked="0"/>
    </xf>
    <xf numFmtId="0" fontId="80" fillId="0" borderId="0" xfId="0" applyFont="1"/>
    <xf numFmtId="0" fontId="80" fillId="0" borderId="90" xfId="0" applyFont="1" applyBorder="1" applyAlignment="1" applyProtection="1">
      <alignment horizontal="justify" vertical="top" wrapText="1"/>
      <protection locked="0"/>
    </xf>
    <xf numFmtId="0" fontId="85" fillId="3" borderId="0" xfId="0" applyFont="1" applyFill="1"/>
    <xf numFmtId="0" fontId="85" fillId="0" borderId="0" xfId="0" applyFont="1"/>
    <xf numFmtId="0" fontId="80" fillId="3" borderId="0" xfId="0" applyFont="1" applyFill="1" applyAlignment="1">
      <alignment horizontal="center" vertical="center"/>
    </xf>
    <xf numFmtId="0" fontId="80" fillId="3" borderId="0" xfId="0" applyFont="1" applyFill="1" applyAlignment="1">
      <alignment horizontal="left" vertical="center"/>
    </xf>
    <xf numFmtId="0" fontId="80" fillId="3" borderId="0" xfId="0" applyFont="1" applyFill="1"/>
    <xf numFmtId="0" fontId="80" fillId="3" borderId="0" xfId="0" applyFont="1" applyFill="1" applyAlignment="1">
      <alignment horizontal="center"/>
    </xf>
    <xf numFmtId="0" fontId="81" fillId="0" borderId="0" xfId="0" applyFont="1" applyAlignment="1">
      <alignment horizontal="left" vertical="center"/>
    </xf>
    <xf numFmtId="0" fontId="80" fillId="0" borderId="0" xfId="0" applyFont="1" applyAlignment="1" applyProtection="1">
      <alignment horizontal="left" vertical="center" wrapText="1"/>
      <protection locked="0"/>
    </xf>
    <xf numFmtId="0" fontId="81" fillId="0" borderId="0" xfId="0" applyFont="1"/>
    <xf numFmtId="0" fontId="80" fillId="0" borderId="0" xfId="0" applyFont="1" applyAlignment="1">
      <alignment horizontal="left" wrapText="1"/>
    </xf>
    <xf numFmtId="0" fontId="81" fillId="16" borderId="90" xfId="0" applyFont="1" applyFill="1" applyBorder="1" applyAlignment="1">
      <alignment horizontal="center" vertical="center" textRotation="90"/>
    </xf>
    <xf numFmtId="0" fontId="81" fillId="3" borderId="0" xfId="0" applyFont="1" applyFill="1" applyAlignment="1">
      <alignment horizontal="center" vertical="center"/>
    </xf>
    <xf numFmtId="0" fontId="81" fillId="0" borderId="0" xfId="0" applyFont="1" applyAlignment="1">
      <alignment horizontal="center" vertical="center"/>
    </xf>
    <xf numFmtId="0" fontId="81" fillId="2" borderId="0" xfId="0" applyFont="1" applyFill="1" applyAlignment="1">
      <alignment horizontal="center" vertical="center"/>
    </xf>
    <xf numFmtId="0" fontId="80" fillId="0" borderId="90" xfId="0" applyFont="1" applyBorder="1" applyAlignment="1">
      <alignment horizontal="center" vertical="center"/>
    </xf>
    <xf numFmtId="0" fontId="80" fillId="0" borderId="0" xfId="0" applyFont="1" applyAlignment="1">
      <alignment vertical="center"/>
    </xf>
    <xf numFmtId="0" fontId="80" fillId="0" borderId="3" xfId="0" applyFont="1" applyBorder="1" applyAlignment="1">
      <alignment horizontal="center" vertical="center"/>
    </xf>
    <xf numFmtId="0" fontId="80" fillId="0" borderId="0" xfId="0" applyFont="1" applyAlignment="1">
      <alignment wrapText="1"/>
    </xf>
    <xf numFmtId="0" fontId="80" fillId="0" borderId="0" xfId="0" applyFont="1" applyAlignment="1">
      <alignment horizontal="center" vertical="center"/>
    </xf>
    <xf numFmtId="0" fontId="80" fillId="0" borderId="0" xfId="0" applyFont="1" applyAlignment="1">
      <alignment horizontal="center"/>
    </xf>
    <xf numFmtId="166" fontId="29" fillId="0" borderId="64" xfId="0" applyNumberFormat="1" applyFont="1" applyBorder="1" applyAlignment="1">
      <alignment horizontal="center" vertical="center" wrapText="1" readingOrder="1"/>
    </xf>
    <xf numFmtId="0" fontId="80" fillId="0" borderId="91" xfId="0" applyFont="1" applyBorder="1" applyAlignment="1" applyProtection="1">
      <alignment horizontal="center" vertical="center" wrapText="1"/>
      <protection locked="0"/>
    </xf>
    <xf numFmtId="0" fontId="80" fillId="0" borderId="99" xfId="0" applyFont="1" applyBorder="1" applyAlignment="1" applyProtection="1">
      <alignment horizontal="center" vertical="center" wrapText="1"/>
      <protection locked="0"/>
    </xf>
    <xf numFmtId="0" fontId="80" fillId="0" borderId="92" xfId="0" applyFont="1" applyBorder="1" applyAlignment="1" applyProtection="1">
      <alignment horizontal="center" vertical="center" wrapText="1"/>
      <protection locked="0"/>
    </xf>
    <xf numFmtId="0" fontId="81" fillId="16" borderId="92" xfId="0" applyFont="1" applyFill="1" applyBorder="1" applyAlignment="1">
      <alignment vertical="center"/>
    </xf>
    <xf numFmtId="0" fontId="0" fillId="21" borderId="7" xfId="0" applyFill="1" applyBorder="1"/>
    <xf numFmtId="0" fontId="0" fillId="21" borderId="0" xfId="0" applyFill="1"/>
    <xf numFmtId="0" fontId="0" fillId="0" borderId="8" xfId="0" applyBorder="1"/>
    <xf numFmtId="0" fontId="0" fillId="8" borderId="7" xfId="0" applyFill="1" applyBorder="1"/>
    <xf numFmtId="0" fontId="0" fillId="8" borderId="0" xfId="0" applyFill="1"/>
    <xf numFmtId="0" fontId="0" fillId="27" borderId="7" xfId="0" applyFill="1" applyBorder="1"/>
    <xf numFmtId="0" fontId="0" fillId="27" borderId="0" xfId="0" applyFill="1"/>
    <xf numFmtId="0" fontId="0" fillId="27" borderId="9" xfId="0" applyFill="1" applyBorder="1"/>
    <xf numFmtId="0" fontId="0" fillId="27" borderId="11" xfId="0" applyFill="1" applyBorder="1"/>
    <xf numFmtId="0" fontId="0" fillId="0" borderId="11" xfId="0" applyBorder="1"/>
    <xf numFmtId="0" fontId="0" fillId="0" borderId="10" xfId="0" applyBorder="1"/>
    <xf numFmtId="0" fontId="83" fillId="0" borderId="24" xfId="0" applyFont="1" applyBorder="1"/>
    <xf numFmtId="0" fontId="83" fillId="0" borderId="25" xfId="0" applyFont="1" applyBorder="1"/>
    <xf numFmtId="0" fontId="0" fillId="0" borderId="25" xfId="0" applyBorder="1"/>
    <xf numFmtId="0" fontId="0" fillId="0" borderId="36" xfId="0" applyBorder="1"/>
    <xf numFmtId="0" fontId="86" fillId="0" borderId="90" xfId="0" applyFont="1" applyBorder="1" applyAlignment="1" applyProtection="1">
      <alignment horizontal="justify" vertical="center" wrapText="1"/>
      <protection locked="0"/>
    </xf>
    <xf numFmtId="0" fontId="87" fillId="28" borderId="109" xfId="0" applyFont="1" applyFill="1" applyBorder="1" applyAlignment="1" applyProtection="1">
      <alignment horizontal="center" vertical="center" wrapText="1"/>
      <protection hidden="1"/>
    </xf>
    <xf numFmtId="0" fontId="87" fillId="28" borderId="110" xfId="0" applyFont="1" applyFill="1" applyBorder="1" applyAlignment="1" applyProtection="1">
      <alignment horizontal="center" vertical="center" wrapText="1"/>
      <protection hidden="1"/>
    </xf>
    <xf numFmtId="0" fontId="87" fillId="28" borderId="111" xfId="0" applyFont="1" applyFill="1" applyBorder="1" applyAlignment="1" applyProtection="1">
      <alignment horizontal="center" vertical="center" wrapText="1"/>
      <protection hidden="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0" fontId="71" fillId="0" borderId="0" xfId="0" applyFont="1" applyAlignment="1">
      <alignment vertical="center"/>
    </xf>
    <xf numFmtId="0" fontId="83" fillId="0" borderId="70" xfId="0" applyFont="1" applyBorder="1" applyAlignment="1">
      <alignment vertical="center"/>
    </xf>
    <xf numFmtId="0" fontId="83" fillId="3" borderId="0" xfId="0" applyFont="1" applyFill="1"/>
    <xf numFmtId="0" fontId="81" fillId="21" borderId="92" xfId="0" applyFont="1" applyFill="1" applyBorder="1" applyAlignment="1">
      <alignment horizontal="center" vertical="center" wrapText="1"/>
    </xf>
    <xf numFmtId="0" fontId="81" fillId="21" borderId="91" xfId="0" applyFont="1" applyFill="1" applyBorder="1" applyAlignment="1">
      <alignment horizontal="center" vertical="center" wrapText="1"/>
    </xf>
    <xf numFmtId="0" fontId="79" fillId="0" borderId="0" xfId="0" applyFont="1" applyAlignment="1">
      <alignment vertical="center"/>
    </xf>
    <xf numFmtId="0" fontId="89" fillId="0" borderId="0" xfId="0" applyFont="1" applyAlignment="1">
      <alignment vertical="center"/>
    </xf>
    <xf numFmtId="0" fontId="80" fillId="3" borderId="0" xfId="0" applyFont="1" applyFill="1" applyAlignment="1">
      <alignment wrapText="1"/>
    </xf>
    <xf numFmtId="0" fontId="80" fillId="0" borderId="0" xfId="0" applyFont="1" applyAlignment="1" applyProtection="1">
      <alignment vertical="center"/>
      <protection locked="0"/>
    </xf>
    <xf numFmtId="0" fontId="80" fillId="3" borderId="0" xfId="0" applyFont="1" applyFill="1" applyAlignment="1" applyProtection="1">
      <alignment vertical="center" wrapText="1"/>
      <protection locked="0"/>
    </xf>
    <xf numFmtId="0" fontId="81" fillId="3" borderId="0" xfId="0" applyFont="1" applyFill="1"/>
    <xf numFmtId="0" fontId="80" fillId="23" borderId="0" xfId="0" applyFont="1" applyFill="1" applyAlignment="1">
      <alignment horizontal="center" vertical="center"/>
    </xf>
    <xf numFmtId="0" fontId="80" fillId="23" borderId="0" xfId="0" applyFont="1" applyFill="1"/>
    <xf numFmtId="0" fontId="80" fillId="23" borderId="0" xfId="0" applyFont="1" applyFill="1" applyAlignment="1">
      <alignment horizontal="center"/>
    </xf>
    <xf numFmtId="0" fontId="80" fillId="23" borderId="0" xfId="0" applyFont="1" applyFill="1" applyAlignment="1">
      <alignment wrapText="1"/>
    </xf>
    <xf numFmtId="0" fontId="81" fillId="21" borderId="99" xfId="0" applyFont="1" applyFill="1" applyBorder="1" applyAlignment="1">
      <alignment horizontal="center" vertical="center" wrapText="1"/>
    </xf>
    <xf numFmtId="0" fontId="81" fillId="16" borderId="91" xfId="0" applyFont="1" applyFill="1" applyBorder="1" applyAlignment="1">
      <alignment horizontal="center" vertical="center" textRotation="90"/>
    </xf>
    <xf numFmtId="0" fontId="80" fillId="0" borderId="92" xfId="0" applyFont="1" applyBorder="1" applyAlignment="1" applyProtection="1">
      <alignment horizontal="justify" vertical="center" wrapText="1"/>
      <protection locked="0"/>
    </xf>
    <xf numFmtId="0" fontId="80" fillId="0" borderId="92" xfId="0" applyFont="1" applyBorder="1" applyAlignment="1" applyProtection="1">
      <alignment horizontal="center" vertical="center"/>
      <protection locked="0"/>
    </xf>
    <xf numFmtId="0" fontId="80" fillId="0" borderId="92" xfId="0" applyFont="1" applyBorder="1" applyAlignment="1">
      <alignment horizontal="center" vertical="center"/>
    </xf>
    <xf numFmtId="0" fontId="80" fillId="0" borderId="92" xfId="0" applyFont="1" applyBorder="1" applyAlignment="1" applyProtection="1">
      <alignment horizontal="center" vertical="center"/>
      <protection hidden="1"/>
    </xf>
    <xf numFmtId="0" fontId="80" fillId="0" borderId="92" xfId="0" applyFont="1" applyBorder="1" applyAlignment="1" applyProtection="1">
      <alignment horizontal="center" vertical="center" textRotation="90"/>
      <protection locked="0"/>
    </xf>
    <xf numFmtId="9" fontId="80" fillId="0" borderId="92" xfId="0" applyNumberFormat="1" applyFont="1" applyBorder="1" applyAlignment="1" applyProtection="1">
      <alignment horizontal="center" vertical="center"/>
      <protection hidden="1"/>
    </xf>
    <xf numFmtId="164" fontId="80" fillId="0" borderId="92" xfId="1" applyNumberFormat="1" applyFont="1" applyFill="1" applyBorder="1" applyAlignment="1">
      <alignment horizontal="center" vertical="center"/>
    </xf>
    <xf numFmtId="0" fontId="81" fillId="0" borderId="92" xfId="0" applyFont="1" applyBorder="1" applyAlignment="1" applyProtection="1">
      <alignment horizontal="center" vertical="center" textRotation="90" wrapText="1"/>
      <protection hidden="1"/>
    </xf>
    <xf numFmtId="0" fontId="81" fillId="0" borderId="92" xfId="0" applyFont="1" applyBorder="1" applyAlignment="1" applyProtection="1">
      <alignment horizontal="center" vertical="center" textRotation="90"/>
      <protection hidden="1"/>
    </xf>
    <xf numFmtId="0" fontId="80" fillId="0" borderId="92" xfId="0" applyFont="1" applyBorder="1" applyAlignment="1" applyProtection="1">
      <alignment horizontal="center" vertical="center" textRotation="90" wrapText="1"/>
      <protection locked="0"/>
    </xf>
    <xf numFmtId="14" fontId="80" fillId="0" borderId="92" xfId="0" applyNumberFormat="1" applyFont="1" applyBorder="1" applyAlignment="1" applyProtection="1">
      <alignment horizontal="center" vertical="center"/>
      <protection locked="0"/>
    </xf>
    <xf numFmtId="0" fontId="80" fillId="0" borderId="116" xfId="0" applyFont="1" applyBorder="1" applyAlignment="1" applyProtection="1">
      <alignment horizontal="center" vertical="center" wrapText="1"/>
      <protection locked="0"/>
    </xf>
    <xf numFmtId="0" fontId="80" fillId="0" borderId="116" xfId="0" applyFont="1" applyBorder="1" applyAlignment="1">
      <alignment horizontal="center" vertical="center"/>
    </xf>
    <xf numFmtId="0" fontId="86" fillId="0" borderId="116" xfId="0" applyFont="1" applyBorder="1" applyAlignment="1" applyProtection="1">
      <alignment horizontal="justify" vertical="center" wrapText="1"/>
      <protection locked="0"/>
    </xf>
    <xf numFmtId="0" fontId="80" fillId="0" borderId="116" xfId="0" applyFont="1" applyBorder="1" applyAlignment="1" applyProtection="1">
      <alignment horizontal="center" vertical="center"/>
      <protection hidden="1"/>
    </xf>
    <xf numFmtId="0" fontId="80" fillId="0" borderId="116" xfId="0" applyFont="1" applyBorder="1" applyAlignment="1" applyProtection="1">
      <alignment horizontal="center" vertical="center" textRotation="90"/>
      <protection locked="0"/>
    </xf>
    <xf numFmtId="9" fontId="80" fillId="0" borderId="116" xfId="0" applyNumberFormat="1" applyFont="1" applyBorder="1" applyAlignment="1" applyProtection="1">
      <alignment horizontal="center" vertical="center"/>
      <protection hidden="1"/>
    </xf>
    <xf numFmtId="164" fontId="80" fillId="0" borderId="116" xfId="1" applyNumberFormat="1" applyFont="1" applyFill="1" applyBorder="1" applyAlignment="1">
      <alignment horizontal="center" vertical="center"/>
    </xf>
    <xf numFmtId="0" fontId="81" fillId="0" borderId="116" xfId="0" applyFont="1" applyBorder="1" applyAlignment="1" applyProtection="1">
      <alignment horizontal="center" vertical="center" textRotation="90" wrapText="1"/>
      <protection hidden="1"/>
    </xf>
    <xf numFmtId="0" fontId="81" fillId="0" borderId="116" xfId="0" applyFont="1" applyBorder="1" applyAlignment="1" applyProtection="1">
      <alignment horizontal="center" vertical="center" textRotation="90"/>
      <protection hidden="1"/>
    </xf>
    <xf numFmtId="0" fontId="80" fillId="0" borderId="116" xfId="0" applyFont="1" applyBorder="1" applyAlignment="1" applyProtection="1">
      <alignment horizontal="center" vertical="center" textRotation="90" wrapText="1"/>
      <protection locked="0"/>
    </xf>
    <xf numFmtId="14" fontId="80" fillId="0" borderId="116" xfId="0" applyNumberFormat="1" applyFont="1" applyBorder="1" applyAlignment="1" applyProtection="1">
      <alignment horizontal="center" vertical="center" wrapText="1"/>
      <protection locked="0"/>
    </xf>
    <xf numFmtId="0" fontId="80" fillId="0" borderId="118" xfId="0" applyFont="1" applyBorder="1" applyAlignment="1" applyProtection="1">
      <alignment horizontal="center" vertical="center" wrapText="1"/>
      <protection locked="0"/>
    </xf>
    <xf numFmtId="0" fontId="80" fillId="0" borderId="118" xfId="0" applyFont="1" applyBorder="1" applyAlignment="1" applyProtection="1">
      <alignment horizontal="justify" vertical="center" wrapText="1"/>
      <protection locked="0"/>
    </xf>
    <xf numFmtId="0" fontId="80" fillId="0" borderId="118" xfId="0" applyFont="1" applyBorder="1" applyAlignment="1" applyProtection="1">
      <alignment horizontal="center" vertical="center"/>
      <protection locked="0"/>
    </xf>
    <xf numFmtId="0" fontId="80" fillId="0" borderId="118" xfId="0" applyFont="1" applyBorder="1" applyAlignment="1">
      <alignment horizontal="center" vertical="center"/>
    </xf>
    <xf numFmtId="0" fontId="80" fillId="0" borderId="118" xfId="0" applyFont="1" applyBorder="1" applyAlignment="1" applyProtection="1">
      <alignment horizontal="center" vertical="center"/>
      <protection hidden="1"/>
    </xf>
    <xf numFmtId="0" fontId="80" fillId="0" borderId="118" xfId="0" applyFont="1" applyBorder="1" applyAlignment="1" applyProtection="1">
      <alignment horizontal="center" vertical="center" textRotation="90"/>
      <protection locked="0"/>
    </xf>
    <xf numFmtId="9" fontId="80" fillId="0" borderId="118" xfId="0" applyNumberFormat="1" applyFont="1" applyBorder="1" applyAlignment="1" applyProtection="1">
      <alignment horizontal="center" vertical="center"/>
      <protection hidden="1"/>
    </xf>
    <xf numFmtId="164" fontId="80" fillId="0" borderId="118" xfId="1" applyNumberFormat="1" applyFont="1" applyFill="1" applyBorder="1" applyAlignment="1">
      <alignment horizontal="center" vertical="center"/>
    </xf>
    <xf numFmtId="0" fontId="81" fillId="0" borderId="118" xfId="0" applyFont="1" applyBorder="1" applyAlignment="1" applyProtection="1">
      <alignment horizontal="center" vertical="center" textRotation="90" wrapText="1"/>
      <protection hidden="1"/>
    </xf>
    <xf numFmtId="0" fontId="81" fillId="0" borderId="118" xfId="0" applyFont="1" applyBorder="1" applyAlignment="1" applyProtection="1">
      <alignment horizontal="center" vertical="center" textRotation="90"/>
      <protection hidden="1"/>
    </xf>
    <xf numFmtId="0" fontId="80" fillId="0" borderId="118" xfId="0" applyFont="1" applyBorder="1" applyAlignment="1" applyProtection="1">
      <alignment horizontal="center" vertical="center" textRotation="90" wrapText="1"/>
      <protection locked="0"/>
    </xf>
    <xf numFmtId="14" fontId="80" fillId="0" borderId="118" xfId="0" applyNumberFormat="1" applyFont="1" applyBorder="1" applyAlignment="1" applyProtection="1">
      <alignment horizontal="center" vertical="center"/>
      <protection locked="0"/>
    </xf>
    <xf numFmtId="0" fontId="86" fillId="0" borderId="90" xfId="0" applyFont="1" applyBorder="1" applyAlignment="1" applyProtection="1">
      <alignment horizontal="justify" vertical="top" wrapText="1"/>
      <protection locked="0"/>
    </xf>
    <xf numFmtId="0" fontId="86" fillId="0" borderId="116" xfId="0" applyFont="1" applyBorder="1" applyAlignment="1" applyProtection="1">
      <alignment horizontal="justify" vertical="top" wrapText="1"/>
      <protection locked="0"/>
    </xf>
    <xf numFmtId="0" fontId="80" fillId="0" borderId="12" xfId="0" applyFont="1" applyBorder="1" applyAlignment="1">
      <alignment horizontal="center" vertical="center" wrapText="1"/>
    </xf>
    <xf numFmtId="0" fontId="45" fillId="23" borderId="37" xfId="2" applyFont="1" applyFill="1" applyBorder="1" applyAlignment="1">
      <alignment horizontal="center" vertical="center" wrapText="1"/>
    </xf>
    <xf numFmtId="0" fontId="45" fillId="23" borderId="38" xfId="2" applyFont="1" applyFill="1" applyBorder="1" applyAlignment="1">
      <alignment horizontal="center" vertical="center" wrapText="1"/>
    </xf>
    <xf numFmtId="0" fontId="45" fillId="23" borderId="39" xfId="2" applyFont="1" applyFill="1" applyBorder="1" applyAlignment="1">
      <alignment horizontal="center" vertical="center" wrapText="1"/>
    </xf>
    <xf numFmtId="0" fontId="44" fillId="0" borderId="7" xfId="2" quotePrefix="1" applyFont="1" applyBorder="1" applyAlignment="1">
      <alignment horizontal="left" vertical="center" wrapText="1"/>
    </xf>
    <xf numFmtId="0" fontId="44" fillId="0" borderId="0" xfId="2" quotePrefix="1" applyFont="1" applyAlignment="1">
      <alignment horizontal="left" vertical="center" wrapText="1"/>
    </xf>
    <xf numFmtId="0" fontId="44" fillId="0" borderId="8" xfId="2" quotePrefix="1" applyFont="1" applyBorder="1" applyAlignment="1">
      <alignment horizontal="left" vertical="center" wrapText="1"/>
    </xf>
    <xf numFmtId="0" fontId="44" fillId="0" borderId="57" xfId="2" quotePrefix="1" applyFont="1" applyBorder="1" applyAlignment="1">
      <alignment horizontal="left" vertical="center" wrapText="1"/>
    </xf>
    <xf numFmtId="0" fontId="44" fillId="0" borderId="58" xfId="2" quotePrefix="1" applyFont="1" applyBorder="1" applyAlignment="1">
      <alignment horizontal="left" vertical="center" wrapText="1"/>
    </xf>
    <xf numFmtId="0" fontId="44" fillId="0" borderId="59" xfId="2" quotePrefix="1" applyFont="1" applyBorder="1" applyAlignment="1">
      <alignment horizontal="left" vertical="center" wrapText="1"/>
    </xf>
    <xf numFmtId="0" fontId="46" fillId="3" borderId="40" xfId="2" quotePrefix="1" applyFont="1" applyFill="1" applyBorder="1" applyAlignment="1">
      <alignment horizontal="left" vertical="top" wrapText="1"/>
    </xf>
    <xf numFmtId="0" fontId="47" fillId="3" borderId="41" xfId="2" quotePrefix="1" applyFont="1" applyFill="1" applyBorder="1" applyAlignment="1">
      <alignment horizontal="left" vertical="top" wrapText="1"/>
    </xf>
    <xf numFmtId="0" fontId="47" fillId="3" borderId="42" xfId="2" quotePrefix="1" applyFont="1" applyFill="1" applyBorder="1" applyAlignment="1">
      <alignment horizontal="left" vertical="top" wrapText="1"/>
    </xf>
    <xf numFmtId="0" fontId="44" fillId="0" borderId="7" xfId="2" quotePrefix="1" applyFont="1" applyBorder="1" applyAlignment="1">
      <alignment horizontal="left" vertical="top" wrapText="1"/>
    </xf>
    <xf numFmtId="0" fontId="44" fillId="0" borderId="0" xfId="2" quotePrefix="1" applyFont="1" applyAlignment="1">
      <alignment horizontal="left" vertical="top" wrapText="1"/>
    </xf>
    <xf numFmtId="0" fontId="44" fillId="0" borderId="8" xfId="2" quotePrefix="1" applyFont="1" applyBorder="1" applyAlignment="1">
      <alignment horizontal="left" vertical="top" wrapText="1"/>
    </xf>
    <xf numFmtId="0" fontId="49" fillId="14" borderId="43" xfId="3" applyFont="1" applyFill="1" applyBorder="1" applyAlignment="1">
      <alignment horizontal="center" vertical="center" wrapText="1"/>
    </xf>
    <xf numFmtId="0" fontId="49" fillId="14" borderId="44" xfId="3" applyFont="1" applyFill="1" applyBorder="1" applyAlignment="1">
      <alignment horizontal="center" vertical="center" wrapText="1"/>
    </xf>
    <xf numFmtId="0" fontId="49" fillId="14" borderId="45" xfId="2" applyFont="1" applyFill="1" applyBorder="1" applyAlignment="1">
      <alignment horizontal="center" vertical="center"/>
    </xf>
    <xf numFmtId="0" fontId="49" fillId="14" borderId="46" xfId="2" applyFont="1" applyFill="1" applyBorder="1" applyAlignment="1">
      <alignment horizontal="center" vertical="center"/>
    </xf>
    <xf numFmtId="0" fontId="1" fillId="3" borderId="57" xfId="2" quotePrefix="1" applyFont="1" applyFill="1" applyBorder="1" applyAlignment="1">
      <alignment horizontal="justify" vertical="center" wrapText="1"/>
    </xf>
    <xf numFmtId="0" fontId="1" fillId="3" borderId="58" xfId="2" quotePrefix="1" applyFont="1" applyFill="1" applyBorder="1" applyAlignment="1">
      <alignment horizontal="justify" vertical="center" wrapText="1"/>
    </xf>
    <xf numFmtId="0" fontId="1" fillId="3" borderId="59" xfId="2" quotePrefix="1" applyFont="1" applyFill="1" applyBorder="1" applyAlignment="1">
      <alignment horizontal="justify" vertical="center" wrapText="1"/>
    </xf>
    <xf numFmtId="0" fontId="49" fillId="3" borderId="47" xfId="3" applyFont="1" applyFill="1" applyBorder="1" applyAlignment="1">
      <alignment horizontal="left" vertical="top" wrapText="1" readingOrder="1"/>
    </xf>
    <xf numFmtId="0" fontId="49" fillId="3" borderId="48" xfId="3" applyFont="1" applyFill="1" applyBorder="1" applyAlignment="1">
      <alignment horizontal="left" vertical="top" wrapText="1" readingOrder="1"/>
    </xf>
    <xf numFmtId="0" fontId="50" fillId="3" borderId="49" xfId="2" applyFont="1" applyFill="1" applyBorder="1" applyAlignment="1">
      <alignment horizontal="justify" vertical="center" wrapText="1"/>
    </xf>
    <xf numFmtId="0" fontId="50" fillId="3" borderId="50" xfId="2" applyFont="1" applyFill="1" applyBorder="1" applyAlignment="1">
      <alignment horizontal="justify" vertical="center" wrapText="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50" fillId="3" borderId="53" xfId="2" applyFont="1" applyFill="1" applyBorder="1" applyAlignment="1">
      <alignment horizontal="justify" vertical="center" wrapText="1"/>
    </xf>
    <xf numFmtId="0" fontId="50" fillId="3" borderId="54" xfId="2" applyFont="1" applyFill="1" applyBorder="1" applyAlignment="1">
      <alignment horizontal="justify" vertical="center" wrapText="1"/>
    </xf>
    <xf numFmtId="0" fontId="44" fillId="3" borderId="7" xfId="2" applyFont="1" applyFill="1" applyBorder="1" applyAlignment="1">
      <alignment horizontal="left" vertical="top" wrapText="1"/>
    </xf>
    <xf numFmtId="0" fontId="44" fillId="3" borderId="0" xfId="2" applyFont="1" applyFill="1" applyAlignment="1">
      <alignment horizontal="left" vertical="top" wrapText="1"/>
    </xf>
    <xf numFmtId="0" fontId="44" fillId="3" borderId="8" xfId="2" applyFont="1" applyFill="1" applyBorder="1" applyAlignment="1">
      <alignment horizontal="left" vertical="top" wrapText="1"/>
    </xf>
    <xf numFmtId="0" fontId="49" fillId="3" borderId="60" xfId="0" applyFont="1" applyFill="1" applyBorder="1" applyAlignment="1">
      <alignment horizontal="left" vertical="center" wrapText="1"/>
    </xf>
    <xf numFmtId="0" fontId="49" fillId="3" borderId="61" xfId="0" applyFont="1" applyFill="1" applyBorder="1" applyAlignment="1">
      <alignment horizontal="left" vertical="center" wrapText="1"/>
    </xf>
    <xf numFmtId="0" fontId="49" fillId="3" borderId="62" xfId="0" applyFont="1" applyFill="1" applyBorder="1" applyAlignment="1">
      <alignment horizontal="left" vertical="center" wrapText="1"/>
    </xf>
    <xf numFmtId="0" fontId="49" fillId="3" borderId="63" xfId="0" applyFont="1" applyFill="1" applyBorder="1" applyAlignment="1">
      <alignment horizontal="left" vertical="center" wrapText="1"/>
    </xf>
    <xf numFmtId="0" fontId="50" fillId="3" borderId="55" xfId="0" applyFont="1" applyFill="1" applyBorder="1" applyAlignment="1">
      <alignment horizontal="justify" vertical="center" wrapText="1"/>
    </xf>
    <xf numFmtId="0" fontId="50" fillId="3" borderId="56" xfId="0" applyFont="1" applyFill="1" applyBorder="1" applyAlignment="1">
      <alignment horizontal="justify" vertical="center" wrapText="1"/>
    </xf>
    <xf numFmtId="0" fontId="61" fillId="17" borderId="66" xfId="0" applyFont="1" applyFill="1" applyBorder="1" applyAlignment="1">
      <alignment horizontal="center" vertical="center" wrapText="1"/>
    </xf>
    <xf numFmtId="0" fontId="61" fillId="17" borderId="67" xfId="0" applyFont="1" applyFill="1" applyBorder="1" applyAlignment="1">
      <alignment horizontal="center" vertical="center" wrapText="1"/>
    </xf>
    <xf numFmtId="0" fontId="61" fillId="18" borderId="68" xfId="0" applyFont="1" applyFill="1" applyBorder="1" applyAlignment="1">
      <alignment horizontal="center" vertical="center" textRotation="90"/>
    </xf>
    <xf numFmtId="0" fontId="61" fillId="18" borderId="70" xfId="0" applyFont="1" applyFill="1" applyBorder="1" applyAlignment="1">
      <alignment horizontal="center" vertical="center" textRotation="90"/>
    </xf>
    <xf numFmtId="0" fontId="61" fillId="18" borderId="72" xfId="0" applyFont="1" applyFill="1" applyBorder="1" applyAlignment="1">
      <alignment horizontal="center" vertical="center" textRotation="90"/>
    </xf>
    <xf numFmtId="0" fontId="77" fillId="22" borderId="87" xfId="0" applyFont="1" applyFill="1" applyBorder="1" applyAlignment="1">
      <alignment horizontal="center" vertical="center"/>
    </xf>
    <xf numFmtId="0" fontId="77" fillId="22" borderId="88" xfId="0" applyFont="1" applyFill="1" applyBorder="1" applyAlignment="1">
      <alignment horizontal="center" vertical="center"/>
    </xf>
    <xf numFmtId="0" fontId="75" fillId="0" borderId="71"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83" xfId="0" applyFont="1" applyBorder="1" applyAlignment="1">
      <alignment horizontal="center" vertical="center" wrapText="1"/>
    </xf>
    <xf numFmtId="0" fontId="75" fillId="0" borderId="68" xfId="0" applyFont="1" applyBorder="1" applyAlignment="1">
      <alignment horizontal="center" vertical="center" wrapText="1"/>
    </xf>
    <xf numFmtId="0" fontId="81" fillId="16" borderId="90" xfId="0" applyFont="1" applyFill="1" applyBorder="1" applyAlignment="1">
      <alignment horizontal="center" vertical="center" wrapText="1"/>
    </xf>
    <xf numFmtId="0" fontId="81" fillId="16" borderId="91" xfId="0" applyFont="1" applyFill="1" applyBorder="1" applyAlignment="1">
      <alignment horizontal="center" vertical="center" wrapText="1"/>
    </xf>
    <xf numFmtId="9" fontId="80" fillId="0" borderId="90" xfId="0" applyNumberFormat="1" applyFont="1" applyBorder="1" applyAlignment="1" applyProtection="1">
      <alignment horizontal="center" vertical="center" wrapText="1"/>
      <protection locked="0"/>
    </xf>
    <xf numFmtId="0" fontId="81" fillId="21" borderId="112" xfId="0" applyFont="1" applyFill="1" applyBorder="1" applyAlignment="1">
      <alignment horizontal="center" vertical="center" wrapText="1"/>
    </xf>
    <xf numFmtId="0" fontId="81" fillId="21" borderId="93" xfId="0" applyFont="1" applyFill="1" applyBorder="1" applyAlignment="1">
      <alignment horizontal="center" vertical="center" wrapText="1"/>
    </xf>
    <xf numFmtId="0" fontId="81" fillId="16" borderId="106" xfId="0" applyFont="1" applyFill="1" applyBorder="1" applyAlignment="1">
      <alignment horizontal="center" vertical="center"/>
    </xf>
    <xf numFmtId="0" fontId="81" fillId="16" borderId="107" xfId="0" applyFont="1" applyFill="1" applyBorder="1" applyAlignment="1">
      <alignment horizontal="center" vertical="center"/>
    </xf>
    <xf numFmtId="0" fontId="81" fillId="16" borderId="108" xfId="0" applyFont="1" applyFill="1" applyBorder="1" applyAlignment="1">
      <alignment horizontal="center" vertical="center"/>
    </xf>
    <xf numFmtId="0" fontId="80" fillId="0" borderId="117" xfId="0" applyFont="1" applyBorder="1" applyAlignment="1" applyProtection="1">
      <alignment horizontal="center" vertical="center" wrapText="1"/>
      <protection locked="0"/>
    </xf>
    <xf numFmtId="0" fontId="80" fillId="0" borderId="99" xfId="0" applyFont="1" applyBorder="1" applyAlignment="1" applyProtection="1">
      <alignment horizontal="center" vertical="center" wrapText="1"/>
      <protection locked="0"/>
    </xf>
    <xf numFmtId="0" fontId="80" fillId="0" borderId="119" xfId="0" applyFont="1" applyBorder="1" applyAlignment="1" applyProtection="1">
      <alignment horizontal="center" vertical="center" wrapText="1"/>
      <protection locked="0"/>
    </xf>
    <xf numFmtId="0" fontId="81" fillId="0" borderId="90" xfId="0" applyFont="1" applyBorder="1" applyAlignment="1" applyProtection="1">
      <alignment horizontal="center" vertical="center"/>
      <protection hidden="1"/>
    </xf>
    <xf numFmtId="9" fontId="80" fillId="0" borderId="116" xfId="0" applyNumberFormat="1" applyFont="1" applyBorder="1" applyAlignment="1" applyProtection="1">
      <alignment horizontal="center" vertical="center" wrapText="1"/>
      <protection hidden="1"/>
    </xf>
    <xf numFmtId="9" fontId="80" fillId="0" borderId="90" xfId="0" applyNumberFormat="1" applyFont="1" applyBorder="1" applyAlignment="1" applyProtection="1">
      <alignment horizontal="center" vertical="center" wrapText="1"/>
      <protection hidden="1"/>
    </xf>
    <xf numFmtId="9" fontId="80" fillId="0" borderId="118" xfId="0" applyNumberFormat="1" applyFont="1" applyBorder="1" applyAlignment="1" applyProtection="1">
      <alignment horizontal="center" vertical="center" wrapText="1"/>
      <protection hidden="1"/>
    </xf>
    <xf numFmtId="0" fontId="81" fillId="0" borderId="116" xfId="0" applyFont="1" applyBorder="1" applyAlignment="1" applyProtection="1">
      <alignment horizontal="center" vertical="center" wrapText="1"/>
      <protection hidden="1"/>
    </xf>
    <xf numFmtId="0" fontId="81" fillId="0" borderId="90" xfId="0" applyFont="1" applyBorder="1" applyAlignment="1" applyProtection="1">
      <alignment horizontal="center" vertical="center" wrapText="1"/>
      <protection hidden="1"/>
    </xf>
    <xf numFmtId="0" fontId="81" fillId="0" borderId="118" xfId="0" applyFont="1" applyBorder="1" applyAlignment="1" applyProtection="1">
      <alignment horizontal="center" vertical="center" wrapText="1"/>
      <protection hidden="1"/>
    </xf>
    <xf numFmtId="0" fontId="81" fillId="0" borderId="116" xfId="0" applyFont="1" applyBorder="1" applyAlignment="1" applyProtection="1">
      <alignment horizontal="center" vertical="center"/>
      <protection hidden="1"/>
    </xf>
    <xf numFmtId="0" fontId="81" fillId="0" borderId="118" xfId="0" applyFont="1" applyBorder="1" applyAlignment="1" applyProtection="1">
      <alignment horizontal="center" vertical="center"/>
      <protection hidden="1"/>
    </xf>
    <xf numFmtId="0" fontId="81" fillId="16" borderId="90" xfId="0" applyFont="1" applyFill="1" applyBorder="1" applyAlignment="1">
      <alignment horizontal="center" vertical="center" textRotation="90" wrapText="1"/>
    </xf>
    <xf numFmtId="0" fontId="81" fillId="16" borderId="91" xfId="0" applyFont="1" applyFill="1" applyBorder="1" applyAlignment="1">
      <alignment horizontal="center" vertical="center" textRotation="90" wrapText="1"/>
    </xf>
    <xf numFmtId="0" fontId="80" fillId="0" borderId="92" xfId="0" applyFont="1" applyBorder="1" applyAlignment="1" applyProtection="1">
      <alignment horizontal="center" vertical="center" wrapText="1"/>
      <protection locked="0"/>
    </xf>
    <xf numFmtId="9" fontId="80" fillId="0" borderId="116" xfId="0" applyNumberFormat="1" applyFont="1" applyBorder="1" applyAlignment="1" applyProtection="1">
      <alignment horizontal="center" vertical="center" wrapText="1"/>
      <protection locked="0"/>
    </xf>
    <xf numFmtId="9" fontId="80" fillId="0" borderId="118" xfId="0" applyNumberFormat="1" applyFont="1" applyBorder="1" applyAlignment="1" applyProtection="1">
      <alignment horizontal="center" vertical="center" wrapText="1"/>
      <protection locked="0"/>
    </xf>
    <xf numFmtId="0" fontId="81" fillId="16" borderId="92" xfId="0" applyFont="1" applyFill="1" applyBorder="1" applyAlignment="1">
      <alignment horizontal="center" vertical="center"/>
    </xf>
    <xf numFmtId="9" fontId="80" fillId="0" borderId="92" xfId="0" applyNumberFormat="1" applyFont="1" applyBorder="1" applyAlignment="1" applyProtection="1">
      <alignment horizontal="center" vertical="center" wrapText="1"/>
      <protection locked="0"/>
    </xf>
    <xf numFmtId="9" fontId="80" fillId="0" borderId="92" xfId="0" applyNumberFormat="1" applyFont="1" applyBorder="1" applyAlignment="1" applyProtection="1">
      <alignment horizontal="center" vertical="center" wrapText="1"/>
      <protection hidden="1"/>
    </xf>
    <xf numFmtId="0" fontId="81" fillId="0" borderId="92" xfId="0" applyFont="1" applyBorder="1" applyAlignment="1" applyProtection="1">
      <alignment horizontal="center" vertical="center" wrapText="1"/>
      <protection hidden="1"/>
    </xf>
    <xf numFmtId="0" fontId="80" fillId="0" borderId="116" xfId="0" applyFont="1" applyBorder="1" applyAlignment="1" applyProtection="1">
      <alignment horizontal="center" vertical="center"/>
      <protection locked="0"/>
    </xf>
    <xf numFmtId="0" fontId="80" fillId="0" borderId="90" xfId="0" applyFont="1" applyBorder="1" applyAlignment="1" applyProtection="1">
      <alignment horizontal="center" vertical="center"/>
      <protection locked="0"/>
    </xf>
    <xf numFmtId="0" fontId="80" fillId="0" borderId="118" xfId="0" applyFont="1" applyBorder="1" applyAlignment="1" applyProtection="1">
      <alignment horizontal="center" vertical="center"/>
      <protection locked="0"/>
    </xf>
    <xf numFmtId="0" fontId="81" fillId="29" borderId="106" xfId="0" applyFont="1" applyFill="1" applyBorder="1" applyAlignment="1">
      <alignment horizontal="center" vertical="center"/>
    </xf>
    <xf numFmtId="0" fontId="81" fillId="29" borderId="107" xfId="0" applyFont="1" applyFill="1" applyBorder="1" applyAlignment="1">
      <alignment horizontal="center" vertical="center"/>
    </xf>
    <xf numFmtId="0" fontId="81" fillId="29" borderId="108" xfId="0" applyFont="1" applyFill="1" applyBorder="1" applyAlignment="1">
      <alignment horizontal="center" vertical="center"/>
    </xf>
    <xf numFmtId="0" fontId="80" fillId="0" borderId="116" xfId="0" applyFont="1" applyBorder="1" applyAlignment="1" applyProtection="1">
      <alignment horizontal="center" vertical="center" wrapText="1"/>
      <protection locked="0"/>
    </xf>
    <xf numFmtId="0" fontId="80" fillId="0" borderId="90" xfId="0" applyFont="1" applyBorder="1" applyAlignment="1" applyProtection="1">
      <alignment horizontal="center" vertical="center" wrapText="1"/>
      <protection locked="0"/>
    </xf>
    <xf numFmtId="0" fontId="80" fillId="0" borderId="118" xfId="0" applyFont="1" applyBorder="1" applyAlignment="1" applyProtection="1">
      <alignment horizontal="center" vertical="center" wrapText="1"/>
      <protection locked="0"/>
    </xf>
    <xf numFmtId="0" fontId="80" fillId="0" borderId="116" xfId="0" applyFont="1" applyBorder="1" applyAlignment="1" applyProtection="1">
      <alignment horizontal="justify" vertical="center" wrapText="1"/>
      <protection locked="0"/>
    </xf>
    <xf numFmtId="0" fontId="80" fillId="0" borderId="90" xfId="0" applyFont="1" applyBorder="1" applyAlignment="1" applyProtection="1">
      <alignment horizontal="justify" vertical="center" wrapText="1"/>
      <protection locked="0"/>
    </xf>
    <xf numFmtId="0" fontId="80" fillId="0" borderId="118" xfId="0" applyFont="1" applyBorder="1" applyAlignment="1" applyProtection="1">
      <alignment horizontal="justify" vertical="center" wrapText="1"/>
      <protection locked="0"/>
    </xf>
    <xf numFmtId="0" fontId="80" fillId="0" borderId="91" xfId="0" applyFont="1" applyBorder="1" applyAlignment="1" applyProtection="1">
      <alignment horizontal="center" vertical="center" wrapText="1"/>
      <protection locked="0"/>
    </xf>
    <xf numFmtId="0" fontId="81" fillId="16" borderId="106" xfId="0" applyFont="1" applyFill="1" applyBorder="1" applyAlignment="1">
      <alignment horizontal="center" vertical="center" wrapText="1"/>
    </xf>
    <xf numFmtId="0" fontId="81" fillId="16" borderId="107" xfId="0" applyFont="1" applyFill="1" applyBorder="1" applyAlignment="1">
      <alignment horizontal="center" vertical="center" wrapText="1"/>
    </xf>
    <xf numFmtId="0" fontId="81" fillId="16" borderId="108" xfId="0" applyFont="1" applyFill="1" applyBorder="1" applyAlignment="1">
      <alignment horizontal="center" vertical="center" wrapText="1"/>
    </xf>
    <xf numFmtId="0" fontId="81" fillId="16" borderId="90" xfId="0" applyFont="1" applyFill="1" applyBorder="1" applyAlignment="1">
      <alignment horizontal="center" vertical="center"/>
    </xf>
    <xf numFmtId="0" fontId="81" fillId="16" borderId="91" xfId="0" applyFont="1" applyFill="1" applyBorder="1" applyAlignment="1">
      <alignment horizontal="center" vertical="center"/>
    </xf>
    <xf numFmtId="0" fontId="80" fillId="2" borderId="117" xfId="0" applyFont="1" applyFill="1" applyBorder="1" applyAlignment="1" applyProtection="1">
      <alignment horizontal="center" vertical="center" wrapText="1"/>
      <protection locked="0"/>
    </xf>
    <xf numFmtId="0" fontId="80" fillId="2" borderId="99" xfId="0" applyFont="1" applyFill="1" applyBorder="1" applyAlignment="1" applyProtection="1">
      <alignment horizontal="center" vertical="center" wrapText="1"/>
      <protection locked="0"/>
    </xf>
    <xf numFmtId="0" fontId="80" fillId="2" borderId="119" xfId="0" applyFont="1" applyFill="1" applyBorder="1" applyAlignment="1" applyProtection="1">
      <alignment horizontal="center" vertical="center" wrapText="1"/>
      <protection locked="0"/>
    </xf>
    <xf numFmtId="0" fontId="81" fillId="0" borderId="92" xfId="0" applyFont="1" applyBorder="1" applyAlignment="1" applyProtection="1">
      <alignment horizontal="center" vertical="center"/>
      <protection hidden="1"/>
    </xf>
    <xf numFmtId="0" fontId="80" fillId="0" borderId="101" xfId="0" applyFont="1" applyBorder="1" applyAlignment="1" applyProtection="1">
      <alignment horizontal="center" vertical="center" wrapText="1"/>
      <protection locked="0"/>
    </xf>
    <xf numFmtId="0" fontId="80" fillId="0" borderId="103" xfId="0" applyFont="1" applyBorder="1" applyAlignment="1" applyProtection="1">
      <alignment horizontal="center" vertical="center" wrapText="1"/>
      <protection locked="0"/>
    </xf>
    <xf numFmtId="0" fontId="80" fillId="0" borderId="105" xfId="0" applyFont="1" applyBorder="1" applyAlignment="1" applyProtection="1">
      <alignment horizontal="center" vertical="center" wrapText="1"/>
      <protection locked="0"/>
    </xf>
    <xf numFmtId="0" fontId="80" fillId="0" borderId="92" xfId="0" applyFont="1" applyBorder="1" applyAlignment="1" applyProtection="1">
      <alignment horizontal="center" vertical="center"/>
      <protection locked="0"/>
    </xf>
    <xf numFmtId="0" fontId="81" fillId="0" borderId="100" xfId="0" applyFont="1" applyBorder="1" applyAlignment="1">
      <alignment horizontal="center" vertical="center"/>
    </xf>
    <xf numFmtId="0" fontId="81" fillId="0" borderId="102" xfId="0" applyFont="1" applyBorder="1" applyAlignment="1">
      <alignment horizontal="center" vertical="center"/>
    </xf>
    <xf numFmtId="0" fontId="81" fillId="0" borderId="104" xfId="0" applyFont="1" applyBorder="1" applyAlignment="1">
      <alignment horizontal="center" vertical="center"/>
    </xf>
    <xf numFmtId="0" fontId="81" fillId="27" borderId="90" xfId="0" applyFont="1" applyFill="1" applyBorder="1" applyAlignment="1">
      <alignment horizontal="center" vertical="center" textRotation="90"/>
    </xf>
    <xf numFmtId="0" fontId="81" fillId="27" borderId="91" xfId="0" applyFont="1" applyFill="1" applyBorder="1" applyAlignment="1">
      <alignment horizontal="center" vertical="center" textRotation="90"/>
    </xf>
    <xf numFmtId="0" fontId="81" fillId="27" borderId="90" xfId="0" applyFont="1" applyFill="1" applyBorder="1" applyAlignment="1">
      <alignment horizontal="center" vertical="center"/>
    </xf>
    <xf numFmtId="0" fontId="81" fillId="27" borderId="91" xfId="0" applyFont="1" applyFill="1" applyBorder="1" applyAlignment="1">
      <alignment horizontal="center" vertical="center"/>
    </xf>
    <xf numFmtId="0" fontId="81" fillId="27" borderId="90" xfId="0" applyFont="1" applyFill="1" applyBorder="1" applyAlignment="1">
      <alignment horizontal="center" vertical="center" wrapText="1"/>
    </xf>
    <xf numFmtId="0" fontId="81" fillId="27" borderId="91" xfId="0" applyFont="1" applyFill="1" applyBorder="1" applyAlignment="1">
      <alignment horizontal="center" vertical="center" wrapText="1"/>
    </xf>
    <xf numFmtId="0" fontId="80" fillId="0" borderId="92" xfId="0" applyFont="1" applyBorder="1" applyAlignment="1" applyProtection="1">
      <alignment horizontal="justify" vertical="center" wrapText="1"/>
      <protection locked="0"/>
    </xf>
    <xf numFmtId="0" fontId="81" fillId="29" borderId="91" xfId="0" applyFont="1" applyFill="1" applyBorder="1" applyAlignment="1">
      <alignment horizontal="center" vertical="center" wrapText="1"/>
    </xf>
    <xf numFmtId="0" fontId="81" fillId="29" borderId="99" xfId="0" applyFont="1" applyFill="1" applyBorder="1" applyAlignment="1">
      <alignment horizontal="center" vertical="center" wrapText="1"/>
    </xf>
    <xf numFmtId="0" fontId="81" fillId="0" borderId="90" xfId="0" applyFont="1" applyBorder="1" applyAlignment="1">
      <alignment horizontal="center" vertical="center"/>
    </xf>
    <xf numFmtId="0" fontId="92" fillId="0" borderId="90" xfId="0" applyFont="1" applyBorder="1" applyAlignment="1" applyProtection="1">
      <alignment horizontal="center" vertical="top" wrapText="1"/>
      <protection locked="0"/>
    </xf>
    <xf numFmtId="0" fontId="80" fillId="0" borderId="90" xfId="0" applyFont="1" applyBorder="1" applyAlignment="1" applyProtection="1">
      <alignment horizontal="center" vertical="top" wrapText="1"/>
      <protection locked="0"/>
    </xf>
    <xf numFmtId="0" fontId="80" fillId="0" borderId="90" xfId="0" applyFont="1" applyBorder="1" applyAlignment="1" applyProtection="1">
      <alignment horizontal="left" vertical="center" wrapText="1"/>
      <protection locked="0"/>
    </xf>
    <xf numFmtId="0" fontId="80" fillId="0" borderId="2" xfId="0" applyFont="1" applyBorder="1" applyAlignment="1">
      <alignment horizontal="left" vertical="center" wrapText="1"/>
    </xf>
    <xf numFmtId="0" fontId="80" fillId="0" borderId="21" xfId="0" applyFont="1" applyBorder="1" applyAlignment="1">
      <alignment horizontal="left" vertical="center" wrapText="1"/>
    </xf>
    <xf numFmtId="0" fontId="80" fillId="3" borderId="0" xfId="0" applyFont="1" applyFill="1" applyAlignment="1">
      <alignment horizontal="left" wrapText="1"/>
    </xf>
    <xf numFmtId="0" fontId="79" fillId="0" borderId="0" xfId="0" applyFont="1" applyAlignment="1">
      <alignment horizontal="center" vertical="center"/>
    </xf>
    <xf numFmtId="0" fontId="79" fillId="0" borderId="0" xfId="0" applyFont="1" applyAlignment="1">
      <alignment horizontal="left" vertical="center"/>
    </xf>
    <xf numFmtId="0" fontId="81" fillId="21" borderId="100" xfId="0" applyFont="1" applyFill="1" applyBorder="1" applyAlignment="1">
      <alignment horizontal="left" vertical="center"/>
    </xf>
    <xf numFmtId="0" fontId="81" fillId="21" borderId="101" xfId="0" applyFont="1" applyFill="1" applyBorder="1" applyAlignment="1">
      <alignment horizontal="left" vertical="center"/>
    </xf>
    <xf numFmtId="0" fontId="81" fillId="21" borderId="102" xfId="0" applyFont="1" applyFill="1" applyBorder="1" applyAlignment="1">
      <alignment horizontal="left" vertical="center"/>
    </xf>
    <xf numFmtId="0" fontId="81" fillId="21" borderId="103" xfId="0" applyFont="1" applyFill="1" applyBorder="1" applyAlignment="1">
      <alignment horizontal="left" vertical="center"/>
    </xf>
    <xf numFmtId="0" fontId="81" fillId="21" borderId="104" xfId="0" applyFont="1" applyFill="1" applyBorder="1" applyAlignment="1">
      <alignment horizontal="left" vertical="center"/>
    </xf>
    <xf numFmtId="0" fontId="81" fillId="21" borderId="105" xfId="0" applyFont="1" applyFill="1" applyBorder="1" applyAlignment="1">
      <alignment horizontal="left" vertical="center"/>
    </xf>
    <xf numFmtId="0" fontId="81" fillId="3" borderId="0" xfId="0" applyFont="1" applyFill="1" applyAlignment="1">
      <alignment horizontal="left" vertical="center"/>
    </xf>
    <xf numFmtId="0" fontId="91" fillId="0" borderId="24" xfId="0" applyFont="1" applyBorder="1" applyAlignment="1" applyProtection="1">
      <alignment horizontal="center" vertical="center"/>
      <protection locked="0"/>
    </xf>
    <xf numFmtId="0" fontId="91" fillId="0" borderId="25" xfId="0" applyFont="1" applyBorder="1" applyAlignment="1" applyProtection="1">
      <alignment horizontal="center" vertical="center"/>
      <protection locked="0"/>
    </xf>
    <xf numFmtId="0" fontId="91" fillId="0" borderId="36" xfId="0" applyFont="1" applyBorder="1" applyAlignment="1" applyProtection="1">
      <alignment horizontal="center" vertical="center"/>
      <protection locked="0"/>
    </xf>
    <xf numFmtId="0" fontId="80" fillId="3" borderId="24" xfId="0" applyFont="1" applyFill="1" applyBorder="1" applyAlignment="1" applyProtection="1">
      <alignment horizontal="center" vertical="center" wrapText="1"/>
      <protection locked="0"/>
    </xf>
    <xf numFmtId="0" fontId="80" fillId="3" borderId="25" xfId="0" applyFont="1" applyFill="1" applyBorder="1" applyAlignment="1" applyProtection="1">
      <alignment horizontal="center" vertical="center" wrapText="1"/>
      <protection locked="0"/>
    </xf>
    <xf numFmtId="0" fontId="80" fillId="3" borderId="36" xfId="0" applyFont="1" applyFill="1" applyBorder="1" applyAlignment="1" applyProtection="1">
      <alignment horizontal="center" vertical="center" wrapText="1"/>
      <protection locked="0"/>
    </xf>
    <xf numFmtId="0" fontId="81" fillId="27" borderId="106" xfId="0" applyFont="1" applyFill="1" applyBorder="1" applyAlignment="1">
      <alignment horizontal="center" vertical="center"/>
    </xf>
    <xf numFmtId="0" fontId="81" fillId="27" borderId="107" xfId="0" applyFont="1" applyFill="1" applyBorder="1" applyAlignment="1">
      <alignment horizontal="center" vertical="center"/>
    </xf>
    <xf numFmtId="0" fontId="81" fillId="27" borderId="108" xfId="0" applyFont="1" applyFill="1" applyBorder="1" applyAlignment="1">
      <alignment horizontal="center" vertical="center"/>
    </xf>
    <xf numFmtId="0" fontId="79" fillId="0" borderId="5" xfId="0" applyFont="1" applyBorder="1" applyAlignment="1">
      <alignment horizontal="center" vertical="center"/>
    </xf>
    <xf numFmtId="0" fontId="79" fillId="0" borderId="12" xfId="0" applyFont="1" applyBorder="1" applyAlignment="1">
      <alignment horizontal="center" vertical="center"/>
    </xf>
    <xf numFmtId="0" fontId="79" fillId="0" borderId="6" xfId="0" applyFont="1" applyBorder="1" applyAlignment="1">
      <alignment horizontal="center" vertical="center"/>
    </xf>
    <xf numFmtId="0" fontId="79" fillId="0" borderId="9" xfId="0" applyFont="1" applyBorder="1" applyAlignment="1">
      <alignment horizontal="center" vertical="center"/>
    </xf>
    <xf numFmtId="0" fontId="79" fillId="0" borderId="11" xfId="0" applyFont="1" applyBorder="1" applyAlignment="1">
      <alignment horizontal="center" vertical="center"/>
    </xf>
    <xf numFmtId="0" fontId="79" fillId="0" borderId="10" xfId="0" applyFont="1" applyBorder="1" applyAlignment="1">
      <alignment horizontal="center" vertical="center"/>
    </xf>
    <xf numFmtId="0" fontId="79" fillId="0" borderId="24" xfId="0" applyFont="1" applyBorder="1" applyAlignment="1">
      <alignment horizontal="left" vertical="center"/>
    </xf>
    <xf numFmtId="0" fontId="79" fillId="0" borderId="25" xfId="0" applyFont="1" applyBorder="1" applyAlignment="1">
      <alignment horizontal="left" vertical="center"/>
    </xf>
    <xf numFmtId="0" fontId="79" fillId="0" borderId="36" xfId="0" applyFont="1" applyBorder="1" applyAlignment="1">
      <alignment horizontal="left" vertical="center"/>
    </xf>
    <xf numFmtId="0" fontId="81" fillId="0" borderId="92" xfId="0" applyFont="1" applyBorder="1" applyAlignment="1">
      <alignment horizontal="center" vertical="center"/>
    </xf>
    <xf numFmtId="0" fontId="85" fillId="0" borderId="94" xfId="0" applyFont="1" applyBorder="1" applyAlignment="1">
      <alignment horizontal="center" vertical="center"/>
    </xf>
    <xf numFmtId="0" fontId="85" fillId="0" borderId="95" xfId="0" applyFont="1" applyBorder="1" applyAlignment="1">
      <alignment horizontal="center" vertical="center"/>
    </xf>
    <xf numFmtId="0" fontId="85" fillId="0" borderId="113" xfId="0" applyFont="1" applyBorder="1" applyAlignment="1">
      <alignment horizontal="center" vertical="center"/>
    </xf>
    <xf numFmtId="0" fontId="85" fillId="0" borderId="96" xfId="0" applyFont="1" applyBorder="1" applyAlignment="1">
      <alignment horizontal="center" vertical="center"/>
    </xf>
    <xf numFmtId="0" fontId="85" fillId="0" borderId="90" xfId="0" applyFont="1" applyBorder="1" applyAlignment="1">
      <alignment horizontal="center" vertical="center"/>
    </xf>
    <xf numFmtId="0" fontId="85" fillId="0" borderId="115" xfId="0" applyFont="1" applyBorder="1" applyAlignment="1">
      <alignment horizontal="center" vertical="center"/>
    </xf>
    <xf numFmtId="0" fontId="85" fillId="0" borderId="97" xfId="0" applyFont="1" applyBorder="1" applyAlignment="1">
      <alignment horizontal="center" vertical="center"/>
    </xf>
    <xf numFmtId="0" fontId="85" fillId="0" borderId="98" xfId="0" applyFont="1" applyBorder="1" applyAlignment="1">
      <alignment horizontal="center" vertical="center"/>
    </xf>
    <xf numFmtId="0" fontId="85" fillId="0" borderId="114" xfId="0" applyFont="1" applyBorder="1" applyAlignment="1">
      <alignment horizontal="center" vertical="center"/>
    </xf>
    <xf numFmtId="0" fontId="22" fillId="26" borderId="0" xfId="0" applyFont="1" applyFill="1" applyAlignment="1">
      <alignment horizontal="center" vertical="center" wrapText="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wrapText="1"/>
    </xf>
    <xf numFmtId="0" fontId="16" fillId="10" borderId="0" xfId="0" applyFont="1" applyFill="1" applyAlignment="1">
      <alignment horizontal="center" vertical="center" textRotation="90" wrapText="1" readingOrder="1"/>
    </xf>
    <xf numFmtId="0" fontId="16" fillId="10" borderId="8" xfId="0" applyFont="1" applyFill="1" applyBorder="1" applyAlignment="1">
      <alignment horizontal="center" vertical="center" textRotation="90" wrapText="1" readingOrder="1"/>
    </xf>
    <xf numFmtId="0" fontId="19" fillId="12" borderId="13" xfId="0" applyFont="1" applyFill="1" applyBorder="1" applyAlignment="1">
      <alignment horizontal="center" vertical="center" wrapText="1" readingOrder="1"/>
    </xf>
    <xf numFmtId="0" fontId="19" fillId="12" borderId="14" xfId="0" applyFont="1" applyFill="1" applyBorder="1" applyAlignment="1">
      <alignment horizontal="center" vertical="center" wrapText="1" readingOrder="1"/>
    </xf>
    <xf numFmtId="0" fontId="19" fillId="12" borderId="15" xfId="0" applyFont="1" applyFill="1" applyBorder="1" applyAlignment="1">
      <alignment horizontal="center" vertical="center" wrapText="1" readingOrder="1"/>
    </xf>
    <xf numFmtId="0" fontId="19" fillId="12" borderId="16" xfId="0" applyFont="1" applyFill="1" applyBorder="1" applyAlignment="1">
      <alignment horizontal="center" vertical="center" wrapText="1" readingOrder="1"/>
    </xf>
    <xf numFmtId="0" fontId="19" fillId="12" borderId="0" xfId="0" applyFont="1" applyFill="1" applyAlignment="1">
      <alignment horizontal="center" vertical="center" wrapText="1" readingOrder="1"/>
    </xf>
    <xf numFmtId="0" fontId="19" fillId="12" borderId="17" xfId="0" applyFont="1" applyFill="1" applyBorder="1" applyAlignment="1">
      <alignment horizontal="center" vertical="center" wrapText="1" readingOrder="1"/>
    </xf>
    <xf numFmtId="0" fontId="19" fillId="12" borderId="18" xfId="0" applyFont="1" applyFill="1" applyBorder="1" applyAlignment="1">
      <alignment horizontal="center" vertical="center" wrapText="1" readingOrder="1"/>
    </xf>
    <xf numFmtId="0" fontId="19" fillId="12" borderId="19" xfId="0" applyFont="1" applyFill="1" applyBorder="1" applyAlignment="1">
      <alignment horizontal="center" vertical="center" wrapText="1" readingOrder="1"/>
    </xf>
    <xf numFmtId="0" fontId="19" fillId="12" borderId="20"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14" xfId="0" applyFont="1" applyFill="1" applyBorder="1" applyAlignment="1">
      <alignment horizontal="center" vertical="center" wrapText="1" readingOrder="1"/>
    </xf>
    <xf numFmtId="0" fontId="19" fillId="11" borderId="15" xfId="0" applyFont="1" applyFill="1" applyBorder="1" applyAlignment="1">
      <alignment horizontal="center" vertical="center" wrapText="1" readingOrder="1"/>
    </xf>
    <xf numFmtId="0" fontId="19" fillId="11" borderId="16" xfId="0" applyFont="1" applyFill="1" applyBorder="1" applyAlignment="1">
      <alignment horizontal="center" vertical="center" wrapText="1" readingOrder="1"/>
    </xf>
    <xf numFmtId="0" fontId="19" fillId="11" borderId="0" xfId="0" applyFont="1" applyFill="1" applyAlignment="1">
      <alignment horizontal="center" vertical="center" wrapText="1" readingOrder="1"/>
    </xf>
    <xf numFmtId="0" fontId="19" fillId="11" borderId="17" xfId="0" applyFont="1" applyFill="1" applyBorder="1" applyAlignment="1">
      <alignment horizontal="center" vertical="center" wrapText="1" readingOrder="1"/>
    </xf>
    <xf numFmtId="0" fontId="19" fillId="11" borderId="18" xfId="0" applyFont="1" applyFill="1" applyBorder="1" applyAlignment="1">
      <alignment horizontal="center" vertical="center" wrapText="1" readingOrder="1"/>
    </xf>
    <xf numFmtId="0" fontId="19" fillId="11" borderId="19"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3" borderId="13" xfId="0" applyFont="1" applyFill="1" applyBorder="1" applyAlignment="1">
      <alignment horizontal="center" vertical="center" wrapText="1" readingOrder="1"/>
    </xf>
    <xf numFmtId="0" fontId="19" fillId="13" borderId="14" xfId="0" applyFont="1" applyFill="1" applyBorder="1" applyAlignment="1">
      <alignment horizontal="center" vertical="center" wrapText="1" readingOrder="1"/>
    </xf>
    <xf numFmtId="0" fontId="19" fillId="13" borderId="15" xfId="0" applyFont="1" applyFill="1" applyBorder="1" applyAlignment="1">
      <alignment horizontal="center" vertical="center" wrapText="1" readingOrder="1"/>
    </xf>
    <xf numFmtId="0" fontId="19" fillId="13" borderId="16" xfId="0" applyFont="1" applyFill="1" applyBorder="1" applyAlignment="1">
      <alignment horizontal="center" vertical="center" wrapText="1" readingOrder="1"/>
    </xf>
    <xf numFmtId="0" fontId="19" fillId="13" borderId="0" xfId="0" applyFont="1" applyFill="1" applyAlignment="1">
      <alignment horizontal="center" vertical="center" wrapText="1" readingOrder="1"/>
    </xf>
    <xf numFmtId="0" fontId="19" fillId="13" borderId="17"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9"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5" borderId="13" xfId="0" applyFont="1" applyFill="1" applyBorder="1" applyAlignment="1">
      <alignment horizontal="center" vertical="center" wrapText="1" readingOrder="1"/>
    </xf>
    <xf numFmtId="0" fontId="19" fillId="5" borderId="14" xfId="0" applyFont="1" applyFill="1" applyBorder="1" applyAlignment="1">
      <alignment horizontal="center" vertical="center" wrapText="1" readingOrder="1"/>
    </xf>
    <xf numFmtId="0" fontId="19" fillId="5" borderId="15" xfId="0" applyFont="1" applyFill="1" applyBorder="1" applyAlignment="1">
      <alignment horizontal="center" vertical="center" wrapText="1" readingOrder="1"/>
    </xf>
    <xf numFmtId="0" fontId="19" fillId="5" borderId="16" xfId="0" applyFont="1" applyFill="1" applyBorder="1" applyAlignment="1">
      <alignment horizontal="center" vertical="center" wrapText="1" readingOrder="1"/>
    </xf>
    <xf numFmtId="0" fontId="19" fillId="5" borderId="0" xfId="0" applyFont="1" applyFill="1" applyAlignment="1">
      <alignment horizontal="center" vertical="center" wrapText="1" readingOrder="1"/>
    </xf>
    <xf numFmtId="0" fontId="19" fillId="5" borderId="17" xfId="0" applyFont="1" applyFill="1" applyBorder="1" applyAlignment="1">
      <alignment horizontal="center" vertical="center" wrapText="1" readingOrder="1"/>
    </xf>
    <xf numFmtId="0" fontId="19" fillId="5" borderId="18" xfId="0" applyFont="1" applyFill="1" applyBorder="1" applyAlignment="1">
      <alignment horizontal="center" vertical="center" wrapText="1" readingOrder="1"/>
    </xf>
    <xf numFmtId="0" fontId="19" fillId="5" borderId="19"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38" fillId="0" borderId="5" xfId="0" applyFont="1" applyBorder="1" applyAlignment="1">
      <alignment horizontal="center" vertical="center" wrapText="1"/>
    </xf>
    <xf numFmtId="0" fontId="38" fillId="0" borderId="12"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wrapText="1"/>
    </xf>
    <xf numFmtId="0" fontId="37" fillId="11" borderId="13" xfId="0" applyFont="1" applyFill="1" applyBorder="1" applyAlignment="1">
      <alignment horizontal="center" vertical="center" wrapText="1" readingOrder="1"/>
    </xf>
    <xf numFmtId="0" fontId="37" fillId="11" borderId="14" xfId="0" applyFont="1" applyFill="1" applyBorder="1" applyAlignment="1">
      <alignment horizontal="center" vertical="center" wrapText="1" readingOrder="1"/>
    </xf>
    <xf numFmtId="0" fontId="37" fillId="11" borderId="15" xfId="0" applyFont="1" applyFill="1" applyBorder="1" applyAlignment="1">
      <alignment horizontal="center" vertical="center" wrapText="1" readingOrder="1"/>
    </xf>
    <xf numFmtId="0" fontId="37" fillId="11" borderId="16" xfId="0" applyFont="1" applyFill="1" applyBorder="1" applyAlignment="1">
      <alignment horizontal="center" vertical="center" wrapText="1" readingOrder="1"/>
    </xf>
    <xf numFmtId="0" fontId="37" fillId="11" borderId="0" xfId="0" applyFont="1" applyFill="1" applyAlignment="1">
      <alignment horizontal="center" vertical="center" wrapText="1" readingOrder="1"/>
    </xf>
    <xf numFmtId="0" fontId="37" fillId="11" borderId="17" xfId="0" applyFont="1" applyFill="1" applyBorder="1" applyAlignment="1">
      <alignment horizontal="center" vertical="center" wrapText="1" readingOrder="1"/>
    </xf>
    <xf numFmtId="0" fontId="37" fillId="11" borderId="18" xfId="0" applyFont="1" applyFill="1" applyBorder="1" applyAlignment="1">
      <alignment horizontal="center" vertical="center" wrapText="1" readingOrder="1"/>
    </xf>
    <xf numFmtId="0" fontId="37" fillId="11" borderId="19" xfId="0" applyFont="1" applyFill="1" applyBorder="1" applyAlignment="1">
      <alignment horizontal="center" vertical="center" wrapText="1" readingOrder="1"/>
    </xf>
    <xf numFmtId="0" fontId="37" fillId="11" borderId="20" xfId="0" applyFont="1" applyFill="1" applyBorder="1" applyAlignment="1">
      <alignment horizontal="center" vertical="center" wrapText="1" readingOrder="1"/>
    </xf>
    <xf numFmtId="0" fontId="38" fillId="0" borderId="7" xfId="0" applyFont="1" applyBorder="1" applyAlignment="1">
      <alignment horizontal="center" vertical="center" wrapText="1"/>
    </xf>
    <xf numFmtId="0" fontId="37" fillId="12" borderId="13" xfId="0" applyFont="1" applyFill="1" applyBorder="1" applyAlignment="1">
      <alignment horizontal="center" vertical="center" wrapText="1" readingOrder="1"/>
    </xf>
    <xf numFmtId="0" fontId="37" fillId="12" borderId="14" xfId="0" applyFont="1" applyFill="1" applyBorder="1" applyAlignment="1">
      <alignment horizontal="center" vertical="center" wrapText="1" readingOrder="1"/>
    </xf>
    <xf numFmtId="0" fontId="37" fillId="12" borderId="15" xfId="0" applyFont="1" applyFill="1" applyBorder="1" applyAlignment="1">
      <alignment horizontal="center" vertical="center" wrapText="1" readingOrder="1"/>
    </xf>
    <xf numFmtId="0" fontId="37" fillId="12" borderId="16" xfId="0" applyFont="1" applyFill="1" applyBorder="1" applyAlignment="1">
      <alignment horizontal="center" vertical="center" wrapText="1" readingOrder="1"/>
    </xf>
    <xf numFmtId="0" fontId="37" fillId="12" borderId="0" xfId="0" applyFont="1" applyFill="1" applyAlignment="1">
      <alignment horizontal="center" vertical="center" wrapText="1" readingOrder="1"/>
    </xf>
    <xf numFmtId="0" fontId="37" fillId="12" borderId="17" xfId="0" applyFont="1" applyFill="1" applyBorder="1" applyAlignment="1">
      <alignment horizontal="center" vertical="center" wrapText="1" readingOrder="1"/>
    </xf>
    <xf numFmtId="0" fontId="37" fillId="12" borderId="18" xfId="0" applyFont="1" applyFill="1" applyBorder="1" applyAlignment="1">
      <alignment horizontal="center" vertical="center" wrapText="1" readingOrder="1"/>
    </xf>
    <xf numFmtId="0" fontId="37" fillId="12" borderId="19" xfId="0" applyFont="1" applyFill="1" applyBorder="1" applyAlignment="1">
      <alignment horizontal="center" vertical="center" wrapText="1" readingOrder="1"/>
    </xf>
    <xf numFmtId="0" fontId="37" fillId="12" borderId="20" xfId="0" applyFont="1" applyFill="1" applyBorder="1" applyAlignment="1">
      <alignment horizontal="center" vertical="center" wrapText="1" readingOrder="1"/>
    </xf>
    <xf numFmtId="0" fontId="90" fillId="26" borderId="0" xfId="0" applyFont="1" applyFill="1" applyAlignment="1">
      <alignment horizontal="center" vertical="center" wrapText="1"/>
    </xf>
    <xf numFmtId="0" fontId="21" fillId="26" borderId="0" xfId="0" applyFont="1" applyFill="1" applyAlignment="1">
      <alignment horizontal="center" vertical="center" wrapText="1"/>
    </xf>
    <xf numFmtId="0" fontId="37" fillId="5" borderId="13" xfId="0" applyFont="1" applyFill="1" applyBorder="1" applyAlignment="1">
      <alignment horizontal="center" vertical="center" wrapText="1" readingOrder="1"/>
    </xf>
    <xf numFmtId="0" fontId="37" fillId="5" borderId="14" xfId="0" applyFont="1" applyFill="1" applyBorder="1" applyAlignment="1">
      <alignment horizontal="center" vertical="center" wrapText="1" readingOrder="1"/>
    </xf>
    <xf numFmtId="0" fontId="37" fillId="5" borderId="15" xfId="0" applyFont="1" applyFill="1" applyBorder="1" applyAlignment="1">
      <alignment horizontal="center" vertical="center" wrapText="1" readingOrder="1"/>
    </xf>
    <xf numFmtId="0" fontId="37" fillId="5" borderId="16" xfId="0" applyFont="1" applyFill="1" applyBorder="1" applyAlignment="1">
      <alignment horizontal="center" vertical="center" wrapText="1" readingOrder="1"/>
    </xf>
    <xf numFmtId="0" fontId="37" fillId="5" borderId="0" xfId="0" applyFont="1" applyFill="1" applyAlignment="1">
      <alignment horizontal="center" vertical="center" wrapText="1" readingOrder="1"/>
    </xf>
    <xf numFmtId="0" fontId="37" fillId="5" borderId="17" xfId="0" applyFont="1" applyFill="1" applyBorder="1" applyAlignment="1">
      <alignment horizontal="center" vertical="center" wrapText="1" readingOrder="1"/>
    </xf>
    <xf numFmtId="0" fontId="37" fillId="5" borderId="18" xfId="0" applyFont="1" applyFill="1" applyBorder="1" applyAlignment="1">
      <alignment horizontal="center" vertical="center" wrapText="1" readingOrder="1"/>
    </xf>
    <xf numFmtId="0" fontId="37" fillId="5" borderId="19" xfId="0" applyFont="1" applyFill="1" applyBorder="1" applyAlignment="1">
      <alignment horizontal="center" vertical="center" wrapText="1" readingOrder="1"/>
    </xf>
    <xf numFmtId="0" fontId="37" fillId="5" borderId="20" xfId="0" applyFont="1" applyFill="1" applyBorder="1" applyAlignment="1">
      <alignment horizontal="center" vertical="center" wrapText="1" readingOrder="1"/>
    </xf>
    <xf numFmtId="0" fontId="37" fillId="13" borderId="13" xfId="0" applyFont="1" applyFill="1" applyBorder="1" applyAlignment="1">
      <alignment horizontal="center" vertical="center" wrapText="1" readingOrder="1"/>
    </xf>
    <xf numFmtId="0" fontId="37" fillId="13" borderId="14" xfId="0" applyFont="1" applyFill="1" applyBorder="1" applyAlignment="1">
      <alignment horizontal="center" vertical="center" wrapText="1" readingOrder="1"/>
    </xf>
    <xf numFmtId="0" fontId="37" fillId="13" borderId="15" xfId="0" applyFont="1" applyFill="1" applyBorder="1" applyAlignment="1">
      <alignment horizontal="center" vertical="center" wrapText="1" readingOrder="1"/>
    </xf>
    <xf numFmtId="0" fontId="37" fillId="13" borderId="16" xfId="0" applyFont="1" applyFill="1" applyBorder="1" applyAlignment="1">
      <alignment horizontal="center" vertical="center" wrapText="1" readingOrder="1"/>
    </xf>
    <xf numFmtId="0" fontId="37" fillId="13" borderId="0" xfId="0" applyFont="1" applyFill="1" applyAlignment="1">
      <alignment horizontal="center" vertical="center" wrapText="1" readingOrder="1"/>
    </xf>
    <xf numFmtId="0" fontId="37" fillId="13" borderId="17" xfId="0" applyFont="1" applyFill="1" applyBorder="1" applyAlignment="1">
      <alignment horizontal="center" vertical="center" wrapText="1" readingOrder="1"/>
    </xf>
    <xf numFmtId="0" fontId="37" fillId="13" borderId="18" xfId="0" applyFont="1" applyFill="1" applyBorder="1" applyAlignment="1">
      <alignment horizontal="center" vertical="center" wrapText="1" readingOrder="1"/>
    </xf>
    <xf numFmtId="0" fontId="37" fillId="13" borderId="19" xfId="0" applyFont="1" applyFill="1" applyBorder="1" applyAlignment="1">
      <alignment horizontal="center" vertical="center" wrapText="1" readingOrder="1"/>
    </xf>
    <xf numFmtId="0" fontId="37" fillId="13" borderId="20" xfId="0" applyFont="1" applyFill="1" applyBorder="1" applyAlignment="1">
      <alignment horizontal="center" vertical="center" wrapText="1" readingOrder="1"/>
    </xf>
    <xf numFmtId="0" fontId="81" fillId="29" borderId="92" xfId="0" applyFont="1" applyFill="1" applyBorder="1" applyAlignment="1">
      <alignment horizontal="center" vertical="center" wrapText="1"/>
    </xf>
    <xf numFmtId="0" fontId="71" fillId="0" borderId="22" xfId="0" applyFont="1" applyBorder="1" applyAlignment="1">
      <alignment horizontal="left" vertical="center" wrapText="1"/>
    </xf>
    <xf numFmtId="0" fontId="72" fillId="16" borderId="24" xfId="0" applyFont="1" applyFill="1" applyBorder="1" applyAlignment="1">
      <alignment horizontal="center" vertical="center" wrapText="1"/>
    </xf>
    <xf numFmtId="0" fontId="72" fillId="16" borderId="25" xfId="0" applyFont="1" applyFill="1" applyBorder="1" applyAlignment="1">
      <alignment horizontal="center" vertical="center" wrapText="1"/>
    </xf>
    <xf numFmtId="0" fontId="72" fillId="16" borderId="36" xfId="0" applyFont="1" applyFill="1" applyBorder="1" applyAlignment="1">
      <alignment horizontal="center" vertical="center" wrapText="1"/>
    </xf>
    <xf numFmtId="0" fontId="73" fillId="16" borderId="73" xfId="0" applyFont="1" applyFill="1" applyBorder="1" applyAlignment="1">
      <alignment horizontal="center" vertical="center" wrapText="1"/>
    </xf>
    <xf numFmtId="0" fontId="73" fillId="16" borderId="28" xfId="0" applyFont="1" applyFill="1" applyBorder="1" applyAlignment="1">
      <alignment horizontal="center" vertical="center" wrapText="1"/>
    </xf>
    <xf numFmtId="0" fontId="73" fillId="16" borderId="74" xfId="0" applyFont="1" applyFill="1" applyBorder="1" applyAlignment="1">
      <alignment horizontal="center" vertical="center" wrapText="1"/>
    </xf>
    <xf numFmtId="0" fontId="73" fillId="16" borderId="29" xfId="0" applyFont="1" applyFill="1" applyBorder="1" applyAlignment="1">
      <alignment horizontal="center" vertical="center" wrapText="1"/>
    </xf>
    <xf numFmtId="0" fontId="73" fillId="16" borderId="75" xfId="0" applyFont="1" applyFill="1" applyBorder="1" applyAlignment="1">
      <alignment horizontal="center" vertical="center" wrapText="1"/>
    </xf>
    <xf numFmtId="0" fontId="71" fillId="0" borderId="74" xfId="0" applyFont="1" applyBorder="1" applyAlignment="1">
      <alignment horizontal="left" vertical="center" wrapText="1"/>
    </xf>
    <xf numFmtId="0" fontId="74" fillId="21" borderId="34" xfId="0" applyFont="1" applyFill="1" applyBorder="1" applyAlignment="1">
      <alignment horizontal="center" vertical="center" wrapText="1"/>
    </xf>
    <xf numFmtId="0" fontId="74" fillId="21" borderId="35" xfId="0" applyFont="1" applyFill="1" applyBorder="1" applyAlignment="1">
      <alignment horizontal="center" vertical="center" wrapText="1"/>
    </xf>
    <xf numFmtId="0" fontId="71" fillId="0" borderId="0" xfId="0" applyFont="1" applyAlignment="1">
      <alignment horizontal="left" vertical="center" wrapText="1"/>
    </xf>
    <xf numFmtId="0" fontId="71" fillId="0" borderId="0" xfId="0" applyFont="1" applyAlignment="1">
      <alignment horizontal="center" vertical="center" wrapText="1"/>
    </xf>
    <xf numFmtId="0" fontId="71" fillId="0" borderId="76" xfId="0" applyFont="1" applyBorder="1" applyAlignment="1">
      <alignment horizontal="left" vertical="center" wrapText="1"/>
    </xf>
    <xf numFmtId="0" fontId="74" fillId="21" borderId="33" xfId="0" applyFont="1" applyFill="1" applyBorder="1" applyAlignment="1">
      <alignment horizontal="center" vertical="center" wrapText="1"/>
    </xf>
    <xf numFmtId="0" fontId="81" fillId="17" borderId="91" xfId="0" applyFont="1" applyFill="1" applyBorder="1" applyAlignment="1">
      <alignment horizontal="center" vertical="center" wrapText="1"/>
    </xf>
    <xf numFmtId="0" fontId="81" fillId="17" borderId="92" xfId="0" applyFont="1" applyFill="1" applyBorder="1" applyAlignment="1">
      <alignment horizontal="center" vertical="center" wrapText="1"/>
    </xf>
    <xf numFmtId="0" fontId="81" fillId="17" borderId="90" xfId="0" applyFont="1" applyFill="1" applyBorder="1" applyAlignment="1">
      <alignment horizontal="center" vertical="center" wrapText="1"/>
    </xf>
    <xf numFmtId="0" fontId="81" fillId="21" borderId="106" xfId="0" applyFont="1" applyFill="1" applyBorder="1" applyAlignment="1">
      <alignment horizontal="center" vertical="center" wrapText="1"/>
    </xf>
    <xf numFmtId="0" fontId="81" fillId="21" borderId="108" xfId="0" applyFont="1" applyFill="1" applyBorder="1" applyAlignment="1">
      <alignment horizontal="center" vertical="center" wrapText="1"/>
    </xf>
    <xf numFmtId="0" fontId="21" fillId="0" borderId="0" xfId="0" applyFont="1" applyAlignment="1">
      <alignment horizontal="center" vertical="center"/>
    </xf>
    <xf numFmtId="0" fontId="40" fillId="0" borderId="0" xfId="0" applyFont="1" applyAlignment="1">
      <alignment horizontal="center" vertical="center"/>
    </xf>
    <xf numFmtId="0" fontId="75" fillId="16" borderId="82" xfId="0" applyFont="1" applyFill="1" applyBorder="1" applyAlignment="1">
      <alignment horizontal="center" vertical="center" wrapText="1"/>
    </xf>
    <xf numFmtId="0" fontId="75" fillId="16" borderId="80" xfId="0" applyFont="1" applyFill="1" applyBorder="1" applyAlignment="1">
      <alignment horizontal="center" vertical="center" wrapText="1"/>
    </xf>
    <xf numFmtId="0" fontId="75" fillId="16" borderId="78" xfId="0" applyFont="1" applyFill="1" applyBorder="1" applyAlignment="1">
      <alignment horizontal="center" vertical="center" wrapText="1"/>
    </xf>
    <xf numFmtId="0" fontId="76" fillId="0" borderId="82" xfId="0" applyFont="1" applyBorder="1" applyAlignment="1">
      <alignment horizontal="justify" vertical="center" wrapText="1"/>
    </xf>
    <xf numFmtId="0" fontId="76" fillId="0" borderId="80" xfId="0" applyFont="1" applyBorder="1" applyAlignment="1">
      <alignment horizontal="justify" vertical="center" wrapText="1"/>
    </xf>
    <xf numFmtId="0" fontId="76" fillId="0" borderId="78" xfId="0" applyFont="1" applyBorder="1" applyAlignment="1">
      <alignment horizontal="justify" vertical="center" wrapText="1"/>
    </xf>
    <xf numFmtId="0" fontId="36" fillId="15" borderId="24" xfId="0" applyFont="1" applyFill="1" applyBorder="1" applyAlignment="1">
      <alignment horizontal="center" vertical="center" wrapText="1" readingOrder="1"/>
    </xf>
    <xf numFmtId="0" fontId="36" fillId="15" borderId="25" xfId="0" applyFont="1" applyFill="1" applyBorder="1" applyAlignment="1">
      <alignment horizontal="center" vertical="center" wrapText="1" readingOrder="1"/>
    </xf>
    <xf numFmtId="0" fontId="36" fillId="15" borderId="36"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33" xfId="0" applyFont="1" applyFill="1" applyBorder="1" applyAlignment="1">
      <alignment horizontal="center" vertical="center" wrapText="1" readingOrder="1"/>
    </xf>
    <xf numFmtId="0" fontId="33" fillId="15" borderId="34" xfId="0" applyFont="1" applyFill="1" applyBorder="1" applyAlignment="1">
      <alignment horizontal="center" vertical="center" wrapText="1" readingOrder="1"/>
    </xf>
    <xf numFmtId="0" fontId="33" fillId="3" borderId="31" xfId="0" applyFont="1" applyFill="1" applyBorder="1" applyAlignment="1">
      <alignment horizontal="center" vertical="center" wrapText="1" readingOrder="1"/>
    </xf>
    <xf numFmtId="0" fontId="33" fillId="3" borderId="26" xfId="0" applyFont="1" applyFill="1" applyBorder="1" applyAlignment="1">
      <alignment horizontal="center" vertical="center" wrapText="1" readingOrder="1"/>
    </xf>
    <xf numFmtId="0" fontId="33" fillId="3" borderId="23"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cellXfs>
  <cellStyles count="7">
    <cellStyle name="Moneda" xfId="5" builtinId="4"/>
    <cellStyle name="Moneda 2" xfId="6" xr:uid="{00000000-0005-0000-0000-000001000000}"/>
    <cellStyle name="Normal" xfId="0" builtinId="0"/>
    <cellStyle name="Normal - Style1 2" xfId="2" xr:uid="{00000000-0005-0000-0000-000003000000}"/>
    <cellStyle name="Normal 2" xfId="4" xr:uid="{00000000-0005-0000-0000-000004000000}"/>
    <cellStyle name="Normal 2 2" xfId="3" xr:uid="{00000000-0005-0000-0000-000005000000}"/>
    <cellStyle name="Porcentaje" xfId="1" builtinId="5"/>
  </cellStyles>
  <dxfs count="701">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929" y="68036"/>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CC31457F-ECBC-4BF6-A295-D24C77BD3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4B130650-B5A7-4455-A04D-93F040AFD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12</xdr:col>
      <xdr:colOff>182273</xdr:colOff>
      <xdr:row>29</xdr:row>
      <xdr:rowOff>172245</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8575" y="0"/>
          <a:ext cx="9297698" cy="5696745"/>
        </a:xfrm>
        <a:prstGeom prst="rect">
          <a:avLst/>
        </a:prstGeom>
      </xdr:spPr>
    </xdr:pic>
    <xdr:clientData/>
  </xdr:twoCellAnchor>
  <xdr:twoCellAnchor editAs="oneCell">
    <xdr:from>
      <xdr:col>0</xdr:col>
      <xdr:colOff>0</xdr:colOff>
      <xdr:row>31</xdr:row>
      <xdr:rowOff>0</xdr:rowOff>
    </xdr:from>
    <xdr:to>
      <xdr:col>11</xdr:col>
      <xdr:colOff>534644</xdr:colOff>
      <xdr:row>57</xdr:row>
      <xdr:rowOff>19744</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0" y="5905500"/>
          <a:ext cx="8916644" cy="4972744"/>
        </a:xfrm>
        <a:prstGeom prst="rect">
          <a:avLst/>
        </a:prstGeom>
      </xdr:spPr>
    </xdr:pic>
    <xdr:clientData/>
  </xdr:twoCellAnchor>
  <xdr:twoCellAnchor editAs="oneCell">
    <xdr:from>
      <xdr:col>12</xdr:col>
      <xdr:colOff>733425</xdr:colOff>
      <xdr:row>0</xdr:row>
      <xdr:rowOff>28575</xdr:rowOff>
    </xdr:from>
    <xdr:to>
      <xdr:col>25</xdr:col>
      <xdr:colOff>210859</xdr:colOff>
      <xdr:row>28</xdr:row>
      <xdr:rowOff>181741</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a:stretch>
          <a:fillRect/>
        </a:stretch>
      </xdr:blipFill>
      <xdr:spPr>
        <a:xfrm>
          <a:off x="9877425" y="28575"/>
          <a:ext cx="9383434" cy="5487166"/>
        </a:xfrm>
        <a:prstGeom prst="rect">
          <a:avLst/>
        </a:prstGeom>
      </xdr:spPr>
    </xdr:pic>
    <xdr:clientData/>
  </xdr:twoCellAnchor>
  <xdr:twoCellAnchor editAs="oneCell">
    <xdr:from>
      <xdr:col>13</xdr:col>
      <xdr:colOff>0</xdr:colOff>
      <xdr:row>32</xdr:row>
      <xdr:rowOff>0</xdr:rowOff>
    </xdr:from>
    <xdr:to>
      <xdr:col>25</xdr:col>
      <xdr:colOff>429961</xdr:colOff>
      <xdr:row>62</xdr:row>
      <xdr:rowOff>38903</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a:stretch>
          <a:fillRect/>
        </a:stretch>
      </xdr:blipFill>
      <xdr:spPr>
        <a:xfrm>
          <a:off x="9906000" y="6096000"/>
          <a:ext cx="9573961" cy="57539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atalia.norato/OneDrive%20-%20uaermv/NATA%20SIG/2018/12.%20DICIEMBRE/SIG-FM-007-V7%20Formato%20Mapa%20de%20Riesgos%20de%20Proces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a.cifuentes/Downloads/DESI-FM-018-V9_Formato_Mapa_de_Riesgos_de_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K4" t="str">
            <v>Aceptar el riesgo</v>
          </cell>
        </row>
        <row r="5">
          <cell r="C5" t="str">
            <v>Corrupcion</v>
          </cell>
          <cell r="E5" t="str">
            <v>Eventos_naturales</v>
          </cell>
          <cell r="K5" t="str">
            <v>Reducir el riesgo</v>
          </cell>
        </row>
        <row r="6">
          <cell r="C6" t="str">
            <v>Seguridad_de_la_informacion</v>
          </cell>
          <cell r="E6" t="str">
            <v>Perdidas_de_los_servicios_esenciales</v>
          </cell>
          <cell r="K6" t="str">
            <v>Evitar el riesgo</v>
          </cell>
        </row>
        <row r="7">
          <cell r="E7" t="str">
            <v>Perturbacion_debida_a_la_radiacion</v>
          </cell>
          <cell r="K7" t="str">
            <v>Compartir el riesgo</v>
          </cell>
        </row>
        <row r="8">
          <cell r="E8" t="str">
            <v>Compromiso_de_la_informacion</v>
          </cell>
        </row>
        <row r="9">
          <cell r="E9" t="str">
            <v>Fallas_tecnicas</v>
          </cell>
        </row>
        <row r="10">
          <cell r="E10" t="str">
            <v>Acciones_no_autorizadas</v>
          </cell>
        </row>
        <row r="11">
          <cell r="E11" t="str">
            <v>Compromiso_de_las_funciones</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7">
      <pivotArea dataOnly="0" labelOnly="1" outline="0" fieldPosition="0">
        <references count="1">
          <reference field="0" count="1">
            <x v="1"/>
          </reference>
        </references>
      </pivotArea>
    </format>
    <format dxfId="6">
      <pivotArea dataOnly="0" labelOnly="1" outline="0" fieldPosition="0">
        <references count="2">
          <reference field="0" count="1" selected="0">
            <x v="1"/>
          </reference>
          <reference field="1" count="5">
            <x v="1"/>
            <x v="2"/>
            <x v="3"/>
            <x v="4"/>
            <x v="5"/>
          </reference>
        </references>
      </pivotArea>
    </format>
    <format dxfId="5">
      <pivotArea dataOnly="0" labelOnly="1" outline="0" fieldPosition="0">
        <references count="2">
          <reference field="0" count="1" selected="0">
            <x v="1"/>
          </reference>
          <reference field="1" count="5">
            <x v="1"/>
            <x v="2"/>
            <x v="3"/>
            <x v="4"/>
            <x v="5"/>
          </reference>
        </references>
      </pivotArea>
    </format>
    <format dxfId="4">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16"/>
  <sheetViews>
    <sheetView topLeftCell="A39" zoomScale="110" zoomScaleNormal="110" workbookViewId="0">
      <selection activeCell="B52" sqref="B52"/>
    </sheetView>
  </sheetViews>
  <sheetFormatPr baseColWidth="10" defaultColWidth="11.42578125" defaultRowHeight="15" x14ac:dyDescent="0.25"/>
  <cols>
    <col min="1" max="1" width="2.85546875" style="66" customWidth="1"/>
    <col min="2" max="3" width="24.7109375" style="66" customWidth="1"/>
    <col min="4" max="4" width="16" style="66" customWidth="1"/>
    <col min="5" max="5" width="24.7109375" style="66" customWidth="1"/>
    <col min="6" max="6" width="27.7109375" style="66" customWidth="1"/>
    <col min="7" max="8" width="24.7109375" style="66" customWidth="1"/>
    <col min="9" max="16384" width="11.42578125" style="66"/>
  </cols>
  <sheetData>
    <row r="1" spans="2:8" ht="15.75" thickBot="1" x14ac:dyDescent="0.3"/>
    <row r="2" spans="2:8" ht="18" x14ac:dyDescent="0.25">
      <c r="B2" s="301" t="s">
        <v>0</v>
      </c>
      <c r="C2" s="302"/>
      <c r="D2" s="302"/>
      <c r="E2" s="302"/>
      <c r="F2" s="302"/>
      <c r="G2" s="302"/>
      <c r="H2" s="303"/>
    </row>
    <row r="3" spans="2:8" x14ac:dyDescent="0.25">
      <c r="B3" s="67"/>
      <c r="C3" s="68"/>
      <c r="D3" s="68"/>
      <c r="E3" s="68"/>
      <c r="F3" s="68"/>
      <c r="G3" s="68"/>
      <c r="H3" s="69"/>
    </row>
    <row r="4" spans="2:8" ht="63" customHeight="1" x14ac:dyDescent="0.25">
      <c r="B4" s="304" t="s">
        <v>1</v>
      </c>
      <c r="C4" s="305"/>
      <c r="D4" s="305"/>
      <c r="E4" s="305"/>
      <c r="F4" s="305"/>
      <c r="G4" s="305"/>
      <c r="H4" s="306"/>
    </row>
    <row r="5" spans="2:8" ht="63" customHeight="1" x14ac:dyDescent="0.25">
      <c r="B5" s="307"/>
      <c r="C5" s="308"/>
      <c r="D5" s="308"/>
      <c r="E5" s="308"/>
      <c r="F5" s="308"/>
      <c r="G5" s="308"/>
      <c r="H5" s="309"/>
    </row>
    <row r="6" spans="2:8" ht="16.5" x14ac:dyDescent="0.25">
      <c r="B6" s="310" t="s">
        <v>2</v>
      </c>
      <c r="C6" s="311"/>
      <c r="D6" s="311"/>
      <c r="E6" s="311"/>
      <c r="F6" s="311"/>
      <c r="G6" s="311"/>
      <c r="H6" s="312"/>
    </row>
    <row r="7" spans="2:8" ht="95.25" customHeight="1" x14ac:dyDescent="0.25">
      <c r="B7" s="320" t="s">
        <v>3</v>
      </c>
      <c r="C7" s="321"/>
      <c r="D7" s="321"/>
      <c r="E7" s="321"/>
      <c r="F7" s="321"/>
      <c r="G7" s="321"/>
      <c r="H7" s="322"/>
    </row>
    <row r="8" spans="2:8" ht="16.5" x14ac:dyDescent="0.25">
      <c r="B8" s="101"/>
      <c r="C8" s="102"/>
      <c r="D8" s="102"/>
      <c r="E8" s="102"/>
      <c r="F8" s="102"/>
      <c r="G8" s="102"/>
      <c r="H8" s="103"/>
    </row>
    <row r="9" spans="2:8" ht="16.5" customHeight="1" x14ac:dyDescent="0.25">
      <c r="B9" s="313" t="s">
        <v>4</v>
      </c>
      <c r="C9" s="314"/>
      <c r="D9" s="314"/>
      <c r="E9" s="314"/>
      <c r="F9" s="314"/>
      <c r="G9" s="314"/>
      <c r="H9" s="315"/>
    </row>
    <row r="10" spans="2:8" ht="44.25" customHeight="1" x14ac:dyDescent="0.25">
      <c r="B10" s="313"/>
      <c r="C10" s="314"/>
      <c r="D10" s="314"/>
      <c r="E10" s="314"/>
      <c r="F10" s="314"/>
      <c r="G10" s="314"/>
      <c r="H10" s="315"/>
    </row>
    <row r="11" spans="2:8" ht="15.75" thickBot="1" x14ac:dyDescent="0.3">
      <c r="B11" s="90"/>
      <c r="C11" s="93"/>
      <c r="D11" s="98"/>
      <c r="E11" s="99"/>
      <c r="F11" s="99"/>
      <c r="G11" s="100"/>
      <c r="H11" s="94"/>
    </row>
    <row r="12" spans="2:8" ht="15.75" thickTop="1" x14ac:dyDescent="0.25">
      <c r="B12" s="90"/>
      <c r="C12" s="316" t="s">
        <v>5</v>
      </c>
      <c r="D12" s="317"/>
      <c r="E12" s="318" t="s">
        <v>6</v>
      </c>
      <c r="F12" s="319"/>
      <c r="G12" s="93"/>
      <c r="H12" s="94"/>
    </row>
    <row r="13" spans="2:8" ht="35.25" customHeight="1" x14ac:dyDescent="0.25">
      <c r="B13" s="90"/>
      <c r="C13" s="323" t="s">
        <v>7</v>
      </c>
      <c r="D13" s="324"/>
      <c r="E13" s="325" t="s">
        <v>8</v>
      </c>
      <c r="F13" s="326"/>
      <c r="G13" s="93"/>
      <c r="H13" s="94"/>
    </row>
    <row r="14" spans="2:8" ht="17.25" customHeight="1" x14ac:dyDescent="0.25">
      <c r="B14" s="90"/>
      <c r="C14" s="323" t="s">
        <v>9</v>
      </c>
      <c r="D14" s="324"/>
      <c r="E14" s="325" t="s">
        <v>10</v>
      </c>
      <c r="F14" s="326"/>
      <c r="G14" s="93"/>
      <c r="H14" s="94"/>
    </row>
    <row r="15" spans="2:8" ht="19.5" customHeight="1" x14ac:dyDescent="0.25">
      <c r="B15" s="90"/>
      <c r="C15" s="323" t="s">
        <v>11</v>
      </c>
      <c r="D15" s="324"/>
      <c r="E15" s="325" t="s">
        <v>12</v>
      </c>
      <c r="F15" s="326"/>
      <c r="G15" s="93"/>
      <c r="H15" s="94"/>
    </row>
    <row r="16" spans="2:8" ht="69.75" customHeight="1" x14ac:dyDescent="0.25">
      <c r="B16" s="90"/>
      <c r="C16" s="323" t="s">
        <v>13</v>
      </c>
      <c r="D16" s="324"/>
      <c r="E16" s="325" t="s">
        <v>14</v>
      </c>
      <c r="F16" s="326"/>
      <c r="G16" s="93"/>
      <c r="H16" s="94"/>
    </row>
    <row r="17" spans="2:8" ht="34.5" customHeight="1" x14ac:dyDescent="0.25">
      <c r="B17" s="90"/>
      <c r="C17" s="327" t="s">
        <v>15</v>
      </c>
      <c r="D17" s="328"/>
      <c r="E17" s="329" t="s">
        <v>16</v>
      </c>
      <c r="F17" s="330"/>
      <c r="G17" s="93"/>
      <c r="H17" s="94"/>
    </row>
    <row r="18" spans="2:8" ht="27.75" customHeight="1" x14ac:dyDescent="0.25">
      <c r="B18" s="90"/>
      <c r="C18" s="327" t="s">
        <v>17</v>
      </c>
      <c r="D18" s="328"/>
      <c r="E18" s="329" t="s">
        <v>18</v>
      </c>
      <c r="F18" s="330"/>
      <c r="G18" s="93"/>
      <c r="H18" s="94"/>
    </row>
    <row r="19" spans="2:8" ht="28.5" customHeight="1" x14ac:dyDescent="0.25">
      <c r="B19" s="90"/>
      <c r="C19" s="327" t="s">
        <v>19</v>
      </c>
      <c r="D19" s="328"/>
      <c r="E19" s="329" t="s">
        <v>20</v>
      </c>
      <c r="F19" s="330"/>
      <c r="G19" s="93"/>
      <c r="H19" s="94"/>
    </row>
    <row r="20" spans="2:8" ht="72.75" customHeight="1" x14ac:dyDescent="0.25">
      <c r="B20" s="90"/>
      <c r="C20" s="327" t="s">
        <v>21</v>
      </c>
      <c r="D20" s="328"/>
      <c r="E20" s="329" t="s">
        <v>22</v>
      </c>
      <c r="F20" s="330"/>
      <c r="G20" s="93"/>
      <c r="H20" s="94"/>
    </row>
    <row r="21" spans="2:8" ht="64.5" customHeight="1" x14ac:dyDescent="0.25">
      <c r="B21" s="90"/>
      <c r="C21" s="327" t="s">
        <v>23</v>
      </c>
      <c r="D21" s="328"/>
      <c r="E21" s="329" t="s">
        <v>24</v>
      </c>
      <c r="F21" s="330"/>
      <c r="G21" s="93"/>
      <c r="H21" s="94"/>
    </row>
    <row r="22" spans="2:8" ht="71.25" customHeight="1" x14ac:dyDescent="0.25">
      <c r="B22" s="90"/>
      <c r="C22" s="327" t="s">
        <v>25</v>
      </c>
      <c r="D22" s="328"/>
      <c r="E22" s="329" t="s">
        <v>26</v>
      </c>
      <c r="F22" s="330"/>
      <c r="G22" s="93"/>
      <c r="H22" s="94"/>
    </row>
    <row r="23" spans="2:8" ht="55.5" customHeight="1" x14ac:dyDescent="0.25">
      <c r="B23" s="90"/>
      <c r="C23" s="334" t="s">
        <v>27</v>
      </c>
      <c r="D23" s="335"/>
      <c r="E23" s="329" t="s">
        <v>28</v>
      </c>
      <c r="F23" s="330"/>
      <c r="G23" s="93"/>
      <c r="H23" s="94"/>
    </row>
    <row r="24" spans="2:8" ht="42" customHeight="1" x14ac:dyDescent="0.25">
      <c r="B24" s="90"/>
      <c r="C24" s="334" t="s">
        <v>29</v>
      </c>
      <c r="D24" s="335"/>
      <c r="E24" s="329" t="s">
        <v>30</v>
      </c>
      <c r="F24" s="330"/>
      <c r="G24" s="93"/>
      <c r="H24" s="94"/>
    </row>
    <row r="25" spans="2:8" ht="59.25" customHeight="1" x14ac:dyDescent="0.25">
      <c r="B25" s="90"/>
      <c r="C25" s="334" t="s">
        <v>31</v>
      </c>
      <c r="D25" s="335"/>
      <c r="E25" s="329" t="s">
        <v>32</v>
      </c>
      <c r="F25" s="330"/>
      <c r="G25" s="93"/>
      <c r="H25" s="94"/>
    </row>
    <row r="26" spans="2:8" ht="23.25" customHeight="1" x14ac:dyDescent="0.25">
      <c r="B26" s="90"/>
      <c r="C26" s="334" t="s">
        <v>33</v>
      </c>
      <c r="D26" s="335"/>
      <c r="E26" s="329" t="s">
        <v>34</v>
      </c>
      <c r="F26" s="330"/>
      <c r="G26" s="93"/>
      <c r="H26" s="94"/>
    </row>
    <row r="27" spans="2:8" ht="30.75" customHeight="1" x14ac:dyDescent="0.25">
      <c r="B27" s="90"/>
      <c r="C27" s="334" t="s">
        <v>35</v>
      </c>
      <c r="D27" s="335"/>
      <c r="E27" s="329" t="s">
        <v>36</v>
      </c>
      <c r="F27" s="330"/>
      <c r="G27" s="93"/>
      <c r="H27" s="94"/>
    </row>
    <row r="28" spans="2:8" ht="35.25" customHeight="1" x14ac:dyDescent="0.25">
      <c r="B28" s="90"/>
      <c r="C28" s="334" t="s">
        <v>37</v>
      </c>
      <c r="D28" s="335"/>
      <c r="E28" s="329" t="s">
        <v>38</v>
      </c>
      <c r="F28" s="330"/>
      <c r="G28" s="93"/>
      <c r="H28" s="94"/>
    </row>
    <row r="29" spans="2:8" ht="33" customHeight="1" x14ac:dyDescent="0.25">
      <c r="B29" s="90"/>
      <c r="C29" s="334" t="s">
        <v>37</v>
      </c>
      <c r="D29" s="335"/>
      <c r="E29" s="329" t="s">
        <v>38</v>
      </c>
      <c r="F29" s="330"/>
      <c r="G29" s="93"/>
      <c r="H29" s="94"/>
    </row>
    <row r="30" spans="2:8" ht="30" customHeight="1" x14ac:dyDescent="0.25">
      <c r="B30" s="90"/>
      <c r="C30" s="334" t="s">
        <v>39</v>
      </c>
      <c r="D30" s="335"/>
      <c r="E30" s="329" t="s">
        <v>40</v>
      </c>
      <c r="F30" s="330"/>
      <c r="G30" s="93"/>
      <c r="H30" s="94"/>
    </row>
    <row r="31" spans="2:8" ht="35.25" customHeight="1" x14ac:dyDescent="0.25">
      <c r="B31" s="90"/>
      <c r="C31" s="334" t="s">
        <v>41</v>
      </c>
      <c r="D31" s="335"/>
      <c r="E31" s="329" t="s">
        <v>42</v>
      </c>
      <c r="F31" s="330"/>
      <c r="G31" s="93"/>
      <c r="H31" s="94"/>
    </row>
    <row r="32" spans="2:8" ht="31.5" customHeight="1" x14ac:dyDescent="0.25">
      <c r="B32" s="90"/>
      <c r="C32" s="334" t="s">
        <v>43</v>
      </c>
      <c r="D32" s="335"/>
      <c r="E32" s="329" t="s">
        <v>44</v>
      </c>
      <c r="F32" s="330"/>
      <c r="G32" s="93"/>
      <c r="H32" s="94"/>
    </row>
    <row r="33" spans="2:8" ht="35.25" customHeight="1" x14ac:dyDescent="0.25">
      <c r="B33" s="90"/>
      <c r="C33" s="334" t="s">
        <v>45</v>
      </c>
      <c r="D33" s="335"/>
      <c r="E33" s="329" t="s">
        <v>46</v>
      </c>
      <c r="F33" s="330"/>
      <c r="G33" s="93"/>
      <c r="H33" s="94"/>
    </row>
    <row r="34" spans="2:8" ht="59.25" customHeight="1" x14ac:dyDescent="0.25">
      <c r="B34" s="90"/>
      <c r="C34" s="334" t="s">
        <v>47</v>
      </c>
      <c r="D34" s="335"/>
      <c r="E34" s="329" t="s">
        <v>48</v>
      </c>
      <c r="F34" s="330"/>
      <c r="G34" s="93"/>
      <c r="H34" s="94"/>
    </row>
    <row r="35" spans="2:8" ht="29.25" customHeight="1" x14ac:dyDescent="0.25">
      <c r="B35" s="90"/>
      <c r="C35" s="334" t="s">
        <v>49</v>
      </c>
      <c r="D35" s="335"/>
      <c r="E35" s="329" t="s">
        <v>50</v>
      </c>
      <c r="F35" s="330"/>
      <c r="G35" s="93"/>
      <c r="H35" s="94"/>
    </row>
    <row r="36" spans="2:8" ht="82.5" customHeight="1" x14ac:dyDescent="0.25">
      <c r="B36" s="90"/>
      <c r="C36" s="334" t="s">
        <v>51</v>
      </c>
      <c r="D36" s="335"/>
      <c r="E36" s="329" t="s">
        <v>52</v>
      </c>
      <c r="F36" s="330"/>
      <c r="G36" s="93"/>
      <c r="H36" s="94"/>
    </row>
    <row r="37" spans="2:8" ht="46.5" customHeight="1" x14ac:dyDescent="0.25">
      <c r="B37" s="90"/>
      <c r="C37" s="334" t="s">
        <v>53</v>
      </c>
      <c r="D37" s="335"/>
      <c r="E37" s="329" t="s">
        <v>54</v>
      </c>
      <c r="F37" s="330"/>
      <c r="G37" s="93"/>
      <c r="H37" s="94"/>
    </row>
    <row r="38" spans="2:8" ht="6.75" customHeight="1" thickBot="1" x14ac:dyDescent="0.3">
      <c r="B38" s="90"/>
      <c r="C38" s="336"/>
      <c r="D38" s="337"/>
      <c r="E38" s="338"/>
      <c r="F38" s="339"/>
      <c r="G38" s="93"/>
      <c r="H38" s="94"/>
    </row>
    <row r="39" spans="2:8" ht="15.75" thickTop="1" x14ac:dyDescent="0.25">
      <c r="B39" s="90"/>
      <c r="C39" s="91"/>
      <c r="D39" s="91"/>
      <c r="E39" s="92"/>
      <c r="F39" s="92"/>
      <c r="G39" s="93"/>
      <c r="H39" s="94"/>
    </row>
    <row r="40" spans="2:8" ht="21" customHeight="1" x14ac:dyDescent="0.25">
      <c r="B40" s="331" t="s">
        <v>55</v>
      </c>
      <c r="C40" s="332"/>
      <c r="D40" s="332"/>
      <c r="E40" s="332"/>
      <c r="F40" s="332"/>
      <c r="G40" s="332"/>
      <c r="H40" s="333"/>
    </row>
    <row r="41" spans="2:8" ht="20.25" customHeight="1" x14ac:dyDescent="0.25">
      <c r="B41" s="331" t="s">
        <v>56</v>
      </c>
      <c r="C41" s="332"/>
      <c r="D41" s="332"/>
      <c r="E41" s="332"/>
      <c r="F41" s="332"/>
      <c r="G41" s="332"/>
      <c r="H41" s="333"/>
    </row>
    <row r="42" spans="2:8" ht="20.25" customHeight="1" x14ac:dyDescent="0.25">
      <c r="B42" s="331" t="s">
        <v>57</v>
      </c>
      <c r="C42" s="332"/>
      <c r="D42" s="332"/>
      <c r="E42" s="332"/>
      <c r="F42" s="332"/>
      <c r="G42" s="332"/>
      <c r="H42" s="333"/>
    </row>
    <row r="43" spans="2:8" ht="20.25" customHeight="1" x14ac:dyDescent="0.25">
      <c r="B43" s="331" t="s">
        <v>58</v>
      </c>
      <c r="C43" s="332"/>
      <c r="D43" s="332"/>
      <c r="E43" s="332"/>
      <c r="F43" s="332"/>
      <c r="G43" s="332"/>
      <c r="H43" s="333"/>
    </row>
    <row r="44" spans="2:8" x14ac:dyDescent="0.25">
      <c r="B44" s="331" t="s">
        <v>59</v>
      </c>
      <c r="C44" s="332"/>
      <c r="D44" s="332"/>
      <c r="E44" s="332"/>
      <c r="F44" s="332"/>
      <c r="G44" s="332"/>
      <c r="H44" s="333"/>
    </row>
    <row r="45" spans="2:8" ht="15.75" thickBot="1" x14ac:dyDescent="0.3">
      <c r="B45" s="95"/>
      <c r="C45" s="96"/>
      <c r="D45" s="96"/>
      <c r="E45" s="96"/>
      <c r="F45" s="96"/>
      <c r="G45" s="96"/>
      <c r="H45" s="97"/>
    </row>
    <row r="47" spans="2:8" x14ac:dyDescent="0.25">
      <c r="B47" s="249" t="s">
        <v>60</v>
      </c>
    </row>
    <row r="48" spans="2:8" x14ac:dyDescent="0.25">
      <c r="B48" s="66" t="s">
        <v>61</v>
      </c>
    </row>
    <row r="49" spans="2:6" ht="25.5" x14ac:dyDescent="0.25">
      <c r="B49" s="241" t="s">
        <v>62</v>
      </c>
      <c r="C49" s="241" t="s">
        <v>63</v>
      </c>
      <c r="D49" s="241" t="s">
        <v>64</v>
      </c>
      <c r="E49" s="242" t="s">
        <v>65</v>
      </c>
      <c r="F49" s="243" t="s">
        <v>66</v>
      </c>
    </row>
    <row r="50" spans="2:6" x14ac:dyDescent="0.25">
      <c r="B50" s="244" t="s">
        <v>67</v>
      </c>
      <c r="C50" s="244" t="s">
        <v>68</v>
      </c>
      <c r="D50" s="245">
        <v>44957</v>
      </c>
      <c r="E50" s="244" t="s">
        <v>68</v>
      </c>
      <c r="F50" s="244" t="s">
        <v>68</v>
      </c>
    </row>
    <row r="51" spans="2:6" ht="30" x14ac:dyDescent="0.25">
      <c r="B51" s="244" t="s">
        <v>69</v>
      </c>
      <c r="C51" s="244" t="s">
        <v>70</v>
      </c>
      <c r="D51" s="245">
        <v>45016</v>
      </c>
      <c r="E51" s="244" t="s">
        <v>71</v>
      </c>
      <c r="F51" s="246" t="s">
        <v>72</v>
      </c>
    </row>
    <row r="300" spans="3:3" ht="31.5" x14ac:dyDescent="0.25">
      <c r="C300" s="170" t="s">
        <v>73</v>
      </c>
    </row>
    <row r="301" spans="3:3" ht="47.25" x14ac:dyDescent="0.25">
      <c r="C301" s="170" t="s">
        <v>74</v>
      </c>
    </row>
    <row r="302" spans="3:3" ht="31.5" x14ac:dyDescent="0.25">
      <c r="C302" s="171" t="s">
        <v>75</v>
      </c>
    </row>
    <row r="303" spans="3:3" ht="31.5" x14ac:dyDescent="0.25">
      <c r="C303" s="170" t="s">
        <v>76</v>
      </c>
    </row>
    <row r="304" spans="3:3" ht="47.25" x14ac:dyDescent="0.25">
      <c r="C304" s="170" t="s">
        <v>77</v>
      </c>
    </row>
    <row r="305" spans="3:3" ht="31.5" x14ac:dyDescent="0.25">
      <c r="C305" s="170" t="s">
        <v>78</v>
      </c>
    </row>
    <row r="306" spans="3:3" ht="47.25" x14ac:dyDescent="0.25">
      <c r="C306" s="171" t="s">
        <v>79</v>
      </c>
    </row>
    <row r="307" spans="3:3" ht="31.5" x14ac:dyDescent="0.25">
      <c r="C307" s="170" t="s">
        <v>80</v>
      </c>
    </row>
    <row r="308" spans="3:3" ht="15.75" x14ac:dyDescent="0.25">
      <c r="C308" s="170" t="s">
        <v>81</v>
      </c>
    </row>
    <row r="309" spans="3:3" ht="15.75" x14ac:dyDescent="0.25">
      <c r="C309" s="170" t="s">
        <v>82</v>
      </c>
    </row>
    <row r="310" spans="3:3" ht="31.5" x14ac:dyDescent="0.25">
      <c r="C310" s="170" t="s">
        <v>83</v>
      </c>
    </row>
    <row r="311" spans="3:3" ht="31.5" x14ac:dyDescent="0.25">
      <c r="C311" s="170" t="s">
        <v>84</v>
      </c>
    </row>
    <row r="312" spans="3:3" ht="15.75" x14ac:dyDescent="0.25">
      <c r="C312" s="170" t="s">
        <v>85</v>
      </c>
    </row>
    <row r="313" spans="3:3" ht="15.75" x14ac:dyDescent="0.25">
      <c r="C313" s="170" t="s">
        <v>86</v>
      </c>
    </row>
    <row r="314" spans="3:3" ht="15.75" x14ac:dyDescent="0.25">
      <c r="C314" s="170" t="s">
        <v>87</v>
      </c>
    </row>
    <row r="315" spans="3:3" ht="31.5" x14ac:dyDescent="0.25">
      <c r="C315" s="170" t="s">
        <v>88</v>
      </c>
    </row>
    <row r="316" spans="3:3" ht="31.5" x14ac:dyDescent="0.25">
      <c r="C316" s="170" t="s">
        <v>89</v>
      </c>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honeticPr fontId="88"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55"/>
  <sheetViews>
    <sheetView zoomScale="90" zoomScaleNormal="90" workbookViewId="0">
      <selection activeCell="B7" sqref="B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6"/>
      <c r="B1" s="619" t="s">
        <v>313</v>
      </c>
      <c r="C1" s="619"/>
      <c r="D1" s="619"/>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7"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7" ht="25.5" x14ac:dyDescent="0.25">
      <c r="A3" s="66"/>
      <c r="B3" s="3"/>
      <c r="C3" s="4" t="s">
        <v>314</v>
      </c>
      <c r="D3" s="4" t="s">
        <v>264</v>
      </c>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1:37" ht="51" x14ac:dyDescent="0.25">
      <c r="A4" s="66"/>
      <c r="B4" s="5" t="s">
        <v>315</v>
      </c>
      <c r="C4" s="6" t="s">
        <v>316</v>
      </c>
      <c r="D4" s="7">
        <v>0.2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7" ht="51" x14ac:dyDescent="0.25">
      <c r="A5" s="66"/>
      <c r="B5" s="8" t="s">
        <v>317</v>
      </c>
      <c r="C5" s="9" t="s">
        <v>318</v>
      </c>
      <c r="D5" s="10">
        <v>0.4</v>
      </c>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7" ht="51" x14ac:dyDescent="0.25">
      <c r="A6" s="66"/>
      <c r="B6" s="11" t="s">
        <v>319</v>
      </c>
      <c r="C6" s="9" t="s">
        <v>320</v>
      </c>
      <c r="D6" s="10">
        <v>0.6</v>
      </c>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7" ht="76.5" x14ac:dyDescent="0.25">
      <c r="A7" s="66"/>
      <c r="B7" s="12" t="s">
        <v>321</v>
      </c>
      <c r="C7" s="9" t="s">
        <v>322</v>
      </c>
      <c r="D7" s="10">
        <v>0.8</v>
      </c>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7" ht="51" x14ac:dyDescent="0.25">
      <c r="A8" s="66"/>
      <c r="B8" s="13" t="s">
        <v>323</v>
      </c>
      <c r="C8" s="9" t="s">
        <v>324</v>
      </c>
      <c r="D8" s="10">
        <v>1</v>
      </c>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7" x14ac:dyDescent="0.25">
      <c r="A9" s="66"/>
      <c r="B9" s="88"/>
      <c r="C9" s="88"/>
      <c r="D9" s="88"/>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row>
    <row r="10" spans="1:37" ht="16.5" x14ac:dyDescent="0.25">
      <c r="A10" s="66"/>
      <c r="B10" s="89"/>
      <c r="C10" s="88"/>
      <c r="D10" s="88"/>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row>
    <row r="11" spans="1:37" x14ac:dyDescent="0.25">
      <c r="A11" s="66"/>
      <c r="B11" s="88"/>
      <c r="C11" s="88"/>
      <c r="D11" s="88"/>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row>
    <row r="12" spans="1:37" x14ac:dyDescent="0.25">
      <c r="A12" s="66"/>
      <c r="B12" s="88"/>
      <c r="C12" s="88"/>
      <c r="D12" s="88"/>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row>
    <row r="13" spans="1:37" x14ac:dyDescent="0.25">
      <c r="A13" s="66"/>
      <c r="B13" s="88"/>
      <c r="C13" s="88"/>
      <c r="D13" s="88"/>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row>
    <row r="14" spans="1:37" x14ac:dyDescent="0.25">
      <c r="A14" s="66"/>
      <c r="B14" s="88"/>
      <c r="C14" s="88"/>
      <c r="D14" s="88"/>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row>
    <row r="15" spans="1:37" x14ac:dyDescent="0.25">
      <c r="A15" s="66"/>
      <c r="B15" s="88"/>
      <c r="C15" s="88"/>
      <c r="D15" s="88"/>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row>
    <row r="16" spans="1:37" x14ac:dyDescent="0.25">
      <c r="A16" s="66"/>
      <c r="B16" s="88"/>
      <c r="C16" s="88"/>
      <c r="D16" s="88"/>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row>
    <row r="17" spans="1:37" x14ac:dyDescent="0.25">
      <c r="A17" s="66"/>
      <c r="B17" s="88"/>
      <c r="C17" s="88"/>
      <c r="D17" s="88"/>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row>
    <row r="18" spans="1:37" x14ac:dyDescent="0.25">
      <c r="A18" s="66"/>
      <c r="B18" s="88"/>
      <c r="C18" s="88"/>
      <c r="D18" s="88"/>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row>
    <row r="19" spans="1:37"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row>
    <row r="20" spans="1:37"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row>
    <row r="21" spans="1:37"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row>
    <row r="22" spans="1:37"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row>
    <row r="23" spans="1:37"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row>
    <row r="24" spans="1:37"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row>
    <row r="25" spans="1:37"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row>
    <row r="26" spans="1:37"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row>
    <row r="29" spans="1:37"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row>
    <row r="30" spans="1:37"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37"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row>
    <row r="32" spans="1:37"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row>
    <row r="33" spans="1:31" x14ac:dyDescent="0.25">
      <c r="A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x14ac:dyDescent="0.25">
      <c r="A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x14ac:dyDescent="0.25">
      <c r="A35" s="66"/>
    </row>
    <row r="36" spans="1:31" x14ac:dyDescent="0.25">
      <c r="A36" s="66"/>
    </row>
    <row r="37" spans="1:31" x14ac:dyDescent="0.25">
      <c r="A37" s="66"/>
    </row>
    <row r="38" spans="1:31" x14ac:dyDescent="0.25">
      <c r="A38" s="66"/>
    </row>
    <row r="39" spans="1:31" x14ac:dyDescent="0.25">
      <c r="A39" s="66"/>
    </row>
    <row r="40" spans="1:31" x14ac:dyDescent="0.25">
      <c r="A40" s="66"/>
    </row>
    <row r="41" spans="1:31" x14ac:dyDescent="0.25">
      <c r="A41" s="66"/>
    </row>
    <row r="42" spans="1:31" x14ac:dyDescent="0.25">
      <c r="A42" s="66"/>
    </row>
    <row r="43" spans="1:31" x14ac:dyDescent="0.25">
      <c r="A43" s="66"/>
    </row>
    <row r="44" spans="1:31" x14ac:dyDescent="0.25">
      <c r="A44" s="66"/>
    </row>
    <row r="45" spans="1:31" x14ac:dyDescent="0.25">
      <c r="A45" s="66"/>
    </row>
    <row r="46" spans="1:31" x14ac:dyDescent="0.25">
      <c r="A46" s="66"/>
    </row>
    <row r="47" spans="1:31" x14ac:dyDescent="0.25">
      <c r="A47" s="66"/>
    </row>
    <row r="48" spans="1:31" x14ac:dyDescent="0.25">
      <c r="A48" s="66"/>
    </row>
    <row r="49" spans="1:1" x14ac:dyDescent="0.25">
      <c r="A49" s="66"/>
    </row>
    <row r="50" spans="1:1" x14ac:dyDescent="0.25">
      <c r="A50" s="66"/>
    </row>
    <row r="51" spans="1:1" x14ac:dyDescent="0.25">
      <c r="A51" s="66"/>
    </row>
    <row r="52" spans="1:1" x14ac:dyDescent="0.25">
      <c r="A52" s="66"/>
    </row>
    <row r="53" spans="1:1" x14ac:dyDescent="0.25">
      <c r="A53" s="66"/>
    </row>
    <row r="54" spans="1:1" x14ac:dyDescent="0.25">
      <c r="A54" s="66"/>
    </row>
    <row r="55" spans="1:1" x14ac:dyDescent="0.25">
      <c r="A55" s="66"/>
    </row>
  </sheetData>
  <mergeCells count="1">
    <mergeCell ref="B1:D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U233"/>
  <sheetViews>
    <sheetView zoomScale="50" zoomScaleNormal="50" workbookViewId="0">
      <selection activeCell="F218" sqref="F218:F222"/>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23.42578125" style="114" customWidth="1"/>
    <col min="7" max="7" width="26.85546875" customWidth="1"/>
  </cols>
  <sheetData>
    <row r="2" spans="1:21" s="184" customFormat="1" ht="45.75" customHeight="1" x14ac:dyDescent="0.25">
      <c r="A2" s="182"/>
      <c r="B2" s="620" t="s">
        <v>325</v>
      </c>
      <c r="C2" s="620"/>
      <c r="D2" s="620"/>
      <c r="E2" s="620"/>
      <c r="F2" s="183"/>
      <c r="G2" s="182"/>
      <c r="H2" s="182"/>
      <c r="I2" s="182"/>
      <c r="J2" s="182"/>
      <c r="K2" s="182"/>
      <c r="L2" s="182"/>
      <c r="M2" s="182"/>
      <c r="N2" s="182"/>
      <c r="O2" s="182"/>
      <c r="P2" s="182"/>
      <c r="Q2" s="182"/>
      <c r="R2" s="182"/>
      <c r="S2" s="182"/>
      <c r="T2" s="182"/>
      <c r="U2" s="182"/>
    </row>
    <row r="3" spans="1:21" s="184" customFormat="1" ht="18.75" customHeight="1" x14ac:dyDescent="0.25">
      <c r="A3" s="182"/>
      <c r="B3" s="185"/>
      <c r="C3" s="182"/>
      <c r="D3" s="182"/>
      <c r="E3" s="182"/>
      <c r="F3" s="183"/>
      <c r="G3" s="182"/>
      <c r="H3" s="182"/>
      <c r="I3" s="182"/>
      <c r="J3" s="182"/>
      <c r="K3" s="182"/>
      <c r="L3" s="182"/>
      <c r="M3" s="182"/>
      <c r="N3" s="182"/>
      <c r="O3" s="182"/>
      <c r="P3" s="182"/>
      <c r="Q3" s="182"/>
      <c r="R3" s="182"/>
      <c r="S3" s="182"/>
      <c r="T3" s="182"/>
      <c r="U3" s="182"/>
    </row>
    <row r="4" spans="1:21" ht="67.5" customHeight="1" x14ac:dyDescent="0.25">
      <c r="A4" s="66"/>
      <c r="B4" s="106"/>
      <c r="C4" s="21" t="s">
        <v>326</v>
      </c>
      <c r="D4" s="21" t="s">
        <v>327</v>
      </c>
      <c r="E4" s="21" t="s">
        <v>328</v>
      </c>
      <c r="F4" s="112"/>
      <c r="G4" s="66"/>
      <c r="H4" s="66"/>
      <c r="I4" s="66"/>
      <c r="J4" s="66"/>
      <c r="K4" s="66"/>
      <c r="L4" s="66"/>
      <c r="M4" s="66"/>
      <c r="N4" s="66"/>
      <c r="O4" s="66"/>
      <c r="P4" s="66"/>
      <c r="Q4" s="66"/>
      <c r="R4" s="66"/>
      <c r="S4" s="66"/>
      <c r="T4" s="66"/>
      <c r="U4" s="66"/>
    </row>
    <row r="5" spans="1:21" ht="67.5" customHeight="1" x14ac:dyDescent="0.25">
      <c r="A5" s="86" t="s">
        <v>329</v>
      </c>
      <c r="B5" s="22" t="s">
        <v>330</v>
      </c>
      <c r="C5" s="27" t="s">
        <v>331</v>
      </c>
      <c r="D5" s="104" t="s">
        <v>332</v>
      </c>
      <c r="E5" s="220">
        <f>908526*130</f>
        <v>118108380</v>
      </c>
      <c r="F5" s="66"/>
      <c r="G5" s="66"/>
      <c r="H5" s="66"/>
      <c r="I5" s="66"/>
      <c r="J5" s="66"/>
      <c r="K5" s="66"/>
      <c r="L5" s="66"/>
      <c r="M5" s="66"/>
      <c r="N5" s="66"/>
      <c r="O5" s="66"/>
      <c r="P5" s="66"/>
      <c r="Q5" s="66"/>
      <c r="R5" s="66"/>
      <c r="S5" s="66"/>
      <c r="T5" s="66"/>
      <c r="U5" s="66"/>
    </row>
    <row r="6" spans="1:21" ht="129" customHeight="1" x14ac:dyDescent="0.25">
      <c r="A6" s="86" t="s">
        <v>333</v>
      </c>
      <c r="B6" s="23" t="s">
        <v>334</v>
      </c>
      <c r="C6" s="28" t="s">
        <v>335</v>
      </c>
      <c r="D6" s="105" t="s">
        <v>336</v>
      </c>
      <c r="E6" s="220">
        <f>908526*650</f>
        <v>590541900</v>
      </c>
      <c r="F6" s="66"/>
      <c r="G6" s="66"/>
      <c r="H6" s="66"/>
      <c r="I6" s="66"/>
      <c r="J6" s="66"/>
      <c r="K6" s="66"/>
      <c r="L6" s="66"/>
      <c r="M6" s="66"/>
      <c r="N6" s="66"/>
      <c r="O6" s="66"/>
      <c r="P6" s="66"/>
      <c r="Q6" s="66"/>
      <c r="R6" s="66"/>
      <c r="S6" s="66"/>
      <c r="T6" s="66"/>
      <c r="U6" s="66"/>
    </row>
    <row r="7" spans="1:21" ht="101.25" x14ac:dyDescent="0.25">
      <c r="A7" s="86" t="s">
        <v>270</v>
      </c>
      <c r="B7" s="24" t="s">
        <v>337</v>
      </c>
      <c r="C7" s="28" t="s">
        <v>338</v>
      </c>
      <c r="D7" s="105" t="s">
        <v>339</v>
      </c>
      <c r="E7" s="220">
        <f>908526*1300</f>
        <v>1181083800</v>
      </c>
      <c r="F7" s="66"/>
      <c r="G7" s="66"/>
      <c r="H7" s="66"/>
      <c r="I7" s="66"/>
      <c r="J7" s="66"/>
      <c r="K7" s="66"/>
      <c r="L7" s="66"/>
      <c r="M7" s="66"/>
      <c r="N7" s="66"/>
      <c r="O7" s="66"/>
      <c r="P7" s="66"/>
      <c r="Q7" s="66"/>
      <c r="R7" s="66"/>
      <c r="S7" s="66"/>
      <c r="T7" s="66"/>
      <c r="U7" s="66"/>
    </row>
    <row r="8" spans="1:21" ht="135" x14ac:dyDescent="0.25">
      <c r="A8" s="86" t="s">
        <v>340</v>
      </c>
      <c r="B8" s="25" t="s">
        <v>341</v>
      </c>
      <c r="C8" s="28" t="s">
        <v>342</v>
      </c>
      <c r="D8" s="105" t="s">
        <v>343</v>
      </c>
      <c r="E8" s="220">
        <f>908526*6500</f>
        <v>5905419000</v>
      </c>
      <c r="F8" s="66"/>
      <c r="G8" s="66"/>
      <c r="H8" s="66"/>
      <c r="I8" s="66"/>
      <c r="J8" s="66"/>
      <c r="K8" s="66"/>
      <c r="L8" s="66"/>
      <c r="M8" s="66"/>
      <c r="N8" s="66"/>
      <c r="O8" s="66"/>
      <c r="P8" s="66"/>
      <c r="Q8" s="66"/>
      <c r="R8" s="66"/>
      <c r="S8" s="66"/>
      <c r="T8" s="66"/>
      <c r="U8" s="66"/>
    </row>
    <row r="9" spans="1:21" ht="101.25" x14ac:dyDescent="0.25">
      <c r="A9" s="86" t="s">
        <v>344</v>
      </c>
      <c r="B9" s="26" t="s">
        <v>345</v>
      </c>
      <c r="C9" s="28" t="s">
        <v>346</v>
      </c>
      <c r="D9" s="105" t="s">
        <v>347</v>
      </c>
      <c r="E9" s="220"/>
      <c r="F9" s="107"/>
      <c r="G9" s="107"/>
      <c r="H9" s="66"/>
      <c r="I9" s="66"/>
      <c r="J9" s="66"/>
      <c r="K9" s="66"/>
      <c r="L9" s="66"/>
      <c r="M9" s="66"/>
      <c r="N9" s="66"/>
      <c r="O9" s="66"/>
      <c r="P9" s="66"/>
      <c r="Q9" s="66"/>
      <c r="R9" s="66"/>
      <c r="S9" s="66"/>
      <c r="T9" s="66"/>
      <c r="U9" s="66"/>
    </row>
    <row r="10" spans="1:21" s="110" customFormat="1" ht="20.25" hidden="1" x14ac:dyDescent="0.25">
      <c r="A10" s="108"/>
      <c r="B10" s="108"/>
      <c r="C10" s="109"/>
      <c r="D10" s="109"/>
      <c r="E10" s="108"/>
      <c r="F10" s="108"/>
      <c r="G10" s="108"/>
      <c r="H10" s="108"/>
      <c r="I10" s="108"/>
      <c r="J10" s="108"/>
      <c r="K10" s="108"/>
      <c r="L10" s="108"/>
      <c r="M10" s="108"/>
      <c r="N10" s="108"/>
      <c r="O10" s="108"/>
      <c r="P10" s="108"/>
      <c r="Q10" s="108"/>
      <c r="R10" s="108"/>
      <c r="S10" s="108"/>
      <c r="T10" s="108"/>
      <c r="U10" s="108"/>
    </row>
    <row r="11" spans="1:21" s="110" customFormat="1" ht="16.5" hidden="1" x14ac:dyDescent="0.25">
      <c r="A11" s="108"/>
      <c r="B11" s="111"/>
      <c r="C11" s="111"/>
      <c r="D11" s="111"/>
      <c r="E11" s="108"/>
      <c r="F11" s="108"/>
      <c r="G11" s="108"/>
      <c r="H11" s="108"/>
      <c r="I11" s="108"/>
      <c r="J11" s="108"/>
      <c r="K11" s="108"/>
      <c r="L11" s="108"/>
      <c r="M11" s="108"/>
      <c r="N11" s="108"/>
      <c r="O11" s="108"/>
      <c r="P11" s="108"/>
      <c r="Q11" s="108"/>
      <c r="R11" s="108"/>
      <c r="S11" s="108"/>
      <c r="T11" s="108"/>
      <c r="U11" s="108"/>
    </row>
    <row r="12" spans="1:21" s="110" customFormat="1" hidden="1" x14ac:dyDescent="0.25">
      <c r="A12" s="108"/>
      <c r="B12" s="108" t="s">
        <v>348</v>
      </c>
      <c r="C12" s="108" t="s">
        <v>349</v>
      </c>
      <c r="D12" s="108" t="s">
        <v>350</v>
      </c>
      <c r="E12" s="108"/>
      <c r="F12" s="108"/>
      <c r="G12" s="108"/>
      <c r="H12" s="108"/>
      <c r="I12" s="108"/>
      <c r="J12" s="108"/>
      <c r="K12" s="108"/>
      <c r="L12" s="108"/>
      <c r="M12" s="108"/>
      <c r="N12" s="108"/>
      <c r="O12" s="108"/>
      <c r="P12" s="108"/>
      <c r="Q12" s="108"/>
      <c r="R12" s="108"/>
      <c r="S12" s="108"/>
      <c r="T12" s="108"/>
      <c r="U12" s="108"/>
    </row>
    <row r="13" spans="1:21" s="110" customFormat="1" hidden="1" x14ac:dyDescent="0.25">
      <c r="A13" s="108"/>
      <c r="B13" s="108" t="s">
        <v>351</v>
      </c>
      <c r="C13" s="108" t="s">
        <v>352</v>
      </c>
      <c r="D13" s="108" t="s">
        <v>353</v>
      </c>
      <c r="E13" s="108"/>
      <c r="F13" s="108"/>
      <c r="G13" s="108"/>
      <c r="H13" s="108"/>
      <c r="I13" s="108"/>
      <c r="J13" s="108"/>
      <c r="K13" s="108"/>
      <c r="L13" s="108"/>
      <c r="M13" s="108"/>
      <c r="N13" s="108"/>
      <c r="O13" s="108"/>
      <c r="P13" s="108"/>
      <c r="Q13" s="108"/>
      <c r="R13" s="108"/>
      <c r="S13" s="108"/>
      <c r="T13" s="108"/>
      <c r="U13" s="108"/>
    </row>
    <row r="14" spans="1:21" s="110" customFormat="1" hidden="1" x14ac:dyDescent="0.25">
      <c r="A14" s="108"/>
      <c r="B14" s="108"/>
      <c r="C14" s="108" t="s">
        <v>354</v>
      </c>
      <c r="D14" s="108" t="s">
        <v>253</v>
      </c>
      <c r="E14" s="108"/>
      <c r="F14" s="108"/>
      <c r="G14" s="108"/>
      <c r="H14" s="108"/>
      <c r="I14" s="108"/>
      <c r="J14" s="108"/>
      <c r="K14" s="108"/>
      <c r="L14" s="108"/>
      <c r="M14" s="108"/>
      <c r="N14" s="108"/>
      <c r="O14" s="108"/>
      <c r="P14" s="108"/>
      <c r="Q14" s="108"/>
      <c r="R14" s="108"/>
      <c r="S14" s="108"/>
      <c r="T14" s="108"/>
      <c r="U14" s="108"/>
    </row>
    <row r="15" spans="1:21" s="110" customFormat="1" hidden="1" x14ac:dyDescent="0.25">
      <c r="A15" s="108"/>
      <c r="B15" s="108"/>
      <c r="C15" s="108" t="s">
        <v>355</v>
      </c>
      <c r="D15" s="108" t="s">
        <v>356</v>
      </c>
      <c r="E15" s="108"/>
      <c r="F15" s="108"/>
      <c r="G15" s="108"/>
      <c r="H15" s="108"/>
      <c r="I15" s="108"/>
      <c r="J15" s="108"/>
      <c r="K15" s="108"/>
      <c r="L15" s="108"/>
      <c r="M15" s="108"/>
      <c r="N15" s="108"/>
      <c r="O15" s="108"/>
      <c r="P15" s="108"/>
      <c r="Q15" s="108"/>
      <c r="R15" s="108"/>
      <c r="S15" s="108"/>
      <c r="T15" s="108"/>
      <c r="U15" s="108"/>
    </row>
    <row r="16" spans="1:21" s="110" customFormat="1" hidden="1" x14ac:dyDescent="0.25">
      <c r="A16" s="108"/>
      <c r="B16" s="108"/>
      <c r="C16" s="108" t="s">
        <v>357</v>
      </c>
      <c r="D16" s="108" t="s">
        <v>358</v>
      </c>
      <c r="E16" s="108"/>
      <c r="F16" s="108"/>
      <c r="G16" s="108"/>
      <c r="H16" s="108"/>
      <c r="I16" s="108"/>
      <c r="J16" s="108"/>
      <c r="K16" s="108"/>
      <c r="L16" s="108"/>
      <c r="M16" s="108"/>
      <c r="N16" s="108"/>
      <c r="O16" s="108"/>
      <c r="P16" s="108"/>
      <c r="Q16" s="108"/>
      <c r="R16" s="108"/>
      <c r="S16" s="108"/>
      <c r="T16" s="108"/>
      <c r="U16" s="108"/>
    </row>
    <row r="17" spans="1:15" s="110" customFormat="1" hidden="1" x14ac:dyDescent="0.25">
      <c r="A17" s="108"/>
      <c r="B17" s="108"/>
      <c r="C17" s="108"/>
      <c r="D17" s="108"/>
      <c r="E17" s="108"/>
      <c r="F17" s="108"/>
      <c r="G17" s="108"/>
      <c r="H17" s="108"/>
      <c r="I17" s="108"/>
      <c r="J17" s="108"/>
      <c r="K17" s="108"/>
      <c r="L17" s="108"/>
      <c r="M17" s="108"/>
      <c r="N17" s="108"/>
      <c r="O17" s="108"/>
    </row>
    <row r="18" spans="1:15" s="110" customFormat="1" x14ac:dyDescent="0.25">
      <c r="A18" s="108"/>
      <c r="B18" s="108"/>
      <c r="C18" s="108"/>
      <c r="D18" s="108"/>
      <c r="E18" s="108"/>
      <c r="F18" s="108"/>
      <c r="G18" s="108"/>
      <c r="H18" s="108"/>
      <c r="I18" s="108"/>
      <c r="J18" s="108"/>
      <c r="K18" s="108"/>
      <c r="L18" s="108"/>
      <c r="M18" s="108"/>
      <c r="N18" s="108"/>
      <c r="O18" s="108"/>
    </row>
    <row r="19" spans="1:15" s="110" customFormat="1" x14ac:dyDescent="0.25">
      <c r="A19" s="108"/>
      <c r="B19" s="108"/>
      <c r="C19" s="108"/>
      <c r="D19" s="108"/>
      <c r="E19" s="108"/>
      <c r="F19" s="108"/>
      <c r="G19" s="108"/>
      <c r="H19" s="108"/>
      <c r="I19" s="108"/>
      <c r="J19" s="108"/>
      <c r="K19" s="108"/>
      <c r="L19" s="108"/>
      <c r="M19" s="108"/>
      <c r="N19" s="108"/>
      <c r="O19" s="108"/>
    </row>
    <row r="20" spans="1:15" s="110" customFormat="1" x14ac:dyDescent="0.25">
      <c r="A20" s="108"/>
      <c r="B20" s="108"/>
      <c r="C20" s="108"/>
      <c r="D20" s="108"/>
      <c r="E20" s="108"/>
      <c r="F20" s="108"/>
      <c r="G20" s="108"/>
      <c r="H20" s="108"/>
      <c r="I20" s="108"/>
      <c r="J20" s="108"/>
      <c r="K20" s="108"/>
      <c r="L20" s="108"/>
      <c r="M20" s="108"/>
      <c r="N20" s="108"/>
      <c r="O20" s="108"/>
    </row>
    <row r="21" spans="1:15" s="110" customFormat="1" x14ac:dyDescent="0.25">
      <c r="A21" s="108"/>
      <c r="B21" s="108"/>
      <c r="C21" s="108"/>
      <c r="D21" s="108"/>
      <c r="E21" s="108"/>
      <c r="F21" s="113"/>
      <c r="G21" s="108"/>
      <c r="H21" s="108"/>
      <c r="I21" s="108"/>
      <c r="J21" s="108"/>
      <c r="K21" s="108"/>
      <c r="L21" s="108"/>
      <c r="M21" s="108"/>
      <c r="N21" s="108"/>
      <c r="O21" s="108"/>
    </row>
    <row r="22" spans="1:15" s="110" customFormat="1" x14ac:dyDescent="0.25">
      <c r="A22" s="108"/>
      <c r="B22" s="108"/>
      <c r="C22" s="108"/>
      <c r="D22" s="108"/>
      <c r="E22" s="108"/>
      <c r="F22" s="113"/>
      <c r="G22" s="108"/>
      <c r="H22" s="108"/>
      <c r="I22" s="108"/>
      <c r="J22" s="108"/>
      <c r="K22" s="108"/>
      <c r="L22" s="108"/>
      <c r="M22" s="108"/>
      <c r="N22" s="108"/>
      <c r="O22" s="108"/>
    </row>
    <row r="23" spans="1:15" s="110" customFormat="1" ht="20.25" x14ac:dyDescent="0.25">
      <c r="A23" s="108"/>
      <c r="B23" s="108"/>
      <c r="C23" s="109"/>
      <c r="D23" s="109"/>
      <c r="E23" s="108"/>
      <c r="F23" s="113"/>
      <c r="G23" s="108"/>
      <c r="H23" s="108"/>
      <c r="I23" s="108"/>
      <c r="J23" s="108"/>
      <c r="K23" s="108"/>
      <c r="L23" s="108"/>
      <c r="M23" s="108"/>
      <c r="N23" s="108"/>
      <c r="O23" s="108"/>
    </row>
    <row r="24" spans="1:15" s="110" customFormat="1" ht="20.25" x14ac:dyDescent="0.25">
      <c r="A24" s="108"/>
      <c r="B24" s="108"/>
      <c r="C24" s="109"/>
      <c r="D24" s="109"/>
      <c r="E24" s="108"/>
      <c r="F24" s="113"/>
      <c r="G24" s="108"/>
      <c r="H24" s="108"/>
      <c r="I24" s="108"/>
      <c r="J24" s="108"/>
      <c r="K24" s="108"/>
      <c r="L24" s="108"/>
      <c r="M24" s="108"/>
      <c r="N24" s="108"/>
      <c r="O24" s="108"/>
    </row>
    <row r="25" spans="1:15" s="110" customFormat="1" ht="20.25" x14ac:dyDescent="0.25">
      <c r="A25" s="108"/>
      <c r="B25" s="108"/>
      <c r="C25" s="109"/>
      <c r="D25" s="109"/>
      <c r="E25" s="108"/>
      <c r="F25" s="113"/>
      <c r="G25" s="108"/>
      <c r="H25" s="108"/>
      <c r="I25" s="108"/>
      <c r="J25" s="108"/>
      <c r="K25" s="108"/>
      <c r="L25" s="108"/>
      <c r="M25" s="108"/>
      <c r="N25" s="108"/>
      <c r="O25" s="108"/>
    </row>
    <row r="26" spans="1:15" s="110" customFormat="1" ht="20.25" x14ac:dyDescent="0.25">
      <c r="A26" s="108"/>
      <c r="B26" s="108"/>
      <c r="C26" s="109"/>
      <c r="D26" s="109"/>
      <c r="E26" s="108"/>
      <c r="F26" s="113"/>
      <c r="G26" s="108"/>
      <c r="H26" s="108"/>
      <c r="I26" s="108"/>
      <c r="J26" s="108"/>
      <c r="K26" s="108"/>
      <c r="L26" s="108"/>
      <c r="M26" s="108"/>
      <c r="N26" s="108"/>
      <c r="O26" s="108"/>
    </row>
    <row r="27" spans="1:15" s="110" customFormat="1" ht="20.25" x14ac:dyDescent="0.25">
      <c r="A27" s="108"/>
      <c r="B27" s="108"/>
      <c r="C27" s="109"/>
      <c r="D27" s="109"/>
      <c r="E27" s="108"/>
      <c r="F27" s="113"/>
      <c r="G27" s="108"/>
      <c r="H27" s="108"/>
      <c r="I27" s="108"/>
      <c r="J27" s="108"/>
      <c r="K27" s="108"/>
      <c r="L27" s="108"/>
      <c r="M27" s="108"/>
      <c r="N27" s="108"/>
      <c r="O27" s="108"/>
    </row>
    <row r="28" spans="1:15" s="110" customFormat="1" ht="20.25" x14ac:dyDescent="0.25">
      <c r="A28" s="108"/>
      <c r="B28" s="108"/>
      <c r="C28" s="109"/>
      <c r="D28" s="109"/>
      <c r="E28" s="108"/>
      <c r="F28" s="113"/>
      <c r="G28" s="108"/>
      <c r="H28" s="108"/>
      <c r="I28" s="108"/>
      <c r="J28" s="108"/>
      <c r="K28" s="108"/>
      <c r="L28" s="108"/>
      <c r="M28" s="108"/>
      <c r="N28" s="108"/>
      <c r="O28" s="108"/>
    </row>
    <row r="29" spans="1:15" s="110" customFormat="1" ht="20.25" x14ac:dyDescent="0.25">
      <c r="A29" s="108"/>
      <c r="B29" s="108"/>
      <c r="C29" s="109"/>
      <c r="D29" s="109"/>
      <c r="E29" s="108"/>
      <c r="F29" s="113"/>
      <c r="G29" s="108"/>
      <c r="H29" s="108"/>
      <c r="I29" s="108"/>
      <c r="J29" s="108"/>
      <c r="K29" s="108"/>
      <c r="L29" s="108"/>
      <c r="M29" s="108"/>
      <c r="N29" s="108"/>
      <c r="O29" s="108"/>
    </row>
    <row r="30" spans="1:15" s="110" customFormat="1" ht="20.25" x14ac:dyDescent="0.25">
      <c r="A30" s="108"/>
      <c r="B30" s="108"/>
      <c r="C30" s="109"/>
      <c r="D30" s="109"/>
      <c r="E30" s="108"/>
      <c r="F30" s="113"/>
      <c r="G30" s="108"/>
      <c r="H30" s="108"/>
      <c r="I30" s="108"/>
      <c r="J30" s="108"/>
      <c r="K30" s="108"/>
      <c r="L30" s="108"/>
      <c r="M30" s="108"/>
      <c r="N30" s="108"/>
      <c r="O30" s="108"/>
    </row>
    <row r="31" spans="1:15" s="110" customFormat="1" ht="20.25" x14ac:dyDescent="0.25">
      <c r="A31" s="108"/>
      <c r="B31" s="108"/>
      <c r="C31" s="109"/>
      <c r="D31" s="109"/>
      <c r="E31" s="108"/>
      <c r="F31" s="113"/>
      <c r="G31" s="108"/>
      <c r="H31" s="108"/>
      <c r="I31" s="108"/>
      <c r="J31" s="108"/>
      <c r="K31" s="108"/>
      <c r="L31" s="108"/>
      <c r="M31" s="108"/>
      <c r="N31" s="108"/>
      <c r="O31" s="108"/>
    </row>
    <row r="32" spans="1:15" s="110" customFormat="1" ht="20.25" x14ac:dyDescent="0.25">
      <c r="A32" s="108"/>
      <c r="B32" s="108"/>
      <c r="C32" s="109"/>
      <c r="D32" s="109"/>
      <c r="E32" s="108"/>
      <c r="F32" s="113"/>
      <c r="G32" s="108"/>
      <c r="H32" s="108"/>
      <c r="I32" s="108"/>
      <c r="J32" s="108"/>
      <c r="K32" s="108"/>
      <c r="L32" s="108"/>
      <c r="M32" s="108"/>
      <c r="N32" s="108"/>
      <c r="O32" s="108"/>
    </row>
    <row r="33" spans="1:15" s="110" customFormat="1" ht="20.25" x14ac:dyDescent="0.25">
      <c r="A33" s="108"/>
      <c r="B33" s="108"/>
      <c r="C33" s="109"/>
      <c r="D33" s="109"/>
      <c r="E33" s="108"/>
      <c r="F33" s="113"/>
      <c r="G33" s="108"/>
      <c r="H33" s="108"/>
      <c r="I33" s="108"/>
      <c r="J33" s="108"/>
      <c r="K33" s="108"/>
      <c r="L33" s="108"/>
      <c r="M33" s="108"/>
      <c r="N33" s="108"/>
      <c r="O33" s="108"/>
    </row>
    <row r="34" spans="1:15" s="110" customFormat="1" ht="20.25" x14ac:dyDescent="0.25">
      <c r="A34" s="108"/>
      <c r="B34" s="108"/>
      <c r="C34" s="109"/>
      <c r="D34" s="109"/>
      <c r="E34" s="108"/>
      <c r="F34" s="113"/>
      <c r="G34" s="108"/>
      <c r="H34" s="108"/>
      <c r="I34" s="108"/>
      <c r="J34" s="108"/>
      <c r="K34" s="108"/>
      <c r="L34" s="108"/>
      <c r="M34" s="108"/>
      <c r="N34" s="108"/>
      <c r="O34" s="108"/>
    </row>
    <row r="35" spans="1:15" s="110" customFormat="1" ht="20.25" x14ac:dyDescent="0.25">
      <c r="A35" s="108"/>
      <c r="B35" s="108"/>
      <c r="C35" s="109"/>
      <c r="D35" s="109"/>
      <c r="E35" s="108"/>
      <c r="F35" s="113"/>
      <c r="G35" s="108"/>
      <c r="H35" s="108"/>
      <c r="I35" s="108"/>
      <c r="J35" s="108"/>
      <c r="K35" s="108"/>
      <c r="L35" s="108"/>
      <c r="M35" s="108"/>
      <c r="N35" s="108"/>
      <c r="O35" s="108"/>
    </row>
    <row r="36" spans="1:15" s="110" customFormat="1" ht="20.25" x14ac:dyDescent="0.25">
      <c r="A36" s="108"/>
      <c r="B36" s="108"/>
      <c r="C36" s="109"/>
      <c r="D36" s="109"/>
      <c r="E36" s="108"/>
      <c r="F36" s="113"/>
      <c r="G36" s="108"/>
      <c r="H36" s="108"/>
      <c r="I36" s="108"/>
      <c r="J36" s="108"/>
      <c r="K36" s="108"/>
      <c r="L36" s="108"/>
      <c r="M36" s="108"/>
      <c r="N36" s="108"/>
      <c r="O36" s="108"/>
    </row>
    <row r="37" spans="1:15" s="110" customFormat="1" ht="20.25" x14ac:dyDescent="0.25">
      <c r="A37" s="108"/>
      <c r="B37" s="108"/>
      <c r="C37" s="109"/>
      <c r="D37" s="109"/>
      <c r="E37" s="108"/>
      <c r="F37" s="113"/>
      <c r="G37" s="108"/>
      <c r="H37" s="108"/>
      <c r="I37" s="108"/>
      <c r="J37" s="108"/>
      <c r="K37" s="108"/>
      <c r="L37" s="108"/>
      <c r="M37" s="108"/>
      <c r="N37" s="108"/>
      <c r="O37" s="108"/>
    </row>
    <row r="38" spans="1:15" s="110" customFormat="1" ht="20.25" x14ac:dyDescent="0.25">
      <c r="A38" s="108"/>
      <c r="B38" s="108"/>
      <c r="C38" s="109"/>
      <c r="D38" s="109"/>
      <c r="E38" s="108"/>
      <c r="F38" s="113"/>
      <c r="G38" s="108"/>
      <c r="H38" s="108"/>
      <c r="I38" s="108"/>
      <c r="J38" s="108"/>
      <c r="K38" s="108"/>
      <c r="L38" s="108"/>
      <c r="M38" s="108"/>
      <c r="N38" s="108"/>
      <c r="O38" s="108"/>
    </row>
    <row r="39" spans="1:15" s="110" customFormat="1" ht="20.25" x14ac:dyDescent="0.25">
      <c r="A39" s="108"/>
      <c r="B39" s="108"/>
      <c r="C39" s="109"/>
      <c r="D39" s="109"/>
      <c r="E39" s="108"/>
      <c r="F39" s="113"/>
      <c r="G39" s="108"/>
      <c r="H39" s="108"/>
      <c r="I39" s="108"/>
      <c r="J39" s="108"/>
      <c r="K39" s="108"/>
      <c r="L39" s="108"/>
      <c r="M39" s="108"/>
      <c r="N39" s="108"/>
      <c r="O39" s="108"/>
    </row>
    <row r="40" spans="1:15" s="110" customFormat="1" ht="20.25" x14ac:dyDescent="0.25">
      <c r="A40" s="108"/>
      <c r="B40" s="108"/>
      <c r="C40" s="109"/>
      <c r="D40" s="109"/>
      <c r="E40" s="108"/>
      <c r="F40" s="113"/>
      <c r="G40" s="108"/>
      <c r="H40" s="108"/>
      <c r="I40" s="108"/>
      <c r="J40" s="108"/>
      <c r="K40" s="108"/>
      <c r="L40" s="108"/>
      <c r="M40" s="108"/>
      <c r="N40" s="108"/>
      <c r="O40" s="108"/>
    </row>
    <row r="41" spans="1:15" s="110" customFormat="1" ht="20.25" x14ac:dyDescent="0.25">
      <c r="A41" s="108"/>
      <c r="B41" s="108"/>
      <c r="C41" s="109"/>
      <c r="D41" s="109"/>
      <c r="E41" s="108"/>
      <c r="F41" s="113"/>
      <c r="G41" s="108"/>
      <c r="H41" s="108"/>
      <c r="I41" s="108"/>
      <c r="J41" s="108"/>
      <c r="K41" s="108"/>
      <c r="L41" s="108"/>
      <c r="M41" s="108"/>
      <c r="N41" s="108"/>
      <c r="O41" s="108"/>
    </row>
    <row r="42" spans="1:15" s="110" customFormat="1" ht="20.25" x14ac:dyDescent="0.25">
      <c r="A42" s="108"/>
      <c r="B42" s="108"/>
      <c r="C42" s="109"/>
      <c r="D42" s="109"/>
      <c r="E42" s="108"/>
      <c r="F42" s="113"/>
      <c r="G42" s="108"/>
      <c r="H42" s="108"/>
      <c r="I42" s="108"/>
      <c r="J42" s="108"/>
      <c r="K42" s="108"/>
      <c r="L42" s="108"/>
      <c r="M42" s="108"/>
      <c r="N42" s="108"/>
      <c r="O42" s="108"/>
    </row>
    <row r="43" spans="1:15" s="110" customFormat="1" ht="20.25" x14ac:dyDescent="0.25">
      <c r="A43" s="108"/>
      <c r="B43" s="108"/>
      <c r="C43" s="109"/>
      <c r="D43" s="109"/>
      <c r="E43" s="108"/>
      <c r="F43" s="113"/>
      <c r="G43" s="108"/>
      <c r="H43" s="108"/>
      <c r="I43" s="108"/>
      <c r="J43" s="108"/>
      <c r="K43" s="108"/>
      <c r="L43" s="108"/>
      <c r="M43" s="108"/>
      <c r="N43" s="108"/>
      <c r="O43" s="108"/>
    </row>
    <row r="44" spans="1:15" s="110" customFormat="1" ht="20.25" x14ac:dyDescent="0.25">
      <c r="A44" s="108"/>
      <c r="B44" s="108"/>
      <c r="C44" s="109"/>
      <c r="D44" s="109"/>
      <c r="E44" s="108"/>
      <c r="F44" s="113"/>
      <c r="G44" s="108"/>
      <c r="H44" s="108"/>
      <c r="I44" s="108"/>
      <c r="J44" s="108"/>
      <c r="K44" s="108"/>
      <c r="L44" s="108"/>
      <c r="M44" s="108"/>
      <c r="N44" s="108"/>
      <c r="O44" s="108"/>
    </row>
    <row r="45" spans="1:15" s="110" customFormat="1" ht="20.25" x14ac:dyDescent="0.25">
      <c r="A45" s="108"/>
      <c r="B45" s="108"/>
      <c r="C45" s="109"/>
      <c r="D45" s="109"/>
      <c r="E45" s="108"/>
      <c r="F45" s="113"/>
      <c r="G45" s="108"/>
      <c r="H45" s="108"/>
      <c r="I45" s="108"/>
      <c r="J45" s="108"/>
      <c r="K45" s="108"/>
      <c r="L45" s="108"/>
      <c r="M45" s="108"/>
      <c r="N45" s="108"/>
      <c r="O45" s="108"/>
    </row>
    <row r="46" spans="1:15" s="110" customFormat="1" ht="20.25" x14ac:dyDescent="0.25">
      <c r="A46" s="108"/>
      <c r="B46" s="108"/>
      <c r="C46" s="109"/>
      <c r="D46" s="109"/>
      <c r="E46" s="108"/>
      <c r="F46" s="113"/>
      <c r="G46" s="108"/>
      <c r="H46" s="108"/>
      <c r="I46" s="108"/>
      <c r="J46" s="108"/>
      <c r="K46" s="108"/>
      <c r="L46" s="108"/>
      <c r="M46" s="108"/>
      <c r="N46" s="108"/>
      <c r="O46" s="108"/>
    </row>
    <row r="47" spans="1:15" ht="20.25" x14ac:dyDescent="0.25">
      <c r="A47" s="86"/>
      <c r="B47" s="86"/>
      <c r="C47" s="87"/>
      <c r="D47" s="87"/>
      <c r="E47" s="66"/>
      <c r="F47" s="112"/>
      <c r="G47" s="66"/>
      <c r="H47" s="66"/>
      <c r="I47" s="66"/>
      <c r="J47" s="66"/>
      <c r="K47" s="66"/>
      <c r="L47" s="66"/>
      <c r="M47" s="66"/>
      <c r="N47" s="66"/>
      <c r="O47" s="66"/>
    </row>
    <row r="48" spans="1:15" ht="20.25" x14ac:dyDescent="0.25">
      <c r="A48" s="86"/>
      <c r="B48" s="86"/>
      <c r="C48" s="87"/>
      <c r="D48" s="87"/>
      <c r="E48" s="66"/>
      <c r="F48" s="112"/>
      <c r="G48" s="66"/>
      <c r="H48" s="66"/>
      <c r="I48" s="66"/>
      <c r="J48" s="66"/>
      <c r="K48" s="66"/>
      <c r="L48" s="66"/>
      <c r="M48" s="66"/>
      <c r="N48" s="66"/>
      <c r="O48" s="66"/>
    </row>
    <row r="49" spans="1:15" ht="20.25" x14ac:dyDescent="0.25">
      <c r="A49" s="86"/>
      <c r="B49" s="86"/>
      <c r="C49" s="87"/>
      <c r="D49" s="87"/>
      <c r="E49" s="66"/>
      <c r="F49" s="112"/>
      <c r="G49" s="66"/>
      <c r="H49" s="66"/>
      <c r="I49" s="66"/>
      <c r="J49" s="66"/>
      <c r="K49" s="66"/>
      <c r="L49" s="66"/>
      <c r="M49" s="66"/>
      <c r="N49" s="66"/>
      <c r="O49" s="66"/>
    </row>
    <row r="50" spans="1:15" ht="20.25" x14ac:dyDescent="0.25">
      <c r="A50" s="86"/>
      <c r="B50" s="86"/>
      <c r="C50" s="87"/>
      <c r="D50" s="87"/>
      <c r="E50" s="66"/>
      <c r="F50" s="112"/>
      <c r="G50" s="66"/>
      <c r="H50" s="66"/>
      <c r="I50" s="66"/>
      <c r="J50" s="66"/>
      <c r="K50" s="66"/>
      <c r="L50" s="66"/>
      <c r="M50" s="66"/>
      <c r="N50" s="66"/>
      <c r="O50" s="66"/>
    </row>
    <row r="51" spans="1:15" ht="20.25" x14ac:dyDescent="0.25">
      <c r="A51" s="86"/>
      <c r="B51" s="86"/>
      <c r="C51" s="87"/>
      <c r="D51" s="87"/>
      <c r="E51" s="66"/>
      <c r="F51" s="112"/>
      <c r="G51" s="66"/>
      <c r="H51" s="66"/>
      <c r="I51" s="66"/>
      <c r="J51" s="66"/>
      <c r="K51" s="66"/>
      <c r="L51" s="66"/>
      <c r="M51" s="66"/>
      <c r="N51" s="66"/>
      <c r="O51" s="66"/>
    </row>
    <row r="52" spans="1:15" ht="20.25" x14ac:dyDescent="0.25">
      <c r="A52" s="86"/>
      <c r="B52" s="86"/>
      <c r="C52" s="87"/>
      <c r="D52" s="87"/>
      <c r="E52" s="66"/>
      <c r="F52" s="112"/>
      <c r="G52" s="66"/>
      <c r="H52" s="66"/>
      <c r="I52" s="66"/>
      <c r="J52" s="66"/>
      <c r="K52" s="66"/>
      <c r="L52" s="66"/>
      <c r="M52" s="66"/>
      <c r="N52" s="66"/>
      <c r="O52" s="66"/>
    </row>
    <row r="53" spans="1:15" ht="20.25" x14ac:dyDescent="0.25">
      <c r="A53" s="86"/>
      <c r="B53" s="15"/>
      <c r="C53" s="20"/>
      <c r="D53" s="20"/>
    </row>
    <row r="54" spans="1:15" ht="20.25" x14ac:dyDescent="0.25">
      <c r="A54" s="86"/>
      <c r="B54" s="15"/>
      <c r="C54" s="20"/>
      <c r="D54" s="20"/>
    </row>
    <row r="55" spans="1:15" ht="20.25" x14ac:dyDescent="0.25">
      <c r="A55" s="86"/>
      <c r="B55" s="15"/>
      <c r="C55" s="20"/>
      <c r="D55" s="20"/>
    </row>
    <row r="56" spans="1:15" ht="20.25" x14ac:dyDescent="0.25">
      <c r="A56" s="86"/>
      <c r="B56" s="15"/>
      <c r="C56" s="20"/>
      <c r="D56" s="20"/>
    </row>
    <row r="57" spans="1:15" ht="20.25" x14ac:dyDescent="0.25">
      <c r="A57" s="86"/>
      <c r="B57" s="15"/>
      <c r="C57" s="20"/>
      <c r="D57" s="20"/>
    </row>
    <row r="58" spans="1:15" ht="20.25" x14ac:dyDescent="0.25">
      <c r="A58" s="86"/>
      <c r="B58" s="15"/>
      <c r="C58" s="20"/>
      <c r="D58" s="20"/>
    </row>
    <row r="59" spans="1:15" ht="20.25" x14ac:dyDescent="0.25">
      <c r="A59" s="86"/>
      <c r="B59" s="15"/>
      <c r="C59" s="20"/>
      <c r="D59" s="20"/>
    </row>
    <row r="60" spans="1:15" ht="20.25" x14ac:dyDescent="0.25">
      <c r="A60" s="86"/>
      <c r="B60" s="15"/>
      <c r="C60" s="20"/>
      <c r="D60" s="20"/>
    </row>
    <row r="61" spans="1:15" ht="20.25" x14ac:dyDescent="0.25">
      <c r="A61" s="86"/>
      <c r="B61" s="15"/>
      <c r="C61" s="20"/>
      <c r="D61" s="20"/>
    </row>
    <row r="62" spans="1:15" ht="20.25" x14ac:dyDescent="0.25">
      <c r="A62" s="86"/>
      <c r="B62" s="15"/>
      <c r="C62" s="20"/>
      <c r="D62" s="20"/>
    </row>
    <row r="63" spans="1:15" ht="20.25" x14ac:dyDescent="0.25">
      <c r="A63" s="86"/>
      <c r="B63" s="15"/>
      <c r="C63" s="20"/>
      <c r="D63" s="20"/>
    </row>
    <row r="64" spans="1:15" ht="20.25" x14ac:dyDescent="0.25">
      <c r="A64" s="86"/>
      <c r="B64" s="15"/>
      <c r="C64" s="20"/>
      <c r="D64" s="20"/>
    </row>
    <row r="65" spans="1:4" ht="20.25" x14ac:dyDescent="0.25">
      <c r="A65" s="86"/>
      <c r="B65" s="15"/>
      <c r="C65" s="20"/>
      <c r="D65" s="20"/>
    </row>
    <row r="66" spans="1:4" ht="20.25" x14ac:dyDescent="0.25">
      <c r="A66" s="86"/>
      <c r="B66" s="15"/>
      <c r="C66" s="20"/>
      <c r="D66" s="20"/>
    </row>
    <row r="67" spans="1:4" ht="20.25" x14ac:dyDescent="0.25">
      <c r="A67" s="86"/>
      <c r="B67" s="15"/>
      <c r="C67" s="20"/>
      <c r="D67" s="20"/>
    </row>
    <row r="68" spans="1:4" ht="20.25" x14ac:dyDescent="0.25">
      <c r="A68" s="86"/>
      <c r="B68" s="15"/>
      <c r="C68" s="20"/>
      <c r="D68" s="20"/>
    </row>
    <row r="69" spans="1:4" ht="20.25" x14ac:dyDescent="0.25">
      <c r="A69" s="86"/>
      <c r="B69" s="15"/>
      <c r="C69" s="20"/>
      <c r="D69" s="20"/>
    </row>
    <row r="70" spans="1:4" ht="20.25" x14ac:dyDescent="0.25">
      <c r="A70" s="86"/>
      <c r="B70" s="15"/>
      <c r="C70" s="20"/>
      <c r="D70" s="20"/>
    </row>
    <row r="71" spans="1:4" ht="20.25" x14ac:dyDescent="0.25">
      <c r="A71" s="86"/>
      <c r="B71" s="15"/>
      <c r="C71" s="20"/>
      <c r="D71" s="20"/>
    </row>
    <row r="72" spans="1:4" ht="20.25" x14ac:dyDescent="0.25">
      <c r="A72" s="86"/>
      <c r="B72" s="15"/>
      <c r="C72" s="20"/>
      <c r="D72" s="20"/>
    </row>
    <row r="73" spans="1:4" ht="20.25" x14ac:dyDescent="0.25">
      <c r="A73" s="86"/>
      <c r="B73" s="15"/>
      <c r="C73" s="20"/>
      <c r="D73" s="20"/>
    </row>
    <row r="74" spans="1:4" ht="20.25" x14ac:dyDescent="0.25">
      <c r="A74" s="86"/>
      <c r="B74" s="15"/>
      <c r="C74" s="20"/>
      <c r="D74" s="20"/>
    </row>
    <row r="75" spans="1:4" ht="20.25" x14ac:dyDescent="0.25">
      <c r="A75" s="86"/>
      <c r="B75" s="15"/>
      <c r="C75" s="20"/>
      <c r="D75" s="20"/>
    </row>
    <row r="76" spans="1:4" ht="20.25" x14ac:dyDescent="0.25">
      <c r="A76" s="86"/>
      <c r="B76" s="15"/>
      <c r="C76" s="20"/>
      <c r="D76" s="20"/>
    </row>
    <row r="77" spans="1:4" ht="20.25" x14ac:dyDescent="0.25">
      <c r="A77" s="86"/>
      <c r="B77" s="15"/>
      <c r="C77" s="20"/>
      <c r="D77" s="20"/>
    </row>
    <row r="78" spans="1:4" ht="20.25" x14ac:dyDescent="0.25">
      <c r="A78" s="86"/>
      <c r="B78" s="15"/>
      <c r="C78" s="20"/>
      <c r="D78" s="20"/>
    </row>
    <row r="79" spans="1:4" ht="20.25" x14ac:dyDescent="0.25">
      <c r="A79" s="86"/>
      <c r="B79" s="15"/>
      <c r="C79" s="20"/>
      <c r="D79" s="20"/>
    </row>
    <row r="80" spans="1:4" ht="20.25" x14ac:dyDescent="0.25">
      <c r="A80" s="86"/>
      <c r="B80" s="15"/>
      <c r="C80" s="20"/>
      <c r="D80" s="20"/>
    </row>
    <row r="81" spans="1:4" ht="20.25" x14ac:dyDescent="0.25">
      <c r="A81" s="86"/>
      <c r="B81" s="15"/>
      <c r="C81" s="20"/>
      <c r="D81" s="20"/>
    </row>
    <row r="82" spans="1:4" ht="20.25" x14ac:dyDescent="0.25">
      <c r="A82" s="86"/>
      <c r="B82" s="15"/>
      <c r="C82" s="20"/>
      <c r="D82" s="20"/>
    </row>
    <row r="83" spans="1:4" ht="20.25" x14ac:dyDescent="0.25">
      <c r="A83" s="86"/>
      <c r="B83" s="15"/>
      <c r="C83" s="20"/>
      <c r="D83" s="20"/>
    </row>
    <row r="84" spans="1:4" ht="20.25" x14ac:dyDescent="0.25">
      <c r="A84" s="86"/>
      <c r="B84" s="15"/>
      <c r="C84" s="20"/>
      <c r="D84" s="20"/>
    </row>
    <row r="85" spans="1:4" ht="20.25" x14ac:dyDescent="0.25">
      <c r="A85" s="86"/>
      <c r="B85" s="15"/>
      <c r="C85" s="20"/>
      <c r="D85" s="20"/>
    </row>
    <row r="86" spans="1:4" ht="20.25" x14ac:dyDescent="0.25">
      <c r="A86" s="86"/>
      <c r="B86" s="15"/>
      <c r="C86" s="20"/>
      <c r="D86" s="20"/>
    </row>
    <row r="87" spans="1:4" ht="20.25" x14ac:dyDescent="0.25">
      <c r="A87" s="86"/>
      <c r="B87" s="15"/>
      <c r="C87" s="20"/>
      <c r="D87" s="20"/>
    </row>
    <row r="88" spans="1:4" ht="20.25" x14ac:dyDescent="0.25">
      <c r="A88" s="86"/>
      <c r="B88" s="15"/>
      <c r="C88" s="20"/>
      <c r="D88" s="20"/>
    </row>
    <row r="89" spans="1:4" ht="20.25" x14ac:dyDescent="0.25">
      <c r="A89" s="86"/>
      <c r="B89" s="15"/>
      <c r="C89" s="20"/>
      <c r="D89" s="20"/>
    </row>
    <row r="90" spans="1:4" ht="20.25" x14ac:dyDescent="0.25">
      <c r="A90" s="86"/>
      <c r="B90" s="15"/>
      <c r="C90" s="20"/>
      <c r="D90" s="20"/>
    </row>
    <row r="91" spans="1:4" ht="20.25" x14ac:dyDescent="0.25">
      <c r="A91" s="86"/>
      <c r="B91" s="15"/>
      <c r="C91" s="20"/>
      <c r="D91" s="20"/>
    </row>
    <row r="92" spans="1:4" ht="20.25" x14ac:dyDescent="0.25">
      <c r="A92" s="86"/>
      <c r="B92" s="15"/>
      <c r="C92" s="20"/>
      <c r="D92" s="20"/>
    </row>
    <row r="93" spans="1:4" ht="20.25" x14ac:dyDescent="0.25">
      <c r="A93" s="86"/>
      <c r="B93" s="15"/>
      <c r="C93" s="20"/>
      <c r="D93" s="20"/>
    </row>
    <row r="94" spans="1:4" ht="20.25" x14ac:dyDescent="0.25">
      <c r="A94" s="86"/>
      <c r="B94" s="15"/>
      <c r="C94" s="20"/>
      <c r="D94" s="20"/>
    </row>
    <row r="95" spans="1:4" ht="20.25" x14ac:dyDescent="0.25">
      <c r="A95" s="86"/>
      <c r="B95" s="15"/>
      <c r="C95" s="20"/>
      <c r="D95" s="20"/>
    </row>
    <row r="96" spans="1:4" ht="20.25" x14ac:dyDescent="0.25">
      <c r="A96" s="86"/>
      <c r="B96" s="15"/>
      <c r="C96" s="20"/>
      <c r="D96" s="20"/>
    </row>
    <row r="97" spans="1:4" ht="20.25" x14ac:dyDescent="0.25">
      <c r="A97" s="86"/>
      <c r="B97" s="15"/>
      <c r="C97" s="20"/>
      <c r="D97" s="20"/>
    </row>
    <row r="98" spans="1:4" ht="20.25" x14ac:dyDescent="0.25">
      <c r="A98" s="86"/>
      <c r="B98" s="15"/>
      <c r="C98" s="20"/>
      <c r="D98" s="20"/>
    </row>
    <row r="99" spans="1:4" ht="20.25" x14ac:dyDescent="0.25">
      <c r="A99" s="86"/>
      <c r="B99" s="15"/>
      <c r="C99" s="20"/>
      <c r="D99" s="20"/>
    </row>
    <row r="100" spans="1:4" ht="20.25" x14ac:dyDescent="0.25">
      <c r="A100" s="86"/>
      <c r="B100" s="15"/>
      <c r="C100" s="20"/>
      <c r="D100" s="20"/>
    </row>
    <row r="101" spans="1:4" ht="20.25" x14ac:dyDescent="0.25">
      <c r="A101" s="86"/>
      <c r="B101" s="15"/>
      <c r="C101" s="20"/>
      <c r="D101" s="20"/>
    </row>
    <row r="102" spans="1:4" ht="20.25" x14ac:dyDescent="0.25">
      <c r="A102" s="86"/>
      <c r="B102" s="15"/>
      <c r="C102" s="20"/>
      <c r="D102" s="20"/>
    </row>
    <row r="103" spans="1:4" ht="20.25" x14ac:dyDescent="0.25">
      <c r="A103" s="86"/>
      <c r="B103" s="15"/>
      <c r="C103" s="20"/>
      <c r="D103" s="20"/>
    </row>
    <row r="104" spans="1:4" ht="20.25" x14ac:dyDescent="0.25">
      <c r="A104" s="86"/>
      <c r="B104" s="15"/>
      <c r="C104" s="20"/>
      <c r="D104" s="20"/>
    </row>
    <row r="105" spans="1:4" ht="20.25" x14ac:dyDescent="0.25">
      <c r="A105" s="86"/>
      <c r="B105" s="15"/>
      <c r="C105" s="20"/>
      <c r="D105" s="20"/>
    </row>
    <row r="106" spans="1:4" ht="20.25" x14ac:dyDescent="0.25">
      <c r="A106" s="86"/>
      <c r="B106" s="15"/>
      <c r="C106" s="20"/>
      <c r="D106" s="20"/>
    </row>
    <row r="107" spans="1:4" ht="20.25" x14ac:dyDescent="0.25">
      <c r="A107" s="86"/>
      <c r="B107" s="15"/>
      <c r="C107" s="20"/>
      <c r="D107" s="20"/>
    </row>
    <row r="108" spans="1:4" ht="20.25" x14ac:dyDescent="0.25">
      <c r="A108" s="86"/>
      <c r="B108" s="15"/>
      <c r="C108" s="20"/>
      <c r="D108" s="20"/>
    </row>
    <row r="109" spans="1:4" ht="20.25" x14ac:dyDescent="0.25">
      <c r="A109" s="86"/>
      <c r="B109" s="15"/>
      <c r="C109" s="20"/>
      <c r="D109" s="20"/>
    </row>
    <row r="110" spans="1:4" ht="20.25" x14ac:dyDescent="0.25">
      <c r="A110" s="86"/>
      <c r="B110" s="15"/>
      <c r="C110" s="20"/>
      <c r="D110" s="20"/>
    </row>
    <row r="111" spans="1:4" ht="20.25" x14ac:dyDescent="0.25">
      <c r="A111" s="86"/>
      <c r="B111" s="15"/>
      <c r="C111" s="20"/>
      <c r="D111" s="20"/>
    </row>
    <row r="112" spans="1:4" ht="20.25" x14ac:dyDescent="0.25">
      <c r="A112" s="86"/>
      <c r="B112" s="15"/>
      <c r="C112" s="20"/>
      <c r="D112" s="20"/>
    </row>
    <row r="113" spans="1:4" ht="20.25" x14ac:dyDescent="0.25">
      <c r="A113" s="86"/>
      <c r="B113" s="15"/>
      <c r="C113" s="20"/>
      <c r="D113" s="20"/>
    </row>
    <row r="114" spans="1:4" ht="20.25" x14ac:dyDescent="0.25">
      <c r="A114" s="86"/>
      <c r="B114" s="15"/>
      <c r="C114" s="20"/>
      <c r="D114" s="20"/>
    </row>
    <row r="115" spans="1:4" ht="20.25" x14ac:dyDescent="0.25">
      <c r="A115" s="86"/>
      <c r="B115" s="15"/>
      <c r="C115" s="20"/>
      <c r="D115" s="20"/>
    </row>
    <row r="116" spans="1:4" ht="20.25" x14ac:dyDescent="0.25">
      <c r="A116" s="86"/>
      <c r="B116" s="15"/>
      <c r="C116" s="20"/>
      <c r="D116" s="20"/>
    </row>
    <row r="117" spans="1:4" ht="20.25" x14ac:dyDescent="0.25">
      <c r="A117" s="86"/>
      <c r="B117" s="15"/>
      <c r="C117" s="20"/>
      <c r="D117" s="20"/>
    </row>
    <row r="118" spans="1:4" ht="20.25" x14ac:dyDescent="0.25">
      <c r="A118" s="86"/>
      <c r="B118" s="15"/>
      <c r="C118" s="20"/>
      <c r="D118" s="20"/>
    </row>
    <row r="119" spans="1:4" ht="20.25" x14ac:dyDescent="0.25">
      <c r="A119" s="86"/>
      <c r="B119" s="15"/>
      <c r="C119" s="20"/>
      <c r="D119" s="20"/>
    </row>
    <row r="120" spans="1:4" ht="20.25" x14ac:dyDescent="0.25">
      <c r="A120" s="86"/>
      <c r="B120" s="15"/>
      <c r="C120" s="20"/>
      <c r="D120" s="20"/>
    </row>
    <row r="121" spans="1:4" ht="20.25" x14ac:dyDescent="0.25">
      <c r="A121" s="86"/>
      <c r="B121" s="15"/>
      <c r="C121" s="20"/>
      <c r="D121" s="20"/>
    </row>
    <row r="122" spans="1:4" ht="20.25" x14ac:dyDescent="0.25">
      <c r="A122" s="86"/>
      <c r="B122" s="15"/>
      <c r="C122" s="20"/>
      <c r="D122" s="20"/>
    </row>
    <row r="123" spans="1:4" ht="20.25" x14ac:dyDescent="0.25">
      <c r="A123" s="86"/>
      <c r="B123" s="15"/>
      <c r="C123" s="20"/>
      <c r="D123" s="20"/>
    </row>
    <row r="124" spans="1:4" ht="20.25" x14ac:dyDescent="0.25">
      <c r="A124" s="86"/>
      <c r="B124" s="15"/>
      <c r="C124" s="20"/>
      <c r="D124" s="20"/>
    </row>
    <row r="125" spans="1:4" ht="20.25" x14ac:dyDescent="0.25">
      <c r="A125" s="86"/>
      <c r="B125" s="15"/>
      <c r="C125" s="20"/>
      <c r="D125" s="20"/>
    </row>
    <row r="126" spans="1:4" ht="20.25" x14ac:dyDescent="0.25">
      <c r="A126" s="86"/>
      <c r="B126" s="15"/>
      <c r="C126" s="20"/>
      <c r="D126" s="20"/>
    </row>
    <row r="127" spans="1:4" ht="20.25" x14ac:dyDescent="0.25">
      <c r="A127" s="86"/>
      <c r="B127" s="15"/>
      <c r="C127" s="20"/>
      <c r="D127" s="20"/>
    </row>
    <row r="128" spans="1:4" ht="20.25" x14ac:dyDescent="0.25">
      <c r="A128" s="86"/>
      <c r="B128" s="15"/>
      <c r="C128" s="20"/>
      <c r="D128" s="20"/>
    </row>
    <row r="129" spans="1:4" ht="20.25" x14ac:dyDescent="0.25">
      <c r="A129" s="86"/>
      <c r="B129" s="15"/>
      <c r="C129" s="20"/>
      <c r="D129" s="20"/>
    </row>
    <row r="130" spans="1:4" ht="20.25" x14ac:dyDescent="0.25">
      <c r="A130" s="86"/>
      <c r="B130" s="15"/>
      <c r="C130" s="20"/>
      <c r="D130" s="20"/>
    </row>
    <row r="131" spans="1:4" ht="20.25" x14ac:dyDescent="0.25">
      <c r="A131" s="86"/>
      <c r="B131" s="15"/>
      <c r="C131" s="20"/>
      <c r="D131" s="20"/>
    </row>
    <row r="132" spans="1:4" ht="20.25" x14ac:dyDescent="0.25">
      <c r="A132" s="86"/>
      <c r="B132" s="15"/>
      <c r="C132" s="20"/>
      <c r="D132" s="20"/>
    </row>
    <row r="133" spans="1:4" ht="20.25" x14ac:dyDescent="0.25">
      <c r="A133" s="86"/>
      <c r="B133" s="15"/>
      <c r="C133" s="20"/>
      <c r="D133" s="20"/>
    </row>
    <row r="134" spans="1:4" ht="20.25" x14ac:dyDescent="0.25">
      <c r="A134" s="86"/>
      <c r="B134" s="15"/>
      <c r="C134" s="20"/>
      <c r="D134" s="20"/>
    </row>
    <row r="135" spans="1:4" ht="20.25" x14ac:dyDescent="0.25">
      <c r="A135" s="86"/>
      <c r="B135" s="15"/>
      <c r="C135" s="20"/>
      <c r="D135" s="20"/>
    </row>
    <row r="136" spans="1:4" ht="20.25" x14ac:dyDescent="0.25">
      <c r="A136" s="86"/>
      <c r="B136" s="15"/>
      <c r="C136" s="20"/>
      <c r="D136" s="20"/>
    </row>
    <row r="137" spans="1:4" ht="20.25" x14ac:dyDescent="0.25">
      <c r="A137" s="86"/>
      <c r="B137" s="15"/>
      <c r="C137" s="20"/>
      <c r="D137" s="20"/>
    </row>
    <row r="138" spans="1:4" ht="20.25" x14ac:dyDescent="0.25">
      <c r="A138" s="86"/>
      <c r="B138" s="15"/>
      <c r="C138" s="20"/>
      <c r="D138" s="20"/>
    </row>
    <row r="139" spans="1:4" ht="20.25" x14ac:dyDescent="0.25">
      <c r="A139" s="86"/>
      <c r="B139" s="15"/>
      <c r="C139" s="20"/>
      <c r="D139" s="20"/>
    </row>
    <row r="140" spans="1:4" ht="20.25" x14ac:dyDescent="0.25">
      <c r="A140" s="86"/>
      <c r="B140" s="15"/>
      <c r="C140" s="20"/>
      <c r="D140" s="20"/>
    </row>
    <row r="141" spans="1:4" ht="20.25" x14ac:dyDescent="0.25">
      <c r="A141" s="86"/>
      <c r="B141" s="15"/>
      <c r="C141" s="20"/>
      <c r="D141" s="20"/>
    </row>
    <row r="142" spans="1:4" ht="20.25" x14ac:dyDescent="0.25">
      <c r="A142" s="86"/>
      <c r="B142" s="15"/>
      <c r="C142" s="20"/>
      <c r="D142" s="20"/>
    </row>
    <row r="143" spans="1:4" ht="20.25" x14ac:dyDescent="0.25">
      <c r="A143" s="86"/>
      <c r="B143" s="15"/>
      <c r="C143" s="20"/>
      <c r="D143" s="20"/>
    </row>
    <row r="144" spans="1:4" ht="20.25" x14ac:dyDescent="0.25">
      <c r="A144" s="86"/>
      <c r="B144" s="15"/>
      <c r="C144" s="20"/>
      <c r="D144" s="20"/>
    </row>
    <row r="145" spans="1:4" ht="20.25" x14ac:dyDescent="0.25">
      <c r="A145" s="86"/>
      <c r="B145" s="15"/>
      <c r="C145" s="20"/>
      <c r="D145" s="20"/>
    </row>
    <row r="146" spans="1:4" ht="20.25" x14ac:dyDescent="0.25">
      <c r="A146" s="86"/>
      <c r="B146" s="15"/>
      <c r="C146" s="20"/>
      <c r="D146" s="20"/>
    </row>
    <row r="147" spans="1:4" ht="20.25" x14ac:dyDescent="0.25">
      <c r="A147" s="86"/>
      <c r="B147" s="15"/>
      <c r="C147" s="20"/>
      <c r="D147" s="20"/>
    </row>
    <row r="148" spans="1:4" ht="20.25" x14ac:dyDescent="0.25">
      <c r="A148" s="86"/>
      <c r="B148" s="15"/>
      <c r="C148" s="20"/>
      <c r="D148" s="20"/>
    </row>
    <row r="149" spans="1:4" ht="20.25" x14ac:dyDescent="0.25">
      <c r="A149" s="86"/>
      <c r="B149" s="15"/>
      <c r="C149" s="20"/>
      <c r="D149" s="20"/>
    </row>
    <row r="150" spans="1:4" ht="20.25" x14ac:dyDescent="0.25">
      <c r="A150" s="86"/>
      <c r="B150" s="15"/>
      <c r="C150" s="20"/>
      <c r="D150" s="20"/>
    </row>
    <row r="151" spans="1:4" ht="20.25" x14ac:dyDescent="0.25">
      <c r="A151" s="86"/>
      <c r="B151" s="15"/>
      <c r="C151" s="20"/>
      <c r="D151" s="20"/>
    </row>
    <row r="152" spans="1:4" ht="20.25" x14ac:dyDescent="0.25">
      <c r="A152" s="86"/>
      <c r="B152" s="15"/>
      <c r="C152" s="20"/>
      <c r="D152" s="20"/>
    </row>
    <row r="153" spans="1:4" ht="20.25" x14ac:dyDescent="0.25">
      <c r="A153" s="86"/>
      <c r="B153" s="15"/>
      <c r="C153" s="20"/>
      <c r="D153" s="20"/>
    </row>
    <row r="154" spans="1:4" ht="20.25" x14ac:dyDescent="0.25">
      <c r="A154" s="86"/>
      <c r="B154" s="15"/>
      <c r="C154" s="20"/>
      <c r="D154" s="20"/>
    </row>
    <row r="155" spans="1:4" ht="20.25" x14ac:dyDescent="0.25">
      <c r="A155" s="86"/>
      <c r="B155" s="15"/>
      <c r="C155" s="20"/>
      <c r="D155" s="20"/>
    </row>
    <row r="156" spans="1:4" ht="20.25" x14ac:dyDescent="0.25">
      <c r="A156" s="86"/>
      <c r="B156" s="15"/>
      <c r="C156" s="20"/>
      <c r="D156" s="20"/>
    </row>
    <row r="157" spans="1:4" ht="20.25" x14ac:dyDescent="0.25">
      <c r="A157" s="86"/>
      <c r="B157" s="15"/>
      <c r="C157" s="20"/>
      <c r="D157" s="20"/>
    </row>
    <row r="158" spans="1:4" ht="20.25" x14ac:dyDescent="0.25">
      <c r="A158" s="86"/>
      <c r="B158" s="15"/>
      <c r="C158" s="20"/>
      <c r="D158" s="20"/>
    </row>
    <row r="159" spans="1:4" ht="20.25" x14ac:dyDescent="0.25">
      <c r="A159" s="86"/>
      <c r="B159" s="15"/>
      <c r="C159" s="20"/>
      <c r="D159" s="20"/>
    </row>
    <row r="160" spans="1:4" ht="20.25" x14ac:dyDescent="0.25">
      <c r="A160" s="86"/>
      <c r="B160" s="15"/>
      <c r="C160" s="20"/>
      <c r="D160" s="20"/>
    </row>
    <row r="161" spans="1:4" ht="20.25" x14ac:dyDescent="0.25">
      <c r="A161" s="86"/>
      <c r="B161" s="15"/>
      <c r="C161" s="20"/>
      <c r="D161" s="20"/>
    </row>
    <row r="162" spans="1:4" ht="20.25" x14ac:dyDescent="0.25">
      <c r="A162" s="86"/>
      <c r="B162" s="15"/>
      <c r="C162" s="20"/>
      <c r="D162" s="20"/>
    </row>
    <row r="163" spans="1:4" ht="20.25" x14ac:dyDescent="0.25">
      <c r="A163" s="86"/>
      <c r="B163" s="15"/>
      <c r="C163" s="20"/>
      <c r="D163" s="20"/>
    </row>
    <row r="164" spans="1:4" ht="20.25" x14ac:dyDescent="0.25">
      <c r="A164" s="86"/>
      <c r="B164" s="15"/>
      <c r="C164" s="20"/>
      <c r="D164" s="20"/>
    </row>
    <row r="165" spans="1:4" ht="20.25" x14ac:dyDescent="0.25">
      <c r="A165" s="86"/>
      <c r="B165" s="15"/>
      <c r="C165" s="20"/>
      <c r="D165" s="20"/>
    </row>
    <row r="166" spans="1:4" ht="20.25" x14ac:dyDescent="0.25">
      <c r="A166" s="86"/>
      <c r="B166" s="15"/>
      <c r="C166" s="20"/>
      <c r="D166" s="20"/>
    </row>
    <row r="167" spans="1:4" ht="20.25" x14ac:dyDescent="0.25">
      <c r="A167" s="86"/>
      <c r="B167" s="15"/>
      <c r="C167" s="20"/>
      <c r="D167" s="20"/>
    </row>
    <row r="168" spans="1:4" ht="20.25" x14ac:dyDescent="0.25">
      <c r="A168" s="86"/>
      <c r="B168" s="15"/>
      <c r="C168" s="20"/>
      <c r="D168" s="20"/>
    </row>
    <row r="169" spans="1:4" ht="20.25" x14ac:dyDescent="0.25">
      <c r="A169" s="86"/>
      <c r="B169" s="15"/>
      <c r="C169" s="20"/>
      <c r="D169" s="20"/>
    </row>
    <row r="170" spans="1:4" ht="20.25" x14ac:dyDescent="0.25">
      <c r="A170" s="86"/>
      <c r="B170" s="15"/>
      <c r="C170" s="20"/>
      <c r="D170" s="20"/>
    </row>
    <row r="171" spans="1:4" ht="20.25" x14ac:dyDescent="0.25">
      <c r="A171" s="86"/>
      <c r="B171" s="15"/>
      <c r="C171" s="20"/>
      <c r="D171" s="20"/>
    </row>
    <row r="172" spans="1:4" ht="20.25" x14ac:dyDescent="0.25">
      <c r="A172" s="86"/>
      <c r="B172" s="15"/>
      <c r="C172" s="20"/>
      <c r="D172" s="20"/>
    </row>
    <row r="173" spans="1:4" ht="20.25" x14ac:dyDescent="0.25">
      <c r="A173" s="86"/>
      <c r="B173" s="15"/>
      <c r="C173" s="20"/>
      <c r="D173" s="20"/>
    </row>
    <row r="174" spans="1:4" ht="20.25" x14ac:dyDescent="0.25">
      <c r="A174" s="86"/>
      <c r="B174" s="15"/>
      <c r="C174" s="20"/>
      <c r="D174" s="20"/>
    </row>
    <row r="175" spans="1:4" ht="20.25" x14ac:dyDescent="0.25">
      <c r="A175" s="86"/>
      <c r="B175" s="15"/>
      <c r="C175" s="20"/>
      <c r="D175" s="20"/>
    </row>
    <row r="176" spans="1:4" ht="20.25" x14ac:dyDescent="0.25">
      <c r="A176" s="86"/>
      <c r="B176" s="15"/>
      <c r="C176" s="20"/>
      <c r="D176" s="20"/>
    </row>
    <row r="177" spans="1:4" ht="20.25" x14ac:dyDescent="0.25">
      <c r="A177" s="86"/>
      <c r="B177" s="15"/>
      <c r="C177" s="20"/>
      <c r="D177" s="20"/>
    </row>
    <row r="178" spans="1:4" ht="20.25" x14ac:dyDescent="0.25">
      <c r="A178" s="86"/>
      <c r="B178" s="15"/>
      <c r="C178" s="20"/>
      <c r="D178" s="20"/>
    </row>
    <row r="179" spans="1:4" ht="20.25" x14ac:dyDescent="0.25">
      <c r="A179" s="86"/>
      <c r="B179" s="15"/>
      <c r="C179" s="20"/>
      <c r="D179" s="20"/>
    </row>
    <row r="180" spans="1:4" ht="20.25" x14ac:dyDescent="0.25">
      <c r="A180" s="86"/>
      <c r="B180" s="15"/>
      <c r="C180" s="20"/>
      <c r="D180" s="20"/>
    </row>
    <row r="181" spans="1:4" ht="20.25" x14ac:dyDescent="0.25">
      <c r="A181" s="86"/>
      <c r="B181" s="15"/>
      <c r="C181" s="20"/>
      <c r="D181" s="20"/>
    </row>
    <row r="182" spans="1:4" ht="20.25" x14ac:dyDescent="0.25">
      <c r="A182" s="86"/>
      <c r="B182" s="15"/>
      <c r="C182" s="20"/>
      <c r="D182" s="20"/>
    </row>
    <row r="183" spans="1:4" ht="20.25" x14ac:dyDescent="0.25">
      <c r="A183" s="86"/>
      <c r="B183" s="15"/>
      <c r="C183" s="20"/>
      <c r="D183" s="20"/>
    </row>
    <row r="184" spans="1:4" ht="20.25" x14ac:dyDescent="0.25">
      <c r="A184" s="86"/>
      <c r="B184" s="15"/>
      <c r="C184" s="20"/>
      <c r="D184" s="20"/>
    </row>
    <row r="185" spans="1:4" ht="20.25" x14ac:dyDescent="0.25">
      <c r="A185" s="86"/>
      <c r="B185" s="15"/>
      <c r="C185" s="20"/>
      <c r="D185" s="20"/>
    </row>
    <row r="186" spans="1:4" ht="20.25" x14ac:dyDescent="0.25">
      <c r="A186" s="86"/>
      <c r="B186" s="15"/>
      <c r="C186" s="20"/>
      <c r="D186" s="20"/>
    </row>
    <row r="187" spans="1:4" ht="20.25" x14ac:dyDescent="0.25">
      <c r="A187" s="86"/>
      <c r="B187" s="15"/>
      <c r="C187" s="20"/>
      <c r="D187" s="20"/>
    </row>
    <row r="188" spans="1:4" ht="20.25" x14ac:dyDescent="0.25">
      <c r="A188" s="86"/>
      <c r="B188" s="15"/>
      <c r="C188" s="20"/>
      <c r="D188" s="20"/>
    </row>
    <row r="189" spans="1:4" ht="20.25" x14ac:dyDescent="0.25">
      <c r="A189" s="86"/>
      <c r="B189" s="15"/>
      <c r="C189" s="20"/>
      <c r="D189" s="20"/>
    </row>
    <row r="190" spans="1:4" ht="20.25" x14ac:dyDescent="0.25">
      <c r="A190" s="86"/>
      <c r="B190" s="15"/>
      <c r="C190" s="20"/>
      <c r="D190" s="20"/>
    </row>
    <row r="191" spans="1:4" ht="20.25" x14ac:dyDescent="0.25">
      <c r="A191" s="86"/>
      <c r="B191" s="15"/>
      <c r="C191" s="20"/>
      <c r="D191" s="20"/>
    </row>
    <row r="192" spans="1:4" ht="20.25" x14ac:dyDescent="0.25">
      <c r="A192" s="86"/>
      <c r="B192" s="15"/>
      <c r="C192" s="20"/>
      <c r="D192" s="20"/>
    </row>
    <row r="193" spans="1:6" ht="20.25" x14ac:dyDescent="0.25">
      <c r="A193" s="86"/>
      <c r="B193" s="15"/>
      <c r="C193" s="20"/>
      <c r="D193" s="20"/>
    </row>
    <row r="194" spans="1:6" ht="20.25" x14ac:dyDescent="0.25">
      <c r="A194" s="86"/>
      <c r="B194" s="15"/>
      <c r="C194" s="20"/>
      <c r="D194" s="20"/>
    </row>
    <row r="195" spans="1:6" ht="20.25" x14ac:dyDescent="0.25">
      <c r="A195" s="86"/>
      <c r="B195" s="15"/>
      <c r="C195" s="20"/>
      <c r="D195" s="20"/>
    </row>
    <row r="196" spans="1:6" ht="20.25" x14ac:dyDescent="0.25">
      <c r="A196" s="86"/>
      <c r="B196" s="15"/>
      <c r="C196" s="20"/>
      <c r="D196" s="20"/>
    </row>
    <row r="197" spans="1:6" ht="20.25" x14ac:dyDescent="0.25">
      <c r="A197" s="86"/>
      <c r="B197" s="15"/>
      <c r="C197" s="20"/>
      <c r="D197" s="20"/>
    </row>
    <row r="198" spans="1:6" ht="20.25" x14ac:dyDescent="0.25">
      <c r="A198" s="86"/>
      <c r="B198" s="15"/>
      <c r="C198" s="20"/>
      <c r="D198" s="20"/>
    </row>
    <row r="199" spans="1:6" ht="20.25" x14ac:dyDescent="0.25">
      <c r="A199" s="86"/>
      <c r="B199" s="15"/>
      <c r="C199" s="20"/>
      <c r="D199" s="20"/>
    </row>
    <row r="200" spans="1:6" ht="20.25" x14ac:dyDescent="0.25">
      <c r="A200" s="86"/>
      <c r="B200" s="15"/>
      <c r="C200" s="20"/>
      <c r="D200" s="20"/>
    </row>
    <row r="201" spans="1:6" ht="20.25" x14ac:dyDescent="0.25">
      <c r="A201" s="86"/>
      <c r="B201" s="15"/>
      <c r="C201" s="20"/>
      <c r="D201" s="20"/>
    </row>
    <row r="202" spans="1:6" ht="20.25" x14ac:dyDescent="0.25">
      <c r="A202" s="86"/>
      <c r="B202" s="15"/>
      <c r="C202" s="20"/>
      <c r="D202" s="20"/>
    </row>
    <row r="203" spans="1:6" ht="20.25" x14ac:dyDescent="0.25">
      <c r="A203" s="86"/>
      <c r="B203" s="15"/>
      <c r="C203" s="20"/>
      <c r="D203" s="20"/>
    </row>
    <row r="204" spans="1:6" ht="20.25" x14ac:dyDescent="0.25">
      <c r="A204" s="86"/>
      <c r="B204" s="15"/>
      <c r="C204" s="20"/>
      <c r="D204" s="20"/>
    </row>
    <row r="205" spans="1:6" ht="20.25" x14ac:dyDescent="0.25">
      <c r="A205" s="86"/>
      <c r="B205" s="15"/>
      <c r="C205" s="20"/>
      <c r="D205" s="20"/>
    </row>
    <row r="206" spans="1:6" ht="20.25" x14ac:dyDescent="0.25">
      <c r="A206" s="86"/>
      <c r="B206" s="15"/>
      <c r="C206" s="20"/>
      <c r="D206" s="20"/>
    </row>
    <row r="207" spans="1:6" ht="20.25" x14ac:dyDescent="0.25">
      <c r="A207" s="86"/>
      <c r="B207" s="15"/>
      <c r="C207" s="20"/>
      <c r="D207" s="20"/>
    </row>
    <row r="208" spans="1:6" ht="20.25" x14ac:dyDescent="0.25">
      <c r="A208" s="86"/>
      <c r="B208" s="15"/>
      <c r="C208" s="20"/>
      <c r="D208" s="20"/>
      <c r="F208" s="114" t="s">
        <v>270</v>
      </c>
    </row>
    <row r="209" spans="1:8" x14ac:dyDescent="0.25">
      <c r="A209" s="66"/>
      <c r="B209" s="15"/>
      <c r="C209" s="15"/>
      <c r="D209" s="15"/>
      <c r="F209" s="114" t="s">
        <v>340</v>
      </c>
    </row>
    <row r="210" spans="1:8" ht="20.25" x14ac:dyDescent="0.25">
      <c r="A210" s="66"/>
      <c r="B210" s="16" t="s">
        <v>359</v>
      </c>
      <c r="C210" s="16" t="s">
        <v>360</v>
      </c>
      <c r="D210" s="19" t="s">
        <v>359</v>
      </c>
      <c r="E210" s="19" t="s">
        <v>360</v>
      </c>
      <c r="F210" s="114" t="s">
        <v>361</v>
      </c>
    </row>
    <row r="211" spans="1:8" ht="21" x14ac:dyDescent="0.35">
      <c r="A211" s="66"/>
      <c r="B211" s="17" t="s">
        <v>362</v>
      </c>
      <c r="C211" s="117" t="s">
        <v>363</v>
      </c>
      <c r="D211" s="116" t="s">
        <v>362</v>
      </c>
      <c r="F211" s="114" t="str">
        <f>IF(NOT(ISBLANK(D211)),D211,IF(NOT(ISBLANK(E211)),"     "&amp;E211,FALSE))</f>
        <v>Afectación Económica o presupuestal</v>
      </c>
      <c r="G211" t="s">
        <v>362</v>
      </c>
      <c r="H211" t="str">
        <f>IF(NOT(ISERROR(MATCH(G211,_xlfn.ANCHORARRAY(B222),0))),F224&amp;"Por favor no seleccionar los criterios de impacto",G211)</f>
        <v>❌Por favor no seleccionar los criterios de impacto</v>
      </c>
    </row>
    <row r="212" spans="1:8" ht="21" x14ac:dyDescent="0.35">
      <c r="A212" s="66"/>
      <c r="B212" s="17" t="s">
        <v>362</v>
      </c>
      <c r="C212" s="117" t="s">
        <v>335</v>
      </c>
      <c r="E212" t="s">
        <v>363</v>
      </c>
      <c r="F212" s="114" t="str">
        <f t="shared" ref="F212:F222" si="0">IF(NOT(ISBLANK(D212)),D212,IF(NOT(ISBLANK(E212)),"     "&amp;E212,FALSE))</f>
        <v xml:space="preserve">     Afectación menor a 130 SMLMV .</v>
      </c>
    </row>
    <row r="213" spans="1:8" ht="21" x14ac:dyDescent="0.35">
      <c r="A213" s="66"/>
      <c r="B213" s="17" t="s">
        <v>362</v>
      </c>
      <c r="C213" s="117" t="s">
        <v>338</v>
      </c>
      <c r="E213" t="s">
        <v>335</v>
      </c>
      <c r="F213" s="114" t="str">
        <f t="shared" si="0"/>
        <v xml:space="preserve">     Entre 130 y 650 SMLMV </v>
      </c>
    </row>
    <row r="214" spans="1:8" ht="21" x14ac:dyDescent="0.35">
      <c r="A214" s="66"/>
      <c r="B214" s="17" t="s">
        <v>362</v>
      </c>
      <c r="C214" s="117" t="s">
        <v>342</v>
      </c>
      <c r="E214" t="s">
        <v>338</v>
      </c>
      <c r="F214" s="114" t="str">
        <f t="shared" si="0"/>
        <v xml:space="preserve">     Entre 650 y 1300 SMLMV </v>
      </c>
    </row>
    <row r="215" spans="1:8" ht="21" x14ac:dyDescent="0.35">
      <c r="A215" s="66"/>
      <c r="B215" s="17" t="s">
        <v>362</v>
      </c>
      <c r="C215" s="117" t="s">
        <v>346</v>
      </c>
      <c r="E215" t="s">
        <v>342</v>
      </c>
      <c r="F215" s="114" t="str">
        <f t="shared" si="0"/>
        <v xml:space="preserve">     Entre 1300 y 6500 SMLMV </v>
      </c>
    </row>
    <row r="216" spans="1:8" ht="21" x14ac:dyDescent="0.35">
      <c r="A216" s="66"/>
      <c r="B216" s="17" t="s">
        <v>327</v>
      </c>
      <c r="C216" s="117" t="s">
        <v>332</v>
      </c>
      <c r="E216" t="s">
        <v>346</v>
      </c>
      <c r="F216" s="114" t="str">
        <f t="shared" si="0"/>
        <v xml:space="preserve">     Mayor a 6500 SMLMV </v>
      </c>
    </row>
    <row r="217" spans="1:8" ht="63" x14ac:dyDescent="0.35">
      <c r="A217" s="66"/>
      <c r="B217" s="17" t="s">
        <v>327</v>
      </c>
      <c r="C217" s="117" t="s">
        <v>336</v>
      </c>
      <c r="D217" s="116" t="s">
        <v>327</v>
      </c>
      <c r="F217" s="114" t="str">
        <f t="shared" si="0"/>
        <v>Pérdida Reputacional</v>
      </c>
    </row>
    <row r="218" spans="1:8" ht="42" x14ac:dyDescent="0.35">
      <c r="A218" s="66"/>
      <c r="B218" s="17" t="s">
        <v>327</v>
      </c>
      <c r="C218" s="117" t="s">
        <v>339</v>
      </c>
      <c r="D218" s="116"/>
      <c r="E218" s="118" t="s">
        <v>332</v>
      </c>
      <c r="F218" s="114" t="str">
        <f t="shared" si="0"/>
        <v xml:space="preserve">     El riesgo afecta la imagen de alguna área de la organización</v>
      </c>
    </row>
    <row r="219" spans="1:8" ht="63" x14ac:dyDescent="0.35">
      <c r="A219" s="66"/>
      <c r="B219" s="17" t="s">
        <v>327</v>
      </c>
      <c r="C219" s="117" t="s">
        <v>364</v>
      </c>
      <c r="D219" s="116"/>
      <c r="E219" s="118" t="s">
        <v>336</v>
      </c>
      <c r="F219" s="114" t="str">
        <f t="shared" si="0"/>
        <v xml:space="preserve">     El riesgo afecta la imagen de la entidad internamente, de conocimiento general, nivel interno, de junta dircetiva y accionistas y/o de provedores</v>
      </c>
    </row>
    <row r="220" spans="1:8" ht="45" x14ac:dyDescent="0.35">
      <c r="A220" s="66"/>
      <c r="B220" s="17" t="s">
        <v>327</v>
      </c>
      <c r="C220" s="117" t="s">
        <v>347</v>
      </c>
      <c r="D220" s="116"/>
      <c r="E220" s="118" t="s">
        <v>339</v>
      </c>
      <c r="F220" s="114" t="str">
        <f t="shared" si="0"/>
        <v xml:space="preserve">     El riesgo afecta la imagen de la entidad con algunos usuarios de relevancia frente al logro de los objetivos</v>
      </c>
    </row>
    <row r="221" spans="1:8" ht="45" x14ac:dyDescent="0.25">
      <c r="A221" s="66"/>
      <c r="B221" s="18"/>
      <c r="C221" s="18"/>
      <c r="D221" s="116"/>
      <c r="E221" s="118" t="s">
        <v>364</v>
      </c>
      <c r="F221" s="114" t="str">
        <f t="shared" si="0"/>
        <v xml:space="preserve">     El riesgo afecta la imagen de de la entidad con efecto publicitario sostenido a nivel de sector administrativo, nivel departamental o municipal</v>
      </c>
    </row>
    <row r="222" spans="1:8" ht="58.5" customHeight="1" x14ac:dyDescent="0.25">
      <c r="A222" s="66"/>
      <c r="B222" s="18" t="str" cm="1">
        <f t="array" ref="B222:B224">_xlfn.UNIQUE(Tabla1[[#All],[Criterios]])</f>
        <v>Criterios</v>
      </c>
      <c r="C222" s="18"/>
      <c r="D222" s="116"/>
      <c r="E222" s="118" t="s">
        <v>347</v>
      </c>
      <c r="F222" s="114" t="str">
        <f t="shared" si="0"/>
        <v xml:space="preserve">     El riesgo afecta la imagen de la entidad a nivel nacional, con efecto publicitarios sostenible a nivel país</v>
      </c>
    </row>
    <row r="223" spans="1:8" x14ac:dyDescent="0.25">
      <c r="A223" s="66"/>
      <c r="B223" s="18" t="str">
        <v>Afectación Económica o presupuestal</v>
      </c>
      <c r="C223" s="18"/>
    </row>
    <row r="224" spans="1:8" x14ac:dyDescent="0.25">
      <c r="B224" s="18" t="str">
        <v>Pérdida Reputacional</v>
      </c>
      <c r="C224" s="18"/>
      <c r="F224" s="115" t="s">
        <v>365</v>
      </c>
    </row>
    <row r="225" spans="2:6" x14ac:dyDescent="0.25">
      <c r="B225" s="14"/>
      <c r="C225" s="14"/>
      <c r="F225" s="115" t="s">
        <v>366</v>
      </c>
    </row>
    <row r="226" spans="2:6" x14ac:dyDescent="0.25">
      <c r="B226" s="14"/>
      <c r="C226" s="14"/>
    </row>
    <row r="227" spans="2:6" x14ac:dyDescent="0.25">
      <c r="B227" s="14"/>
      <c r="C227" s="14"/>
    </row>
    <row r="228" spans="2:6" x14ac:dyDescent="0.25">
      <c r="B228" s="14"/>
      <c r="C228" s="14"/>
      <c r="D228" s="14"/>
    </row>
    <row r="229" spans="2:6" x14ac:dyDescent="0.25">
      <c r="B229" s="14"/>
      <c r="C229" s="14"/>
      <c r="D229" s="14"/>
    </row>
    <row r="230" spans="2:6" x14ac:dyDescent="0.25">
      <c r="B230" s="14"/>
      <c r="C230" s="14"/>
      <c r="D230" s="14"/>
    </row>
    <row r="231" spans="2:6" x14ac:dyDescent="0.25">
      <c r="B231" s="14"/>
      <c r="C231" s="14"/>
      <c r="D231" s="14"/>
    </row>
    <row r="232" spans="2:6" x14ac:dyDescent="0.25">
      <c r="B232" s="14"/>
      <c r="C232" s="14"/>
      <c r="D232" s="14"/>
    </row>
    <row r="233" spans="2:6" x14ac:dyDescent="0.25">
      <c r="B233" s="14"/>
      <c r="C233" s="14"/>
      <c r="D233" s="14"/>
    </row>
  </sheetData>
  <mergeCells count="1">
    <mergeCell ref="B2:E2"/>
  </mergeCells>
  <dataValidations disablePrompts="1" count="1">
    <dataValidation type="list" allowBlank="1" showInputMessage="1" showErrorMessage="1" sqref="G211" xr:uid="{00000000-0002-0000-0A00-000000000000}">
      <formula1>$F$211:$F$222</formula1>
    </dataValidation>
  </dataValidations>
  <pageMargins left="0.7" right="0.7" top="0.75" bottom="0.75" header="0.3" footer="0.3"/>
  <pageSetup orientation="portrait"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X18"/>
  <sheetViews>
    <sheetView zoomScale="140" zoomScaleNormal="140" workbookViewId="0">
      <pane xSplit="4" ySplit="2" topLeftCell="E3" activePane="bottomRight" state="frozen"/>
      <selection pane="topRight" activeCell="E1" sqref="E1"/>
      <selection pane="bottomLeft" activeCell="A3" sqref="A3"/>
      <selection pane="bottomRight" activeCell="C3" sqref="C3:D3"/>
    </sheetView>
  </sheetViews>
  <sheetFormatPr baseColWidth="10" defaultColWidth="11.42578125" defaultRowHeight="15" x14ac:dyDescent="0.25"/>
  <cols>
    <col min="2" max="2" width="18" customWidth="1"/>
    <col min="3" max="3" width="26.5703125" customWidth="1"/>
    <col min="4" max="4" width="41.85546875" customWidth="1"/>
    <col min="50" max="50" width="15.42578125" customWidth="1"/>
  </cols>
  <sheetData>
    <row r="2" spans="2:50" ht="15.75" thickBot="1" x14ac:dyDescent="0.3"/>
    <row r="3" spans="2:50" ht="33.75" customHeight="1" thickBot="1" x14ac:dyDescent="0.3">
      <c r="B3" s="621" t="s">
        <v>367</v>
      </c>
      <c r="C3" s="155" t="s">
        <v>368</v>
      </c>
      <c r="D3" s="153" t="s">
        <v>369</v>
      </c>
      <c r="AX3" t="s">
        <v>367</v>
      </c>
    </row>
    <row r="4" spans="2:50" ht="48.75" thickBot="1" x14ac:dyDescent="0.3">
      <c r="B4" s="622"/>
      <c r="C4" s="156" t="s">
        <v>370</v>
      </c>
      <c r="D4" s="154" t="s">
        <v>371</v>
      </c>
      <c r="AX4" t="s">
        <v>146</v>
      </c>
    </row>
    <row r="5" spans="2:50" ht="48.75" thickBot="1" x14ac:dyDescent="0.3">
      <c r="B5" s="622"/>
      <c r="C5" s="156" t="s">
        <v>372</v>
      </c>
      <c r="D5" s="154" t="s">
        <v>373</v>
      </c>
      <c r="AX5" t="s">
        <v>374</v>
      </c>
    </row>
    <row r="6" spans="2:50" ht="36.75" thickBot="1" x14ac:dyDescent="0.3">
      <c r="B6" s="623"/>
      <c r="C6" s="156" t="s">
        <v>375</v>
      </c>
      <c r="D6" s="154" t="s">
        <v>376</v>
      </c>
    </row>
    <row r="7" spans="2:50" ht="36.75" thickBot="1" x14ac:dyDescent="0.3">
      <c r="B7" s="621" t="s">
        <v>146</v>
      </c>
      <c r="C7" s="156" t="s">
        <v>377</v>
      </c>
      <c r="D7" s="154" t="s">
        <v>378</v>
      </c>
    </row>
    <row r="8" spans="2:50" ht="96.75" thickBot="1" x14ac:dyDescent="0.3">
      <c r="B8" s="622"/>
      <c r="C8" s="156" t="s">
        <v>379</v>
      </c>
      <c r="D8" s="154" t="s">
        <v>380</v>
      </c>
    </row>
    <row r="9" spans="2:50" ht="48.75" thickBot="1" x14ac:dyDescent="0.3">
      <c r="B9" s="623"/>
      <c r="C9" s="156" t="s">
        <v>150</v>
      </c>
      <c r="D9" s="154" t="s">
        <v>381</v>
      </c>
    </row>
    <row r="10" spans="2:50" x14ac:dyDescent="0.25">
      <c r="B10" s="621" t="s">
        <v>374</v>
      </c>
      <c r="C10" s="157"/>
      <c r="D10" s="624" t="s">
        <v>382</v>
      </c>
    </row>
    <row r="11" spans="2:50" x14ac:dyDescent="0.25">
      <c r="B11" s="622"/>
      <c r="C11" s="157" t="s">
        <v>153</v>
      </c>
      <c r="D11" s="625"/>
    </row>
    <row r="12" spans="2:50" ht="15.75" thickBot="1" x14ac:dyDescent="0.3">
      <c r="B12" s="622"/>
      <c r="C12" s="156"/>
      <c r="D12" s="626"/>
    </row>
    <row r="13" spans="2:50" ht="22.5" customHeight="1" x14ac:dyDescent="0.25">
      <c r="B13" s="622"/>
      <c r="C13" s="157"/>
      <c r="D13" s="624" t="s">
        <v>383</v>
      </c>
    </row>
    <row r="14" spans="2:50" ht="22.5" customHeight="1" x14ac:dyDescent="0.25">
      <c r="B14" s="622"/>
      <c r="C14" s="157" t="s">
        <v>152</v>
      </c>
      <c r="D14" s="625"/>
    </row>
    <row r="15" spans="2:50" ht="22.5" customHeight="1" thickBot="1" x14ac:dyDescent="0.3">
      <c r="B15" s="622"/>
      <c r="C15" s="156"/>
      <c r="D15" s="626"/>
    </row>
    <row r="16" spans="2:50" ht="25.5" customHeight="1" x14ac:dyDescent="0.25">
      <c r="B16" s="622"/>
      <c r="C16" s="157"/>
      <c r="D16" s="624" t="s">
        <v>384</v>
      </c>
    </row>
    <row r="17" spans="2:4" ht="25.5" customHeight="1" x14ac:dyDescent="0.25">
      <c r="B17" s="622"/>
      <c r="C17" s="157" t="s">
        <v>154</v>
      </c>
      <c r="D17" s="625"/>
    </row>
    <row r="18" spans="2:4" ht="25.5" customHeight="1" thickBot="1" x14ac:dyDescent="0.3">
      <c r="B18" s="623"/>
      <c r="C18" s="156"/>
      <c r="D18" s="626"/>
    </row>
  </sheetData>
  <mergeCells count="6">
    <mergeCell ref="B3:B6"/>
    <mergeCell ref="B7:B9"/>
    <mergeCell ref="B10:B18"/>
    <mergeCell ref="D10:D12"/>
    <mergeCell ref="D13:D15"/>
    <mergeCell ref="D16:D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1:F48"/>
  <sheetViews>
    <sheetView topLeftCell="A3" zoomScale="110" zoomScaleNormal="110" workbookViewId="0">
      <selection activeCell="C14" sqref="C14"/>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175" t="s">
        <v>385</v>
      </c>
    </row>
    <row r="2" spans="3:6" ht="15.75" thickBot="1" x14ac:dyDescent="0.3">
      <c r="C2" s="173" t="s">
        <v>386</v>
      </c>
      <c r="E2" s="176" t="s">
        <v>159</v>
      </c>
      <c r="F2" s="177" t="s">
        <v>160</v>
      </c>
    </row>
    <row r="3" spans="3:6" ht="15.75" thickBot="1" x14ac:dyDescent="0.3">
      <c r="C3" s="173" t="s">
        <v>387</v>
      </c>
      <c r="E3" s="350" t="s">
        <v>158</v>
      </c>
      <c r="F3" s="162" t="s">
        <v>162</v>
      </c>
    </row>
    <row r="4" spans="3:6" ht="15.75" thickBot="1" x14ac:dyDescent="0.3">
      <c r="C4" s="173" t="s">
        <v>388</v>
      </c>
      <c r="E4" s="348"/>
      <c r="F4" s="162" t="s">
        <v>164</v>
      </c>
    </row>
    <row r="5" spans="3:6" ht="15.75" thickBot="1" x14ac:dyDescent="0.3">
      <c r="C5" s="173" t="s">
        <v>389</v>
      </c>
      <c r="E5" s="348"/>
      <c r="F5" s="162" t="s">
        <v>166</v>
      </c>
    </row>
    <row r="6" spans="3:6" ht="15.75" thickBot="1" x14ac:dyDescent="0.3">
      <c r="C6" s="173" t="s">
        <v>390</v>
      </c>
      <c r="E6" s="348"/>
      <c r="F6" s="162" t="s">
        <v>168</v>
      </c>
    </row>
    <row r="7" spans="3:6" ht="15.75" thickBot="1" x14ac:dyDescent="0.3">
      <c r="C7" s="174" t="s">
        <v>391</v>
      </c>
      <c r="E7" s="348"/>
      <c r="F7" s="162" t="s">
        <v>169</v>
      </c>
    </row>
    <row r="8" spans="3:6" ht="15.75" thickBot="1" x14ac:dyDescent="0.3">
      <c r="C8" s="173" t="s">
        <v>392</v>
      </c>
      <c r="E8" s="349"/>
      <c r="F8" s="162" t="s">
        <v>170</v>
      </c>
    </row>
    <row r="9" spans="3:6" ht="15.75" thickBot="1" x14ac:dyDescent="0.3">
      <c r="C9" s="173" t="s">
        <v>393</v>
      </c>
      <c r="E9" s="347" t="s">
        <v>167</v>
      </c>
      <c r="F9" s="162" t="s">
        <v>171</v>
      </c>
    </row>
    <row r="10" spans="3:6" ht="15.75" thickBot="1" x14ac:dyDescent="0.3">
      <c r="C10" s="172" t="s">
        <v>394</v>
      </c>
      <c r="E10" s="348"/>
      <c r="F10" s="162" t="s">
        <v>172</v>
      </c>
    </row>
    <row r="11" spans="3:6" ht="15.75" thickBot="1" x14ac:dyDescent="0.3">
      <c r="C11" s="248" t="s">
        <v>395</v>
      </c>
      <c r="E11" s="348"/>
      <c r="F11" s="162" t="s">
        <v>173</v>
      </c>
    </row>
    <row r="12" spans="3:6" ht="15.75" thickBot="1" x14ac:dyDescent="0.3">
      <c r="E12" s="348"/>
      <c r="F12" s="162" t="s">
        <v>174</v>
      </c>
    </row>
    <row r="13" spans="3:6" ht="15.75" thickBot="1" x14ac:dyDescent="0.3">
      <c r="E13" s="349"/>
      <c r="F13" s="162" t="s">
        <v>175</v>
      </c>
    </row>
    <row r="14" spans="3:6" ht="24.75" thickBot="1" x14ac:dyDescent="0.3">
      <c r="E14" s="347" t="s">
        <v>163</v>
      </c>
      <c r="F14" s="162" t="s">
        <v>176</v>
      </c>
    </row>
    <row r="15" spans="3:6" ht="15.75" thickBot="1" x14ac:dyDescent="0.3">
      <c r="E15" s="348"/>
      <c r="F15" s="162" t="s">
        <v>177</v>
      </c>
    </row>
    <row r="16" spans="3:6" ht="15.75" thickBot="1" x14ac:dyDescent="0.3">
      <c r="E16" s="349"/>
      <c r="F16" s="162" t="s">
        <v>178</v>
      </c>
    </row>
    <row r="17" spans="5:6" ht="15.75" thickBot="1" x14ac:dyDescent="0.3">
      <c r="E17" s="347" t="s">
        <v>165</v>
      </c>
      <c r="F17" s="162" t="s">
        <v>179</v>
      </c>
    </row>
    <row r="18" spans="5:6" ht="15.75" thickBot="1" x14ac:dyDescent="0.3">
      <c r="E18" s="348"/>
      <c r="F18" s="162" t="s">
        <v>180</v>
      </c>
    </row>
    <row r="19" spans="5:6" ht="15.75" thickBot="1" x14ac:dyDescent="0.3">
      <c r="E19" s="349"/>
      <c r="F19" s="162" t="s">
        <v>181</v>
      </c>
    </row>
    <row r="20" spans="5:6" ht="24.75" thickBot="1" x14ac:dyDescent="0.3">
      <c r="E20" s="347" t="s">
        <v>156</v>
      </c>
      <c r="F20" s="162" t="s">
        <v>182</v>
      </c>
    </row>
    <row r="21" spans="5:6" ht="15.75" thickBot="1" x14ac:dyDescent="0.3">
      <c r="E21" s="348"/>
      <c r="F21" s="162" t="s">
        <v>183</v>
      </c>
    </row>
    <row r="22" spans="5:6" ht="15.75" thickBot="1" x14ac:dyDescent="0.3">
      <c r="E22" s="348"/>
      <c r="F22" s="162" t="s">
        <v>184</v>
      </c>
    </row>
    <row r="23" spans="5:6" ht="15.75" thickBot="1" x14ac:dyDescent="0.3">
      <c r="E23" s="348"/>
      <c r="F23" s="162" t="s">
        <v>185</v>
      </c>
    </row>
    <row r="24" spans="5:6" ht="15.75" thickBot="1" x14ac:dyDescent="0.3">
      <c r="E24" s="348"/>
      <c r="F24" s="162" t="s">
        <v>186</v>
      </c>
    </row>
    <row r="25" spans="5:6" ht="24.75" thickBot="1" x14ac:dyDescent="0.3">
      <c r="E25" s="348"/>
      <c r="F25" s="162" t="s">
        <v>187</v>
      </c>
    </row>
    <row r="26" spans="5:6" ht="15.75" thickBot="1" x14ac:dyDescent="0.3">
      <c r="E26" s="348"/>
      <c r="F26" s="162" t="s">
        <v>188</v>
      </c>
    </row>
    <row r="27" spans="5:6" ht="24.75" thickBot="1" x14ac:dyDescent="0.3">
      <c r="E27" s="348"/>
      <c r="F27" s="162" t="s">
        <v>189</v>
      </c>
    </row>
    <row r="28" spans="5:6" ht="15.75" thickBot="1" x14ac:dyDescent="0.3">
      <c r="E28" s="348"/>
      <c r="F28" s="162" t="s">
        <v>190</v>
      </c>
    </row>
    <row r="29" spans="5:6" ht="15.75" thickBot="1" x14ac:dyDescent="0.3">
      <c r="E29" s="348"/>
      <c r="F29" s="162" t="s">
        <v>191</v>
      </c>
    </row>
    <row r="30" spans="5:6" ht="15.75" thickBot="1" x14ac:dyDescent="0.3">
      <c r="E30" s="349"/>
      <c r="F30" s="162" t="s">
        <v>192</v>
      </c>
    </row>
    <row r="31" spans="5:6" ht="15.75" thickBot="1" x14ac:dyDescent="0.3">
      <c r="E31" s="347" t="s">
        <v>161</v>
      </c>
      <c r="F31" s="162" t="s">
        <v>193</v>
      </c>
    </row>
    <row r="32" spans="5:6" ht="15.75" thickBot="1" x14ac:dyDescent="0.3">
      <c r="E32" s="348"/>
      <c r="F32" s="162" t="s">
        <v>194</v>
      </c>
    </row>
    <row r="33" spans="5:6" ht="15.75" thickBot="1" x14ac:dyDescent="0.3">
      <c r="E33" s="348"/>
      <c r="F33" s="162" t="s">
        <v>195</v>
      </c>
    </row>
    <row r="34" spans="5:6" ht="15.75" thickBot="1" x14ac:dyDescent="0.3">
      <c r="E34" s="348"/>
      <c r="F34" s="162" t="s">
        <v>196</v>
      </c>
    </row>
    <row r="35" spans="5:6" ht="24.75" thickBot="1" x14ac:dyDescent="0.3">
      <c r="E35" s="349"/>
      <c r="F35" s="162" t="s">
        <v>197</v>
      </c>
    </row>
    <row r="36" spans="5:6" ht="15.75" thickBot="1" x14ac:dyDescent="0.3">
      <c r="E36" s="347" t="s">
        <v>155</v>
      </c>
      <c r="F36" s="162" t="s">
        <v>198</v>
      </c>
    </row>
    <row r="37" spans="5:6" ht="15.75" thickBot="1" x14ac:dyDescent="0.3">
      <c r="E37" s="348"/>
      <c r="F37" s="162" t="s">
        <v>199</v>
      </c>
    </row>
    <row r="38" spans="5:6" ht="15.75" thickBot="1" x14ac:dyDescent="0.3">
      <c r="E38" s="348"/>
      <c r="F38" s="162" t="s">
        <v>200</v>
      </c>
    </row>
    <row r="39" spans="5:6" ht="15.75" thickBot="1" x14ac:dyDescent="0.3">
      <c r="E39" s="348"/>
      <c r="F39" s="162" t="s">
        <v>201</v>
      </c>
    </row>
    <row r="40" spans="5:6" ht="15.75" thickBot="1" x14ac:dyDescent="0.3">
      <c r="E40" s="349"/>
      <c r="F40" s="162" t="s">
        <v>202</v>
      </c>
    </row>
    <row r="41" spans="5:6" ht="15.75" thickBot="1" x14ac:dyDescent="0.3">
      <c r="E41" s="347" t="s">
        <v>157</v>
      </c>
      <c r="F41" s="162" t="s">
        <v>203</v>
      </c>
    </row>
    <row r="42" spans="5:6" ht="15.75" thickBot="1" x14ac:dyDescent="0.3">
      <c r="E42" s="348"/>
      <c r="F42" s="162" t="s">
        <v>204</v>
      </c>
    </row>
    <row r="43" spans="5:6" ht="15.75" thickBot="1" x14ac:dyDescent="0.3">
      <c r="E43" s="348"/>
      <c r="F43" s="162" t="s">
        <v>205</v>
      </c>
    </row>
    <row r="44" spans="5:6" ht="15.75" thickBot="1" x14ac:dyDescent="0.3">
      <c r="E44" s="348"/>
      <c r="F44" s="162" t="s">
        <v>206</v>
      </c>
    </row>
    <row r="45" spans="5:6" ht="24.75" thickBot="1" x14ac:dyDescent="0.3">
      <c r="E45" s="349"/>
      <c r="F45" s="162" t="s">
        <v>207</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topLeftCell="A2" workbookViewId="0">
      <selection activeCell="AA44" sqref="AA44"/>
    </sheetView>
  </sheetViews>
  <sheetFormatPr baseColWidth="10" defaultColWidth="11.42578125" defaultRowHeight="15" x14ac:dyDescent="0.25"/>
  <cols>
    <col min="27" max="27" width="36" customWidth="1"/>
  </cols>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1"/>
    <col min="3" max="3" width="17" style="71" customWidth="1"/>
    <col min="4" max="4" width="14.28515625" style="71"/>
    <col min="5" max="5" width="46" style="71" customWidth="1"/>
    <col min="6" max="16384" width="14.28515625" style="71"/>
  </cols>
  <sheetData>
    <row r="1" spans="2:6" ht="24" customHeight="1" thickBot="1" x14ac:dyDescent="0.25">
      <c r="B1" s="627" t="s">
        <v>396</v>
      </c>
      <c r="C1" s="628"/>
      <c r="D1" s="628"/>
      <c r="E1" s="628"/>
      <c r="F1" s="629"/>
    </row>
    <row r="2" spans="2:6" ht="16.5" thickBot="1" x14ac:dyDescent="0.3">
      <c r="B2" s="72"/>
      <c r="C2" s="72"/>
      <c r="D2" s="72"/>
      <c r="E2" s="72"/>
      <c r="F2" s="72"/>
    </row>
    <row r="3" spans="2:6" ht="16.5" thickBot="1" x14ac:dyDescent="0.25">
      <c r="B3" s="631" t="s">
        <v>397</v>
      </c>
      <c r="C3" s="632"/>
      <c r="D3" s="632"/>
      <c r="E3" s="84" t="s">
        <v>398</v>
      </c>
      <c r="F3" s="85" t="s">
        <v>399</v>
      </c>
    </row>
    <row r="4" spans="2:6" ht="31.5" x14ac:dyDescent="0.2">
      <c r="B4" s="633" t="s">
        <v>400</v>
      </c>
      <c r="C4" s="635" t="s">
        <v>247</v>
      </c>
      <c r="D4" s="73" t="s">
        <v>254</v>
      </c>
      <c r="E4" s="74" t="s">
        <v>401</v>
      </c>
      <c r="F4" s="75">
        <v>0.25</v>
      </c>
    </row>
    <row r="5" spans="2:6" ht="47.25" x14ac:dyDescent="0.2">
      <c r="B5" s="634"/>
      <c r="C5" s="636"/>
      <c r="D5" s="76" t="s">
        <v>259</v>
      </c>
      <c r="E5" s="77" t="s">
        <v>402</v>
      </c>
      <c r="F5" s="78">
        <v>0.15</v>
      </c>
    </row>
    <row r="6" spans="2:6" ht="47.25" x14ac:dyDescent="0.2">
      <c r="B6" s="634"/>
      <c r="C6" s="636"/>
      <c r="D6" s="76" t="s">
        <v>281</v>
      </c>
      <c r="E6" s="77" t="s">
        <v>403</v>
      </c>
      <c r="F6" s="78">
        <v>0.1</v>
      </c>
    </row>
    <row r="7" spans="2:6" ht="63" x14ac:dyDescent="0.2">
      <c r="B7" s="634"/>
      <c r="C7" s="636" t="s">
        <v>248</v>
      </c>
      <c r="D7" s="76" t="s">
        <v>404</v>
      </c>
      <c r="E7" s="77" t="s">
        <v>405</v>
      </c>
      <c r="F7" s="78">
        <v>0.25</v>
      </c>
    </row>
    <row r="8" spans="2:6" ht="31.5" x14ac:dyDescent="0.2">
      <c r="B8" s="634"/>
      <c r="C8" s="636"/>
      <c r="D8" s="76" t="s">
        <v>255</v>
      </c>
      <c r="E8" s="77" t="s">
        <v>406</v>
      </c>
      <c r="F8" s="78">
        <v>0.15</v>
      </c>
    </row>
    <row r="9" spans="2:6" ht="47.25" x14ac:dyDescent="0.2">
      <c r="B9" s="634" t="s">
        <v>407</v>
      </c>
      <c r="C9" s="636" t="s">
        <v>250</v>
      </c>
      <c r="D9" s="76" t="s">
        <v>256</v>
      </c>
      <c r="E9" s="77" t="s">
        <v>408</v>
      </c>
      <c r="F9" s="79" t="s">
        <v>409</v>
      </c>
    </row>
    <row r="10" spans="2:6" ht="63" x14ac:dyDescent="0.2">
      <c r="B10" s="634"/>
      <c r="C10" s="636"/>
      <c r="D10" s="76" t="s">
        <v>260</v>
      </c>
      <c r="E10" s="77" t="s">
        <v>410</v>
      </c>
      <c r="F10" s="79" t="s">
        <v>409</v>
      </c>
    </row>
    <row r="11" spans="2:6" ht="47.25" x14ac:dyDescent="0.2">
      <c r="B11" s="634"/>
      <c r="C11" s="636" t="s">
        <v>251</v>
      </c>
      <c r="D11" s="76" t="s">
        <v>257</v>
      </c>
      <c r="E11" s="77" t="s">
        <v>411</v>
      </c>
      <c r="F11" s="79" t="s">
        <v>409</v>
      </c>
    </row>
    <row r="12" spans="2:6" ht="47.25" x14ac:dyDescent="0.2">
      <c r="B12" s="634"/>
      <c r="C12" s="636"/>
      <c r="D12" s="76" t="s">
        <v>412</v>
      </c>
      <c r="E12" s="77" t="s">
        <v>413</v>
      </c>
      <c r="F12" s="79" t="s">
        <v>409</v>
      </c>
    </row>
    <row r="13" spans="2:6" ht="31.5" x14ac:dyDescent="0.2">
      <c r="B13" s="634"/>
      <c r="C13" s="636" t="s">
        <v>252</v>
      </c>
      <c r="D13" s="76" t="s">
        <v>258</v>
      </c>
      <c r="E13" s="77" t="s">
        <v>414</v>
      </c>
      <c r="F13" s="79" t="s">
        <v>409</v>
      </c>
    </row>
    <row r="14" spans="2:6" ht="32.25" thickBot="1" x14ac:dyDescent="0.25">
      <c r="B14" s="637"/>
      <c r="C14" s="638"/>
      <c r="D14" s="80" t="s">
        <v>415</v>
      </c>
      <c r="E14" s="81" t="s">
        <v>416</v>
      </c>
      <c r="F14" s="82" t="s">
        <v>409</v>
      </c>
    </row>
    <row r="15" spans="2:6" ht="49.5" customHeight="1" x14ac:dyDescent="0.2">
      <c r="B15" s="630" t="s">
        <v>417</v>
      </c>
      <c r="C15" s="630"/>
      <c r="D15" s="630"/>
      <c r="E15" s="630"/>
      <c r="F15" s="630"/>
    </row>
    <row r="16" spans="2:6" ht="27" customHeight="1" x14ac:dyDescent="0.25">
      <c r="B16" s="8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254</v>
      </c>
    </row>
    <row r="4" spans="1:1" x14ac:dyDescent="0.2">
      <c r="A4" s="2" t="s">
        <v>259</v>
      </c>
    </row>
    <row r="5" spans="1:1" x14ac:dyDescent="0.2">
      <c r="A5" s="2" t="s">
        <v>281</v>
      </c>
    </row>
    <row r="6" spans="1:1" x14ac:dyDescent="0.2">
      <c r="A6" s="2" t="s">
        <v>404</v>
      </c>
    </row>
    <row r="7" spans="1:1" x14ac:dyDescent="0.2">
      <c r="A7" s="2" t="s">
        <v>255</v>
      </c>
    </row>
    <row r="8" spans="1:1" x14ac:dyDescent="0.2">
      <c r="A8" s="2" t="s">
        <v>256</v>
      </c>
    </row>
    <row r="9" spans="1:1" x14ac:dyDescent="0.2">
      <c r="A9" s="2" t="s">
        <v>260</v>
      </c>
    </row>
    <row r="10" spans="1:1" x14ac:dyDescent="0.2">
      <c r="A10" s="2" t="s">
        <v>257</v>
      </c>
    </row>
    <row r="11" spans="1:1" x14ac:dyDescent="0.2">
      <c r="A11" s="2" t="s">
        <v>412</v>
      </c>
    </row>
    <row r="12" spans="1:1" x14ac:dyDescent="0.2">
      <c r="A12" s="2" t="s">
        <v>418</v>
      </c>
    </row>
    <row r="13" spans="1:1" x14ac:dyDescent="0.2">
      <c r="A13" s="2" t="s">
        <v>419</v>
      </c>
    </row>
    <row r="14" spans="1:1" x14ac:dyDescent="0.2">
      <c r="A14" s="2" t="s">
        <v>420</v>
      </c>
    </row>
    <row r="16" spans="1:1" x14ac:dyDescent="0.2">
      <c r="A16" s="2" t="s">
        <v>421</v>
      </c>
    </row>
    <row r="17" spans="1:1" x14ac:dyDescent="0.2">
      <c r="A17" s="2" t="s">
        <v>117</v>
      </c>
    </row>
    <row r="18" spans="1:1" x14ac:dyDescent="0.2">
      <c r="A18" s="2" t="s">
        <v>119</v>
      </c>
    </row>
    <row r="20" spans="1:1" x14ac:dyDescent="0.2">
      <c r="A20" s="2" t="s">
        <v>129</v>
      </c>
    </row>
    <row r="21" spans="1:1" x14ac:dyDescent="0.2">
      <c r="A21" s="2"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119" customWidth="1"/>
    <col min="2" max="2" width="7.42578125" style="120" customWidth="1"/>
    <col min="3" max="3" width="36.85546875" style="121" customWidth="1"/>
    <col min="4" max="4" width="150" style="147" customWidth="1"/>
    <col min="5" max="5" width="168" style="121" customWidth="1"/>
    <col min="6" max="6" width="51.7109375" style="119" customWidth="1"/>
    <col min="7" max="16384" width="11.42578125" style="119"/>
  </cols>
  <sheetData>
    <row r="1" spans="1:6" x14ac:dyDescent="0.35">
      <c r="D1" s="122"/>
      <c r="E1" s="123"/>
    </row>
    <row r="2" spans="1:6" ht="40.5" customHeight="1" thickBot="1" x14ac:dyDescent="0.3">
      <c r="A2" s="124"/>
      <c r="B2" s="340" t="s">
        <v>90</v>
      </c>
      <c r="C2" s="340"/>
      <c r="D2" s="340"/>
      <c r="E2" s="341"/>
      <c r="F2" s="345" t="s">
        <v>91</v>
      </c>
    </row>
    <row r="3" spans="1:6" s="129" customFormat="1" ht="40.5" customHeight="1" thickBot="1" x14ac:dyDescent="0.4">
      <c r="A3" s="125"/>
      <c r="B3" s="342" t="s">
        <v>92</v>
      </c>
      <c r="C3" s="126" t="s">
        <v>93</v>
      </c>
      <c r="D3" s="127" t="s">
        <v>94</v>
      </c>
      <c r="E3" s="128" t="s">
        <v>95</v>
      </c>
      <c r="F3" s="346"/>
    </row>
    <row r="4" spans="1:6" s="129" customFormat="1" ht="228.75" customHeight="1" thickBot="1" x14ac:dyDescent="0.4">
      <c r="A4" s="125"/>
      <c r="B4" s="343"/>
      <c r="C4" s="130" t="s">
        <v>96</v>
      </c>
      <c r="D4" s="131" t="s">
        <v>97</v>
      </c>
      <c r="E4" s="163" t="s">
        <v>98</v>
      </c>
      <c r="F4" s="168" t="s">
        <v>99</v>
      </c>
    </row>
    <row r="5" spans="1:6" s="129" customFormat="1" ht="289.5" thickBot="1" x14ac:dyDescent="0.4">
      <c r="A5" s="125"/>
      <c r="B5" s="343"/>
      <c r="C5" s="132" t="s">
        <v>100</v>
      </c>
      <c r="D5" s="133" t="s">
        <v>101</v>
      </c>
      <c r="E5" s="164" t="s">
        <v>102</v>
      </c>
      <c r="F5" s="167" t="s">
        <v>103</v>
      </c>
    </row>
    <row r="6" spans="1:6" s="129" customFormat="1" ht="237" thickBot="1" x14ac:dyDescent="0.4">
      <c r="A6" s="125"/>
      <c r="B6" s="343"/>
      <c r="C6" s="134" t="s">
        <v>104</v>
      </c>
      <c r="D6" s="135" t="s">
        <v>105</v>
      </c>
      <c r="E6" s="165" t="s">
        <v>106</v>
      </c>
      <c r="F6" s="167"/>
    </row>
    <row r="7" spans="1:6" s="129" customFormat="1" ht="154.5" customHeight="1" thickBot="1" x14ac:dyDescent="0.4">
      <c r="A7" s="125"/>
      <c r="B7" s="343"/>
      <c r="C7" s="136" t="s">
        <v>107</v>
      </c>
      <c r="D7" s="137"/>
      <c r="E7" s="164"/>
      <c r="F7" s="167"/>
    </row>
    <row r="8" spans="1:6" s="129" customFormat="1" ht="186.75" thickBot="1" x14ac:dyDescent="0.4">
      <c r="A8" s="125"/>
      <c r="B8" s="343"/>
      <c r="C8" s="138" t="s">
        <v>108</v>
      </c>
      <c r="D8" s="135" t="s">
        <v>109</v>
      </c>
      <c r="E8" s="166" t="s">
        <v>110</v>
      </c>
      <c r="F8" s="167"/>
    </row>
    <row r="9" spans="1:6" s="129" customFormat="1" ht="182.25" thickBot="1" x14ac:dyDescent="0.4">
      <c r="A9" s="125"/>
      <c r="B9" s="343"/>
      <c r="C9" s="136" t="s">
        <v>111</v>
      </c>
      <c r="D9" s="133" t="s">
        <v>112</v>
      </c>
      <c r="E9" s="166" t="s">
        <v>113</v>
      </c>
      <c r="F9" s="167"/>
    </row>
    <row r="10" spans="1:6" s="141" customFormat="1" ht="263.25" thickBot="1" x14ac:dyDescent="0.4">
      <c r="A10" s="139"/>
      <c r="B10" s="343"/>
      <c r="C10" s="140" t="s">
        <v>114</v>
      </c>
      <c r="D10" s="133" t="s">
        <v>115</v>
      </c>
      <c r="E10" s="165" t="s">
        <v>116</v>
      </c>
      <c r="F10" s="169"/>
    </row>
    <row r="11" spans="1:6" s="141" customFormat="1" ht="28.5" thickBot="1" x14ac:dyDescent="0.4">
      <c r="A11" s="139"/>
      <c r="B11" s="344"/>
      <c r="C11" s="142"/>
      <c r="D11" s="143"/>
      <c r="E11" s="144"/>
    </row>
    <row r="12" spans="1:6" ht="27" x14ac:dyDescent="0.35">
      <c r="D12" s="145"/>
      <c r="E12" s="146"/>
    </row>
    <row r="17" spans="4:4" x14ac:dyDescent="0.35">
      <c r="D17" s="122"/>
    </row>
    <row r="18" spans="4:4" x14ac:dyDescent="0.35">
      <c r="D18" s="122"/>
    </row>
    <row r="19" spans="4:4" x14ac:dyDescent="0.35">
      <c r="D19" s="122"/>
    </row>
  </sheetData>
  <mergeCells count="3">
    <mergeCell ref="B2:E2"/>
    <mergeCell ref="B3:B11"/>
    <mergeCell ref="F2:F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71"/>
  <sheetViews>
    <sheetView topLeftCell="A21" workbookViewId="0">
      <selection activeCell="B35" sqref="B35"/>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117</v>
      </c>
      <c r="E2" t="s">
        <v>118</v>
      </c>
    </row>
    <row r="3" spans="1:8" x14ac:dyDescent="0.25">
      <c r="B3" t="s">
        <v>119</v>
      </c>
      <c r="E3" t="s">
        <v>120</v>
      </c>
    </row>
    <row r="4" spans="1:8" x14ac:dyDescent="0.25">
      <c r="B4" t="s">
        <v>121</v>
      </c>
      <c r="E4" t="s">
        <v>122</v>
      </c>
    </row>
    <row r="5" spans="1:8" x14ac:dyDescent="0.25">
      <c r="B5" t="s">
        <v>123</v>
      </c>
    </row>
    <row r="7" spans="1:8" x14ac:dyDescent="0.25">
      <c r="F7" t="s">
        <v>124</v>
      </c>
      <c r="H7" t="s">
        <v>125</v>
      </c>
    </row>
    <row r="8" spans="1:8" x14ac:dyDescent="0.25">
      <c r="B8" t="s">
        <v>126</v>
      </c>
      <c r="F8" t="s">
        <v>127</v>
      </c>
      <c r="H8" t="s">
        <v>128</v>
      </c>
    </row>
    <row r="9" spans="1:8" x14ac:dyDescent="0.25">
      <c r="B9" t="s">
        <v>129</v>
      </c>
      <c r="F9" t="s">
        <v>130</v>
      </c>
      <c r="H9" t="s">
        <v>131</v>
      </c>
    </row>
    <row r="10" spans="1:8" ht="15.75" thickBot="1" x14ac:dyDescent="0.3">
      <c r="B10" t="s">
        <v>132</v>
      </c>
      <c r="H10" t="s">
        <v>133</v>
      </c>
    </row>
    <row r="11" spans="1:8" ht="15.75" thickBot="1" x14ac:dyDescent="0.3">
      <c r="A11" s="236" t="s">
        <v>23</v>
      </c>
      <c r="B11" s="237"/>
      <c r="C11" s="238"/>
      <c r="D11" s="239"/>
      <c r="H11" t="s">
        <v>134</v>
      </c>
    </row>
    <row r="12" spans="1:8" x14ac:dyDescent="0.25">
      <c r="A12" s="225" t="s">
        <v>135</v>
      </c>
      <c r="B12" s="226" t="s">
        <v>136</v>
      </c>
      <c r="D12" s="227"/>
      <c r="H12" t="s">
        <v>137</v>
      </c>
    </row>
    <row r="13" spans="1:8" x14ac:dyDescent="0.25">
      <c r="A13" s="225"/>
      <c r="B13" s="226" t="s">
        <v>138</v>
      </c>
      <c r="D13" s="227"/>
      <c r="H13" t="s">
        <v>139</v>
      </c>
    </row>
    <row r="14" spans="1:8" x14ac:dyDescent="0.25">
      <c r="A14" s="225"/>
      <c r="B14" s="226" t="s">
        <v>140</v>
      </c>
      <c r="D14" s="227"/>
      <c r="H14" t="s">
        <v>141</v>
      </c>
    </row>
    <row r="15" spans="1:8" x14ac:dyDescent="0.25">
      <c r="A15" s="225"/>
      <c r="B15" s="226" t="s">
        <v>142</v>
      </c>
      <c r="D15" s="227"/>
      <c r="H15" t="s">
        <v>143</v>
      </c>
    </row>
    <row r="16" spans="1:8" x14ac:dyDescent="0.25">
      <c r="A16" s="225"/>
      <c r="B16" s="226" t="s">
        <v>144</v>
      </c>
      <c r="D16" s="227"/>
      <c r="H16" t="s">
        <v>145</v>
      </c>
    </row>
    <row r="17" spans="1:8" x14ac:dyDescent="0.25">
      <c r="A17" s="228" t="s">
        <v>146</v>
      </c>
      <c r="B17" s="229" t="s">
        <v>147</v>
      </c>
      <c r="D17" s="227"/>
      <c r="H17" t="s">
        <v>148</v>
      </c>
    </row>
    <row r="18" spans="1:8" x14ac:dyDescent="0.25">
      <c r="A18" s="228"/>
      <c r="B18" s="229" t="s">
        <v>149</v>
      </c>
      <c r="D18" s="227"/>
      <c r="H18" t="s">
        <v>137</v>
      </c>
    </row>
    <row r="19" spans="1:8" x14ac:dyDescent="0.25">
      <c r="A19" s="228"/>
      <c r="B19" s="229" t="s">
        <v>150</v>
      </c>
      <c r="D19" s="227"/>
    </row>
    <row r="20" spans="1:8" x14ac:dyDescent="0.25">
      <c r="A20" s="230" t="s">
        <v>151</v>
      </c>
      <c r="B20" s="231" t="s">
        <v>152</v>
      </c>
      <c r="D20" s="227"/>
    </row>
    <row r="21" spans="1:8" x14ac:dyDescent="0.25">
      <c r="A21" s="230"/>
      <c r="B21" s="231" t="s">
        <v>153</v>
      </c>
      <c r="D21" s="227"/>
    </row>
    <row r="22" spans="1:8" ht="15.75" thickBot="1" x14ac:dyDescent="0.3">
      <c r="A22" s="232"/>
      <c r="B22" s="233" t="s">
        <v>154</v>
      </c>
      <c r="C22" s="234"/>
      <c r="D22" s="235"/>
    </row>
    <row r="25" spans="1:8" x14ac:dyDescent="0.25">
      <c r="B25" t="s">
        <v>155</v>
      </c>
    </row>
    <row r="26" spans="1:8" x14ac:dyDescent="0.25">
      <c r="B26" t="s">
        <v>156</v>
      </c>
    </row>
    <row r="27" spans="1:8" ht="15.75" thickBot="1" x14ac:dyDescent="0.3">
      <c r="B27" t="s">
        <v>157</v>
      </c>
    </row>
    <row r="28" spans="1:8" ht="15.75" thickBot="1" x14ac:dyDescent="0.3">
      <c r="B28" t="s">
        <v>158</v>
      </c>
      <c r="F28" s="160" t="s">
        <v>159</v>
      </c>
      <c r="G28" s="161" t="s">
        <v>160</v>
      </c>
    </row>
    <row r="29" spans="1:8" ht="15.75" thickBot="1" x14ac:dyDescent="0.3">
      <c r="B29" t="s">
        <v>161</v>
      </c>
      <c r="F29" s="350" t="s">
        <v>158</v>
      </c>
      <c r="G29" s="162" t="s">
        <v>162</v>
      </c>
    </row>
    <row r="30" spans="1:8" ht="15.75" thickBot="1" x14ac:dyDescent="0.3">
      <c r="B30" t="s">
        <v>163</v>
      </c>
      <c r="F30" s="348"/>
      <c r="G30" s="162" t="s">
        <v>164</v>
      </c>
    </row>
    <row r="31" spans="1:8" ht="15.75" thickBot="1" x14ac:dyDescent="0.3">
      <c r="B31" t="s">
        <v>165</v>
      </c>
      <c r="F31" s="348"/>
      <c r="G31" s="162" t="s">
        <v>166</v>
      </c>
    </row>
    <row r="32" spans="1:8" ht="15.75" thickBot="1" x14ac:dyDescent="0.3">
      <c r="B32" t="s">
        <v>167</v>
      </c>
      <c r="F32" s="348"/>
      <c r="G32" s="162" t="s">
        <v>168</v>
      </c>
    </row>
    <row r="33" spans="6:7" ht="15.75" thickBot="1" x14ac:dyDescent="0.3">
      <c r="F33" s="348"/>
      <c r="G33" s="162" t="s">
        <v>169</v>
      </c>
    </row>
    <row r="34" spans="6:7" ht="15.75" thickBot="1" x14ac:dyDescent="0.3">
      <c r="F34" s="349"/>
      <c r="G34" s="162" t="s">
        <v>170</v>
      </c>
    </row>
    <row r="35" spans="6:7" ht="15.75" thickBot="1" x14ac:dyDescent="0.3">
      <c r="F35" s="347" t="s">
        <v>167</v>
      </c>
      <c r="G35" s="162" t="s">
        <v>171</v>
      </c>
    </row>
    <row r="36" spans="6:7" ht="15.75" thickBot="1" x14ac:dyDescent="0.3">
      <c r="F36" s="348"/>
      <c r="G36" s="162" t="s">
        <v>172</v>
      </c>
    </row>
    <row r="37" spans="6:7" ht="15.75" thickBot="1" x14ac:dyDescent="0.3">
      <c r="F37" s="348"/>
      <c r="G37" s="162" t="s">
        <v>173</v>
      </c>
    </row>
    <row r="38" spans="6:7" ht="21.75" customHeight="1" thickBot="1" x14ac:dyDescent="0.3">
      <c r="F38" s="348"/>
      <c r="G38" s="162" t="s">
        <v>174</v>
      </c>
    </row>
    <row r="39" spans="6:7" ht="15.75" thickBot="1" x14ac:dyDescent="0.3">
      <c r="F39" s="349"/>
      <c r="G39" s="162" t="s">
        <v>175</v>
      </c>
    </row>
    <row r="40" spans="6:7" ht="45.75" customHeight="1" thickBot="1" x14ac:dyDescent="0.3">
      <c r="F40" s="347" t="s">
        <v>163</v>
      </c>
      <c r="G40" s="162" t="s">
        <v>176</v>
      </c>
    </row>
    <row r="41" spans="6:7" ht="15.75" thickBot="1" x14ac:dyDescent="0.3">
      <c r="F41" s="348"/>
      <c r="G41" s="162" t="s">
        <v>177</v>
      </c>
    </row>
    <row r="42" spans="6:7" ht="30" customHeight="1" thickBot="1" x14ac:dyDescent="0.3">
      <c r="F42" s="349"/>
      <c r="G42" s="162" t="s">
        <v>178</v>
      </c>
    </row>
    <row r="43" spans="6:7" ht="15.75" thickBot="1" x14ac:dyDescent="0.3">
      <c r="F43" s="347" t="s">
        <v>165</v>
      </c>
      <c r="G43" s="162" t="s">
        <v>179</v>
      </c>
    </row>
    <row r="44" spans="6:7" ht="15.75" thickBot="1" x14ac:dyDescent="0.3">
      <c r="F44" s="348"/>
      <c r="G44" s="162" t="s">
        <v>180</v>
      </c>
    </row>
    <row r="45" spans="6:7" ht="15.75" thickBot="1" x14ac:dyDescent="0.3">
      <c r="F45" s="349"/>
      <c r="G45" s="162" t="s">
        <v>181</v>
      </c>
    </row>
    <row r="46" spans="6:7" ht="24.75" thickBot="1" x14ac:dyDescent="0.3">
      <c r="F46" s="347" t="s">
        <v>156</v>
      </c>
      <c r="G46" s="162" t="s">
        <v>182</v>
      </c>
    </row>
    <row r="47" spans="6:7" ht="15.75" thickBot="1" x14ac:dyDescent="0.3">
      <c r="F47" s="348"/>
      <c r="G47" s="162" t="s">
        <v>183</v>
      </c>
    </row>
    <row r="48" spans="6:7" ht="15.75" thickBot="1" x14ac:dyDescent="0.3">
      <c r="F48" s="348"/>
      <c r="G48" s="162" t="s">
        <v>184</v>
      </c>
    </row>
    <row r="49" spans="6:7" ht="15.75" thickBot="1" x14ac:dyDescent="0.3">
      <c r="F49" s="348"/>
      <c r="G49" s="162" t="s">
        <v>185</v>
      </c>
    </row>
    <row r="50" spans="6:7" ht="15.75" thickBot="1" x14ac:dyDescent="0.3">
      <c r="F50" s="348"/>
      <c r="G50" s="162" t="s">
        <v>186</v>
      </c>
    </row>
    <row r="51" spans="6:7" ht="24.75" thickBot="1" x14ac:dyDescent="0.3">
      <c r="F51" s="348"/>
      <c r="G51" s="162" t="s">
        <v>187</v>
      </c>
    </row>
    <row r="52" spans="6:7" ht="15.75" thickBot="1" x14ac:dyDescent="0.3">
      <c r="F52" s="348"/>
      <c r="G52" s="162" t="s">
        <v>188</v>
      </c>
    </row>
    <row r="53" spans="6:7" ht="24.75" thickBot="1" x14ac:dyDescent="0.3">
      <c r="F53" s="348"/>
      <c r="G53" s="162" t="s">
        <v>189</v>
      </c>
    </row>
    <row r="54" spans="6:7" ht="15.75" thickBot="1" x14ac:dyDescent="0.3">
      <c r="F54" s="348"/>
      <c r="G54" s="162" t="s">
        <v>190</v>
      </c>
    </row>
    <row r="55" spans="6:7" ht="15.75" thickBot="1" x14ac:dyDescent="0.3">
      <c r="F55" s="348"/>
      <c r="G55" s="162" t="s">
        <v>191</v>
      </c>
    </row>
    <row r="56" spans="6:7" ht="15.75" thickBot="1" x14ac:dyDescent="0.3">
      <c r="F56" s="349"/>
      <c r="G56" s="162" t="s">
        <v>192</v>
      </c>
    </row>
    <row r="57" spans="6:7" ht="15.75" thickBot="1" x14ac:dyDescent="0.3">
      <c r="F57" s="347" t="s">
        <v>161</v>
      </c>
      <c r="G57" s="162" t="s">
        <v>193</v>
      </c>
    </row>
    <row r="58" spans="6:7" ht="15.75" thickBot="1" x14ac:dyDescent="0.3">
      <c r="F58" s="348"/>
      <c r="G58" s="162" t="s">
        <v>194</v>
      </c>
    </row>
    <row r="59" spans="6:7" ht="24.75" thickBot="1" x14ac:dyDescent="0.3">
      <c r="F59" s="348"/>
      <c r="G59" s="162" t="s">
        <v>195</v>
      </c>
    </row>
    <row r="60" spans="6:7" ht="15.75" thickBot="1" x14ac:dyDescent="0.3">
      <c r="F60" s="348"/>
      <c r="G60" s="162" t="s">
        <v>196</v>
      </c>
    </row>
    <row r="61" spans="6:7" ht="36.75" thickBot="1" x14ac:dyDescent="0.3">
      <c r="F61" s="349"/>
      <c r="G61" s="162" t="s">
        <v>197</v>
      </c>
    </row>
    <row r="62" spans="6:7" ht="15.75" thickBot="1" x14ac:dyDescent="0.3">
      <c r="F62" s="347" t="s">
        <v>155</v>
      </c>
      <c r="G62" s="162" t="s">
        <v>198</v>
      </c>
    </row>
    <row r="63" spans="6:7" ht="15.75" thickBot="1" x14ac:dyDescent="0.3">
      <c r="F63" s="348"/>
      <c r="G63" s="162" t="s">
        <v>199</v>
      </c>
    </row>
    <row r="64" spans="6:7" ht="15.75" thickBot="1" x14ac:dyDescent="0.3">
      <c r="F64" s="348"/>
      <c r="G64" s="162" t="s">
        <v>200</v>
      </c>
    </row>
    <row r="65" spans="6:7" ht="15.75" thickBot="1" x14ac:dyDescent="0.3">
      <c r="F65" s="348"/>
      <c r="G65" s="162" t="s">
        <v>201</v>
      </c>
    </row>
    <row r="66" spans="6:7" ht="15.75" thickBot="1" x14ac:dyDescent="0.3">
      <c r="F66" s="349"/>
      <c r="G66" s="162" t="s">
        <v>202</v>
      </c>
    </row>
    <row r="67" spans="6:7" ht="15.75" thickBot="1" x14ac:dyDescent="0.3">
      <c r="F67" s="347" t="s">
        <v>157</v>
      </c>
      <c r="G67" s="162" t="s">
        <v>203</v>
      </c>
    </row>
    <row r="68" spans="6:7" ht="15.75" thickBot="1" x14ac:dyDescent="0.3">
      <c r="F68" s="348"/>
      <c r="G68" s="162" t="s">
        <v>204</v>
      </c>
    </row>
    <row r="69" spans="6:7" ht="15.75" thickBot="1" x14ac:dyDescent="0.3">
      <c r="F69" s="348"/>
      <c r="G69" s="162" t="s">
        <v>205</v>
      </c>
    </row>
    <row r="70" spans="6:7" ht="15.75" thickBot="1" x14ac:dyDescent="0.3">
      <c r="F70" s="348"/>
      <c r="G70" s="162" t="s">
        <v>206</v>
      </c>
    </row>
    <row r="71" spans="6:7" ht="24.75" thickBot="1" x14ac:dyDescent="0.3">
      <c r="F71" s="349"/>
      <c r="G71" s="162" t="s">
        <v>207</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L76"/>
  <sheetViews>
    <sheetView tabSelected="1" topLeftCell="K12" zoomScale="50" zoomScaleNormal="50" zoomScaleSheetLayoutView="50" zoomScalePageLayoutView="60" workbookViewId="0">
      <selection activeCell="W20" sqref="W20"/>
    </sheetView>
  </sheetViews>
  <sheetFormatPr baseColWidth="10" defaultColWidth="11.42578125" defaultRowHeight="15" x14ac:dyDescent="0.2"/>
  <cols>
    <col min="1" max="1" width="6.5703125" style="218" customWidth="1"/>
    <col min="2" max="2" width="16" style="218" customWidth="1"/>
    <col min="3" max="3" width="19.140625" style="218" customWidth="1"/>
    <col min="4" max="4" width="25.28515625" style="218" customWidth="1"/>
    <col min="5" max="5" width="51.140625" style="218" customWidth="1"/>
    <col min="6" max="6" width="21" style="198" customWidth="1"/>
    <col min="7" max="7" width="17.7109375" style="198" customWidth="1"/>
    <col min="8" max="8" width="24.28515625" style="198" customWidth="1"/>
    <col min="9" max="11" width="25.140625" style="198" customWidth="1"/>
    <col min="12" max="12" width="19.42578125" style="198" customWidth="1"/>
    <col min="13" max="13" width="16.28515625" style="198" customWidth="1"/>
    <col min="14" max="14" width="16.7109375" style="219" customWidth="1"/>
    <col min="15" max="15" width="16.7109375" style="198" customWidth="1"/>
    <col min="16" max="16" width="20.42578125" style="198" hidden="1" customWidth="1"/>
    <col min="17" max="17" width="19.140625" style="198" customWidth="1"/>
    <col min="18" max="18" width="35.85546875" style="198" hidden="1" customWidth="1"/>
    <col min="19" max="19" width="19" style="198" customWidth="1"/>
    <col min="20" max="20" width="17.5703125" style="198" hidden="1" customWidth="1"/>
    <col min="21" max="21" width="15" style="198" customWidth="1"/>
    <col min="22" max="22" width="16" style="198" customWidth="1"/>
    <col min="23" max="23" width="51.85546875" style="198" customWidth="1"/>
    <col min="24" max="24" width="26.85546875" style="198" customWidth="1"/>
    <col min="25" max="25" width="5.85546875" style="198" customWidth="1"/>
    <col min="26" max="26" width="6.85546875" style="198" customWidth="1"/>
    <col min="27" max="27" width="5" style="198" customWidth="1"/>
    <col min="28" max="28" width="5.5703125" style="198" customWidth="1"/>
    <col min="29" max="29" width="7.140625" style="198" customWidth="1"/>
    <col min="30" max="30" width="6.7109375" style="198" customWidth="1"/>
    <col min="31" max="31" width="7.5703125" style="198" hidden="1" customWidth="1"/>
    <col min="32" max="32" width="8.5703125" style="198" customWidth="1"/>
    <col min="33" max="37" width="10.85546875" style="198" customWidth="1"/>
    <col min="38" max="38" width="27" style="217" customWidth="1"/>
    <col min="39" max="39" width="23" style="198" customWidth="1"/>
    <col min="40" max="40" width="18.85546875" style="198" customWidth="1"/>
    <col min="41" max="41" width="23.7109375" style="198" customWidth="1"/>
    <col min="42" max="42" width="22.42578125" style="198" customWidth="1"/>
    <col min="43" max="43" width="16.42578125" style="198" customWidth="1"/>
    <col min="44" max="44" width="20.5703125" style="198" customWidth="1"/>
    <col min="45" max="16384" width="11.42578125" style="198"/>
  </cols>
  <sheetData>
    <row r="1" spans="1:272" s="201" customFormat="1" ht="20.25" x14ac:dyDescent="0.3">
      <c r="A1" s="453"/>
      <c r="B1" s="454"/>
      <c r="C1" s="455"/>
      <c r="D1" s="443" t="s">
        <v>208</v>
      </c>
      <c r="E1" s="444"/>
      <c r="F1" s="444"/>
      <c r="G1" s="444"/>
      <c r="H1" s="444"/>
      <c r="I1" s="444"/>
      <c r="J1" s="444"/>
      <c r="K1" s="444"/>
      <c r="L1" s="444"/>
      <c r="M1" s="444"/>
      <c r="N1" s="444"/>
      <c r="O1" s="444"/>
      <c r="P1" s="444"/>
      <c r="Q1" s="444"/>
      <c r="R1" s="444"/>
      <c r="S1" s="444"/>
      <c r="T1" s="445"/>
      <c r="U1" s="252"/>
      <c r="V1" s="252"/>
      <c r="W1" s="252"/>
      <c r="X1" s="425"/>
      <c r="Y1" s="425"/>
      <c r="Z1" s="425"/>
      <c r="AA1" s="425"/>
      <c r="AB1" s="425"/>
      <c r="AC1" s="425"/>
      <c r="AD1" s="425"/>
      <c r="AE1" s="425"/>
      <c r="AF1" s="425"/>
      <c r="AG1" s="425"/>
      <c r="AH1" s="425"/>
      <c r="AI1" s="425"/>
      <c r="AJ1" s="425"/>
      <c r="AK1" s="425"/>
      <c r="AL1" s="425"/>
      <c r="AM1" s="425"/>
      <c r="AN1" s="425"/>
      <c r="AO1" s="425"/>
      <c r="AP1" s="425"/>
      <c r="AQ1" s="425"/>
      <c r="AR1" s="425"/>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row>
    <row r="2" spans="1:272" s="201" customFormat="1" ht="21" thickBot="1" x14ac:dyDescent="0.35">
      <c r="A2" s="456"/>
      <c r="B2" s="457"/>
      <c r="C2" s="458"/>
      <c r="D2" s="446"/>
      <c r="E2" s="447"/>
      <c r="F2" s="447"/>
      <c r="G2" s="447"/>
      <c r="H2" s="447"/>
      <c r="I2" s="447"/>
      <c r="J2" s="447"/>
      <c r="K2" s="447"/>
      <c r="L2" s="447"/>
      <c r="M2" s="447"/>
      <c r="N2" s="447"/>
      <c r="O2" s="447"/>
      <c r="P2" s="447"/>
      <c r="Q2" s="447"/>
      <c r="R2" s="447"/>
      <c r="S2" s="447"/>
      <c r="T2" s="448"/>
      <c r="U2" s="252"/>
      <c r="V2" s="252"/>
      <c r="W2" s="252"/>
      <c r="X2" s="425"/>
      <c r="Y2" s="425"/>
      <c r="Z2" s="425"/>
      <c r="AA2" s="425"/>
      <c r="AB2" s="425"/>
      <c r="AC2" s="425"/>
      <c r="AD2" s="425"/>
      <c r="AE2" s="425"/>
      <c r="AF2" s="425"/>
      <c r="AG2" s="425"/>
      <c r="AH2" s="425"/>
      <c r="AI2" s="425"/>
      <c r="AJ2" s="425"/>
      <c r="AK2" s="425"/>
      <c r="AL2" s="425"/>
      <c r="AM2" s="425"/>
      <c r="AN2" s="425"/>
      <c r="AO2" s="425"/>
      <c r="AP2" s="425"/>
      <c r="AQ2" s="425"/>
      <c r="AR2" s="425"/>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272" s="201" customFormat="1" ht="27.75" customHeight="1" thickBot="1" x14ac:dyDescent="0.35">
      <c r="A3" s="456"/>
      <c r="B3" s="457"/>
      <c r="C3" s="458"/>
      <c r="D3" s="449" t="s">
        <v>209</v>
      </c>
      <c r="E3" s="450"/>
      <c r="F3" s="450"/>
      <c r="G3" s="450"/>
      <c r="H3" s="450"/>
      <c r="I3" s="451"/>
      <c r="J3" s="449" t="s">
        <v>210</v>
      </c>
      <c r="K3" s="450"/>
      <c r="L3" s="450"/>
      <c r="M3" s="450"/>
      <c r="N3" s="450"/>
      <c r="O3" s="450"/>
      <c r="P3" s="450"/>
      <c r="Q3" s="450"/>
      <c r="R3" s="450"/>
      <c r="S3" s="450"/>
      <c r="T3" s="451"/>
      <c r="U3" s="253"/>
      <c r="V3" s="253"/>
      <c r="W3" s="252"/>
      <c r="X3" s="426"/>
      <c r="Y3" s="426"/>
      <c r="Z3" s="426"/>
      <c r="AA3" s="426"/>
      <c r="AB3" s="426"/>
      <c r="AC3" s="426"/>
      <c r="AD3" s="426"/>
      <c r="AE3" s="426"/>
      <c r="AF3" s="426"/>
      <c r="AG3" s="426"/>
      <c r="AH3" s="426"/>
      <c r="AI3" s="426"/>
      <c r="AJ3" s="426"/>
      <c r="AK3" s="426"/>
      <c r="AL3" s="426"/>
      <c r="AM3" s="426"/>
      <c r="AN3" s="426"/>
      <c r="AO3" s="426"/>
      <c r="AP3" s="426"/>
      <c r="AQ3" s="426"/>
      <c r="AR3" s="426"/>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row>
    <row r="4" spans="1:272" s="201" customFormat="1" ht="27.75" customHeight="1" thickBot="1" x14ac:dyDescent="0.35">
      <c r="A4" s="459"/>
      <c r="B4" s="460"/>
      <c r="C4" s="461"/>
      <c r="D4" s="449" t="s">
        <v>422</v>
      </c>
      <c r="E4" s="450"/>
      <c r="F4" s="450"/>
      <c r="G4" s="450"/>
      <c r="H4" s="450"/>
      <c r="I4" s="450"/>
      <c r="J4" s="450"/>
      <c r="K4" s="450"/>
      <c r="L4" s="450"/>
      <c r="M4" s="450"/>
      <c r="N4" s="450"/>
      <c r="O4" s="450"/>
      <c r="P4" s="450"/>
      <c r="Q4" s="450"/>
      <c r="R4" s="450"/>
      <c r="S4" s="450"/>
      <c r="T4" s="451"/>
      <c r="U4" s="252"/>
      <c r="V4" s="252"/>
      <c r="W4" s="252"/>
      <c r="X4" s="426"/>
      <c r="Y4" s="426"/>
      <c r="Z4" s="426"/>
      <c r="AA4" s="426"/>
      <c r="AB4" s="426"/>
      <c r="AC4" s="426"/>
      <c r="AD4" s="426"/>
      <c r="AE4" s="426"/>
      <c r="AF4" s="426"/>
      <c r="AG4" s="426"/>
      <c r="AH4" s="426"/>
      <c r="AI4" s="426"/>
      <c r="AJ4" s="426"/>
      <c r="AK4" s="426"/>
      <c r="AL4" s="426"/>
      <c r="AM4" s="426"/>
      <c r="AN4" s="426"/>
      <c r="AO4" s="426"/>
      <c r="AP4" s="426"/>
      <c r="AQ4" s="426"/>
      <c r="AR4" s="426"/>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row>
    <row r="5" spans="1:272" ht="15.75" thickBot="1" x14ac:dyDescent="0.25">
      <c r="A5" s="202"/>
      <c r="B5" s="203"/>
      <c r="C5" s="202"/>
      <c r="D5" s="202"/>
      <c r="E5" s="202"/>
      <c r="F5" s="204"/>
      <c r="G5" s="204"/>
      <c r="H5" s="204"/>
      <c r="I5" s="204"/>
      <c r="J5" s="204"/>
      <c r="K5" s="204"/>
      <c r="L5" s="204"/>
      <c r="M5" s="204"/>
      <c r="N5" s="205"/>
      <c r="O5" s="204"/>
      <c r="P5" s="204"/>
      <c r="Q5" s="204"/>
      <c r="R5" s="204"/>
      <c r="S5" s="204"/>
      <c r="T5" s="204"/>
      <c r="U5" s="204"/>
      <c r="V5" s="204"/>
      <c r="W5" s="204"/>
      <c r="X5" s="204"/>
      <c r="Y5" s="204"/>
      <c r="Z5" s="204"/>
      <c r="AA5" s="204"/>
      <c r="AB5" s="204"/>
      <c r="AC5" s="204"/>
      <c r="AD5" s="204"/>
      <c r="AE5" s="204"/>
      <c r="AF5" s="204"/>
      <c r="AG5" s="204"/>
      <c r="AH5" s="204"/>
      <c r="AI5" s="204"/>
      <c r="AJ5" s="204"/>
      <c r="AK5" s="204"/>
      <c r="AL5" s="25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row>
    <row r="6" spans="1:272" ht="27" customHeight="1" thickBot="1" x14ac:dyDescent="0.25">
      <c r="A6" s="427" t="s">
        <v>211</v>
      </c>
      <c r="B6" s="428"/>
      <c r="C6" s="434" t="s">
        <v>85</v>
      </c>
      <c r="D6" s="435"/>
      <c r="E6" s="435"/>
      <c r="F6" s="435"/>
      <c r="G6" s="435"/>
      <c r="H6" s="435"/>
      <c r="I6" s="435"/>
      <c r="J6" s="435"/>
      <c r="K6" s="435"/>
      <c r="L6" s="435"/>
      <c r="M6" s="435"/>
      <c r="N6" s="435"/>
      <c r="O6" s="435"/>
      <c r="P6" s="435"/>
      <c r="Q6" s="435"/>
      <c r="R6" s="435"/>
      <c r="S6" s="435"/>
      <c r="T6" s="436"/>
      <c r="U6" s="255"/>
      <c r="V6" s="255"/>
      <c r="W6" s="433"/>
      <c r="X6" s="433"/>
      <c r="Y6" s="433"/>
      <c r="Z6" s="424"/>
      <c r="AA6" s="424"/>
      <c r="AB6" s="424"/>
      <c r="AC6" s="424"/>
      <c r="AD6" s="424"/>
      <c r="AE6" s="424"/>
      <c r="AF6" s="424"/>
      <c r="AG6" s="424"/>
      <c r="AH6" s="424"/>
      <c r="AI6" s="424"/>
      <c r="AJ6" s="424"/>
      <c r="AK6" s="424"/>
      <c r="AL6" s="424"/>
      <c r="AM6" s="424"/>
      <c r="AN6" s="424"/>
      <c r="AO6" s="424"/>
      <c r="AP6" s="424"/>
      <c r="AQ6" s="424"/>
      <c r="AR6" s="42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272" ht="27" customHeight="1" thickBot="1" x14ac:dyDescent="0.3">
      <c r="A7" s="429" t="s">
        <v>212</v>
      </c>
      <c r="B7" s="430"/>
      <c r="C7" s="437" t="s">
        <v>429</v>
      </c>
      <c r="D7" s="438"/>
      <c r="E7" s="438"/>
      <c r="F7" s="438"/>
      <c r="G7" s="438"/>
      <c r="H7" s="438"/>
      <c r="I7" s="438"/>
      <c r="J7" s="438"/>
      <c r="K7" s="438"/>
      <c r="L7" s="438"/>
      <c r="M7" s="438"/>
      <c r="N7" s="438"/>
      <c r="O7" s="438"/>
      <c r="P7" s="438"/>
      <c r="Q7" s="438"/>
      <c r="R7" s="438"/>
      <c r="S7" s="438"/>
      <c r="T7" s="439"/>
      <c r="U7" s="256"/>
      <c r="V7" s="256"/>
      <c r="W7" s="257"/>
      <c r="X7" s="257"/>
      <c r="Y7" s="257"/>
      <c r="Z7" s="424"/>
      <c r="AA7" s="424"/>
      <c r="AB7" s="424"/>
      <c r="AC7" s="424"/>
      <c r="AD7" s="424"/>
      <c r="AE7" s="424"/>
      <c r="AF7" s="424"/>
      <c r="AG7" s="424"/>
      <c r="AH7" s="424"/>
      <c r="AI7" s="424"/>
      <c r="AJ7" s="424"/>
      <c r="AK7" s="424"/>
      <c r="AL7" s="424"/>
      <c r="AM7" s="424"/>
      <c r="AN7" s="424"/>
      <c r="AO7" s="424"/>
      <c r="AP7" s="424"/>
      <c r="AQ7" s="424"/>
      <c r="AR7" s="42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row>
    <row r="8" spans="1:272" ht="41.25" customHeight="1" thickBot="1" x14ac:dyDescent="0.3">
      <c r="A8" s="431" t="s">
        <v>213</v>
      </c>
      <c r="B8" s="432"/>
      <c r="C8" s="437" t="s">
        <v>430</v>
      </c>
      <c r="D8" s="438"/>
      <c r="E8" s="438"/>
      <c r="F8" s="438"/>
      <c r="G8" s="438"/>
      <c r="H8" s="438"/>
      <c r="I8" s="438"/>
      <c r="J8" s="438"/>
      <c r="K8" s="438"/>
      <c r="L8" s="438"/>
      <c r="M8" s="438"/>
      <c r="N8" s="438"/>
      <c r="O8" s="438"/>
      <c r="P8" s="438"/>
      <c r="Q8" s="438"/>
      <c r="R8" s="438"/>
      <c r="S8" s="438"/>
      <c r="T8" s="439"/>
      <c r="U8" s="256"/>
      <c r="V8" s="256"/>
      <c r="W8" s="257"/>
      <c r="X8" s="257"/>
      <c r="Y8" s="257"/>
      <c r="Z8" s="424"/>
      <c r="AA8" s="424"/>
      <c r="AB8" s="424"/>
      <c r="AC8" s="424"/>
      <c r="AD8" s="424"/>
      <c r="AE8" s="424"/>
      <c r="AF8" s="424"/>
      <c r="AG8" s="424"/>
      <c r="AH8" s="424"/>
      <c r="AI8" s="424"/>
      <c r="AJ8" s="424"/>
      <c r="AK8" s="424"/>
      <c r="AL8" s="424"/>
      <c r="AM8" s="424"/>
      <c r="AN8" s="424"/>
      <c r="AO8" s="424"/>
      <c r="AP8" s="424"/>
      <c r="AQ8" s="424"/>
      <c r="AR8" s="42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row>
    <row r="9" spans="1:272" ht="15.75" x14ac:dyDescent="0.25">
      <c r="A9" s="206"/>
      <c r="B9" s="206"/>
      <c r="C9" s="207"/>
      <c r="D9" s="207"/>
      <c r="E9" s="207"/>
      <c r="F9" s="207"/>
      <c r="G9" s="207"/>
      <c r="H9" s="207"/>
      <c r="I9" s="207"/>
      <c r="J9" s="207"/>
      <c r="K9" s="207"/>
      <c r="L9" s="207"/>
      <c r="M9" s="207"/>
      <c r="N9" s="207"/>
      <c r="O9" s="207"/>
      <c r="P9" s="207"/>
      <c r="Q9" s="207"/>
      <c r="R9" s="207"/>
      <c r="S9" s="207"/>
      <c r="T9" s="207"/>
      <c r="U9" s="207"/>
      <c r="V9" s="207"/>
      <c r="W9" s="208"/>
      <c r="X9" s="208"/>
      <c r="Y9" s="208"/>
      <c r="Z9" s="209"/>
      <c r="AA9" s="209"/>
      <c r="AB9" s="209"/>
      <c r="AC9" s="209"/>
      <c r="AD9" s="209"/>
      <c r="AE9" s="209"/>
      <c r="AF9" s="209"/>
      <c r="AG9" s="209"/>
      <c r="AH9" s="209"/>
      <c r="AI9" s="209"/>
      <c r="AJ9" s="209"/>
      <c r="AK9" s="209"/>
      <c r="AL9" s="209"/>
      <c r="AM9" s="209"/>
      <c r="AN9" s="209"/>
      <c r="AO9" s="209"/>
      <c r="AP9" s="209"/>
      <c r="AQ9" s="209"/>
      <c r="AR9" s="209"/>
    </row>
    <row r="10" spans="1:272" ht="27.75" customHeight="1" x14ac:dyDescent="0.2">
      <c r="A10" s="440" t="s">
        <v>214</v>
      </c>
      <c r="B10" s="441"/>
      <c r="C10" s="441"/>
      <c r="D10" s="441"/>
      <c r="E10" s="441"/>
      <c r="F10" s="442"/>
      <c r="G10" s="383" t="s">
        <v>215</v>
      </c>
      <c r="H10" s="384"/>
      <c r="I10" s="384"/>
      <c r="J10" s="384"/>
      <c r="K10" s="385"/>
      <c r="L10" s="354" t="s">
        <v>216</v>
      </c>
      <c r="M10" s="355"/>
      <c r="N10" s="356" t="s">
        <v>217</v>
      </c>
      <c r="O10" s="357"/>
      <c r="P10" s="357"/>
      <c r="Q10" s="357"/>
      <c r="R10" s="357"/>
      <c r="S10" s="357"/>
      <c r="T10" s="357"/>
      <c r="U10" s="357"/>
      <c r="V10" s="358"/>
      <c r="W10" s="376" t="s">
        <v>218</v>
      </c>
      <c r="X10" s="376"/>
      <c r="Y10" s="376"/>
      <c r="Z10" s="376"/>
      <c r="AA10" s="376"/>
      <c r="AB10" s="376"/>
      <c r="AC10" s="376"/>
      <c r="AD10" s="376"/>
      <c r="AE10" s="376"/>
      <c r="AF10" s="393" t="s">
        <v>219</v>
      </c>
      <c r="AG10" s="394"/>
      <c r="AH10" s="394"/>
      <c r="AI10" s="394"/>
      <c r="AJ10" s="395"/>
      <c r="AK10" s="356" t="s">
        <v>423</v>
      </c>
      <c r="AL10" s="357"/>
      <c r="AM10" s="357"/>
      <c r="AN10" s="357"/>
      <c r="AO10" s="358"/>
      <c r="AP10" s="356" t="s">
        <v>424</v>
      </c>
      <c r="AQ10" s="357"/>
      <c r="AR10" s="358"/>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row>
    <row r="11" spans="1:272" ht="15.75" x14ac:dyDescent="0.2">
      <c r="A11" s="409" t="s">
        <v>222</v>
      </c>
      <c r="B11" s="411" t="s">
        <v>15</v>
      </c>
      <c r="C11" s="413" t="s">
        <v>17</v>
      </c>
      <c r="D11" s="413" t="s">
        <v>19</v>
      </c>
      <c r="E11" s="411" t="s">
        <v>21</v>
      </c>
      <c r="F11" s="413" t="s">
        <v>23</v>
      </c>
      <c r="G11" s="416" t="s">
        <v>124</v>
      </c>
      <c r="H11" s="416" t="s">
        <v>223</v>
      </c>
      <c r="I11" s="416" t="s">
        <v>224</v>
      </c>
      <c r="J11" s="416" t="s">
        <v>225</v>
      </c>
      <c r="K11" s="416" t="s">
        <v>226</v>
      </c>
      <c r="L11" s="354"/>
      <c r="M11" s="355"/>
      <c r="N11" s="351" t="s">
        <v>227</v>
      </c>
      <c r="O11" s="351" t="s">
        <v>228</v>
      </c>
      <c r="P11" s="396" t="s">
        <v>229</v>
      </c>
      <c r="Q11" s="351" t="s">
        <v>230</v>
      </c>
      <c r="R11" s="351" t="s">
        <v>231</v>
      </c>
      <c r="S11" s="351" t="s">
        <v>232</v>
      </c>
      <c r="T11" s="396" t="s">
        <v>229</v>
      </c>
      <c r="U11" s="351" t="s">
        <v>29</v>
      </c>
      <c r="V11" s="371" t="s">
        <v>233</v>
      </c>
      <c r="W11" s="351" t="s">
        <v>31</v>
      </c>
      <c r="X11" s="351" t="s">
        <v>33</v>
      </c>
      <c r="Y11" s="351" t="s">
        <v>234</v>
      </c>
      <c r="Z11" s="351"/>
      <c r="AA11" s="351"/>
      <c r="AB11" s="351"/>
      <c r="AC11" s="351"/>
      <c r="AD11" s="351"/>
      <c r="AE11" s="371" t="s">
        <v>235</v>
      </c>
      <c r="AF11" s="371" t="s">
        <v>236</v>
      </c>
      <c r="AG11" s="371" t="s">
        <v>229</v>
      </c>
      <c r="AH11" s="371" t="s">
        <v>237</v>
      </c>
      <c r="AI11" s="371" t="s">
        <v>229</v>
      </c>
      <c r="AJ11" s="371" t="s">
        <v>238</v>
      </c>
      <c r="AK11" s="371" t="s">
        <v>49</v>
      </c>
      <c r="AL11" s="351" t="s">
        <v>239</v>
      </c>
      <c r="AM11" s="351" t="s">
        <v>240</v>
      </c>
      <c r="AN11" s="351" t="s">
        <v>241</v>
      </c>
      <c r="AO11" s="351" t="s">
        <v>242</v>
      </c>
      <c r="AP11" s="351" t="s">
        <v>239</v>
      </c>
      <c r="AQ11" s="351" t="s">
        <v>241</v>
      </c>
      <c r="AR11" s="351" t="s">
        <v>240</v>
      </c>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row>
    <row r="12" spans="1:272" s="213" customFormat="1" ht="87.75" customHeight="1" thickBot="1" x14ac:dyDescent="0.3">
      <c r="A12" s="410"/>
      <c r="B12" s="412"/>
      <c r="C12" s="414"/>
      <c r="D12" s="414"/>
      <c r="E12" s="412"/>
      <c r="F12" s="414"/>
      <c r="G12" s="417"/>
      <c r="H12" s="417"/>
      <c r="I12" s="417"/>
      <c r="J12" s="417"/>
      <c r="K12" s="417"/>
      <c r="L12" s="262" t="s">
        <v>425</v>
      </c>
      <c r="M12" s="262" t="s">
        <v>246</v>
      </c>
      <c r="N12" s="352"/>
      <c r="O12" s="352"/>
      <c r="P12" s="397"/>
      <c r="Q12" s="352"/>
      <c r="R12" s="352"/>
      <c r="S12" s="397"/>
      <c r="T12" s="397"/>
      <c r="U12" s="352"/>
      <c r="V12" s="372"/>
      <c r="W12" s="352"/>
      <c r="X12" s="352"/>
      <c r="Y12" s="263" t="s">
        <v>247</v>
      </c>
      <c r="Z12" s="263" t="s">
        <v>248</v>
      </c>
      <c r="AA12" s="263" t="s">
        <v>249</v>
      </c>
      <c r="AB12" s="263" t="s">
        <v>250</v>
      </c>
      <c r="AC12" s="263" t="s">
        <v>251</v>
      </c>
      <c r="AD12" s="263" t="s">
        <v>252</v>
      </c>
      <c r="AE12" s="372"/>
      <c r="AF12" s="372"/>
      <c r="AG12" s="372"/>
      <c r="AH12" s="372"/>
      <c r="AI12" s="372"/>
      <c r="AJ12" s="372"/>
      <c r="AK12" s="372"/>
      <c r="AL12" s="352"/>
      <c r="AM12" s="352"/>
      <c r="AN12" s="352"/>
      <c r="AO12" s="352"/>
      <c r="AP12" s="352"/>
      <c r="AQ12" s="352"/>
      <c r="AR12" s="352"/>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row>
    <row r="13" spans="1:272" s="215" customFormat="1" ht="119.25" customHeight="1" x14ac:dyDescent="0.25">
      <c r="A13" s="406">
        <v>1</v>
      </c>
      <c r="B13" s="386" t="s">
        <v>122</v>
      </c>
      <c r="C13" s="386" t="s">
        <v>426</v>
      </c>
      <c r="D13" s="386" t="s">
        <v>427</v>
      </c>
      <c r="E13" s="389" t="s">
        <v>428</v>
      </c>
      <c r="F13" s="386" t="s">
        <v>140</v>
      </c>
      <c r="G13" s="359" t="s">
        <v>127</v>
      </c>
      <c r="H13" s="359" t="s">
        <v>431</v>
      </c>
      <c r="I13" s="359" t="s">
        <v>432</v>
      </c>
      <c r="J13" s="359" t="s">
        <v>433</v>
      </c>
      <c r="K13" s="398" t="s">
        <v>456</v>
      </c>
      <c r="L13" s="359" t="s">
        <v>131</v>
      </c>
      <c r="M13" s="359" t="s">
        <v>143</v>
      </c>
      <c r="N13" s="380">
        <v>96</v>
      </c>
      <c r="O13" s="366" t="str">
        <f>IF(N13&lt;=0,"",IF(N13&lt;=2,"Muy Baja",IF(N13&lt;=24,"Baja",IF(N13&lt;=500,"Media",IF(N13&lt;=5000,"Alta","Muy Alta")))))</f>
        <v>Media</v>
      </c>
      <c r="P13" s="363">
        <f>IF(O13="","",IF(O13="Muy Baja",0.2,IF(O13="Baja",0.4,IF(O13="Media",0.6,IF(O13="Alta",0.8,IF(O13="Muy Alta",1,))))))</f>
        <v>0.6</v>
      </c>
      <c r="Q13" s="374" t="s">
        <v>253</v>
      </c>
      <c r="R13" s="363" t="str">
        <f>IF(NOT(ISERROR(MATCH(Q13,'Tabla Impacto'!$B$222:$B$224,0))),'Tabla Impacto'!$F$224&amp;"Por favor no seleccionar los criterios de impacto(Afectación Económica o presupuestal y Pérdida Reputacional)",Q13)</f>
        <v xml:space="preserve">     El riesgo afecta la imagen de la entidad con algunos usuarios de relevancia frente al logro de los objetivos</v>
      </c>
      <c r="S13" s="366" t="str">
        <f>IF(OR(R13='Tabla Impacto'!$C$12,R13='Tabla Impacto'!$D$12),"Leve",IF(OR(R13='Tabla Impacto'!$C$13,R13='Tabla Impacto'!$D$13),"Menor",IF(OR(R13='Tabla Impacto'!$C$14,R13='Tabla Impacto'!$D$14),"Moderado",IF(OR(R13='Tabla Impacto'!$C$15,R13='Tabla Impacto'!$D$15),"Mayor",IF(OR(R13='Tabla Impacto'!$C$16,R13='Tabla Impacto'!$D$16),"Catastrófico","")))))</f>
        <v>Moderado</v>
      </c>
      <c r="T13" s="363">
        <f>IF(S13="","",IF(S13="Leve",0.2,IF(S13="Menor",0.4,IF(S13="Moderado",0.6,IF(S13="Mayor",0.8,IF(S13="Catastrófico",1,))))))</f>
        <v>0.6</v>
      </c>
      <c r="U13" s="369" t="str">
        <f>IF(OR(AND(O13="Muy Baja",S13="Leve"),AND(O13="Muy Baja",S13="Menor"),AND(O13="Baja",S13="Leve")),"Bajo",IF(OR(AND(O13="Muy baja",S13="Moderado"),AND(O13="Baja",S13="Menor"),AND(O13="Baja",S13="Moderado"),AND(O13="Media",S13="Leve"),AND(O13="Media",S13="Menor"),AND(O13="Media",S13="Moderado"),AND(O13="Alta",S13="Leve"),AND(O13="Alta",S13="Menor")),"Moderado",IF(OR(AND(O13="Muy Baja",S13="Mayor"),AND(O13="Baja",S13="Mayor"),AND(O13="Media",S13="Mayor"),AND(O13="Alta",S13="Moderado"),AND(O13="Alta",S13="Mayor"),AND(O13="Muy Alta",S13="Leve"),AND(O13="Muy Alta",S13="Menor"),AND(O13="Muy Alta",S13="Moderado"),AND(O13="Muy Alta",S13="Mayor")),"Alto",IF(OR(AND(O13="Muy Baja",S13="Catastrófico"),AND(O13="Baja",S13="Catastrófico"),AND(O13="Media",S13="Catastrófico"),AND(O13="Alta",S13="Catastrófico"),AND(O13="Muy Alta",S13="Catastrófico")),"Extremo",""))))</f>
        <v>Moderado</v>
      </c>
      <c r="V13" s="276">
        <v>1</v>
      </c>
      <c r="W13" s="277" t="s">
        <v>434</v>
      </c>
      <c r="X13" s="278" t="str">
        <f t="shared" ref="X13:X16" si="0">IF(OR(Y13="Preventivo",Y13="Detectivo"),"Probabilidad",IF(Y13="Correctivo","Impacto",""))</f>
        <v>Probabilidad</v>
      </c>
      <c r="Y13" s="279" t="s">
        <v>254</v>
      </c>
      <c r="Z13" s="279" t="s">
        <v>255</v>
      </c>
      <c r="AA13" s="280" t="str">
        <f>IF(AND(Y13="Preventivo",Z13="Automático"),"50%",IF(AND(Y13="Preventivo",Z13="Manual"),"40%",IF(AND(Y13="Detectivo",Z13="Automático"),"40%",IF(AND(Y13="Detectivo",Z13="Manual"),"30%",IF(AND(Y13="Correctivo",Z13="Automático"),"35%",IF(AND(Y13="Correctivo",Z13="Manual"),"25%",""))))))</f>
        <v>40%</v>
      </c>
      <c r="AB13" s="279" t="s">
        <v>256</v>
      </c>
      <c r="AC13" s="279" t="s">
        <v>257</v>
      </c>
      <c r="AD13" s="279" t="s">
        <v>258</v>
      </c>
      <c r="AE13" s="281">
        <f>IFERROR(IF(X13="Probabilidad",(P13-(+P13*AA13)),IF(X13="Impacto",P13,"")),"")</f>
        <v>0.36</v>
      </c>
      <c r="AF13" s="282" t="str">
        <f>IFERROR(IF(AE13="","",IF(AE13&lt;=0.2,"Muy Baja",IF(AE13&lt;=0.4,"Baja",IF(AE13&lt;=0.6,"Media",IF(AE13&lt;=0.8,"Alta","Muy Alta"))))),"")</f>
        <v>Baja</v>
      </c>
      <c r="AG13" s="280">
        <f>+AE13</f>
        <v>0.36</v>
      </c>
      <c r="AH13" s="282" t="str">
        <f>IFERROR(IF(AI13="","",IF(AI13&lt;=0.2,"Leve",IF(AI13&lt;=0.4,"Menor",IF(AI13&lt;=0.6,"Moderado",IF(AI13&lt;=0.8,"Mayor","Catastrófico"))))),"")</f>
        <v>Moderado</v>
      </c>
      <c r="AI13" s="280">
        <f>IFERROR(IF(X13="Impacto",(T13-(+T13*AA13)),IF(X13="Probabilidad",T13,"")),"")</f>
        <v>0.6</v>
      </c>
      <c r="AJ13" s="283"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Moderado</v>
      </c>
      <c r="AK13" s="284"/>
      <c r="AL13" s="275" t="s">
        <v>437</v>
      </c>
      <c r="AM13" s="275" t="s">
        <v>438</v>
      </c>
      <c r="AN13" s="285" t="s">
        <v>439</v>
      </c>
      <c r="AO13" s="300" t="s">
        <v>450</v>
      </c>
      <c r="AP13" s="386" t="s">
        <v>440</v>
      </c>
      <c r="AQ13" s="386" t="s">
        <v>441</v>
      </c>
      <c r="AR13" s="402" t="s">
        <v>442</v>
      </c>
    </row>
    <row r="14" spans="1:272" ht="119.25" customHeight="1" x14ac:dyDescent="0.2">
      <c r="A14" s="407"/>
      <c r="B14" s="387"/>
      <c r="C14" s="387"/>
      <c r="D14" s="387"/>
      <c r="E14" s="390"/>
      <c r="F14" s="387"/>
      <c r="G14" s="360"/>
      <c r="H14" s="360"/>
      <c r="I14" s="360"/>
      <c r="J14" s="360"/>
      <c r="K14" s="399"/>
      <c r="L14" s="360"/>
      <c r="M14" s="360"/>
      <c r="N14" s="381"/>
      <c r="O14" s="367"/>
      <c r="P14" s="364"/>
      <c r="Q14" s="353"/>
      <c r="R14" s="364">
        <f>IF(NOT(ISERROR(MATCH(Q14,_xlfn.ANCHORARRAY(E25),0))),P27&amp;"Por favor no seleccionar los criterios de impacto",Q14)</f>
        <v>0</v>
      </c>
      <c r="S14" s="367"/>
      <c r="T14" s="364"/>
      <c r="U14" s="362"/>
      <c r="V14" s="214">
        <v>2</v>
      </c>
      <c r="W14" s="240" t="s">
        <v>435</v>
      </c>
      <c r="X14" s="189" t="str">
        <f t="shared" si="0"/>
        <v>Probabilidad</v>
      </c>
      <c r="Y14" s="190" t="s">
        <v>259</v>
      </c>
      <c r="Z14" s="190" t="s">
        <v>255</v>
      </c>
      <c r="AA14" s="191" t="str">
        <f t="shared" ref="AA14:AA18" si="1">IF(AND(Y14="Preventivo",Z14="Automático"),"50%",IF(AND(Y14="Preventivo",Z14="Manual"),"40%",IF(AND(Y14="Detectivo",Z14="Automático"),"40%",IF(AND(Y14="Detectivo",Z14="Manual"),"30%",IF(AND(Y14="Correctivo",Z14="Automático"),"35%",IF(AND(Y14="Correctivo",Z14="Manual"),"25%",""))))))</f>
        <v>30%</v>
      </c>
      <c r="AB14" s="190" t="s">
        <v>256</v>
      </c>
      <c r="AC14" s="190" t="s">
        <v>257</v>
      </c>
      <c r="AD14" s="190" t="s">
        <v>258</v>
      </c>
      <c r="AE14" s="192">
        <f>IFERROR(IF(AND(X13="Probabilidad",X14="Probabilidad"),(AG13-(+AG13*AA14)),IF(X14="Probabilidad",(P13-(+P13*AA14)),IF(X14="Impacto",AG13,""))),"")</f>
        <v>0.252</v>
      </c>
      <c r="AF14" s="193" t="str">
        <f t="shared" ref="AF14:AF72" si="2">IFERROR(IF(AE14="","",IF(AE14&lt;=0.2,"Muy Baja",IF(AE14&lt;=0.4,"Baja",IF(AE14&lt;=0.6,"Media",IF(AE14&lt;=0.8,"Alta","Muy Alta"))))),"")</f>
        <v>Baja</v>
      </c>
      <c r="AG14" s="191">
        <f t="shared" ref="AG14:AG18" si="3">+AE14</f>
        <v>0.252</v>
      </c>
      <c r="AH14" s="193" t="str">
        <f t="shared" ref="AH14:AH72" si="4">IFERROR(IF(AI14="","",IF(AI14&lt;=0.2,"Leve",IF(AI14&lt;=0.4,"Menor",IF(AI14&lt;=0.6,"Moderado",IF(AI14&lt;=0.8,"Mayor","Catastrófico"))))),"")</f>
        <v>Moderado</v>
      </c>
      <c r="AI14" s="191">
        <f>IFERROR(IF(AND(X13="Impacto",X14="Impacto"),(AI13-(+AI13*AA14)),IF(X14="Impacto",($T$13-(+$T$13*AA14)),IF(X14="Probabilidad",AI13,""))),"")</f>
        <v>0.6</v>
      </c>
      <c r="AJ14" s="194" t="str">
        <f t="shared" ref="AJ14:AJ18" si="5">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Moderado</v>
      </c>
      <c r="AK14" s="195"/>
      <c r="AL14" s="186"/>
      <c r="AM14" s="196"/>
      <c r="AN14" s="186"/>
      <c r="AO14" s="197"/>
      <c r="AP14" s="387"/>
      <c r="AQ14" s="387"/>
      <c r="AR14" s="403"/>
    </row>
    <row r="15" spans="1:272" ht="119.25" customHeight="1" x14ac:dyDescent="0.2">
      <c r="A15" s="407"/>
      <c r="B15" s="387"/>
      <c r="C15" s="387"/>
      <c r="D15" s="387"/>
      <c r="E15" s="390"/>
      <c r="F15" s="387"/>
      <c r="G15" s="360"/>
      <c r="H15" s="360"/>
      <c r="I15" s="360"/>
      <c r="J15" s="360"/>
      <c r="K15" s="399"/>
      <c r="L15" s="360"/>
      <c r="M15" s="360"/>
      <c r="N15" s="381"/>
      <c r="O15" s="367"/>
      <c r="P15" s="364"/>
      <c r="Q15" s="353"/>
      <c r="R15" s="364">
        <f>IF(NOT(ISERROR(MATCH(Q15,_xlfn.ANCHORARRAY(E26),0))),P28&amp;"Por favor no seleccionar los criterios de impacto",Q15)</f>
        <v>0</v>
      </c>
      <c r="S15" s="367"/>
      <c r="T15" s="364"/>
      <c r="U15" s="362"/>
      <c r="V15" s="214">
        <v>3</v>
      </c>
      <c r="W15" s="240" t="s">
        <v>436</v>
      </c>
      <c r="X15" s="189" t="str">
        <f t="shared" si="0"/>
        <v>Probabilidad</v>
      </c>
      <c r="Y15" s="190" t="s">
        <v>259</v>
      </c>
      <c r="Z15" s="190" t="s">
        <v>255</v>
      </c>
      <c r="AA15" s="191" t="str">
        <f t="shared" si="1"/>
        <v>30%</v>
      </c>
      <c r="AB15" s="190" t="s">
        <v>256</v>
      </c>
      <c r="AC15" s="190" t="s">
        <v>257</v>
      </c>
      <c r="AD15" s="190" t="s">
        <v>258</v>
      </c>
      <c r="AE15" s="192">
        <f>IFERROR(IF(AND(X14="Probabilidad",X15="Probabilidad"),(AG14-(+AG14*AA15)),IF(AND(X14="Impacto",X15="Probabilidad"),(AG13-(+AG13*AA15)),IF(X15="Impacto",AG14,""))),"")</f>
        <v>0.1764</v>
      </c>
      <c r="AF15" s="193" t="str">
        <f t="shared" si="2"/>
        <v>Muy Baja</v>
      </c>
      <c r="AG15" s="191">
        <f t="shared" si="3"/>
        <v>0.1764</v>
      </c>
      <c r="AH15" s="193" t="str">
        <f t="shared" si="4"/>
        <v>Moderado</v>
      </c>
      <c r="AI15" s="191">
        <f>IFERROR(IF(AND(X14="Impacto",X15="Impacto"),(AI14-(+AI14*AA15)),IF(AND(X14="Probabilidad",X15="Impacto"),(AI13-(+AI13*AA15)),IF(X15="Probabilidad",AI14,""))),"")</f>
        <v>0.6</v>
      </c>
      <c r="AJ15" s="194" t="str">
        <f t="shared" si="5"/>
        <v>Moderado</v>
      </c>
      <c r="AK15" s="195" t="s">
        <v>123</v>
      </c>
      <c r="AL15" s="186"/>
      <c r="AM15" s="196"/>
      <c r="AN15" s="196"/>
      <c r="AO15" s="197"/>
      <c r="AP15" s="387"/>
      <c r="AQ15" s="387"/>
      <c r="AR15" s="403"/>
    </row>
    <row r="16" spans="1:272" x14ac:dyDescent="0.2">
      <c r="A16" s="407"/>
      <c r="B16" s="387"/>
      <c r="C16" s="387"/>
      <c r="D16" s="387"/>
      <c r="E16" s="390"/>
      <c r="F16" s="387"/>
      <c r="G16" s="360"/>
      <c r="H16" s="360"/>
      <c r="I16" s="360"/>
      <c r="J16" s="360"/>
      <c r="K16" s="399"/>
      <c r="L16" s="360"/>
      <c r="M16" s="360"/>
      <c r="N16" s="381"/>
      <c r="O16" s="367"/>
      <c r="P16" s="364"/>
      <c r="Q16" s="353"/>
      <c r="R16" s="364">
        <f>IF(NOT(ISERROR(MATCH(Q16,_xlfn.ANCHORARRAY(E27),0))),P29&amp;"Por favor no seleccionar los criterios de impacto",Q16)</f>
        <v>0</v>
      </c>
      <c r="S16" s="367"/>
      <c r="T16" s="364"/>
      <c r="U16" s="362"/>
      <c r="V16" s="214">
        <v>4</v>
      </c>
      <c r="W16" s="187"/>
      <c r="X16" s="189" t="str">
        <f t="shared" si="0"/>
        <v/>
      </c>
      <c r="Y16" s="190"/>
      <c r="Z16" s="190"/>
      <c r="AA16" s="191" t="str">
        <f t="shared" si="1"/>
        <v/>
      </c>
      <c r="AB16" s="190"/>
      <c r="AC16" s="190"/>
      <c r="AD16" s="190"/>
      <c r="AE16" s="192" t="str">
        <f t="shared" ref="AE16:AE18" si="6">IFERROR(IF(AND(X15="Probabilidad",X16="Probabilidad"),(AG15-(+AG15*AA16)),IF(AND(X15="Impacto",X16="Probabilidad"),(AG14-(+AG14*AA16)),IF(X16="Impacto",AG15,""))),"")</f>
        <v/>
      </c>
      <c r="AF16" s="193" t="str">
        <f t="shared" si="2"/>
        <v/>
      </c>
      <c r="AG16" s="191" t="str">
        <f t="shared" si="3"/>
        <v/>
      </c>
      <c r="AH16" s="193" t="str">
        <f t="shared" si="4"/>
        <v/>
      </c>
      <c r="AI16" s="191" t="str">
        <f t="shared" ref="AI16:AI18" si="7">IFERROR(IF(AND(X15="Impacto",X16="Impacto"),(AI15-(+AI15*AA16)),IF(AND(X15="Probabilidad",X16="Impacto"),(AI14-(+AI14*AA16)),IF(X16="Probabilidad",AI15,""))),"")</f>
        <v/>
      </c>
      <c r="AJ16" s="194" t="str">
        <f>IFERROR(IF(OR(AND(AF16="Muy Baja",AH16="Leve"),AND(AF16="Muy Baja",AH16="Menor"),AND(AF16="Baja",AH16="Leve")),"Bajo",IF(OR(AND(AF16="Muy baja",AH16="Moderado"),AND(AF16="Baja",AH16="Menor"),AND(AF16="Baja",AH16="Moderado"),AND(AF16="Media",AH16="Leve"),AND(AF16="Media",AH16="Menor"),AND(AF16="Media",AH16="Moderado"),AND(AF16="Alta",AH16="Leve"),AND(AF16="Alta",AH16="Menor")),"Moderado",IF(OR(AND(AF16="Muy Baja",AH16="Mayor"),AND(AF16="Baja",AH16="Mayor"),AND(AF16="Media",AH16="Mayor"),AND(AF16="Alta",AH16="Moderado"),AND(AF16="Alta",AH16="Mayor"),AND(AF16="Muy Alta",AH16="Leve"),AND(AF16="Muy Alta",AH16="Menor"),AND(AF16="Muy Alta",AH16="Moderado"),AND(AF16="Muy Alta",AH16="Mayor")),"Alto",IF(OR(AND(AF16="Muy Baja",AH16="Catastrófico"),AND(AF16="Baja",AH16="Catastrófico"),AND(AF16="Media",AH16="Catastrófico"),AND(AF16="Alta",AH16="Catastrófico"),AND(AF16="Muy Alta",AH16="Catastrófico")),"Extremo","")))),"")</f>
        <v/>
      </c>
      <c r="AK16" s="195"/>
      <c r="AL16" s="186"/>
      <c r="AM16" s="196"/>
      <c r="AN16" s="196"/>
      <c r="AO16" s="197"/>
      <c r="AP16" s="387"/>
      <c r="AQ16" s="387"/>
      <c r="AR16" s="403"/>
    </row>
    <row r="17" spans="1:44" x14ac:dyDescent="0.2">
      <c r="A17" s="407"/>
      <c r="B17" s="387"/>
      <c r="C17" s="387"/>
      <c r="D17" s="387"/>
      <c r="E17" s="390"/>
      <c r="F17" s="387"/>
      <c r="G17" s="360"/>
      <c r="H17" s="360"/>
      <c r="I17" s="360"/>
      <c r="J17" s="360"/>
      <c r="K17" s="399"/>
      <c r="L17" s="360"/>
      <c r="M17" s="360"/>
      <c r="N17" s="381"/>
      <c r="O17" s="367"/>
      <c r="P17" s="364"/>
      <c r="Q17" s="353"/>
      <c r="R17" s="364">
        <f>IF(NOT(ISERROR(MATCH(Q17,_xlfn.ANCHORARRAY(E28),0))),P30&amp;"Por favor no seleccionar los criterios de impacto",Q17)</f>
        <v>0</v>
      </c>
      <c r="S17" s="367"/>
      <c r="T17" s="364"/>
      <c r="U17" s="362"/>
      <c r="V17" s="214">
        <v>5</v>
      </c>
      <c r="W17" s="187"/>
      <c r="X17" s="189" t="str">
        <f t="shared" ref="X17:X18" si="8">IF(OR(Y17="Preventivo",Y17="Detectivo"),"Probabilidad",IF(Y17="Correctivo","Impacto",""))</f>
        <v/>
      </c>
      <c r="Y17" s="190"/>
      <c r="Z17" s="190"/>
      <c r="AA17" s="191" t="str">
        <f t="shared" si="1"/>
        <v/>
      </c>
      <c r="AB17" s="190"/>
      <c r="AC17" s="190"/>
      <c r="AD17" s="190"/>
      <c r="AE17" s="192" t="str">
        <f t="shared" si="6"/>
        <v/>
      </c>
      <c r="AF17" s="193" t="str">
        <f t="shared" si="2"/>
        <v/>
      </c>
      <c r="AG17" s="191" t="str">
        <f t="shared" si="3"/>
        <v/>
      </c>
      <c r="AH17" s="193" t="str">
        <f t="shared" si="4"/>
        <v/>
      </c>
      <c r="AI17" s="191" t="str">
        <f t="shared" si="7"/>
        <v/>
      </c>
      <c r="AJ17" s="194" t="str">
        <f t="shared" si="5"/>
        <v/>
      </c>
      <c r="AK17" s="195"/>
      <c r="AL17" s="186"/>
      <c r="AM17" s="196"/>
      <c r="AN17" s="196"/>
      <c r="AO17" s="197"/>
      <c r="AP17" s="387"/>
      <c r="AQ17" s="387"/>
      <c r="AR17" s="403"/>
    </row>
    <row r="18" spans="1:44" ht="15.75" thickBot="1" x14ac:dyDescent="0.25">
      <c r="A18" s="408"/>
      <c r="B18" s="388"/>
      <c r="C18" s="388"/>
      <c r="D18" s="388"/>
      <c r="E18" s="391"/>
      <c r="F18" s="388"/>
      <c r="G18" s="361"/>
      <c r="H18" s="361"/>
      <c r="I18" s="361"/>
      <c r="J18" s="361"/>
      <c r="K18" s="400"/>
      <c r="L18" s="361"/>
      <c r="M18" s="361"/>
      <c r="N18" s="382"/>
      <c r="O18" s="368"/>
      <c r="P18" s="365"/>
      <c r="Q18" s="375"/>
      <c r="R18" s="365">
        <f>IF(NOT(ISERROR(MATCH(Q18,_xlfn.ANCHORARRAY(E29),0))),P31&amp;"Por favor no seleccionar los criterios de impacto",Q18)</f>
        <v>0</v>
      </c>
      <c r="S18" s="368"/>
      <c r="T18" s="365"/>
      <c r="U18" s="370"/>
      <c r="V18" s="289">
        <v>6</v>
      </c>
      <c r="W18" s="287"/>
      <c r="X18" s="290" t="str">
        <f t="shared" si="8"/>
        <v/>
      </c>
      <c r="Y18" s="291"/>
      <c r="Z18" s="291"/>
      <c r="AA18" s="292" t="str">
        <f t="shared" si="1"/>
        <v/>
      </c>
      <c r="AB18" s="291"/>
      <c r="AC18" s="291"/>
      <c r="AD18" s="291"/>
      <c r="AE18" s="293" t="str">
        <f t="shared" si="6"/>
        <v/>
      </c>
      <c r="AF18" s="294" t="str">
        <f t="shared" si="2"/>
        <v/>
      </c>
      <c r="AG18" s="292" t="str">
        <f t="shared" si="3"/>
        <v/>
      </c>
      <c r="AH18" s="294" t="str">
        <f t="shared" si="4"/>
        <v/>
      </c>
      <c r="AI18" s="292" t="str">
        <f t="shared" si="7"/>
        <v/>
      </c>
      <c r="AJ18" s="295" t="str">
        <f t="shared" si="5"/>
        <v/>
      </c>
      <c r="AK18" s="296"/>
      <c r="AL18" s="286"/>
      <c r="AM18" s="288"/>
      <c r="AN18" s="288"/>
      <c r="AO18" s="297"/>
      <c r="AP18" s="388"/>
      <c r="AQ18" s="388"/>
      <c r="AR18" s="404"/>
    </row>
    <row r="19" spans="1:44" ht="125.25" customHeight="1" x14ac:dyDescent="0.2">
      <c r="A19" s="406">
        <v>2</v>
      </c>
      <c r="B19" s="386" t="s">
        <v>122</v>
      </c>
      <c r="C19" s="386" t="s">
        <v>443</v>
      </c>
      <c r="D19" s="386" t="s">
        <v>444</v>
      </c>
      <c r="E19" s="389" t="s">
        <v>445</v>
      </c>
      <c r="F19" s="386" t="s">
        <v>140</v>
      </c>
      <c r="G19" s="359" t="s">
        <v>127</v>
      </c>
      <c r="H19" s="359" t="s">
        <v>446</v>
      </c>
      <c r="I19" s="359" t="s">
        <v>447</v>
      </c>
      <c r="J19" s="359" t="s">
        <v>455</v>
      </c>
      <c r="K19" s="398" t="s">
        <v>457</v>
      </c>
      <c r="L19" s="359" t="s">
        <v>131</v>
      </c>
      <c r="M19" s="359" t="s">
        <v>143</v>
      </c>
      <c r="N19" s="380">
        <v>54</v>
      </c>
      <c r="O19" s="366" t="str">
        <f>IF(N19&lt;=0,"",IF(N19&lt;=2,"Muy Baja",IF(N19&lt;=24,"Baja",IF(N19&lt;=500,"Media",IF(N19&lt;=5000,"Alta","Muy Alta")))))</f>
        <v>Media</v>
      </c>
      <c r="P19" s="363">
        <f>IF(O19="","",IF(O19="Muy Baja",0.2,IF(O19="Baja",0.4,IF(O19="Media",0.6,IF(O19="Alta",0.8,IF(O19="Muy Alta",1,))))))</f>
        <v>0.6</v>
      </c>
      <c r="Q19" s="374" t="s">
        <v>253</v>
      </c>
      <c r="R19" s="363" t="str">
        <f>IF(NOT(ISERROR(MATCH(Q19,'Tabla Impacto'!$B$222:$B$224,0))),'Tabla Impacto'!$F$224&amp;"Por favor no seleccionar los criterios de impacto(Afectación Económica o presupuestal y Pérdida Reputacional)",Q19)</f>
        <v xml:space="preserve">     El riesgo afecta la imagen de la entidad con algunos usuarios de relevancia frente al logro de los objetivos</v>
      </c>
      <c r="S19" s="366" t="str">
        <f>IF(OR(R19='Tabla Impacto'!$C$12,R19='Tabla Impacto'!$D$12),"Leve",IF(OR(R19='Tabla Impacto'!$C$13,R19='Tabla Impacto'!$D$13),"Menor",IF(OR(R19='Tabla Impacto'!$C$14,R19='Tabla Impacto'!$D$14),"Moderado",IF(OR(R19='Tabla Impacto'!$C$15,R19='Tabla Impacto'!$D$15),"Mayor",IF(OR(R19='Tabla Impacto'!$C$16,R19='Tabla Impacto'!$D$16),"Catastrófico","")))))</f>
        <v>Moderado</v>
      </c>
      <c r="T19" s="363">
        <f>IF(S19="","",IF(S19="Leve",0.2,IF(S19="Menor",0.4,IF(S19="Moderado",0.6,IF(S19="Mayor",0.8,IF(S19="Catastrófico",1,))))))</f>
        <v>0.6</v>
      </c>
      <c r="U19" s="369" t="str">
        <f>IF(OR(AND(O19="Muy Baja",S19="Leve"),AND(O19="Muy Baja",S19="Menor"),AND(O19="Baja",S19="Leve")),"Bajo",IF(OR(AND(O19="Muy baja",S19="Moderado"),AND(O19="Baja",S19="Menor"),AND(O19="Baja",S19="Moderado"),AND(O19="Media",S19="Leve"),AND(O19="Media",S19="Menor"),AND(O19="Media",S19="Moderado"),AND(O19="Alta",S19="Leve"),AND(O19="Alta",S19="Menor")),"Moderado",IF(OR(AND(O19="Muy Baja",S19="Mayor"),AND(O19="Baja",S19="Mayor"),AND(O19="Media",S19="Mayor"),AND(O19="Alta",S19="Moderado"),AND(O19="Alta",S19="Mayor"),AND(O19="Muy Alta",S19="Leve"),AND(O19="Muy Alta",S19="Menor"),AND(O19="Muy Alta",S19="Moderado"),AND(O19="Muy Alta",S19="Mayor")),"Alto",IF(OR(AND(O19="Muy Baja",S19="Catastrófico"),AND(O19="Baja",S19="Catastrófico"),AND(O19="Media",S19="Catastrófico"),AND(O19="Alta",S19="Catastrófico"),AND(O19="Muy Alta",S19="Catastrófico")),"Extremo",""))))</f>
        <v>Moderado</v>
      </c>
      <c r="V19" s="276">
        <v>1</v>
      </c>
      <c r="W19" s="299" t="s">
        <v>448</v>
      </c>
      <c r="X19" s="278" t="str">
        <f>IF(OR(Y19="Preventivo",Y19="Detectivo"),"Probabilidad",IF(Y19="Correctivo","Impacto",""))</f>
        <v>Probabilidad</v>
      </c>
      <c r="Y19" s="279" t="s">
        <v>254</v>
      </c>
      <c r="Z19" s="279" t="s">
        <v>255</v>
      </c>
      <c r="AA19" s="280" t="str">
        <f>IF(AND(Y19="Preventivo",Z19="Automático"),"50%",IF(AND(Y19="Preventivo",Z19="Manual"),"40%",IF(AND(Y19="Detectivo",Z19="Automático"),"40%",IF(AND(Y19="Detectivo",Z19="Manual"),"30%",IF(AND(Y19="Correctivo",Z19="Automático"),"35%",IF(AND(Y19="Correctivo",Z19="Manual"),"25%",""))))))</f>
        <v>40%</v>
      </c>
      <c r="AB19" s="279" t="s">
        <v>256</v>
      </c>
      <c r="AC19" s="279" t="s">
        <v>257</v>
      </c>
      <c r="AD19" s="279" t="s">
        <v>415</v>
      </c>
      <c r="AE19" s="281">
        <f>IFERROR(IF(X19="Probabilidad",(P19-(+P19*AA19)),IF(X19="Impacto",P19,"")),"")</f>
        <v>0.36</v>
      </c>
      <c r="AF19" s="282" t="str">
        <f>IFERROR(IF(AE19="","",IF(AE19&lt;=0.2,"Muy Baja",IF(AE19&lt;=0.4,"Baja",IF(AE19&lt;=0.6,"Media",IF(AE19&lt;=0.8,"Alta","Muy Alta"))))),"")</f>
        <v>Baja</v>
      </c>
      <c r="AG19" s="280">
        <f>+AE19</f>
        <v>0.36</v>
      </c>
      <c r="AH19" s="282" t="str">
        <f>IFERROR(IF(AI19="","",IF(AI19&lt;=0.2,"Leve",IF(AI19&lt;=0.4,"Menor",IF(AI19&lt;=0.6,"Moderado",IF(AI19&lt;=0.8,"Mayor","Catastrófico"))))),"")</f>
        <v>Moderado</v>
      </c>
      <c r="AI19" s="280">
        <f t="shared" ref="AI19" si="9">IFERROR(IF(X19="Impacto",(T19-(+T19*AA19)),IF(X19="Probabilidad",T19,"")),"")</f>
        <v>0.6</v>
      </c>
      <c r="AJ19" s="283" t="str">
        <f>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Moderado</v>
      </c>
      <c r="AK19" s="284"/>
      <c r="AL19" s="275" t="s">
        <v>451</v>
      </c>
      <c r="AM19" s="275" t="s">
        <v>452</v>
      </c>
      <c r="AN19" s="275" t="s">
        <v>453</v>
      </c>
      <c r="AO19" s="285" t="s">
        <v>454</v>
      </c>
      <c r="AP19" s="386" t="s">
        <v>440</v>
      </c>
      <c r="AQ19" s="386" t="s">
        <v>441</v>
      </c>
      <c r="AR19" s="402" t="s">
        <v>442</v>
      </c>
    </row>
    <row r="20" spans="1:44" ht="125.25" customHeight="1" x14ac:dyDescent="0.2">
      <c r="A20" s="407"/>
      <c r="B20" s="387"/>
      <c r="C20" s="387"/>
      <c r="D20" s="387"/>
      <c r="E20" s="390"/>
      <c r="F20" s="387"/>
      <c r="G20" s="360"/>
      <c r="H20" s="360"/>
      <c r="I20" s="360"/>
      <c r="J20" s="360"/>
      <c r="K20" s="399"/>
      <c r="L20" s="360"/>
      <c r="M20" s="360"/>
      <c r="N20" s="381"/>
      <c r="O20" s="367"/>
      <c r="P20" s="364"/>
      <c r="Q20" s="353"/>
      <c r="R20" s="364">
        <f>IF(NOT(ISERROR(MATCH(Q20,_xlfn.ANCHORARRAY(E31),0))),P33&amp;"Por favor no seleccionar los criterios de impacto",Q20)</f>
        <v>0</v>
      </c>
      <c r="S20" s="367"/>
      <c r="T20" s="364"/>
      <c r="U20" s="362"/>
      <c r="V20" s="214">
        <v>2</v>
      </c>
      <c r="W20" s="298" t="s">
        <v>449</v>
      </c>
      <c r="X20" s="189" t="str">
        <f>IF(OR(Y20="Preventivo",Y20="Detectivo"),"Probabilidad",IF(Y20="Correctivo","Impacto",""))</f>
        <v>Probabilidad</v>
      </c>
      <c r="Y20" s="190" t="s">
        <v>259</v>
      </c>
      <c r="Z20" s="190" t="s">
        <v>255</v>
      </c>
      <c r="AA20" s="191" t="str">
        <f t="shared" ref="AA20:AA24" si="10">IF(AND(Y20="Preventivo",Z20="Automático"),"50%",IF(AND(Y20="Preventivo",Z20="Manual"),"40%",IF(AND(Y20="Detectivo",Z20="Automático"),"40%",IF(AND(Y20="Detectivo",Z20="Manual"),"30%",IF(AND(Y20="Correctivo",Z20="Automático"),"35%",IF(AND(Y20="Correctivo",Z20="Manual"),"25%",""))))))</f>
        <v>30%</v>
      </c>
      <c r="AB20" s="190" t="s">
        <v>256</v>
      </c>
      <c r="AC20" s="190" t="s">
        <v>257</v>
      </c>
      <c r="AD20" s="190" t="s">
        <v>415</v>
      </c>
      <c r="AE20" s="192">
        <f>IFERROR(IF(AND(X19="Probabilidad",X20="Probabilidad"),(AG19-(+AG19*AA20)),IF(X20="Probabilidad",(P19-(+P19*AA20)),IF(X20="Impacto",AG19,""))),"")</f>
        <v>0.252</v>
      </c>
      <c r="AF20" s="193" t="str">
        <f t="shared" si="2"/>
        <v>Baja</v>
      </c>
      <c r="AG20" s="191">
        <f t="shared" ref="AG20:AG24" si="11">+AE20</f>
        <v>0.252</v>
      </c>
      <c r="AH20" s="193" t="str">
        <f t="shared" si="4"/>
        <v>Moderado</v>
      </c>
      <c r="AI20" s="191">
        <f t="shared" ref="AI20" si="12">IFERROR(IF(AND(X19="Impacto",X20="Impacto"),(AI19-(+AI19*AA20)),IF(X20="Impacto",($T$13-(+$T$13*AA20)),IF(X20="Probabilidad",AI19,""))),"")</f>
        <v>0.6</v>
      </c>
      <c r="AJ20" s="194" t="str">
        <f t="shared" ref="AJ20:AJ21" si="13">IFERROR(IF(OR(AND(AF20="Muy Baja",AH20="Leve"),AND(AF20="Muy Baja",AH20="Menor"),AND(AF20="Baja",AH20="Leve")),"Bajo",IF(OR(AND(AF20="Muy baja",AH20="Moderado"),AND(AF20="Baja",AH20="Menor"),AND(AF20="Baja",AH20="Moderado"),AND(AF20="Media",AH20="Leve"),AND(AF20="Media",AH20="Menor"),AND(AF20="Media",AH20="Moderado"),AND(AF20="Alta",AH20="Leve"),AND(AF20="Alta",AH20="Menor")),"Moderado",IF(OR(AND(AF20="Muy Baja",AH20="Mayor"),AND(AF20="Baja",AH20="Mayor"),AND(AF20="Media",AH20="Mayor"),AND(AF20="Alta",AH20="Moderado"),AND(AF20="Alta",AH20="Mayor"),AND(AF20="Muy Alta",AH20="Leve"),AND(AF20="Muy Alta",AH20="Menor"),AND(AF20="Muy Alta",AH20="Moderado"),AND(AF20="Muy Alta",AH20="Mayor")),"Alto",IF(OR(AND(AF20="Muy Baja",AH20="Catastrófico"),AND(AF20="Baja",AH20="Catastrófico"),AND(AF20="Media",AH20="Catastrófico"),AND(AF20="Alta",AH20="Catastrófico"),AND(AF20="Muy Alta",AH20="Catastrófico")),"Extremo","")))),"")</f>
        <v>Moderado</v>
      </c>
      <c r="AK20" s="195" t="s">
        <v>123</v>
      </c>
      <c r="AL20" s="186"/>
      <c r="AM20" s="196"/>
      <c r="AN20" s="186"/>
      <c r="AO20" s="197"/>
      <c r="AP20" s="387"/>
      <c r="AQ20" s="387"/>
      <c r="AR20" s="403"/>
    </row>
    <row r="21" spans="1:44" x14ac:dyDescent="0.2">
      <c r="A21" s="407"/>
      <c r="B21" s="387"/>
      <c r="C21" s="387"/>
      <c r="D21" s="387"/>
      <c r="E21" s="390"/>
      <c r="F21" s="387"/>
      <c r="G21" s="360"/>
      <c r="H21" s="360"/>
      <c r="I21" s="360"/>
      <c r="J21" s="360"/>
      <c r="K21" s="399"/>
      <c r="L21" s="360"/>
      <c r="M21" s="360"/>
      <c r="N21" s="381"/>
      <c r="O21" s="367"/>
      <c r="P21" s="364"/>
      <c r="Q21" s="353"/>
      <c r="R21" s="364">
        <f>IF(NOT(ISERROR(MATCH(Q21,_xlfn.ANCHORARRAY(E32),0))),P34&amp;"Por favor no seleccionar los criterios de impacto",Q21)</f>
        <v>0</v>
      </c>
      <c r="S21" s="367"/>
      <c r="T21" s="364"/>
      <c r="U21" s="362"/>
      <c r="V21" s="214">
        <v>3</v>
      </c>
      <c r="W21" s="188"/>
      <c r="X21" s="189" t="str">
        <f>IF(OR(Y21="Preventivo",Y21="Detectivo"),"Probabilidad",IF(Y21="Correctivo","Impacto",""))</f>
        <v/>
      </c>
      <c r="Y21" s="190"/>
      <c r="Z21" s="190"/>
      <c r="AA21" s="191" t="str">
        <f t="shared" si="10"/>
        <v/>
      </c>
      <c r="AB21" s="190"/>
      <c r="AC21" s="190"/>
      <c r="AD21" s="190"/>
      <c r="AE21" s="192" t="str">
        <f>IFERROR(IF(AND(X20="Probabilidad",X21="Probabilidad"),(AG20-(+AG20*AA21)),IF(AND(X20="Impacto",X21="Probabilidad"),(AG19-(+AG19*AA21)),IF(X21="Impacto",AG20,""))),"")</f>
        <v/>
      </c>
      <c r="AF21" s="193" t="str">
        <f t="shared" si="2"/>
        <v/>
      </c>
      <c r="AG21" s="191" t="str">
        <f t="shared" si="11"/>
        <v/>
      </c>
      <c r="AH21" s="193" t="str">
        <f t="shared" si="4"/>
        <v/>
      </c>
      <c r="AI21" s="191" t="str">
        <f t="shared" ref="AI21:AI72" si="14">IFERROR(IF(AND(X20="Impacto",X21="Impacto"),(AI20-(+AI20*AA21)),IF(AND(X20="Probabilidad",X21="Impacto"),(AI19-(+AI19*AA21)),IF(X21="Probabilidad",AI20,""))),"")</f>
        <v/>
      </c>
      <c r="AJ21" s="194" t="str">
        <f t="shared" si="13"/>
        <v/>
      </c>
      <c r="AK21" s="195"/>
      <c r="AL21" s="186"/>
      <c r="AM21" s="196"/>
      <c r="AN21" s="196"/>
      <c r="AO21" s="197"/>
      <c r="AP21" s="387"/>
      <c r="AQ21" s="387"/>
      <c r="AR21" s="403"/>
    </row>
    <row r="22" spans="1:44" x14ac:dyDescent="0.2">
      <c r="A22" s="407"/>
      <c r="B22" s="387"/>
      <c r="C22" s="387"/>
      <c r="D22" s="387"/>
      <c r="E22" s="390"/>
      <c r="F22" s="387"/>
      <c r="G22" s="360"/>
      <c r="H22" s="360"/>
      <c r="I22" s="360"/>
      <c r="J22" s="360"/>
      <c r="K22" s="399"/>
      <c r="L22" s="360"/>
      <c r="M22" s="360"/>
      <c r="N22" s="381"/>
      <c r="O22" s="367"/>
      <c r="P22" s="364"/>
      <c r="Q22" s="353"/>
      <c r="R22" s="364">
        <f>IF(NOT(ISERROR(MATCH(Q22,_xlfn.ANCHORARRAY(E33),0))),P35&amp;"Por favor no seleccionar los criterios de impacto",Q22)</f>
        <v>0</v>
      </c>
      <c r="S22" s="367"/>
      <c r="T22" s="364"/>
      <c r="U22" s="362"/>
      <c r="V22" s="214">
        <v>4</v>
      </c>
      <c r="W22" s="187"/>
      <c r="X22" s="189" t="str">
        <f t="shared" ref="X22:X24" si="15">IF(OR(Y22="Preventivo",Y22="Detectivo"),"Probabilidad",IF(Y22="Correctivo","Impacto",""))</f>
        <v/>
      </c>
      <c r="Y22" s="190"/>
      <c r="Z22" s="190"/>
      <c r="AA22" s="191" t="str">
        <f t="shared" si="10"/>
        <v/>
      </c>
      <c r="AB22" s="190"/>
      <c r="AC22" s="190"/>
      <c r="AD22" s="190"/>
      <c r="AE22" s="192" t="str">
        <f t="shared" ref="AE22:AE24" si="16">IFERROR(IF(AND(X21="Probabilidad",X22="Probabilidad"),(AG21-(+AG21*AA22)),IF(AND(X21="Impacto",X22="Probabilidad"),(AG20-(+AG20*AA22)),IF(X22="Impacto",AG21,""))),"")</f>
        <v/>
      </c>
      <c r="AF22" s="193" t="str">
        <f t="shared" si="2"/>
        <v/>
      </c>
      <c r="AG22" s="191" t="str">
        <f t="shared" si="11"/>
        <v/>
      </c>
      <c r="AH22" s="193" t="str">
        <f t="shared" si="4"/>
        <v/>
      </c>
      <c r="AI22" s="191" t="str">
        <f t="shared" si="14"/>
        <v/>
      </c>
      <c r="AJ22" s="194"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
      </c>
      <c r="AK22" s="195"/>
      <c r="AL22" s="186"/>
      <c r="AM22" s="196"/>
      <c r="AN22" s="196"/>
      <c r="AO22" s="197"/>
      <c r="AP22" s="387"/>
      <c r="AQ22" s="387"/>
      <c r="AR22" s="403"/>
    </row>
    <row r="23" spans="1:44" x14ac:dyDescent="0.2">
      <c r="A23" s="407"/>
      <c r="B23" s="387"/>
      <c r="C23" s="387"/>
      <c r="D23" s="387"/>
      <c r="E23" s="390"/>
      <c r="F23" s="387"/>
      <c r="G23" s="360"/>
      <c r="H23" s="360"/>
      <c r="I23" s="360"/>
      <c r="J23" s="360"/>
      <c r="K23" s="399"/>
      <c r="L23" s="360"/>
      <c r="M23" s="360"/>
      <c r="N23" s="381"/>
      <c r="O23" s="367"/>
      <c r="P23" s="364"/>
      <c r="Q23" s="353"/>
      <c r="R23" s="364">
        <f>IF(NOT(ISERROR(MATCH(Q23,_xlfn.ANCHORARRAY(E34),0))),P36&amp;"Por favor no seleccionar los criterios de impacto",Q23)</f>
        <v>0</v>
      </c>
      <c r="S23" s="367"/>
      <c r="T23" s="364"/>
      <c r="U23" s="362"/>
      <c r="V23" s="214">
        <v>5</v>
      </c>
      <c r="W23" s="187"/>
      <c r="X23" s="189" t="str">
        <f t="shared" si="15"/>
        <v/>
      </c>
      <c r="Y23" s="190"/>
      <c r="Z23" s="190"/>
      <c r="AA23" s="191" t="str">
        <f t="shared" si="10"/>
        <v/>
      </c>
      <c r="AB23" s="190"/>
      <c r="AC23" s="190"/>
      <c r="AD23" s="190"/>
      <c r="AE23" s="192" t="str">
        <f t="shared" si="16"/>
        <v/>
      </c>
      <c r="AF23" s="193" t="str">
        <f t="shared" si="2"/>
        <v/>
      </c>
      <c r="AG23" s="191" t="str">
        <f t="shared" si="11"/>
        <v/>
      </c>
      <c r="AH23" s="193" t="str">
        <f t="shared" si="4"/>
        <v/>
      </c>
      <c r="AI23" s="191" t="str">
        <f t="shared" si="14"/>
        <v/>
      </c>
      <c r="AJ23" s="194" t="str">
        <f t="shared" ref="AJ23:AJ24" si="17">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
      </c>
      <c r="AK23" s="195"/>
      <c r="AL23" s="186"/>
      <c r="AM23" s="196"/>
      <c r="AN23" s="196"/>
      <c r="AO23" s="197"/>
      <c r="AP23" s="387"/>
      <c r="AQ23" s="387"/>
      <c r="AR23" s="403"/>
    </row>
    <row r="24" spans="1:44" ht="15.75" thickBot="1" x14ac:dyDescent="0.25">
      <c r="A24" s="408"/>
      <c r="B24" s="388"/>
      <c r="C24" s="388"/>
      <c r="D24" s="388"/>
      <c r="E24" s="391"/>
      <c r="F24" s="388"/>
      <c r="G24" s="361"/>
      <c r="H24" s="361"/>
      <c r="I24" s="361"/>
      <c r="J24" s="361"/>
      <c r="K24" s="400"/>
      <c r="L24" s="361"/>
      <c r="M24" s="361"/>
      <c r="N24" s="382"/>
      <c r="O24" s="368"/>
      <c r="P24" s="365"/>
      <c r="Q24" s="375"/>
      <c r="R24" s="365">
        <f>IF(NOT(ISERROR(MATCH(Q24,_xlfn.ANCHORARRAY(E35),0))),P37&amp;"Por favor no seleccionar los criterios de impacto",Q24)</f>
        <v>0</v>
      </c>
      <c r="S24" s="368"/>
      <c r="T24" s="365"/>
      <c r="U24" s="370"/>
      <c r="V24" s="289">
        <v>6</v>
      </c>
      <c r="W24" s="287"/>
      <c r="X24" s="290" t="str">
        <f t="shared" si="15"/>
        <v/>
      </c>
      <c r="Y24" s="291"/>
      <c r="Z24" s="291"/>
      <c r="AA24" s="292" t="str">
        <f t="shared" si="10"/>
        <v/>
      </c>
      <c r="AB24" s="291"/>
      <c r="AC24" s="291"/>
      <c r="AD24" s="291"/>
      <c r="AE24" s="293" t="str">
        <f t="shared" si="16"/>
        <v/>
      </c>
      <c r="AF24" s="294" t="str">
        <f t="shared" si="2"/>
        <v/>
      </c>
      <c r="AG24" s="292" t="str">
        <f t="shared" si="11"/>
        <v/>
      </c>
      <c r="AH24" s="294" t="str">
        <f t="shared" si="4"/>
        <v/>
      </c>
      <c r="AI24" s="292" t="str">
        <f t="shared" si="14"/>
        <v/>
      </c>
      <c r="AJ24" s="295" t="str">
        <f t="shared" si="17"/>
        <v/>
      </c>
      <c r="AK24" s="296"/>
      <c r="AL24" s="286"/>
      <c r="AM24" s="288"/>
      <c r="AN24" s="288"/>
      <c r="AO24" s="297"/>
      <c r="AP24" s="388"/>
      <c r="AQ24" s="388"/>
      <c r="AR24" s="404"/>
    </row>
    <row r="25" spans="1:44" x14ac:dyDescent="0.2">
      <c r="A25" s="452">
        <v>3</v>
      </c>
      <c r="B25" s="373"/>
      <c r="C25" s="373"/>
      <c r="D25" s="373"/>
      <c r="E25" s="415"/>
      <c r="F25" s="373"/>
      <c r="G25" s="360"/>
      <c r="H25" s="360"/>
      <c r="I25" s="360"/>
      <c r="J25" s="360"/>
      <c r="K25" s="360"/>
      <c r="L25" s="360"/>
      <c r="M25" s="360"/>
      <c r="N25" s="405"/>
      <c r="O25" s="379" t="str">
        <f>IF(N25&lt;=0,"",IF(N25&lt;=2,"Muy Baja",IF(N25&lt;=24,"Baja",IF(N25&lt;=500,"Media",IF(N25&lt;=5000,"Alta","Muy Alta")))))</f>
        <v/>
      </c>
      <c r="P25" s="378" t="str">
        <f>IF(O25="","",IF(O25="Muy Baja",0.2,IF(O25="Baja",0.4,IF(O25="Media",0.6,IF(O25="Alta",0.8,IF(O25="Muy Alta",1,))))))</f>
        <v/>
      </c>
      <c r="Q25" s="377"/>
      <c r="R25" s="378">
        <f>IF(NOT(ISERROR(MATCH(Q25,'Tabla Impacto'!$B$222:$B$224,0))),'Tabla Impacto'!$F$224&amp;"Por favor no seleccionar los criterios de impacto(Afectación Económica o presupuestal y Pérdida Reputacional)",Q25)</f>
        <v>0</v>
      </c>
      <c r="S25" s="379" t="str">
        <f>IF(OR(R25='Tabla Impacto'!$C$12,R25='Tabla Impacto'!$D$12),"Leve",IF(OR(R25='Tabla Impacto'!$C$13,R25='Tabla Impacto'!$D$13),"Menor",IF(OR(R25='Tabla Impacto'!$C$14,R25='Tabla Impacto'!$D$14),"Moderado",IF(OR(R25='Tabla Impacto'!$C$15,R25='Tabla Impacto'!$D$15),"Mayor",IF(OR(R25='Tabla Impacto'!$C$16,R25='Tabla Impacto'!$D$16),"Catastrófico","")))))</f>
        <v/>
      </c>
      <c r="T25" s="378" t="str">
        <f>IF(S25="","",IF(S25="Leve",0.2,IF(S25="Menor",0.4,IF(S25="Moderado",0.6,IF(S25="Mayor",0.8,IF(S25="Catastrófico",1,))))))</f>
        <v/>
      </c>
      <c r="U25" s="401" t="str">
        <f>IF(OR(AND(O25="Muy Baja",S25="Leve"),AND(O25="Muy Baja",S25="Menor"),AND(O25="Baja",S25="Leve")),"Bajo",IF(OR(AND(O25="Muy baja",S25="Moderado"),AND(O25="Baja",S25="Menor"),AND(O25="Baja",S25="Moderado"),AND(O25="Media",S25="Leve"),AND(O25="Media",S25="Menor"),AND(O25="Media",S25="Moderado"),AND(O25="Alta",S25="Leve"),AND(O25="Alta",S25="Menor")),"Moderado",IF(OR(AND(O25="Muy Baja",S25="Mayor"),AND(O25="Baja",S25="Mayor"),AND(O25="Media",S25="Mayor"),AND(O25="Alta",S25="Moderado"),AND(O25="Alta",S25="Mayor"),AND(O25="Muy Alta",S25="Leve"),AND(O25="Muy Alta",S25="Menor"),AND(O25="Muy Alta",S25="Moderado"),AND(O25="Muy Alta",S25="Mayor")),"Alto",IF(OR(AND(O25="Muy Baja",S25="Catastrófico"),AND(O25="Baja",S25="Catastrófico"),AND(O25="Media",S25="Catastrófico"),AND(O25="Alta",S25="Catastrófico"),AND(O25="Muy Alta",S25="Catastrófico")),"Extremo",""))))</f>
        <v/>
      </c>
      <c r="V25" s="266">
        <v>1</v>
      </c>
      <c r="W25" s="264"/>
      <c r="X25" s="267" t="str">
        <f>IF(OR(Y25="Preventivo",Y25="Detectivo"),"Probabilidad",IF(Y25="Correctivo","Impacto",""))</f>
        <v/>
      </c>
      <c r="Y25" s="268"/>
      <c r="Z25" s="268"/>
      <c r="AA25" s="269" t="str">
        <f>IF(AND(Y25="Preventivo",Z25="Automático"),"50%",IF(AND(Y25="Preventivo",Z25="Manual"),"40%",IF(AND(Y25="Detectivo",Z25="Automático"),"40%",IF(AND(Y25="Detectivo",Z25="Manual"),"30%",IF(AND(Y25="Correctivo",Z25="Automático"),"35%",IF(AND(Y25="Correctivo",Z25="Manual"),"25%",""))))))</f>
        <v/>
      </c>
      <c r="AB25" s="268"/>
      <c r="AC25" s="268"/>
      <c r="AD25" s="268"/>
      <c r="AE25" s="270" t="str">
        <f>IFERROR(IF(X25="Probabilidad",(P25-(+P25*AA25)),IF(X25="Impacto",P25,"")),"")</f>
        <v/>
      </c>
      <c r="AF25" s="271" t="str">
        <f>IFERROR(IF(AE25="","",IF(AE25&lt;=0.2,"Muy Baja",IF(AE25&lt;=0.4,"Baja",IF(AE25&lt;=0.6,"Media",IF(AE25&lt;=0.8,"Alta","Muy Alta"))))),"")</f>
        <v/>
      </c>
      <c r="AG25" s="269" t="str">
        <f>+AE25</f>
        <v/>
      </c>
      <c r="AH25" s="271" t="str">
        <f>IFERROR(IF(AI25="","",IF(AI25&lt;=0.2,"Leve",IF(AI25&lt;=0.4,"Menor",IF(AI25&lt;=0.6,"Moderado",IF(AI25&lt;=0.8,"Mayor","Catastrófico"))))),"")</f>
        <v/>
      </c>
      <c r="AI25" s="269" t="str">
        <f t="shared" ref="AI25" si="18">IFERROR(IF(X25="Impacto",(T25-(+T25*AA25)),IF(X25="Probabilidad",T25,"")),"")</f>
        <v/>
      </c>
      <c r="AJ25" s="272" t="str">
        <f>IFERROR(IF(OR(AND(AF25="Muy Baja",AH25="Leve"),AND(AF25="Muy Baja",AH25="Menor"),AND(AF25="Baja",AH25="Leve")),"Bajo",IF(OR(AND(AF25="Muy baja",AH25="Moderado"),AND(AF25="Baja",AH25="Menor"),AND(AF25="Baja",AH25="Moderado"),AND(AF25="Media",AH25="Leve"),AND(AF25="Media",AH25="Menor"),AND(AF25="Media",AH25="Moderado"),AND(AF25="Alta",AH25="Leve"),AND(AF25="Alta",AH25="Menor")),"Moderado",IF(OR(AND(AF25="Muy Baja",AH25="Mayor"),AND(AF25="Baja",AH25="Mayor"),AND(AF25="Media",AH25="Mayor"),AND(AF25="Alta",AH25="Moderado"),AND(AF25="Alta",AH25="Mayor"),AND(AF25="Muy Alta",AH25="Leve"),AND(AF25="Muy Alta",AH25="Menor"),AND(AF25="Muy Alta",AH25="Moderado"),AND(AF25="Muy Alta",AH25="Mayor")),"Alto",IF(OR(AND(AF25="Muy Baja",AH25="Catastrófico"),AND(AF25="Baja",AH25="Catastrófico"),AND(AF25="Media",AH25="Catastrófico"),AND(AF25="Alta",AH25="Catastrófico"),AND(AF25="Muy Alta",AH25="Catastrófico")),"Extremo","")))),"")</f>
        <v/>
      </c>
      <c r="AK25" s="273"/>
      <c r="AL25" s="223"/>
      <c r="AM25" s="265"/>
      <c r="AN25" s="265"/>
      <c r="AO25" s="274"/>
      <c r="AP25" s="405"/>
      <c r="AQ25" s="405"/>
      <c r="AR25" s="405"/>
    </row>
    <row r="26" spans="1:44" x14ac:dyDescent="0.2">
      <c r="A26" s="418"/>
      <c r="B26" s="387"/>
      <c r="C26" s="387"/>
      <c r="D26" s="387"/>
      <c r="E26" s="390"/>
      <c r="F26" s="387"/>
      <c r="G26" s="360"/>
      <c r="H26" s="360"/>
      <c r="I26" s="360"/>
      <c r="J26" s="360"/>
      <c r="K26" s="360"/>
      <c r="L26" s="360"/>
      <c r="M26" s="360"/>
      <c r="N26" s="381"/>
      <c r="O26" s="367"/>
      <c r="P26" s="364"/>
      <c r="Q26" s="353"/>
      <c r="R26" s="364">
        <f>IF(NOT(ISERROR(MATCH(Q26,_xlfn.ANCHORARRAY(E37),0))),P39&amp;"Por favor no seleccionar los criterios de impacto",Q26)</f>
        <v>0</v>
      </c>
      <c r="S26" s="367"/>
      <c r="T26" s="364"/>
      <c r="U26" s="362"/>
      <c r="V26" s="214">
        <v>2</v>
      </c>
      <c r="W26" s="187"/>
      <c r="X26" s="189" t="str">
        <f>IF(OR(Y26="Preventivo",Y26="Detectivo"),"Probabilidad",IF(Y26="Correctivo","Impacto",""))</f>
        <v/>
      </c>
      <c r="Y26" s="190"/>
      <c r="Z26" s="190"/>
      <c r="AA26" s="191" t="str">
        <f t="shared" ref="AA26:AA30" si="19">IF(AND(Y26="Preventivo",Z26="Automático"),"50%",IF(AND(Y26="Preventivo",Z26="Manual"),"40%",IF(AND(Y26="Detectivo",Z26="Automático"),"40%",IF(AND(Y26="Detectivo",Z26="Manual"),"30%",IF(AND(Y26="Correctivo",Z26="Automático"),"35%",IF(AND(Y26="Correctivo",Z26="Manual"),"25%",""))))))</f>
        <v/>
      </c>
      <c r="AB26" s="190"/>
      <c r="AC26" s="190"/>
      <c r="AD26" s="190"/>
      <c r="AE26" s="192" t="str">
        <f>IFERROR(IF(AND(X25="Probabilidad",X26="Probabilidad"),(AG25-(+AG25*AA26)),IF(X26="Probabilidad",(P25-(+P25*AA26)),IF(X26="Impacto",AG25,""))),"")</f>
        <v/>
      </c>
      <c r="AF26" s="193" t="str">
        <f t="shared" si="2"/>
        <v/>
      </c>
      <c r="AG26" s="191" t="str">
        <f t="shared" ref="AG26:AG30" si="20">+AE26</f>
        <v/>
      </c>
      <c r="AH26" s="193" t="str">
        <f t="shared" si="4"/>
        <v/>
      </c>
      <c r="AI26" s="191" t="str">
        <f t="shared" ref="AI26" si="21">IFERROR(IF(AND(X25="Impacto",X26="Impacto"),(AI25-(+AI25*AA26)),IF(X26="Impacto",($T$13-(+$T$13*AA26)),IF(X26="Probabilidad",AI25,""))),"")</f>
        <v/>
      </c>
      <c r="AJ26" s="194" t="str">
        <f t="shared" ref="AJ26:AJ27" si="22">IFERROR(IF(OR(AND(AF26="Muy Baja",AH26="Leve"),AND(AF26="Muy Baja",AH26="Menor"),AND(AF26="Baja",AH26="Leve")),"Bajo",IF(OR(AND(AF26="Muy baja",AH26="Moderado"),AND(AF26="Baja",AH26="Menor"),AND(AF26="Baja",AH26="Moderado"),AND(AF26="Media",AH26="Leve"),AND(AF26="Media",AH26="Menor"),AND(AF26="Media",AH26="Moderado"),AND(AF26="Alta",AH26="Leve"),AND(AF26="Alta",AH26="Menor")),"Moderado",IF(OR(AND(AF26="Muy Baja",AH26="Mayor"),AND(AF26="Baja",AH26="Mayor"),AND(AF26="Media",AH26="Mayor"),AND(AF26="Alta",AH26="Moderado"),AND(AF26="Alta",AH26="Mayor"),AND(AF26="Muy Alta",AH26="Leve"),AND(AF26="Muy Alta",AH26="Menor"),AND(AF26="Muy Alta",AH26="Moderado"),AND(AF26="Muy Alta",AH26="Mayor")),"Alto",IF(OR(AND(AF26="Muy Baja",AH26="Catastrófico"),AND(AF26="Baja",AH26="Catastrófico"),AND(AF26="Media",AH26="Catastrófico"),AND(AF26="Alta",AH26="Catastrófico"),AND(AF26="Muy Alta",AH26="Catastrófico")),"Extremo","")))),"")</f>
        <v/>
      </c>
      <c r="AK26" s="195"/>
      <c r="AL26" s="186"/>
      <c r="AM26" s="196"/>
      <c r="AN26" s="196"/>
      <c r="AO26" s="197"/>
      <c r="AP26" s="381"/>
      <c r="AQ26" s="381"/>
      <c r="AR26" s="381"/>
    </row>
    <row r="27" spans="1:44" x14ac:dyDescent="0.2">
      <c r="A27" s="418"/>
      <c r="B27" s="387"/>
      <c r="C27" s="387"/>
      <c r="D27" s="387"/>
      <c r="E27" s="390"/>
      <c r="F27" s="387"/>
      <c r="G27" s="360"/>
      <c r="H27" s="360"/>
      <c r="I27" s="360"/>
      <c r="J27" s="360"/>
      <c r="K27" s="360"/>
      <c r="L27" s="360"/>
      <c r="M27" s="360"/>
      <c r="N27" s="381"/>
      <c r="O27" s="367"/>
      <c r="P27" s="364"/>
      <c r="Q27" s="353"/>
      <c r="R27" s="364">
        <f>IF(NOT(ISERROR(MATCH(Q27,_xlfn.ANCHORARRAY(E38),0))),P40&amp;"Por favor no seleccionar los criterios de impacto",Q27)</f>
        <v>0</v>
      </c>
      <c r="S27" s="367"/>
      <c r="T27" s="364"/>
      <c r="U27" s="362"/>
      <c r="V27" s="214">
        <v>3</v>
      </c>
      <c r="W27" s="187"/>
      <c r="X27" s="189" t="str">
        <f>IF(OR(Y27="Preventivo",Y27="Detectivo"),"Probabilidad",IF(Y27="Correctivo","Impacto",""))</f>
        <v/>
      </c>
      <c r="Y27" s="190"/>
      <c r="Z27" s="190"/>
      <c r="AA27" s="191" t="str">
        <f t="shared" si="19"/>
        <v/>
      </c>
      <c r="AB27" s="190"/>
      <c r="AC27" s="190"/>
      <c r="AD27" s="190"/>
      <c r="AE27" s="192" t="str">
        <f>IFERROR(IF(AND(X26="Probabilidad",X27="Probabilidad"),(AG26-(+AG26*AA27)),IF(AND(X26="Impacto",X27="Probabilidad"),(AG25-(+AG25*AA27)),IF(X27="Impacto",AG26,""))),"")</f>
        <v/>
      </c>
      <c r="AF27" s="193" t="str">
        <f t="shared" si="2"/>
        <v/>
      </c>
      <c r="AG27" s="191" t="str">
        <f t="shared" si="20"/>
        <v/>
      </c>
      <c r="AH27" s="193" t="str">
        <f t="shared" si="4"/>
        <v/>
      </c>
      <c r="AI27" s="191" t="str">
        <f t="shared" ref="AI27" si="23">IFERROR(IF(AND(X26="Impacto",X27="Impacto"),(AI26-(+AI26*AA27)),IF(AND(X26="Probabilidad",X27="Impacto"),(AI25-(+AI25*AA27)),IF(X27="Probabilidad",AI26,""))),"")</f>
        <v/>
      </c>
      <c r="AJ27" s="194" t="str">
        <f t="shared" si="22"/>
        <v/>
      </c>
      <c r="AK27" s="195"/>
      <c r="AL27" s="186"/>
      <c r="AM27" s="196"/>
      <c r="AN27" s="196"/>
      <c r="AO27" s="197"/>
      <c r="AP27" s="381"/>
      <c r="AQ27" s="381"/>
      <c r="AR27" s="381"/>
    </row>
    <row r="28" spans="1:44" x14ac:dyDescent="0.2">
      <c r="A28" s="418"/>
      <c r="B28" s="387"/>
      <c r="C28" s="387"/>
      <c r="D28" s="387"/>
      <c r="E28" s="390"/>
      <c r="F28" s="387"/>
      <c r="G28" s="360"/>
      <c r="H28" s="360"/>
      <c r="I28" s="360"/>
      <c r="J28" s="360"/>
      <c r="K28" s="360"/>
      <c r="L28" s="360"/>
      <c r="M28" s="360"/>
      <c r="N28" s="381"/>
      <c r="O28" s="367"/>
      <c r="P28" s="364"/>
      <c r="Q28" s="353"/>
      <c r="R28" s="364">
        <f>IF(NOT(ISERROR(MATCH(Q28,_xlfn.ANCHORARRAY(E39),0))),P41&amp;"Por favor no seleccionar los criterios de impacto",Q28)</f>
        <v>0</v>
      </c>
      <c r="S28" s="367"/>
      <c r="T28" s="364"/>
      <c r="U28" s="362"/>
      <c r="V28" s="214">
        <v>4</v>
      </c>
      <c r="W28" s="187"/>
      <c r="X28" s="189" t="str">
        <f t="shared" ref="X28:X30" si="24">IF(OR(Y28="Preventivo",Y28="Detectivo"),"Probabilidad",IF(Y28="Correctivo","Impacto",""))</f>
        <v/>
      </c>
      <c r="Y28" s="190"/>
      <c r="Z28" s="190"/>
      <c r="AA28" s="191" t="str">
        <f t="shared" si="19"/>
        <v/>
      </c>
      <c r="AB28" s="190"/>
      <c r="AC28" s="190"/>
      <c r="AD28" s="190"/>
      <c r="AE28" s="192" t="str">
        <f t="shared" ref="AE28:AE30" si="25">IFERROR(IF(AND(X27="Probabilidad",X28="Probabilidad"),(AG27-(+AG27*AA28)),IF(AND(X27="Impacto",X28="Probabilidad"),(AG26-(+AG26*AA28)),IF(X28="Impacto",AG27,""))),"")</f>
        <v/>
      </c>
      <c r="AF28" s="193" t="str">
        <f t="shared" si="2"/>
        <v/>
      </c>
      <c r="AG28" s="191" t="str">
        <f t="shared" si="20"/>
        <v/>
      </c>
      <c r="AH28" s="193" t="str">
        <f t="shared" si="4"/>
        <v/>
      </c>
      <c r="AI28" s="191" t="str">
        <f t="shared" si="14"/>
        <v/>
      </c>
      <c r="AJ28" s="194" t="str">
        <f>IFERROR(IF(OR(AND(AF28="Muy Baja",AH28="Leve"),AND(AF28="Muy Baja",AH28="Menor"),AND(AF28="Baja",AH28="Leve")),"Bajo",IF(OR(AND(AF28="Muy baja",AH28="Moderado"),AND(AF28="Baja",AH28="Menor"),AND(AF28="Baja",AH28="Moderado"),AND(AF28="Media",AH28="Leve"),AND(AF28="Media",AH28="Menor"),AND(AF28="Media",AH28="Moderado"),AND(AF28="Alta",AH28="Leve"),AND(AF28="Alta",AH28="Menor")),"Moderado",IF(OR(AND(AF28="Muy Baja",AH28="Mayor"),AND(AF28="Baja",AH28="Mayor"),AND(AF28="Media",AH28="Mayor"),AND(AF28="Alta",AH28="Moderado"),AND(AF28="Alta",AH28="Mayor"),AND(AF28="Muy Alta",AH28="Leve"),AND(AF28="Muy Alta",AH28="Menor"),AND(AF28="Muy Alta",AH28="Moderado"),AND(AF28="Muy Alta",AH28="Mayor")),"Alto",IF(OR(AND(AF28="Muy Baja",AH28="Catastrófico"),AND(AF28="Baja",AH28="Catastrófico"),AND(AF28="Media",AH28="Catastrófico"),AND(AF28="Alta",AH28="Catastrófico"),AND(AF28="Muy Alta",AH28="Catastrófico")),"Extremo","")))),"")</f>
        <v/>
      </c>
      <c r="AK28" s="195"/>
      <c r="AL28" s="186"/>
      <c r="AM28" s="196"/>
      <c r="AN28" s="196"/>
      <c r="AO28" s="197"/>
      <c r="AP28" s="381"/>
      <c r="AQ28" s="381"/>
      <c r="AR28" s="381"/>
    </row>
    <row r="29" spans="1:44" x14ac:dyDescent="0.2">
      <c r="A29" s="418"/>
      <c r="B29" s="387"/>
      <c r="C29" s="387"/>
      <c r="D29" s="387"/>
      <c r="E29" s="390"/>
      <c r="F29" s="387"/>
      <c r="G29" s="360"/>
      <c r="H29" s="360"/>
      <c r="I29" s="360"/>
      <c r="J29" s="360"/>
      <c r="K29" s="360"/>
      <c r="L29" s="360"/>
      <c r="M29" s="360"/>
      <c r="N29" s="381"/>
      <c r="O29" s="367"/>
      <c r="P29" s="364"/>
      <c r="Q29" s="353"/>
      <c r="R29" s="364">
        <f>IF(NOT(ISERROR(MATCH(Q29,_xlfn.ANCHORARRAY(E40),0))),P42&amp;"Por favor no seleccionar los criterios de impacto",Q29)</f>
        <v>0</v>
      </c>
      <c r="S29" s="367"/>
      <c r="T29" s="364"/>
      <c r="U29" s="362"/>
      <c r="V29" s="214">
        <v>5</v>
      </c>
      <c r="W29" s="187"/>
      <c r="X29" s="189" t="str">
        <f t="shared" si="24"/>
        <v/>
      </c>
      <c r="Y29" s="190"/>
      <c r="Z29" s="190"/>
      <c r="AA29" s="191" t="str">
        <f t="shared" si="19"/>
        <v/>
      </c>
      <c r="AB29" s="190"/>
      <c r="AC29" s="190"/>
      <c r="AD29" s="190"/>
      <c r="AE29" s="192" t="str">
        <f t="shared" si="25"/>
        <v/>
      </c>
      <c r="AF29" s="193" t="str">
        <f t="shared" si="2"/>
        <v/>
      </c>
      <c r="AG29" s="191" t="str">
        <f t="shared" si="20"/>
        <v/>
      </c>
      <c r="AH29" s="193" t="str">
        <f t="shared" si="4"/>
        <v/>
      </c>
      <c r="AI29" s="191" t="str">
        <f t="shared" si="14"/>
        <v/>
      </c>
      <c r="AJ29" s="194" t="str">
        <f t="shared" ref="AJ29:AJ30" si="26">IFERROR(IF(OR(AND(AF29="Muy Baja",AH29="Leve"),AND(AF29="Muy Baja",AH29="Menor"),AND(AF29="Baja",AH29="Leve")),"Bajo",IF(OR(AND(AF29="Muy baja",AH29="Moderado"),AND(AF29="Baja",AH29="Menor"),AND(AF29="Baja",AH29="Moderado"),AND(AF29="Media",AH29="Leve"),AND(AF29="Media",AH29="Menor"),AND(AF29="Media",AH29="Moderado"),AND(AF29="Alta",AH29="Leve"),AND(AF29="Alta",AH29="Menor")),"Moderado",IF(OR(AND(AF29="Muy Baja",AH29="Mayor"),AND(AF29="Baja",AH29="Mayor"),AND(AF29="Media",AH29="Mayor"),AND(AF29="Alta",AH29="Moderado"),AND(AF29="Alta",AH29="Mayor"),AND(AF29="Muy Alta",AH29="Leve"),AND(AF29="Muy Alta",AH29="Menor"),AND(AF29="Muy Alta",AH29="Moderado"),AND(AF29="Muy Alta",AH29="Mayor")),"Alto",IF(OR(AND(AF29="Muy Baja",AH29="Catastrófico"),AND(AF29="Baja",AH29="Catastrófico"),AND(AF29="Media",AH29="Catastrófico"),AND(AF29="Alta",AH29="Catastrófico"),AND(AF29="Muy Alta",AH29="Catastrófico")),"Extremo","")))),"")</f>
        <v/>
      </c>
      <c r="AK29" s="195"/>
      <c r="AL29" s="186"/>
      <c r="AM29" s="196"/>
      <c r="AN29" s="196"/>
      <c r="AO29" s="197"/>
      <c r="AP29" s="381"/>
      <c r="AQ29" s="381"/>
      <c r="AR29" s="381"/>
    </row>
    <row r="30" spans="1:44" x14ac:dyDescent="0.2">
      <c r="A30" s="418"/>
      <c r="B30" s="387"/>
      <c r="C30" s="387"/>
      <c r="D30" s="387"/>
      <c r="E30" s="390"/>
      <c r="F30" s="387"/>
      <c r="G30" s="373"/>
      <c r="H30" s="373"/>
      <c r="I30" s="373"/>
      <c r="J30" s="373"/>
      <c r="K30" s="373"/>
      <c r="L30" s="373"/>
      <c r="M30" s="373"/>
      <c r="N30" s="381"/>
      <c r="O30" s="367"/>
      <c r="P30" s="364"/>
      <c r="Q30" s="353"/>
      <c r="R30" s="364">
        <f>IF(NOT(ISERROR(MATCH(Q30,_xlfn.ANCHORARRAY(E41),0))),P43&amp;"Por favor no seleccionar los criterios de impacto",Q30)</f>
        <v>0</v>
      </c>
      <c r="S30" s="367"/>
      <c r="T30" s="364"/>
      <c r="U30" s="362"/>
      <c r="V30" s="214">
        <v>6</v>
      </c>
      <c r="W30" s="187"/>
      <c r="X30" s="189" t="str">
        <f t="shared" si="24"/>
        <v/>
      </c>
      <c r="Y30" s="190"/>
      <c r="Z30" s="190"/>
      <c r="AA30" s="191" t="str">
        <f t="shared" si="19"/>
        <v/>
      </c>
      <c r="AB30" s="190"/>
      <c r="AC30" s="190"/>
      <c r="AD30" s="190"/>
      <c r="AE30" s="192" t="str">
        <f t="shared" si="25"/>
        <v/>
      </c>
      <c r="AF30" s="193" t="str">
        <f t="shared" si="2"/>
        <v/>
      </c>
      <c r="AG30" s="191" t="str">
        <f t="shared" si="20"/>
        <v/>
      </c>
      <c r="AH30" s="193" t="str">
        <f t="shared" si="4"/>
        <v/>
      </c>
      <c r="AI30" s="191" t="str">
        <f t="shared" si="14"/>
        <v/>
      </c>
      <c r="AJ30" s="194" t="str">
        <f t="shared" si="26"/>
        <v/>
      </c>
      <c r="AK30" s="195"/>
      <c r="AL30" s="186"/>
      <c r="AM30" s="196"/>
      <c r="AN30" s="196"/>
      <c r="AO30" s="197"/>
      <c r="AP30" s="381"/>
      <c r="AQ30" s="381"/>
      <c r="AR30" s="381"/>
    </row>
    <row r="31" spans="1:44" x14ac:dyDescent="0.2">
      <c r="A31" s="418">
        <v>4</v>
      </c>
      <c r="B31" s="387"/>
      <c r="C31" s="387"/>
      <c r="D31" s="387"/>
      <c r="E31" s="419"/>
      <c r="F31" s="387"/>
      <c r="G31" s="392"/>
      <c r="H31" s="392"/>
      <c r="I31" s="392"/>
      <c r="J31" s="392"/>
      <c r="K31" s="392"/>
      <c r="L31" s="392"/>
      <c r="M31" s="392"/>
      <c r="N31" s="381"/>
      <c r="O31" s="367" t="str">
        <f>IF(N31&lt;=0,"",IF(N31&lt;=2,"Muy Baja",IF(N31&lt;=24,"Baja",IF(N31&lt;=500,"Media",IF(N31&lt;=5000,"Alta","Muy Alta")))))</f>
        <v/>
      </c>
      <c r="P31" s="364" t="str">
        <f>IF(O31="","",IF(O31="Muy Baja",0.2,IF(O31="Baja",0.4,IF(O31="Media",0.6,IF(O31="Alta",0.8,IF(O31="Muy Alta",1,))))))</f>
        <v/>
      </c>
      <c r="Q31" s="353"/>
      <c r="R31" s="364">
        <f>IF(NOT(ISERROR(MATCH(Q31,'Tabla Impacto'!$B$222:$B$224,0))),'Tabla Impacto'!$F$224&amp;"Por favor no seleccionar los criterios de impacto(Afectación Económica o presupuestal y Pérdida Reputacional)",Q31)</f>
        <v>0</v>
      </c>
      <c r="S31" s="367" t="str">
        <f>IF(OR(R31='Tabla Impacto'!$C$12,R31='Tabla Impacto'!$D$12),"Leve",IF(OR(R31='Tabla Impacto'!$C$13,R31='Tabla Impacto'!$D$13),"Menor",IF(OR(R31='Tabla Impacto'!$C$14,R31='Tabla Impacto'!$D$14),"Moderado",IF(OR(R31='Tabla Impacto'!$C$15,R31='Tabla Impacto'!$D$15),"Mayor",IF(OR(R31='Tabla Impacto'!$C$16,R31='Tabla Impacto'!$D$16),"Catastrófico","")))))</f>
        <v/>
      </c>
      <c r="T31" s="364" t="str">
        <f>IF(S31="","",IF(S31="Leve",0.2,IF(S31="Menor",0.4,IF(S31="Moderado",0.6,IF(S31="Mayor",0.8,IF(S31="Catastrófico",1,))))))</f>
        <v/>
      </c>
      <c r="U31" s="362" t="str">
        <f>IF(OR(AND(O31="Muy Baja",S31="Leve"),AND(O31="Muy Baja",S31="Menor"),AND(O31="Baja",S31="Leve")),"Bajo",IF(OR(AND(O31="Muy baja",S31="Moderado"),AND(O31="Baja",S31="Menor"),AND(O31="Baja",S31="Moderado"),AND(O31="Media",S31="Leve"),AND(O31="Media",S31="Menor"),AND(O31="Media",S31="Moderado"),AND(O31="Alta",S31="Leve"),AND(O31="Alta",S31="Menor")),"Moderado",IF(OR(AND(O31="Muy Baja",S31="Mayor"),AND(O31="Baja",S31="Mayor"),AND(O31="Media",S31="Mayor"),AND(O31="Alta",S31="Moderado"),AND(O31="Alta",S31="Mayor"),AND(O31="Muy Alta",S31="Leve"),AND(O31="Muy Alta",S31="Menor"),AND(O31="Muy Alta",S31="Moderado"),AND(O31="Muy Alta",S31="Mayor")),"Alto",IF(OR(AND(O31="Muy Baja",S31="Catastrófico"),AND(O31="Baja",S31="Catastrófico"),AND(O31="Media",S31="Catastrófico"),AND(O31="Alta",S31="Catastrófico"),AND(O31="Muy Alta",S31="Catastrófico")),"Extremo",""))))</f>
        <v/>
      </c>
      <c r="V31" s="214">
        <v>1</v>
      </c>
      <c r="W31" s="187"/>
      <c r="X31" s="189" t="str">
        <f>IF(OR(Y31="Preventivo",Y31="Detectivo"),"Probabilidad",IF(Y31="Correctivo","Impacto",""))</f>
        <v/>
      </c>
      <c r="Y31" s="190"/>
      <c r="Z31" s="190"/>
      <c r="AA31" s="191" t="str">
        <f>IF(AND(Y31="Preventivo",Z31="Automático"),"50%",IF(AND(Y31="Preventivo",Z31="Manual"),"40%",IF(AND(Y31="Detectivo",Z31="Automático"),"40%",IF(AND(Y31="Detectivo",Z31="Manual"),"30%",IF(AND(Y31="Correctivo",Z31="Automático"),"35%",IF(AND(Y31="Correctivo",Z31="Manual"),"25%",""))))))</f>
        <v/>
      </c>
      <c r="AB31" s="190"/>
      <c r="AC31" s="190"/>
      <c r="AD31" s="190"/>
      <c r="AE31" s="192" t="str">
        <f>IFERROR(IF(X31="Probabilidad",(P31-(+P31*AA31)),IF(X31="Impacto",P31,"")),"")</f>
        <v/>
      </c>
      <c r="AF31" s="193" t="str">
        <f>IFERROR(IF(AE31="","",IF(AE31&lt;=0.2,"Muy Baja",IF(AE31&lt;=0.4,"Baja",IF(AE31&lt;=0.6,"Media",IF(AE31&lt;=0.8,"Alta","Muy Alta"))))),"")</f>
        <v/>
      </c>
      <c r="AG31" s="191" t="str">
        <f>+AE31</f>
        <v/>
      </c>
      <c r="AH31" s="193" t="str">
        <f>IFERROR(IF(AI31="","",IF(AI31&lt;=0.2,"Leve",IF(AI31&lt;=0.4,"Menor",IF(AI31&lt;=0.6,"Moderado",IF(AI31&lt;=0.8,"Mayor","Catastrófico"))))),"")</f>
        <v/>
      </c>
      <c r="AI31" s="191" t="str">
        <f t="shared" ref="AI31" si="27">IFERROR(IF(X31="Impacto",(T31-(+T31*AA31)),IF(X31="Probabilidad",T31,"")),"")</f>
        <v/>
      </c>
      <c r="AJ31" s="194" t="str">
        <f>IFERROR(IF(OR(AND(AF31="Muy Baja",AH31="Leve"),AND(AF31="Muy Baja",AH31="Menor"),AND(AF31="Baja",AH31="Leve")),"Bajo",IF(OR(AND(AF31="Muy baja",AH31="Moderado"),AND(AF31="Baja",AH31="Menor"),AND(AF31="Baja",AH31="Moderado"),AND(AF31="Media",AH31="Leve"),AND(AF31="Media",AH31="Menor"),AND(AF31="Media",AH31="Moderado"),AND(AF31="Alta",AH31="Leve"),AND(AF31="Alta",AH31="Menor")),"Moderado",IF(OR(AND(AF31="Muy Baja",AH31="Mayor"),AND(AF31="Baja",AH31="Mayor"),AND(AF31="Media",AH31="Mayor"),AND(AF31="Alta",AH31="Moderado"),AND(AF31="Alta",AH31="Mayor"),AND(AF31="Muy Alta",AH31="Leve"),AND(AF31="Muy Alta",AH31="Menor"),AND(AF31="Muy Alta",AH31="Moderado"),AND(AF31="Muy Alta",AH31="Mayor")),"Alto",IF(OR(AND(AF31="Muy Baja",AH31="Catastrófico"),AND(AF31="Baja",AH31="Catastrófico"),AND(AF31="Media",AH31="Catastrófico"),AND(AF31="Alta",AH31="Catastrófico"),AND(AF31="Muy Alta",AH31="Catastrófico")),"Extremo","")))),"")</f>
        <v/>
      </c>
      <c r="AK31" s="195"/>
      <c r="AL31" s="186"/>
      <c r="AM31" s="196"/>
      <c r="AN31" s="196"/>
      <c r="AO31" s="197"/>
      <c r="AP31" s="381"/>
      <c r="AQ31" s="381"/>
      <c r="AR31" s="381"/>
    </row>
    <row r="32" spans="1:44" x14ac:dyDescent="0.2">
      <c r="A32" s="418"/>
      <c r="B32" s="387"/>
      <c r="C32" s="387"/>
      <c r="D32" s="387"/>
      <c r="E32" s="420"/>
      <c r="F32" s="387"/>
      <c r="G32" s="360"/>
      <c r="H32" s="360"/>
      <c r="I32" s="360"/>
      <c r="J32" s="360"/>
      <c r="K32" s="360"/>
      <c r="L32" s="360"/>
      <c r="M32" s="360"/>
      <c r="N32" s="381"/>
      <c r="O32" s="367"/>
      <c r="P32" s="364"/>
      <c r="Q32" s="353"/>
      <c r="R32" s="364">
        <f>IF(NOT(ISERROR(MATCH(Q32,_xlfn.ANCHORARRAY(E43),0))),P45&amp;"Por favor no seleccionar los criterios de impacto",Q32)</f>
        <v>0</v>
      </c>
      <c r="S32" s="367"/>
      <c r="T32" s="364"/>
      <c r="U32" s="362"/>
      <c r="V32" s="214">
        <v>2</v>
      </c>
      <c r="W32" s="187"/>
      <c r="X32" s="189" t="str">
        <f>IF(OR(Y32="Preventivo",Y32="Detectivo"),"Probabilidad",IF(Y32="Correctivo","Impacto",""))</f>
        <v/>
      </c>
      <c r="Y32" s="190"/>
      <c r="Z32" s="190"/>
      <c r="AA32" s="191" t="str">
        <f t="shared" ref="AA32:AA36" si="28">IF(AND(Y32="Preventivo",Z32="Automático"),"50%",IF(AND(Y32="Preventivo",Z32="Manual"),"40%",IF(AND(Y32="Detectivo",Z32="Automático"),"40%",IF(AND(Y32="Detectivo",Z32="Manual"),"30%",IF(AND(Y32="Correctivo",Z32="Automático"),"35%",IF(AND(Y32="Correctivo",Z32="Manual"),"25%",""))))))</f>
        <v/>
      </c>
      <c r="AB32" s="190"/>
      <c r="AC32" s="190"/>
      <c r="AD32" s="190"/>
      <c r="AE32" s="192" t="str">
        <f>IFERROR(IF(AND(X31="Probabilidad",X32="Probabilidad"),(AG31-(+AG31*AA32)),IF(X32="Probabilidad",(P31-(+P31*AA32)),IF(X32="Impacto",AG31,""))),"")</f>
        <v/>
      </c>
      <c r="AF32" s="193" t="str">
        <f t="shared" si="2"/>
        <v/>
      </c>
      <c r="AG32" s="191" t="str">
        <f t="shared" ref="AG32:AG36" si="29">+AE32</f>
        <v/>
      </c>
      <c r="AH32" s="193" t="str">
        <f t="shared" si="4"/>
        <v/>
      </c>
      <c r="AI32" s="191" t="str">
        <f t="shared" ref="AI32" si="30">IFERROR(IF(AND(X31="Impacto",X32="Impacto"),(AI31-(+AI31*AA32)),IF(X32="Impacto",($T$13-(+$T$13*AA32)),IF(X32="Probabilidad",AI31,""))),"")</f>
        <v/>
      </c>
      <c r="AJ32" s="194" t="str">
        <f t="shared" ref="AJ32:AJ33" si="31">IFERROR(IF(OR(AND(AF32="Muy Baja",AH32="Leve"),AND(AF32="Muy Baja",AH32="Menor"),AND(AF32="Baja",AH32="Leve")),"Bajo",IF(OR(AND(AF32="Muy baja",AH32="Moderado"),AND(AF32="Baja",AH32="Menor"),AND(AF32="Baja",AH32="Moderado"),AND(AF32="Media",AH32="Leve"),AND(AF32="Media",AH32="Menor"),AND(AF32="Media",AH32="Moderado"),AND(AF32="Alta",AH32="Leve"),AND(AF32="Alta",AH32="Menor")),"Moderado",IF(OR(AND(AF32="Muy Baja",AH32="Mayor"),AND(AF32="Baja",AH32="Mayor"),AND(AF32="Media",AH32="Mayor"),AND(AF32="Alta",AH32="Moderado"),AND(AF32="Alta",AH32="Mayor"),AND(AF32="Muy Alta",AH32="Leve"),AND(AF32="Muy Alta",AH32="Menor"),AND(AF32="Muy Alta",AH32="Moderado"),AND(AF32="Muy Alta",AH32="Mayor")),"Alto",IF(OR(AND(AF32="Muy Baja",AH32="Catastrófico"),AND(AF32="Baja",AH32="Catastrófico"),AND(AF32="Media",AH32="Catastrófico"),AND(AF32="Alta",AH32="Catastrófico"),AND(AF32="Muy Alta",AH32="Catastrófico")),"Extremo","")))),"")</f>
        <v/>
      </c>
      <c r="AK32" s="195"/>
      <c r="AL32" s="186"/>
      <c r="AM32" s="196"/>
      <c r="AN32" s="196"/>
      <c r="AO32" s="197"/>
      <c r="AP32" s="381"/>
      <c r="AQ32" s="381"/>
      <c r="AR32" s="381"/>
    </row>
    <row r="33" spans="1:44" x14ac:dyDescent="0.2">
      <c r="A33" s="418"/>
      <c r="B33" s="387"/>
      <c r="C33" s="387"/>
      <c r="D33" s="387"/>
      <c r="E33" s="420"/>
      <c r="F33" s="387"/>
      <c r="G33" s="360"/>
      <c r="H33" s="360"/>
      <c r="I33" s="360"/>
      <c r="J33" s="360"/>
      <c r="K33" s="360"/>
      <c r="L33" s="360"/>
      <c r="M33" s="360"/>
      <c r="N33" s="381"/>
      <c r="O33" s="367"/>
      <c r="P33" s="364"/>
      <c r="Q33" s="353"/>
      <c r="R33" s="364">
        <f>IF(NOT(ISERROR(MATCH(Q33,_xlfn.ANCHORARRAY(E44),0))),P46&amp;"Por favor no seleccionar los criterios de impacto",Q33)</f>
        <v>0</v>
      </c>
      <c r="S33" s="367"/>
      <c r="T33" s="364"/>
      <c r="U33" s="362"/>
      <c r="V33" s="214">
        <v>3</v>
      </c>
      <c r="W33" s="188"/>
      <c r="X33" s="189" t="str">
        <f>IF(OR(Y33="Preventivo",Y33="Detectivo"),"Probabilidad",IF(Y33="Correctivo","Impacto",""))</f>
        <v/>
      </c>
      <c r="Y33" s="190"/>
      <c r="Z33" s="190"/>
      <c r="AA33" s="191" t="str">
        <f t="shared" si="28"/>
        <v/>
      </c>
      <c r="AB33" s="190"/>
      <c r="AC33" s="190"/>
      <c r="AD33" s="190"/>
      <c r="AE33" s="192" t="str">
        <f>IFERROR(IF(AND(X32="Probabilidad",X33="Probabilidad"),(AG32-(+AG32*AA33)),IF(AND(X32="Impacto",X33="Probabilidad"),(AG31-(+AG31*AA33)),IF(X33="Impacto",AG32,""))),"")</f>
        <v/>
      </c>
      <c r="AF33" s="193" t="str">
        <f t="shared" si="2"/>
        <v/>
      </c>
      <c r="AG33" s="191" t="str">
        <f t="shared" si="29"/>
        <v/>
      </c>
      <c r="AH33" s="193" t="str">
        <f t="shared" si="4"/>
        <v/>
      </c>
      <c r="AI33" s="191" t="str">
        <f t="shared" ref="AI33" si="32">IFERROR(IF(AND(X32="Impacto",X33="Impacto"),(AI32-(+AI32*AA33)),IF(AND(X32="Probabilidad",X33="Impacto"),(AI31-(+AI31*AA33)),IF(X33="Probabilidad",AI32,""))),"")</f>
        <v/>
      </c>
      <c r="AJ33" s="194" t="str">
        <f t="shared" si="31"/>
        <v/>
      </c>
      <c r="AK33" s="195"/>
      <c r="AL33" s="186"/>
      <c r="AM33" s="196"/>
      <c r="AN33" s="196"/>
      <c r="AO33" s="197"/>
      <c r="AP33" s="381"/>
      <c r="AQ33" s="381"/>
      <c r="AR33" s="381"/>
    </row>
    <row r="34" spans="1:44" x14ac:dyDescent="0.2">
      <c r="A34" s="418"/>
      <c r="B34" s="387"/>
      <c r="C34" s="387"/>
      <c r="D34" s="387"/>
      <c r="E34" s="420"/>
      <c r="F34" s="387"/>
      <c r="G34" s="360"/>
      <c r="H34" s="360"/>
      <c r="I34" s="360"/>
      <c r="J34" s="360"/>
      <c r="K34" s="360"/>
      <c r="L34" s="360"/>
      <c r="M34" s="360"/>
      <c r="N34" s="381"/>
      <c r="O34" s="367"/>
      <c r="P34" s="364"/>
      <c r="Q34" s="353"/>
      <c r="R34" s="364">
        <f>IF(NOT(ISERROR(MATCH(Q34,_xlfn.ANCHORARRAY(E45),0))),P47&amp;"Por favor no seleccionar los criterios de impacto",Q34)</f>
        <v>0</v>
      </c>
      <c r="S34" s="367"/>
      <c r="T34" s="364"/>
      <c r="U34" s="362"/>
      <c r="V34" s="214">
        <v>4</v>
      </c>
      <c r="W34" s="187"/>
      <c r="X34" s="189" t="str">
        <f t="shared" ref="X34:X36" si="33">IF(OR(Y34="Preventivo",Y34="Detectivo"),"Probabilidad",IF(Y34="Correctivo","Impacto",""))</f>
        <v/>
      </c>
      <c r="Y34" s="190"/>
      <c r="Z34" s="190"/>
      <c r="AA34" s="191" t="str">
        <f t="shared" si="28"/>
        <v/>
      </c>
      <c r="AB34" s="190"/>
      <c r="AC34" s="190"/>
      <c r="AD34" s="190"/>
      <c r="AE34" s="192" t="str">
        <f t="shared" ref="AE34:AE36" si="34">IFERROR(IF(AND(X33="Probabilidad",X34="Probabilidad"),(AG33-(+AG33*AA34)),IF(AND(X33="Impacto",X34="Probabilidad"),(AG32-(+AG32*AA34)),IF(X34="Impacto",AG33,""))),"")</f>
        <v/>
      </c>
      <c r="AF34" s="193" t="str">
        <f t="shared" si="2"/>
        <v/>
      </c>
      <c r="AG34" s="191" t="str">
        <f t="shared" si="29"/>
        <v/>
      </c>
      <c r="AH34" s="193" t="str">
        <f t="shared" si="4"/>
        <v/>
      </c>
      <c r="AI34" s="191" t="str">
        <f t="shared" si="14"/>
        <v/>
      </c>
      <c r="AJ34" s="194" t="str">
        <f>IFERROR(IF(OR(AND(AF34="Muy Baja",AH34="Leve"),AND(AF34="Muy Baja",AH34="Menor"),AND(AF34="Baja",AH34="Leve")),"Bajo",IF(OR(AND(AF34="Muy baja",AH34="Moderado"),AND(AF34="Baja",AH34="Menor"),AND(AF34="Baja",AH34="Moderado"),AND(AF34="Media",AH34="Leve"),AND(AF34="Media",AH34="Menor"),AND(AF34="Media",AH34="Moderado"),AND(AF34="Alta",AH34="Leve"),AND(AF34="Alta",AH34="Menor")),"Moderado",IF(OR(AND(AF34="Muy Baja",AH34="Mayor"),AND(AF34="Baja",AH34="Mayor"),AND(AF34="Media",AH34="Mayor"),AND(AF34="Alta",AH34="Moderado"),AND(AF34="Alta",AH34="Mayor"),AND(AF34="Muy Alta",AH34="Leve"),AND(AF34="Muy Alta",AH34="Menor"),AND(AF34="Muy Alta",AH34="Moderado"),AND(AF34="Muy Alta",AH34="Mayor")),"Alto",IF(OR(AND(AF34="Muy Baja",AH34="Catastrófico"),AND(AF34="Baja",AH34="Catastrófico"),AND(AF34="Media",AH34="Catastrófico"),AND(AF34="Alta",AH34="Catastrófico"),AND(AF34="Muy Alta",AH34="Catastrófico")),"Extremo","")))),"")</f>
        <v/>
      </c>
      <c r="AK34" s="195"/>
      <c r="AL34" s="186"/>
      <c r="AM34" s="196"/>
      <c r="AN34" s="196"/>
      <c r="AO34" s="197"/>
      <c r="AP34" s="381"/>
      <c r="AQ34" s="381"/>
      <c r="AR34" s="381"/>
    </row>
    <row r="35" spans="1:44" x14ac:dyDescent="0.2">
      <c r="A35" s="418"/>
      <c r="B35" s="387"/>
      <c r="C35" s="387"/>
      <c r="D35" s="387"/>
      <c r="E35" s="420"/>
      <c r="F35" s="387"/>
      <c r="G35" s="360"/>
      <c r="H35" s="360"/>
      <c r="I35" s="360"/>
      <c r="J35" s="360"/>
      <c r="K35" s="360"/>
      <c r="L35" s="360"/>
      <c r="M35" s="360"/>
      <c r="N35" s="381"/>
      <c r="O35" s="367"/>
      <c r="P35" s="364"/>
      <c r="Q35" s="353"/>
      <c r="R35" s="364">
        <f>IF(NOT(ISERROR(MATCH(Q35,_xlfn.ANCHORARRAY(E46),0))),P48&amp;"Por favor no seleccionar los criterios de impacto",Q35)</f>
        <v>0</v>
      </c>
      <c r="S35" s="367"/>
      <c r="T35" s="364"/>
      <c r="U35" s="362"/>
      <c r="V35" s="214">
        <v>5</v>
      </c>
      <c r="W35" s="187"/>
      <c r="X35" s="189" t="str">
        <f t="shared" si="33"/>
        <v/>
      </c>
      <c r="Y35" s="190"/>
      <c r="Z35" s="190"/>
      <c r="AA35" s="191" t="str">
        <f t="shared" si="28"/>
        <v/>
      </c>
      <c r="AB35" s="190"/>
      <c r="AC35" s="190"/>
      <c r="AD35" s="190"/>
      <c r="AE35" s="192" t="str">
        <f t="shared" si="34"/>
        <v/>
      </c>
      <c r="AF35" s="193" t="str">
        <f>IFERROR(IF(AE35="","",IF(AE35&lt;=0.2,"Muy Baja",IF(AE35&lt;=0.4,"Baja",IF(AE35&lt;=0.6,"Media",IF(AE35&lt;=0.8,"Alta","Muy Alta"))))),"")</f>
        <v/>
      </c>
      <c r="AG35" s="191" t="str">
        <f t="shared" si="29"/>
        <v/>
      </c>
      <c r="AH35" s="193" t="str">
        <f t="shared" si="4"/>
        <v/>
      </c>
      <c r="AI35" s="191" t="str">
        <f t="shared" si="14"/>
        <v/>
      </c>
      <c r="AJ35" s="194" t="str">
        <f t="shared" ref="AJ35:AJ36" si="35">IFERROR(IF(OR(AND(AF35="Muy Baja",AH35="Leve"),AND(AF35="Muy Baja",AH35="Menor"),AND(AF35="Baja",AH35="Leve")),"Bajo",IF(OR(AND(AF35="Muy baja",AH35="Moderado"),AND(AF35="Baja",AH35="Menor"),AND(AF35="Baja",AH35="Moderado"),AND(AF35="Media",AH35="Leve"),AND(AF35="Media",AH35="Menor"),AND(AF35="Media",AH35="Moderado"),AND(AF35="Alta",AH35="Leve"),AND(AF35="Alta",AH35="Menor")),"Moderado",IF(OR(AND(AF35="Muy Baja",AH35="Mayor"),AND(AF35="Baja",AH35="Mayor"),AND(AF35="Media",AH35="Mayor"),AND(AF35="Alta",AH35="Moderado"),AND(AF35="Alta",AH35="Mayor"),AND(AF35="Muy Alta",AH35="Leve"),AND(AF35="Muy Alta",AH35="Menor"),AND(AF35="Muy Alta",AH35="Moderado"),AND(AF35="Muy Alta",AH35="Mayor")),"Alto",IF(OR(AND(AF35="Muy Baja",AH35="Catastrófico"),AND(AF35="Baja",AH35="Catastrófico"),AND(AF35="Media",AH35="Catastrófico"),AND(AF35="Alta",AH35="Catastrófico"),AND(AF35="Muy Alta",AH35="Catastrófico")),"Extremo","")))),"")</f>
        <v/>
      </c>
      <c r="AK35" s="195"/>
      <c r="AL35" s="186"/>
      <c r="AM35" s="196"/>
      <c r="AN35" s="196"/>
      <c r="AO35" s="197"/>
      <c r="AP35" s="381"/>
      <c r="AQ35" s="381"/>
      <c r="AR35" s="381"/>
    </row>
    <row r="36" spans="1:44" x14ac:dyDescent="0.2">
      <c r="A36" s="418"/>
      <c r="B36" s="387"/>
      <c r="C36" s="387"/>
      <c r="D36" s="387"/>
      <c r="E36" s="420"/>
      <c r="F36" s="387"/>
      <c r="G36" s="373"/>
      <c r="H36" s="373"/>
      <c r="I36" s="373"/>
      <c r="J36" s="373"/>
      <c r="K36" s="373"/>
      <c r="L36" s="373"/>
      <c r="M36" s="373"/>
      <c r="N36" s="381"/>
      <c r="O36" s="367"/>
      <c r="P36" s="364"/>
      <c r="Q36" s="353"/>
      <c r="R36" s="364">
        <f>IF(NOT(ISERROR(MATCH(Q36,_xlfn.ANCHORARRAY(E47),0))),P49&amp;"Por favor no seleccionar los criterios de impacto",Q36)</f>
        <v>0</v>
      </c>
      <c r="S36" s="367"/>
      <c r="T36" s="364"/>
      <c r="U36" s="362"/>
      <c r="V36" s="214">
        <v>6</v>
      </c>
      <c r="W36" s="187"/>
      <c r="X36" s="189" t="str">
        <f t="shared" si="33"/>
        <v/>
      </c>
      <c r="Y36" s="190"/>
      <c r="Z36" s="190"/>
      <c r="AA36" s="191" t="str">
        <f t="shared" si="28"/>
        <v/>
      </c>
      <c r="AB36" s="190"/>
      <c r="AC36" s="190"/>
      <c r="AD36" s="190"/>
      <c r="AE36" s="192" t="str">
        <f t="shared" si="34"/>
        <v/>
      </c>
      <c r="AF36" s="193" t="str">
        <f t="shared" si="2"/>
        <v/>
      </c>
      <c r="AG36" s="191" t="str">
        <f t="shared" si="29"/>
        <v/>
      </c>
      <c r="AH36" s="193" t="str">
        <f t="shared" si="4"/>
        <v/>
      </c>
      <c r="AI36" s="191" t="str">
        <f t="shared" si="14"/>
        <v/>
      </c>
      <c r="AJ36" s="194" t="str">
        <f t="shared" si="35"/>
        <v/>
      </c>
      <c r="AK36" s="195"/>
      <c r="AL36" s="186"/>
      <c r="AM36" s="196"/>
      <c r="AN36" s="196"/>
      <c r="AO36" s="197"/>
      <c r="AP36" s="381"/>
      <c r="AQ36" s="381"/>
      <c r="AR36" s="381"/>
    </row>
    <row r="37" spans="1:44" x14ac:dyDescent="0.2">
      <c r="A37" s="418">
        <v>5</v>
      </c>
      <c r="B37" s="387"/>
      <c r="C37" s="387"/>
      <c r="D37" s="387"/>
      <c r="E37" s="387"/>
      <c r="F37" s="387"/>
      <c r="G37" s="392"/>
      <c r="H37" s="392"/>
      <c r="I37" s="392"/>
      <c r="J37" s="392"/>
      <c r="K37" s="392"/>
      <c r="L37" s="392"/>
      <c r="M37" s="392"/>
      <c r="N37" s="381"/>
      <c r="O37" s="367" t="str">
        <f>IF(N37&lt;=0,"",IF(N37&lt;=2,"Muy Baja",IF(N37&lt;=24,"Baja",IF(N37&lt;=500,"Media",IF(N37&lt;=5000,"Alta","Muy Alta")))))</f>
        <v/>
      </c>
      <c r="P37" s="364" t="str">
        <f>IF(O37="","",IF(O37="Muy Baja",0.2,IF(O37="Baja",0.4,IF(O37="Media",0.6,IF(O37="Alta",0.8,IF(O37="Muy Alta",1,))))))</f>
        <v/>
      </c>
      <c r="Q37" s="353"/>
      <c r="R37" s="364">
        <f>IF(NOT(ISERROR(MATCH(Q37,'Tabla Impacto'!$B$222:$B$224,0))),'Tabla Impacto'!$F$224&amp;"Por favor no seleccionar los criterios de impacto(Afectación Económica o presupuestal y Pérdida Reputacional)",Q37)</f>
        <v>0</v>
      </c>
      <c r="S37" s="367" t="str">
        <f>IF(OR(R37='Tabla Impacto'!$C$12,R37='Tabla Impacto'!$D$12),"Leve",IF(OR(R37='Tabla Impacto'!$C$13,R37='Tabla Impacto'!$D$13),"Menor",IF(OR(R37='Tabla Impacto'!$C$14,R37='Tabla Impacto'!$D$14),"Moderado",IF(OR(R37='Tabla Impacto'!$C$15,R37='Tabla Impacto'!$D$15),"Mayor",IF(OR(R37='Tabla Impacto'!$C$16,R37='Tabla Impacto'!$D$16),"Catastrófico","")))))</f>
        <v/>
      </c>
      <c r="T37" s="364" t="str">
        <f>IF(S37="","",IF(S37="Leve",0.2,IF(S37="Menor",0.4,IF(S37="Moderado",0.6,IF(S37="Mayor",0.8,IF(S37="Catastrófico",1,))))))</f>
        <v/>
      </c>
      <c r="U37" s="362" t="str">
        <f>IF(OR(AND(O37="Muy Baja",S37="Leve"),AND(O37="Muy Baja",S37="Menor"),AND(O37="Baja",S37="Leve")),"Bajo",IF(OR(AND(O37="Muy baja",S37="Moderado"),AND(O37="Baja",S37="Menor"),AND(O37="Baja",S37="Moderado"),AND(O37="Media",S37="Leve"),AND(O37="Media",S37="Menor"),AND(O37="Media",S37="Moderado"),AND(O37="Alta",S37="Leve"),AND(O37="Alta",S37="Menor")),"Moderado",IF(OR(AND(O37="Muy Baja",S37="Mayor"),AND(O37="Baja",S37="Mayor"),AND(O37="Media",S37="Mayor"),AND(O37="Alta",S37="Moderado"),AND(O37="Alta",S37="Mayor"),AND(O37="Muy Alta",S37="Leve"),AND(O37="Muy Alta",S37="Menor"),AND(O37="Muy Alta",S37="Moderado"),AND(O37="Muy Alta",S37="Mayor")),"Alto",IF(OR(AND(O37="Muy Baja",S37="Catastrófico"),AND(O37="Baja",S37="Catastrófico"),AND(O37="Media",S37="Catastrófico"),AND(O37="Alta",S37="Catastrófico"),AND(O37="Muy Alta",S37="Catastrófico")),"Extremo",""))))</f>
        <v/>
      </c>
      <c r="V37" s="214">
        <v>1</v>
      </c>
      <c r="W37" s="187"/>
      <c r="X37" s="189" t="str">
        <f>IF(OR(Y37="Preventivo",Y37="Detectivo"),"Probabilidad",IF(Y37="Correctivo","Impacto",""))</f>
        <v/>
      </c>
      <c r="Y37" s="190"/>
      <c r="Z37" s="190"/>
      <c r="AA37" s="191" t="str">
        <f>IF(AND(Y37="Preventivo",Z37="Automático"),"50%",IF(AND(Y37="Preventivo",Z37="Manual"),"40%",IF(AND(Y37="Detectivo",Z37="Automático"),"40%",IF(AND(Y37="Detectivo",Z37="Manual"),"30%",IF(AND(Y37="Correctivo",Z37="Automático"),"35%",IF(AND(Y37="Correctivo",Z37="Manual"),"25%",""))))))</f>
        <v/>
      </c>
      <c r="AB37" s="190"/>
      <c r="AC37" s="190"/>
      <c r="AD37" s="190"/>
      <c r="AE37" s="192" t="str">
        <f>IFERROR(IF(X37="Probabilidad",(P37-(+P37*AA37)),IF(X37="Impacto",P37,"")),"")</f>
        <v/>
      </c>
      <c r="AF37" s="193" t="str">
        <f>IFERROR(IF(AE37="","",IF(AE37&lt;=0.2,"Muy Baja",IF(AE37&lt;=0.4,"Baja",IF(AE37&lt;=0.6,"Media",IF(AE37&lt;=0.8,"Alta","Muy Alta"))))),"")</f>
        <v/>
      </c>
      <c r="AG37" s="191" t="str">
        <f>+AE37</f>
        <v/>
      </c>
      <c r="AH37" s="193" t="str">
        <f>IFERROR(IF(AI37="","",IF(AI37&lt;=0.2,"Leve",IF(AI37&lt;=0.4,"Menor",IF(AI37&lt;=0.6,"Moderado",IF(AI37&lt;=0.8,"Mayor","Catastrófico"))))),"")</f>
        <v/>
      </c>
      <c r="AI37" s="191" t="str">
        <f t="shared" ref="AI37" si="36">IFERROR(IF(X37="Impacto",(T37-(+T37*AA37)),IF(X37="Probabilidad",T37,"")),"")</f>
        <v/>
      </c>
      <c r="AJ37" s="194" t="str">
        <f>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195"/>
      <c r="AL37" s="186"/>
      <c r="AM37" s="196"/>
      <c r="AN37" s="196"/>
      <c r="AO37" s="197"/>
      <c r="AP37" s="381"/>
      <c r="AQ37" s="381"/>
      <c r="AR37" s="381"/>
    </row>
    <row r="38" spans="1:44" x14ac:dyDescent="0.2">
      <c r="A38" s="418"/>
      <c r="B38" s="387"/>
      <c r="C38" s="387"/>
      <c r="D38" s="387"/>
      <c r="E38" s="387"/>
      <c r="F38" s="387"/>
      <c r="G38" s="360"/>
      <c r="H38" s="360"/>
      <c r="I38" s="360"/>
      <c r="J38" s="360"/>
      <c r="K38" s="360"/>
      <c r="L38" s="360"/>
      <c r="M38" s="360"/>
      <c r="N38" s="381"/>
      <c r="O38" s="367"/>
      <c r="P38" s="364"/>
      <c r="Q38" s="353"/>
      <c r="R38" s="364">
        <f>IF(NOT(ISERROR(MATCH(Q38,_xlfn.ANCHORARRAY(E49),0))),P51&amp;"Por favor no seleccionar los criterios de impacto",Q38)</f>
        <v>0</v>
      </c>
      <c r="S38" s="367"/>
      <c r="T38" s="364"/>
      <c r="U38" s="362"/>
      <c r="V38" s="214">
        <v>2</v>
      </c>
      <c r="W38" s="187"/>
      <c r="X38" s="189" t="str">
        <f>IF(OR(Y38="Preventivo",Y38="Detectivo"),"Probabilidad",IF(Y38="Correctivo","Impacto",""))</f>
        <v/>
      </c>
      <c r="Y38" s="190"/>
      <c r="Z38" s="190"/>
      <c r="AA38" s="191" t="str">
        <f t="shared" ref="AA38:AA42" si="37">IF(AND(Y38="Preventivo",Z38="Automático"),"50%",IF(AND(Y38="Preventivo",Z38="Manual"),"40%",IF(AND(Y38="Detectivo",Z38="Automático"),"40%",IF(AND(Y38="Detectivo",Z38="Manual"),"30%",IF(AND(Y38="Correctivo",Z38="Automático"),"35%",IF(AND(Y38="Correctivo",Z38="Manual"),"25%",""))))))</f>
        <v/>
      </c>
      <c r="AB38" s="190"/>
      <c r="AC38" s="190"/>
      <c r="AD38" s="190"/>
      <c r="AE38" s="192" t="str">
        <f>IFERROR(IF(AND(X37="Probabilidad",X38="Probabilidad"),(AG37-(+AG37*AA38)),IF(X38="Probabilidad",(P37-(+P37*AA38)),IF(X38="Impacto",AG37,""))),"")</f>
        <v/>
      </c>
      <c r="AF38" s="193" t="str">
        <f t="shared" si="2"/>
        <v/>
      </c>
      <c r="AG38" s="191" t="str">
        <f t="shared" ref="AG38:AG42" si="38">+AE38</f>
        <v/>
      </c>
      <c r="AH38" s="193" t="str">
        <f t="shared" si="4"/>
        <v/>
      </c>
      <c r="AI38" s="191" t="str">
        <f t="shared" ref="AI38" si="39">IFERROR(IF(AND(X37="Impacto",X38="Impacto"),(AI37-(+AI37*AA38)),IF(X38="Impacto",($T$13-(+$T$13*AA38)),IF(X38="Probabilidad",AI37,""))),"")</f>
        <v/>
      </c>
      <c r="AJ38" s="194" t="str">
        <f t="shared" ref="AJ38:AJ39" si="40">IFERROR(IF(OR(AND(AF38="Muy Baja",AH38="Leve"),AND(AF38="Muy Baja",AH38="Menor"),AND(AF38="Baja",AH38="Leve")),"Bajo",IF(OR(AND(AF38="Muy baja",AH38="Moderado"),AND(AF38="Baja",AH38="Menor"),AND(AF38="Baja",AH38="Moderado"),AND(AF38="Media",AH38="Leve"),AND(AF38="Media",AH38="Menor"),AND(AF38="Media",AH38="Moderado"),AND(AF38="Alta",AH38="Leve"),AND(AF38="Alta",AH38="Menor")),"Moderado",IF(OR(AND(AF38="Muy Baja",AH38="Mayor"),AND(AF38="Baja",AH38="Mayor"),AND(AF38="Media",AH38="Mayor"),AND(AF38="Alta",AH38="Moderado"),AND(AF38="Alta",AH38="Mayor"),AND(AF38="Muy Alta",AH38="Leve"),AND(AF38="Muy Alta",AH38="Menor"),AND(AF38="Muy Alta",AH38="Moderado"),AND(AF38="Muy Alta",AH38="Mayor")),"Alto",IF(OR(AND(AF38="Muy Baja",AH38="Catastrófico"),AND(AF38="Baja",AH38="Catastrófico"),AND(AF38="Media",AH38="Catastrófico"),AND(AF38="Alta",AH38="Catastrófico"),AND(AF38="Muy Alta",AH38="Catastrófico")),"Extremo","")))),"")</f>
        <v/>
      </c>
      <c r="AK38" s="195"/>
      <c r="AL38" s="186"/>
      <c r="AM38" s="196"/>
      <c r="AN38" s="196"/>
      <c r="AO38" s="197"/>
      <c r="AP38" s="381"/>
      <c r="AQ38" s="381"/>
      <c r="AR38" s="381"/>
    </row>
    <row r="39" spans="1:44" x14ac:dyDescent="0.2">
      <c r="A39" s="418"/>
      <c r="B39" s="387"/>
      <c r="C39" s="387"/>
      <c r="D39" s="387"/>
      <c r="E39" s="387"/>
      <c r="F39" s="387"/>
      <c r="G39" s="360"/>
      <c r="H39" s="360"/>
      <c r="I39" s="360"/>
      <c r="J39" s="360"/>
      <c r="K39" s="360"/>
      <c r="L39" s="360"/>
      <c r="M39" s="360"/>
      <c r="N39" s="381"/>
      <c r="O39" s="367"/>
      <c r="P39" s="364"/>
      <c r="Q39" s="353"/>
      <c r="R39" s="364">
        <f>IF(NOT(ISERROR(MATCH(Q39,_xlfn.ANCHORARRAY(E50),0))),P52&amp;"Por favor no seleccionar los criterios de impacto",Q39)</f>
        <v>0</v>
      </c>
      <c r="S39" s="367"/>
      <c r="T39" s="364"/>
      <c r="U39" s="362"/>
      <c r="V39" s="214">
        <v>3</v>
      </c>
      <c r="W39" s="188"/>
      <c r="X39" s="189" t="str">
        <f>IF(OR(Y39="Preventivo",Y39="Detectivo"),"Probabilidad",IF(Y39="Correctivo","Impacto",""))</f>
        <v/>
      </c>
      <c r="Y39" s="190"/>
      <c r="Z39" s="190"/>
      <c r="AA39" s="191" t="str">
        <f t="shared" si="37"/>
        <v/>
      </c>
      <c r="AB39" s="190"/>
      <c r="AC39" s="190"/>
      <c r="AD39" s="190"/>
      <c r="AE39" s="192" t="str">
        <f>IFERROR(IF(AND(X38="Probabilidad",X39="Probabilidad"),(AG38-(+AG38*AA39)),IF(AND(X38="Impacto",X39="Probabilidad"),(AG37-(+AG37*AA39)),IF(X39="Impacto",AG38,""))),"")</f>
        <v/>
      </c>
      <c r="AF39" s="193" t="str">
        <f t="shared" si="2"/>
        <v/>
      </c>
      <c r="AG39" s="191" t="str">
        <f t="shared" si="38"/>
        <v/>
      </c>
      <c r="AH39" s="193" t="str">
        <f t="shared" si="4"/>
        <v/>
      </c>
      <c r="AI39" s="191" t="str">
        <f t="shared" ref="AI39" si="41">IFERROR(IF(AND(X38="Impacto",X39="Impacto"),(AI38-(+AI38*AA39)),IF(AND(X38="Probabilidad",X39="Impacto"),(AI37-(+AI37*AA39)),IF(X39="Probabilidad",AI38,""))),"")</f>
        <v/>
      </c>
      <c r="AJ39" s="194" t="str">
        <f t="shared" si="40"/>
        <v/>
      </c>
      <c r="AK39" s="195"/>
      <c r="AL39" s="186"/>
      <c r="AM39" s="196"/>
      <c r="AN39" s="196"/>
      <c r="AO39" s="197"/>
      <c r="AP39" s="381"/>
      <c r="AQ39" s="381"/>
      <c r="AR39" s="381"/>
    </row>
    <row r="40" spans="1:44" x14ac:dyDescent="0.2">
      <c r="A40" s="418"/>
      <c r="B40" s="387"/>
      <c r="C40" s="387"/>
      <c r="D40" s="387"/>
      <c r="E40" s="387"/>
      <c r="F40" s="387"/>
      <c r="G40" s="360"/>
      <c r="H40" s="360"/>
      <c r="I40" s="360"/>
      <c r="J40" s="360"/>
      <c r="K40" s="360"/>
      <c r="L40" s="360"/>
      <c r="M40" s="360"/>
      <c r="N40" s="381"/>
      <c r="O40" s="367"/>
      <c r="P40" s="364"/>
      <c r="Q40" s="353"/>
      <c r="R40" s="364">
        <f>IF(NOT(ISERROR(MATCH(Q40,_xlfn.ANCHORARRAY(E51),0))),P53&amp;"Por favor no seleccionar los criterios de impacto",Q40)</f>
        <v>0</v>
      </c>
      <c r="S40" s="367"/>
      <c r="T40" s="364"/>
      <c r="U40" s="362"/>
      <c r="V40" s="214">
        <v>4</v>
      </c>
      <c r="W40" s="187"/>
      <c r="X40" s="189" t="str">
        <f t="shared" ref="X40:X42" si="42">IF(OR(Y40="Preventivo",Y40="Detectivo"),"Probabilidad",IF(Y40="Correctivo","Impacto",""))</f>
        <v/>
      </c>
      <c r="Y40" s="190"/>
      <c r="Z40" s="190"/>
      <c r="AA40" s="191" t="str">
        <f t="shared" si="37"/>
        <v/>
      </c>
      <c r="AB40" s="190"/>
      <c r="AC40" s="190"/>
      <c r="AD40" s="190"/>
      <c r="AE40" s="192" t="str">
        <f t="shared" ref="AE40:AE42" si="43">IFERROR(IF(AND(X39="Probabilidad",X40="Probabilidad"),(AG39-(+AG39*AA40)),IF(AND(X39="Impacto",X40="Probabilidad"),(AG38-(+AG38*AA40)),IF(X40="Impacto",AG39,""))),"")</f>
        <v/>
      </c>
      <c r="AF40" s="193" t="str">
        <f t="shared" si="2"/>
        <v/>
      </c>
      <c r="AG40" s="191" t="str">
        <f t="shared" si="38"/>
        <v/>
      </c>
      <c r="AH40" s="193" t="str">
        <f t="shared" si="4"/>
        <v/>
      </c>
      <c r="AI40" s="191" t="str">
        <f t="shared" si="14"/>
        <v/>
      </c>
      <c r="AJ40" s="194" t="str">
        <f>IFERROR(IF(OR(AND(AF40="Muy Baja",AH40="Leve"),AND(AF40="Muy Baja",AH40="Menor"),AND(AF40="Baja",AH40="Leve")),"Bajo",IF(OR(AND(AF40="Muy baja",AH40="Moderado"),AND(AF40="Baja",AH40="Menor"),AND(AF40="Baja",AH40="Moderado"),AND(AF40="Media",AH40="Leve"),AND(AF40="Media",AH40="Menor"),AND(AF40="Media",AH40="Moderado"),AND(AF40="Alta",AH40="Leve"),AND(AF40="Alta",AH40="Menor")),"Moderado",IF(OR(AND(AF40="Muy Baja",AH40="Mayor"),AND(AF40="Baja",AH40="Mayor"),AND(AF40="Media",AH40="Mayor"),AND(AF40="Alta",AH40="Moderado"),AND(AF40="Alta",AH40="Mayor"),AND(AF40="Muy Alta",AH40="Leve"),AND(AF40="Muy Alta",AH40="Menor"),AND(AF40="Muy Alta",AH40="Moderado"),AND(AF40="Muy Alta",AH40="Mayor")),"Alto",IF(OR(AND(AF40="Muy Baja",AH40="Catastrófico"),AND(AF40="Baja",AH40="Catastrófico"),AND(AF40="Media",AH40="Catastrófico"),AND(AF40="Alta",AH40="Catastrófico"),AND(AF40="Muy Alta",AH40="Catastrófico")),"Extremo","")))),"")</f>
        <v/>
      </c>
      <c r="AK40" s="195"/>
      <c r="AL40" s="186"/>
      <c r="AM40" s="196"/>
      <c r="AN40" s="196"/>
      <c r="AO40" s="197"/>
      <c r="AP40" s="381"/>
      <c r="AQ40" s="381"/>
      <c r="AR40" s="381"/>
    </row>
    <row r="41" spans="1:44" x14ac:dyDescent="0.2">
      <c r="A41" s="418"/>
      <c r="B41" s="387"/>
      <c r="C41" s="387"/>
      <c r="D41" s="387"/>
      <c r="E41" s="387"/>
      <c r="F41" s="387"/>
      <c r="G41" s="360"/>
      <c r="H41" s="360"/>
      <c r="I41" s="360"/>
      <c r="J41" s="360"/>
      <c r="K41" s="360"/>
      <c r="L41" s="360"/>
      <c r="M41" s="360"/>
      <c r="N41" s="381"/>
      <c r="O41" s="367"/>
      <c r="P41" s="364"/>
      <c r="Q41" s="353"/>
      <c r="R41" s="364">
        <f>IF(NOT(ISERROR(MATCH(Q41,_xlfn.ANCHORARRAY(E52),0))),P54&amp;"Por favor no seleccionar los criterios de impacto",Q41)</f>
        <v>0</v>
      </c>
      <c r="S41" s="367"/>
      <c r="T41" s="364"/>
      <c r="U41" s="362"/>
      <c r="V41" s="214">
        <v>5</v>
      </c>
      <c r="W41" s="187"/>
      <c r="X41" s="189" t="str">
        <f t="shared" si="42"/>
        <v/>
      </c>
      <c r="Y41" s="190"/>
      <c r="Z41" s="190"/>
      <c r="AA41" s="191" t="str">
        <f t="shared" si="37"/>
        <v/>
      </c>
      <c r="AB41" s="190"/>
      <c r="AC41" s="190"/>
      <c r="AD41" s="190"/>
      <c r="AE41" s="192" t="str">
        <f t="shared" si="43"/>
        <v/>
      </c>
      <c r="AF41" s="193" t="str">
        <f t="shared" si="2"/>
        <v/>
      </c>
      <c r="AG41" s="191" t="str">
        <f t="shared" si="38"/>
        <v/>
      </c>
      <c r="AH41" s="193" t="str">
        <f t="shared" si="4"/>
        <v/>
      </c>
      <c r="AI41" s="191" t="str">
        <f t="shared" si="14"/>
        <v/>
      </c>
      <c r="AJ41" s="194" t="str">
        <f t="shared" ref="AJ41:AJ42" si="44">IFERROR(IF(OR(AND(AF41="Muy Baja",AH41="Leve"),AND(AF41="Muy Baja",AH41="Menor"),AND(AF41="Baja",AH41="Leve")),"Bajo",IF(OR(AND(AF41="Muy baja",AH41="Moderado"),AND(AF41="Baja",AH41="Menor"),AND(AF41="Baja",AH41="Moderado"),AND(AF41="Media",AH41="Leve"),AND(AF41="Media",AH41="Menor"),AND(AF41="Media",AH41="Moderado"),AND(AF41="Alta",AH41="Leve"),AND(AF41="Alta",AH41="Menor")),"Moderado",IF(OR(AND(AF41="Muy Baja",AH41="Mayor"),AND(AF41="Baja",AH41="Mayor"),AND(AF41="Media",AH41="Mayor"),AND(AF41="Alta",AH41="Moderado"),AND(AF41="Alta",AH41="Mayor"),AND(AF41="Muy Alta",AH41="Leve"),AND(AF41="Muy Alta",AH41="Menor"),AND(AF41="Muy Alta",AH41="Moderado"),AND(AF41="Muy Alta",AH41="Mayor")),"Alto",IF(OR(AND(AF41="Muy Baja",AH41="Catastrófico"),AND(AF41="Baja",AH41="Catastrófico"),AND(AF41="Media",AH41="Catastrófico"),AND(AF41="Alta",AH41="Catastrófico"),AND(AF41="Muy Alta",AH41="Catastrófico")),"Extremo","")))),"")</f>
        <v/>
      </c>
      <c r="AK41" s="195"/>
      <c r="AL41" s="186"/>
      <c r="AM41" s="196"/>
      <c r="AN41" s="196"/>
      <c r="AO41" s="197"/>
      <c r="AP41" s="381"/>
      <c r="AQ41" s="381"/>
      <c r="AR41" s="381"/>
    </row>
    <row r="42" spans="1:44" x14ac:dyDescent="0.2">
      <c r="A42" s="418"/>
      <c r="B42" s="387"/>
      <c r="C42" s="387"/>
      <c r="D42" s="387"/>
      <c r="E42" s="387"/>
      <c r="F42" s="387"/>
      <c r="G42" s="373"/>
      <c r="H42" s="373"/>
      <c r="I42" s="373"/>
      <c r="J42" s="373"/>
      <c r="K42" s="373"/>
      <c r="L42" s="373"/>
      <c r="M42" s="373"/>
      <c r="N42" s="381"/>
      <c r="O42" s="367"/>
      <c r="P42" s="364"/>
      <c r="Q42" s="353"/>
      <c r="R42" s="364">
        <f>IF(NOT(ISERROR(MATCH(Q42,_xlfn.ANCHORARRAY(E53),0))),P55&amp;"Por favor no seleccionar los criterios de impacto",Q42)</f>
        <v>0</v>
      </c>
      <c r="S42" s="367"/>
      <c r="T42" s="364"/>
      <c r="U42" s="362"/>
      <c r="V42" s="214">
        <v>6</v>
      </c>
      <c r="W42" s="187"/>
      <c r="X42" s="189" t="str">
        <f t="shared" si="42"/>
        <v/>
      </c>
      <c r="Y42" s="190"/>
      <c r="Z42" s="190"/>
      <c r="AA42" s="191" t="str">
        <f t="shared" si="37"/>
        <v/>
      </c>
      <c r="AB42" s="190"/>
      <c r="AC42" s="190"/>
      <c r="AD42" s="190"/>
      <c r="AE42" s="192" t="str">
        <f t="shared" si="43"/>
        <v/>
      </c>
      <c r="AF42" s="193" t="str">
        <f t="shared" si="2"/>
        <v/>
      </c>
      <c r="AG42" s="191" t="str">
        <f t="shared" si="38"/>
        <v/>
      </c>
      <c r="AH42" s="193" t="str">
        <f t="shared" si="4"/>
        <v/>
      </c>
      <c r="AI42" s="191" t="str">
        <f t="shared" si="14"/>
        <v/>
      </c>
      <c r="AJ42" s="194" t="str">
        <f t="shared" si="44"/>
        <v/>
      </c>
      <c r="AK42" s="195"/>
      <c r="AL42" s="186"/>
      <c r="AM42" s="196"/>
      <c r="AN42" s="196"/>
      <c r="AO42" s="197"/>
      <c r="AP42" s="381"/>
      <c r="AQ42" s="381"/>
      <c r="AR42" s="381"/>
    </row>
    <row r="43" spans="1:44" x14ac:dyDescent="0.2">
      <c r="A43" s="418">
        <v>6</v>
      </c>
      <c r="B43" s="387"/>
      <c r="C43" s="387"/>
      <c r="D43" s="387"/>
      <c r="E43" s="392"/>
      <c r="F43" s="387"/>
      <c r="G43" s="392"/>
      <c r="H43" s="392"/>
      <c r="I43" s="392"/>
      <c r="J43" s="392"/>
      <c r="K43" s="392"/>
      <c r="L43" s="392"/>
      <c r="M43" s="392"/>
      <c r="N43" s="381"/>
      <c r="O43" s="367" t="str">
        <f>IF(N43&lt;=0,"",IF(N43&lt;=2,"Muy Baja",IF(N43&lt;=24,"Baja",IF(N43&lt;=500,"Media",IF(N43&lt;=5000,"Alta","Muy Alta")))))</f>
        <v/>
      </c>
      <c r="P43" s="364" t="str">
        <f>IF(O43="","",IF(O43="Muy Baja",0.2,IF(O43="Baja",0.4,IF(O43="Media",0.6,IF(O43="Alta",0.8,IF(O43="Muy Alta",1,))))))</f>
        <v/>
      </c>
      <c r="Q43" s="353"/>
      <c r="R43" s="364">
        <f>IF(NOT(ISERROR(MATCH(Q43,'Tabla Impacto'!$B$222:$B$224,0))),'Tabla Impacto'!$F$224&amp;"Por favor no seleccionar los criterios de impacto(Afectación Económica o presupuestal y Pérdida Reputacional)",Q43)</f>
        <v>0</v>
      </c>
      <c r="S43" s="367" t="str">
        <f>IF(OR(R43='Tabla Impacto'!$C$12,R43='Tabla Impacto'!$D$12),"Leve",IF(OR(R43='Tabla Impacto'!$C$13,R43='Tabla Impacto'!$D$13),"Menor",IF(OR(R43='Tabla Impacto'!$C$14,R43='Tabla Impacto'!$D$14),"Moderado",IF(OR(R43='Tabla Impacto'!$C$15,R43='Tabla Impacto'!$D$15),"Mayor",IF(OR(R43='Tabla Impacto'!$C$16,R43='Tabla Impacto'!$D$16),"Catastrófico","")))))</f>
        <v/>
      </c>
      <c r="T43" s="364" t="str">
        <f>IF(S43="","",IF(S43="Leve",0.2,IF(S43="Menor",0.4,IF(S43="Moderado",0.6,IF(S43="Mayor",0.8,IF(S43="Catastrófico",1,))))))</f>
        <v/>
      </c>
      <c r="U43" s="362" t="str">
        <f>IF(OR(AND(O43="Muy Baja",S43="Leve"),AND(O43="Muy Baja",S43="Menor"),AND(O43="Baja",S43="Leve")),"Bajo",IF(OR(AND(O43="Muy baja",S43="Moderado"),AND(O43="Baja",S43="Menor"),AND(O43="Baja",S43="Moderado"),AND(O43="Media",S43="Leve"),AND(O43="Media",S43="Menor"),AND(O43="Media",S43="Moderado"),AND(O43="Alta",S43="Leve"),AND(O43="Alta",S43="Menor")),"Moderado",IF(OR(AND(O43="Muy Baja",S43="Mayor"),AND(O43="Baja",S43="Mayor"),AND(O43="Media",S43="Mayor"),AND(O43="Alta",S43="Moderado"),AND(O43="Alta",S43="Mayor"),AND(O43="Muy Alta",S43="Leve"),AND(O43="Muy Alta",S43="Menor"),AND(O43="Muy Alta",S43="Moderado"),AND(O43="Muy Alta",S43="Mayor")),"Alto",IF(OR(AND(O43="Muy Baja",S43="Catastrófico"),AND(O43="Baja",S43="Catastrófico"),AND(O43="Media",S43="Catastrófico"),AND(O43="Alta",S43="Catastrófico"),AND(O43="Muy Alta",S43="Catastrófico")),"Extremo",""))))</f>
        <v/>
      </c>
      <c r="V43" s="214">
        <v>1</v>
      </c>
      <c r="W43" s="187"/>
      <c r="X43" s="189" t="str">
        <f>IF(OR(Y43="Preventivo",Y43="Detectivo"),"Probabilidad",IF(Y43="Correctivo","Impacto",""))</f>
        <v/>
      </c>
      <c r="Y43" s="190"/>
      <c r="Z43" s="190"/>
      <c r="AA43" s="191" t="str">
        <f>IF(AND(Y43="Preventivo",Z43="Automático"),"50%",IF(AND(Y43="Preventivo",Z43="Manual"),"40%",IF(AND(Y43="Detectivo",Z43="Automático"),"40%",IF(AND(Y43="Detectivo",Z43="Manual"),"30%",IF(AND(Y43="Correctivo",Z43="Automático"),"35%",IF(AND(Y43="Correctivo",Z43="Manual"),"25%",""))))))</f>
        <v/>
      </c>
      <c r="AB43" s="190"/>
      <c r="AC43" s="190"/>
      <c r="AD43" s="190"/>
      <c r="AE43" s="192" t="str">
        <f>IFERROR(IF(X43="Probabilidad",(P43-(+P43*AA43)),IF(X43="Impacto",P43,"")),"")</f>
        <v/>
      </c>
      <c r="AF43" s="193" t="str">
        <f>IFERROR(IF(AE43="","",IF(AE43&lt;=0.2,"Muy Baja",IF(AE43&lt;=0.4,"Baja",IF(AE43&lt;=0.6,"Media",IF(AE43&lt;=0.8,"Alta","Muy Alta"))))),"")</f>
        <v/>
      </c>
      <c r="AG43" s="191" t="str">
        <f>+AE43</f>
        <v/>
      </c>
      <c r="AH43" s="193" t="str">
        <f>IFERROR(IF(AI43="","",IF(AI43&lt;=0.2,"Leve",IF(AI43&lt;=0.4,"Menor",IF(AI43&lt;=0.6,"Moderado",IF(AI43&lt;=0.8,"Mayor","Catastrófico"))))),"")</f>
        <v/>
      </c>
      <c r="AI43" s="191" t="str">
        <f t="shared" ref="AI43" si="45">IFERROR(IF(X43="Impacto",(T43-(+T43*AA43)),IF(X43="Probabilidad",T43,"")),"")</f>
        <v/>
      </c>
      <c r="AJ43" s="194" t="str">
        <f>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
      </c>
      <c r="AK43" s="190"/>
      <c r="AL43" s="186"/>
      <c r="AM43" s="196"/>
      <c r="AN43" s="196"/>
      <c r="AO43" s="197"/>
      <c r="AP43" s="381"/>
      <c r="AQ43" s="381"/>
      <c r="AR43" s="381"/>
    </row>
    <row r="44" spans="1:44" x14ac:dyDescent="0.2">
      <c r="A44" s="418"/>
      <c r="B44" s="387"/>
      <c r="C44" s="387"/>
      <c r="D44" s="387"/>
      <c r="E44" s="360"/>
      <c r="F44" s="387"/>
      <c r="G44" s="360"/>
      <c r="H44" s="360"/>
      <c r="I44" s="360"/>
      <c r="J44" s="360"/>
      <c r="K44" s="360"/>
      <c r="L44" s="360"/>
      <c r="M44" s="360"/>
      <c r="N44" s="381"/>
      <c r="O44" s="367"/>
      <c r="P44" s="364"/>
      <c r="Q44" s="353"/>
      <c r="R44" s="364">
        <f>IF(NOT(ISERROR(MATCH(Q44,_xlfn.ANCHORARRAY(E55),0))),P57&amp;"Por favor no seleccionar los criterios de impacto",Q44)</f>
        <v>0</v>
      </c>
      <c r="S44" s="367"/>
      <c r="T44" s="364"/>
      <c r="U44" s="362"/>
      <c r="V44" s="214">
        <v>2</v>
      </c>
      <c r="W44" s="187"/>
      <c r="X44" s="189" t="str">
        <f>IF(OR(Y44="Preventivo",Y44="Detectivo"),"Probabilidad",IF(Y44="Correctivo","Impacto",""))</f>
        <v/>
      </c>
      <c r="Y44" s="190"/>
      <c r="Z44" s="190"/>
      <c r="AA44" s="191" t="str">
        <f t="shared" ref="AA44:AA48" si="46">IF(AND(Y44="Preventivo",Z44="Automático"),"50%",IF(AND(Y44="Preventivo",Z44="Manual"),"40%",IF(AND(Y44="Detectivo",Z44="Automático"),"40%",IF(AND(Y44="Detectivo",Z44="Manual"),"30%",IF(AND(Y44="Correctivo",Z44="Automático"),"35%",IF(AND(Y44="Correctivo",Z44="Manual"),"25%",""))))))</f>
        <v/>
      </c>
      <c r="AB44" s="190"/>
      <c r="AC44" s="190"/>
      <c r="AD44" s="190"/>
      <c r="AE44" s="192" t="str">
        <f>IFERROR(IF(AND(X43="Probabilidad",X44="Probabilidad"),(AG43-(+AG43*AA44)),IF(X44="Probabilidad",(P43-(+P43*AA44)),IF(X44="Impacto",AG43,""))),"")</f>
        <v/>
      </c>
      <c r="AF44" s="193" t="str">
        <f t="shared" si="2"/>
        <v/>
      </c>
      <c r="AG44" s="191" t="str">
        <f t="shared" ref="AG44:AG48" si="47">+AE44</f>
        <v/>
      </c>
      <c r="AH44" s="193" t="str">
        <f t="shared" si="4"/>
        <v/>
      </c>
      <c r="AI44" s="191" t="str">
        <f t="shared" ref="AI44" si="48">IFERROR(IF(AND(X43="Impacto",X44="Impacto"),(AI43-(+AI43*AA44)),IF(X44="Impacto",($T$13-(+$T$13*AA44)),IF(X44="Probabilidad",AI43,""))),"")</f>
        <v/>
      </c>
      <c r="AJ44" s="194" t="str">
        <f t="shared" ref="AJ44:AJ45" si="49">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
      </c>
      <c r="AK44" s="195"/>
      <c r="AL44" s="186"/>
      <c r="AM44" s="196"/>
      <c r="AN44" s="196"/>
      <c r="AO44" s="197"/>
      <c r="AP44" s="381"/>
      <c r="AQ44" s="381"/>
      <c r="AR44" s="381"/>
    </row>
    <row r="45" spans="1:44" x14ac:dyDescent="0.2">
      <c r="A45" s="418"/>
      <c r="B45" s="387"/>
      <c r="C45" s="387"/>
      <c r="D45" s="387"/>
      <c r="E45" s="360"/>
      <c r="F45" s="387"/>
      <c r="G45" s="360"/>
      <c r="H45" s="360"/>
      <c r="I45" s="360"/>
      <c r="J45" s="360"/>
      <c r="K45" s="360"/>
      <c r="L45" s="360"/>
      <c r="M45" s="360"/>
      <c r="N45" s="381"/>
      <c r="O45" s="367"/>
      <c r="P45" s="364"/>
      <c r="Q45" s="353"/>
      <c r="R45" s="364">
        <f>IF(NOT(ISERROR(MATCH(Q45,_xlfn.ANCHORARRAY(E56),0))),P58&amp;"Por favor no seleccionar los criterios de impacto",Q45)</f>
        <v>0</v>
      </c>
      <c r="S45" s="367"/>
      <c r="T45" s="364"/>
      <c r="U45" s="362"/>
      <c r="V45" s="214">
        <v>3</v>
      </c>
      <c r="W45" s="188"/>
      <c r="X45" s="189" t="str">
        <f>IF(OR(Y45="Preventivo",Y45="Detectivo"),"Probabilidad",IF(Y45="Correctivo","Impacto",""))</f>
        <v/>
      </c>
      <c r="Y45" s="190"/>
      <c r="Z45" s="190"/>
      <c r="AA45" s="191" t="str">
        <f t="shared" si="46"/>
        <v/>
      </c>
      <c r="AB45" s="190"/>
      <c r="AC45" s="190"/>
      <c r="AD45" s="190"/>
      <c r="AE45" s="192" t="str">
        <f>IFERROR(IF(AND(X44="Probabilidad",X45="Probabilidad"),(AG44-(+AG44*AA45)),IF(AND(X44="Impacto",X45="Probabilidad"),(AG43-(+AG43*AA45)),IF(X45="Impacto",AG44,""))),"")</f>
        <v/>
      </c>
      <c r="AF45" s="193" t="str">
        <f t="shared" si="2"/>
        <v/>
      </c>
      <c r="AG45" s="191" t="str">
        <f t="shared" si="47"/>
        <v/>
      </c>
      <c r="AH45" s="193" t="str">
        <f t="shared" si="4"/>
        <v/>
      </c>
      <c r="AI45" s="191" t="str">
        <f t="shared" ref="AI45" si="50">IFERROR(IF(AND(X44="Impacto",X45="Impacto"),(AI44-(+AI44*AA45)),IF(AND(X44="Probabilidad",X45="Impacto"),(AI43-(+AI43*AA45)),IF(X45="Probabilidad",AI44,""))),"")</f>
        <v/>
      </c>
      <c r="AJ45" s="194" t="str">
        <f t="shared" si="49"/>
        <v/>
      </c>
      <c r="AK45" s="195"/>
      <c r="AL45" s="186"/>
      <c r="AM45" s="196"/>
      <c r="AN45" s="196"/>
      <c r="AO45" s="197"/>
      <c r="AP45" s="381"/>
      <c r="AQ45" s="381"/>
      <c r="AR45" s="381"/>
    </row>
    <row r="46" spans="1:44" x14ac:dyDescent="0.2">
      <c r="A46" s="418"/>
      <c r="B46" s="387"/>
      <c r="C46" s="387"/>
      <c r="D46" s="387"/>
      <c r="E46" s="360"/>
      <c r="F46" s="387"/>
      <c r="G46" s="360"/>
      <c r="H46" s="360"/>
      <c r="I46" s="360"/>
      <c r="J46" s="360"/>
      <c r="K46" s="360"/>
      <c r="L46" s="360"/>
      <c r="M46" s="360"/>
      <c r="N46" s="381"/>
      <c r="O46" s="367"/>
      <c r="P46" s="364"/>
      <c r="Q46" s="353"/>
      <c r="R46" s="364">
        <f>IF(NOT(ISERROR(MATCH(Q46,_xlfn.ANCHORARRAY(E57),0))),P59&amp;"Por favor no seleccionar los criterios de impacto",Q46)</f>
        <v>0</v>
      </c>
      <c r="S46" s="367"/>
      <c r="T46" s="364"/>
      <c r="U46" s="362"/>
      <c r="V46" s="214">
        <v>4</v>
      </c>
      <c r="W46" s="187"/>
      <c r="X46" s="189" t="str">
        <f t="shared" ref="X46:X48" si="51">IF(OR(Y46="Preventivo",Y46="Detectivo"),"Probabilidad",IF(Y46="Correctivo","Impacto",""))</f>
        <v/>
      </c>
      <c r="Y46" s="190"/>
      <c r="Z46" s="190"/>
      <c r="AA46" s="191" t="str">
        <f t="shared" si="46"/>
        <v/>
      </c>
      <c r="AB46" s="190"/>
      <c r="AC46" s="190"/>
      <c r="AD46" s="190"/>
      <c r="AE46" s="192" t="str">
        <f t="shared" ref="AE46:AE48" si="52">IFERROR(IF(AND(X45="Probabilidad",X46="Probabilidad"),(AG45-(+AG45*AA46)),IF(AND(X45="Impacto",X46="Probabilidad"),(AG44-(+AG44*AA46)),IF(X46="Impacto",AG45,""))),"")</f>
        <v/>
      </c>
      <c r="AF46" s="193" t="str">
        <f t="shared" si="2"/>
        <v/>
      </c>
      <c r="AG46" s="191" t="str">
        <f t="shared" si="47"/>
        <v/>
      </c>
      <c r="AH46" s="193" t="str">
        <f t="shared" si="4"/>
        <v/>
      </c>
      <c r="AI46" s="191" t="str">
        <f t="shared" si="14"/>
        <v/>
      </c>
      <c r="AJ46" s="194" t="str">
        <f>IFERROR(IF(OR(AND(AF46="Muy Baja",AH46="Leve"),AND(AF46="Muy Baja",AH46="Menor"),AND(AF46="Baja",AH46="Leve")),"Bajo",IF(OR(AND(AF46="Muy baja",AH46="Moderado"),AND(AF46="Baja",AH46="Menor"),AND(AF46="Baja",AH46="Moderado"),AND(AF46="Media",AH46="Leve"),AND(AF46="Media",AH46="Menor"),AND(AF46="Media",AH46="Moderado"),AND(AF46="Alta",AH46="Leve"),AND(AF46="Alta",AH46="Menor")),"Moderado",IF(OR(AND(AF46="Muy Baja",AH46="Mayor"),AND(AF46="Baja",AH46="Mayor"),AND(AF46="Media",AH46="Mayor"),AND(AF46="Alta",AH46="Moderado"),AND(AF46="Alta",AH46="Mayor"),AND(AF46="Muy Alta",AH46="Leve"),AND(AF46="Muy Alta",AH46="Menor"),AND(AF46="Muy Alta",AH46="Moderado"),AND(AF46="Muy Alta",AH46="Mayor")),"Alto",IF(OR(AND(AF46="Muy Baja",AH46="Catastrófico"),AND(AF46="Baja",AH46="Catastrófico"),AND(AF46="Media",AH46="Catastrófico"),AND(AF46="Alta",AH46="Catastrófico"),AND(AF46="Muy Alta",AH46="Catastrófico")),"Extremo","")))),"")</f>
        <v/>
      </c>
      <c r="AK46" s="195"/>
      <c r="AL46" s="186"/>
      <c r="AM46" s="196"/>
      <c r="AN46" s="196"/>
      <c r="AO46" s="197"/>
      <c r="AP46" s="381"/>
      <c r="AQ46" s="381"/>
      <c r="AR46" s="381"/>
    </row>
    <row r="47" spans="1:44" x14ac:dyDescent="0.2">
      <c r="A47" s="418"/>
      <c r="B47" s="387"/>
      <c r="C47" s="387"/>
      <c r="D47" s="387"/>
      <c r="E47" s="360"/>
      <c r="F47" s="387"/>
      <c r="G47" s="360"/>
      <c r="H47" s="360"/>
      <c r="I47" s="360"/>
      <c r="J47" s="360"/>
      <c r="K47" s="360"/>
      <c r="L47" s="360"/>
      <c r="M47" s="360"/>
      <c r="N47" s="381"/>
      <c r="O47" s="367"/>
      <c r="P47" s="364"/>
      <c r="Q47" s="353"/>
      <c r="R47" s="364">
        <f>IF(NOT(ISERROR(MATCH(Q47,_xlfn.ANCHORARRAY(E58),0))),P60&amp;"Por favor no seleccionar los criterios de impacto",Q47)</f>
        <v>0</v>
      </c>
      <c r="S47" s="367"/>
      <c r="T47" s="364"/>
      <c r="U47" s="362"/>
      <c r="V47" s="214">
        <v>5</v>
      </c>
      <c r="W47" s="187"/>
      <c r="X47" s="189" t="str">
        <f t="shared" si="51"/>
        <v/>
      </c>
      <c r="Y47" s="190"/>
      <c r="Z47" s="190"/>
      <c r="AA47" s="191" t="str">
        <f t="shared" si="46"/>
        <v/>
      </c>
      <c r="AB47" s="190"/>
      <c r="AC47" s="190"/>
      <c r="AD47" s="190"/>
      <c r="AE47" s="192" t="str">
        <f t="shared" si="52"/>
        <v/>
      </c>
      <c r="AF47" s="193" t="str">
        <f t="shared" si="2"/>
        <v/>
      </c>
      <c r="AG47" s="191" t="str">
        <f t="shared" si="47"/>
        <v/>
      </c>
      <c r="AH47" s="193" t="str">
        <f t="shared" si="4"/>
        <v/>
      </c>
      <c r="AI47" s="191" t="str">
        <f t="shared" si="14"/>
        <v/>
      </c>
      <c r="AJ47" s="194" t="str">
        <f t="shared" ref="AJ47" si="53">IFERROR(IF(OR(AND(AF47="Muy Baja",AH47="Leve"),AND(AF47="Muy Baja",AH47="Menor"),AND(AF47="Baja",AH47="Leve")),"Bajo",IF(OR(AND(AF47="Muy baja",AH47="Moderado"),AND(AF47="Baja",AH47="Menor"),AND(AF47="Baja",AH47="Moderado"),AND(AF47="Media",AH47="Leve"),AND(AF47="Media",AH47="Menor"),AND(AF47="Media",AH47="Moderado"),AND(AF47="Alta",AH47="Leve"),AND(AF47="Alta",AH47="Menor")),"Moderado",IF(OR(AND(AF47="Muy Baja",AH47="Mayor"),AND(AF47="Baja",AH47="Mayor"),AND(AF47="Media",AH47="Mayor"),AND(AF47="Alta",AH47="Moderado"),AND(AF47="Alta",AH47="Mayor"),AND(AF47="Muy Alta",AH47="Leve"),AND(AF47="Muy Alta",AH47="Menor"),AND(AF47="Muy Alta",AH47="Moderado"),AND(AF47="Muy Alta",AH47="Mayor")),"Alto",IF(OR(AND(AF47="Muy Baja",AH47="Catastrófico"),AND(AF47="Baja",AH47="Catastrófico"),AND(AF47="Media",AH47="Catastrófico"),AND(AF47="Alta",AH47="Catastrófico"),AND(AF47="Muy Alta",AH47="Catastrófico")),"Extremo","")))),"")</f>
        <v/>
      </c>
      <c r="AK47" s="195"/>
      <c r="AL47" s="186"/>
      <c r="AM47" s="196"/>
      <c r="AN47" s="196"/>
      <c r="AO47" s="197"/>
      <c r="AP47" s="381"/>
      <c r="AQ47" s="381"/>
      <c r="AR47" s="381"/>
    </row>
    <row r="48" spans="1:44" x14ac:dyDescent="0.2">
      <c r="A48" s="418"/>
      <c r="B48" s="387"/>
      <c r="C48" s="387"/>
      <c r="D48" s="387"/>
      <c r="E48" s="373"/>
      <c r="F48" s="387"/>
      <c r="G48" s="373"/>
      <c r="H48" s="373"/>
      <c r="I48" s="373"/>
      <c r="J48" s="373"/>
      <c r="K48" s="373"/>
      <c r="L48" s="373"/>
      <c r="M48" s="373"/>
      <c r="N48" s="381"/>
      <c r="O48" s="367"/>
      <c r="P48" s="364"/>
      <c r="Q48" s="353"/>
      <c r="R48" s="364">
        <f>IF(NOT(ISERROR(MATCH(Q48,_xlfn.ANCHORARRAY(E59),0))),P61&amp;"Por favor no seleccionar los criterios de impacto",Q48)</f>
        <v>0</v>
      </c>
      <c r="S48" s="367"/>
      <c r="T48" s="364"/>
      <c r="U48" s="362"/>
      <c r="V48" s="214">
        <v>6</v>
      </c>
      <c r="W48" s="187"/>
      <c r="X48" s="189" t="str">
        <f t="shared" si="51"/>
        <v/>
      </c>
      <c r="Y48" s="190"/>
      <c r="Z48" s="190"/>
      <c r="AA48" s="191" t="str">
        <f t="shared" si="46"/>
        <v/>
      </c>
      <c r="AB48" s="190"/>
      <c r="AC48" s="190"/>
      <c r="AD48" s="190"/>
      <c r="AE48" s="192" t="str">
        <f t="shared" si="52"/>
        <v/>
      </c>
      <c r="AF48" s="193" t="str">
        <f t="shared" si="2"/>
        <v/>
      </c>
      <c r="AG48" s="191" t="str">
        <f t="shared" si="47"/>
        <v/>
      </c>
      <c r="AH48" s="193" t="str">
        <f>IFERROR(IF(AI48="","",IF(AI48&lt;=0.2,"Leve",IF(AI48&lt;=0.4,"Menor",IF(AI48&lt;=0.6,"Moderado",IF(AI48&lt;=0.8,"Mayor","Catastrófico"))))),"")</f>
        <v/>
      </c>
      <c r="AI48" s="191" t="str">
        <f t="shared" si="14"/>
        <v/>
      </c>
      <c r="AJ48" s="194" t="str">
        <f>IFERROR(IF(OR(AND(AF48="Muy Baja",AH48="Leve"),AND(AF48="Muy Baja",AH48="Menor"),AND(AF48="Baja",AH48="Leve")),"Bajo",IF(OR(AND(AF48="Muy baja",AH48="Moderado"),AND(AF48="Baja",AH48="Menor"),AND(AF48="Baja",AH48="Moderado"),AND(AF48="Media",AH48="Leve"),AND(AF48="Media",AH48="Menor"),AND(AF48="Media",AH48="Moderado"),AND(AF48="Alta",AH48="Leve"),AND(AF48="Alta",AH48="Menor")),"Moderado",IF(OR(AND(AF48="Muy Baja",AH48="Mayor"),AND(AF48="Baja",AH48="Mayor"),AND(AF48="Media",AH48="Mayor"),AND(AF48="Alta",AH48="Moderado"),AND(AF48="Alta",AH48="Mayor"),AND(AF48="Muy Alta",AH48="Leve"),AND(AF48="Muy Alta",AH48="Menor"),AND(AF48="Muy Alta",AH48="Moderado"),AND(AF48="Muy Alta",AH48="Mayor")),"Alto",IF(OR(AND(AF48="Muy Baja",AH48="Catastrófico"),AND(AF48="Baja",AH48="Catastrófico"),AND(AF48="Media",AH48="Catastrófico"),AND(AF48="Alta",AH48="Catastrófico"),AND(AF48="Muy Alta",AH48="Catastrófico")),"Extremo","")))),"")</f>
        <v/>
      </c>
      <c r="AK48" s="195"/>
      <c r="AL48" s="186"/>
      <c r="AM48" s="196"/>
      <c r="AN48" s="196"/>
      <c r="AO48" s="197"/>
      <c r="AP48" s="381"/>
      <c r="AQ48" s="381"/>
      <c r="AR48" s="381"/>
    </row>
    <row r="49" spans="1:44" x14ac:dyDescent="0.2">
      <c r="A49" s="418">
        <v>7</v>
      </c>
      <c r="B49" s="387"/>
      <c r="C49" s="387"/>
      <c r="D49" s="421"/>
      <c r="E49" s="387"/>
      <c r="F49" s="387"/>
      <c r="G49" s="392"/>
      <c r="H49" s="392"/>
      <c r="I49" s="392"/>
      <c r="J49" s="392"/>
      <c r="K49" s="392"/>
      <c r="L49" s="392"/>
      <c r="M49" s="392"/>
      <c r="N49" s="381"/>
      <c r="O49" s="367" t="str">
        <f>IF(N49&lt;=0,"",IF(N49&lt;=2,"Muy Baja",IF(N49&lt;=24,"Baja",IF(N49&lt;=500,"Media",IF(N49&lt;=5000,"Alta","Muy Alta")))))</f>
        <v/>
      </c>
      <c r="P49" s="364" t="str">
        <f>IF(O49="","",IF(O49="Muy Baja",0.2,IF(O49="Baja",0.4,IF(O49="Media",0.6,IF(O49="Alta",0.8,IF(O49="Muy Alta",1,))))))</f>
        <v/>
      </c>
      <c r="Q49" s="353"/>
      <c r="R49" s="364">
        <f>IF(NOT(ISERROR(MATCH(Q49,'Tabla Impacto'!$B$222:$B$224,0))),'Tabla Impacto'!$F$224&amp;"Por favor no seleccionar los criterios de impacto(Afectación Económica o presupuestal y Pérdida Reputacional)",Q49)</f>
        <v>0</v>
      </c>
      <c r="S49" s="367" t="str">
        <f>IF(OR(R49='Tabla Impacto'!$C$12,R49='Tabla Impacto'!$D$12),"Leve",IF(OR(R49='Tabla Impacto'!$C$13,R49='Tabla Impacto'!$D$13),"Menor",IF(OR(R49='Tabla Impacto'!$C$14,R49='Tabla Impacto'!$D$14),"Moderado",IF(OR(R49='Tabla Impacto'!$C$15,R49='Tabla Impacto'!$D$15),"Mayor",IF(OR(R49='Tabla Impacto'!$C$16,R49='Tabla Impacto'!$D$16),"Catastrófico","")))))</f>
        <v/>
      </c>
      <c r="T49" s="364" t="str">
        <f>IF(S49="","",IF(S49="Leve",0.2,IF(S49="Menor",0.4,IF(S49="Moderado",0.6,IF(S49="Mayor",0.8,IF(S49="Catastrófico",1,))))))</f>
        <v/>
      </c>
      <c r="U49" s="362" t="str">
        <f>IF(OR(AND(O49="Muy Baja",S49="Leve"),AND(O49="Muy Baja",S49="Menor"),AND(O49="Baja",S49="Leve")),"Bajo",IF(OR(AND(O49="Muy baja",S49="Moderado"),AND(O49="Baja",S49="Menor"),AND(O49="Baja",S49="Moderado"),AND(O49="Media",S49="Leve"),AND(O49="Media",S49="Menor"),AND(O49="Media",S49="Moderado"),AND(O49="Alta",S49="Leve"),AND(O49="Alta",S49="Menor")),"Moderado",IF(OR(AND(O49="Muy Baja",S49="Mayor"),AND(O49="Baja",S49="Mayor"),AND(O49="Media",S49="Mayor"),AND(O49="Alta",S49="Moderado"),AND(O49="Alta",S49="Mayor"),AND(O49="Muy Alta",S49="Leve"),AND(O49="Muy Alta",S49="Menor"),AND(O49="Muy Alta",S49="Moderado"),AND(O49="Muy Alta",S49="Mayor")),"Alto",IF(OR(AND(O49="Muy Baja",S49="Catastrófico"),AND(O49="Baja",S49="Catastrófico"),AND(O49="Media",S49="Catastrófico"),AND(O49="Alta",S49="Catastrófico"),AND(O49="Muy Alta",S49="Catastrófico")),"Extremo",""))))</f>
        <v/>
      </c>
      <c r="V49" s="214">
        <v>1</v>
      </c>
      <c r="W49" s="199"/>
      <c r="X49" s="189" t="str">
        <f>IF(OR(Y49="Preventivo",Y49="Detectivo"),"Probabilidad",IF(Y49="Correctivo","Impacto",""))</f>
        <v/>
      </c>
      <c r="Y49" s="190"/>
      <c r="Z49" s="190"/>
      <c r="AA49" s="191" t="str">
        <f>IF(AND(Y49="Preventivo",Z49="Automático"),"50%",IF(AND(Y49="Preventivo",Z49="Manual"),"40%",IF(AND(Y49="Detectivo",Z49="Automático"),"40%",IF(AND(Y49="Detectivo",Z49="Manual"),"30%",IF(AND(Y49="Correctivo",Z49="Automático"),"35%",IF(AND(Y49="Correctivo",Z49="Manual"),"25%",""))))))</f>
        <v/>
      </c>
      <c r="AB49" s="190"/>
      <c r="AC49" s="190"/>
      <c r="AD49" s="190"/>
      <c r="AE49" s="192" t="str">
        <f>IFERROR(IF(X49="Probabilidad",(P49-(+P49*AA49)),IF(X49="Impacto",P49,"")),"")</f>
        <v/>
      </c>
      <c r="AF49" s="193" t="str">
        <f>IFERROR(IF(AE49="","",IF(AE49&lt;=0.2,"Muy Baja",IF(AE49&lt;=0.4,"Baja",IF(AE49&lt;=0.6,"Media",IF(AE49&lt;=0.8,"Alta","Muy Alta"))))),"")</f>
        <v/>
      </c>
      <c r="AG49" s="191" t="str">
        <f>+AE49</f>
        <v/>
      </c>
      <c r="AH49" s="193" t="str">
        <f>IFERROR(IF(AI49="","",IF(AI49&lt;=0.2,"Leve",IF(AI49&lt;=0.4,"Menor",IF(AI49&lt;=0.6,"Moderado",IF(AI49&lt;=0.8,"Mayor","Catastrófico"))))),"")</f>
        <v/>
      </c>
      <c r="AI49" s="191" t="str">
        <f t="shared" ref="AI49" si="54">IFERROR(IF(X49="Impacto",(T49-(+T49*AA49)),IF(X49="Probabilidad",T49,"")),"")</f>
        <v/>
      </c>
      <c r="AJ49" s="194" t="str">
        <f>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
      </c>
      <c r="AK49" s="195"/>
      <c r="AL49" s="186"/>
      <c r="AM49" s="196"/>
      <c r="AN49" s="196"/>
      <c r="AO49" s="197"/>
      <c r="AP49" s="381"/>
      <c r="AQ49" s="381"/>
      <c r="AR49" s="381"/>
    </row>
    <row r="50" spans="1:44" x14ac:dyDescent="0.2">
      <c r="A50" s="418"/>
      <c r="B50" s="387"/>
      <c r="C50" s="387"/>
      <c r="D50" s="421"/>
      <c r="E50" s="387"/>
      <c r="F50" s="387"/>
      <c r="G50" s="360"/>
      <c r="H50" s="360"/>
      <c r="I50" s="360"/>
      <c r="J50" s="360"/>
      <c r="K50" s="360"/>
      <c r="L50" s="360"/>
      <c r="M50" s="360"/>
      <c r="N50" s="381"/>
      <c r="O50" s="367"/>
      <c r="P50" s="364"/>
      <c r="Q50" s="353"/>
      <c r="R50" s="364">
        <f>IF(NOT(ISERROR(MATCH(Q50,_xlfn.ANCHORARRAY(E61),0))),P63&amp;"Por favor no seleccionar los criterios de impacto",Q50)</f>
        <v>0</v>
      </c>
      <c r="S50" s="367"/>
      <c r="T50" s="364"/>
      <c r="U50" s="362"/>
      <c r="V50" s="214">
        <v>2</v>
      </c>
      <c r="W50" s="187"/>
      <c r="X50" s="189" t="str">
        <f>IF(OR(Y50="Preventivo",Y50="Detectivo"),"Probabilidad",IF(Y50="Correctivo","Impacto",""))</f>
        <v/>
      </c>
      <c r="Y50" s="190"/>
      <c r="Z50" s="190"/>
      <c r="AA50" s="191" t="str">
        <f t="shared" ref="AA50:AA54" si="55">IF(AND(Y50="Preventivo",Z50="Automático"),"50%",IF(AND(Y50="Preventivo",Z50="Manual"),"40%",IF(AND(Y50="Detectivo",Z50="Automático"),"40%",IF(AND(Y50="Detectivo",Z50="Manual"),"30%",IF(AND(Y50="Correctivo",Z50="Automático"),"35%",IF(AND(Y50="Correctivo",Z50="Manual"),"25%",""))))))</f>
        <v/>
      </c>
      <c r="AB50" s="190"/>
      <c r="AC50" s="190"/>
      <c r="AD50" s="190"/>
      <c r="AE50" s="192" t="str">
        <f>IFERROR(IF(AND(X49="Probabilidad",X50="Probabilidad"),(AG49-(+AG49*AA50)),IF(X50="Probabilidad",(P49-(+P49*AA50)),IF(X50="Impacto",AG49,""))),"")</f>
        <v/>
      </c>
      <c r="AF50" s="193" t="str">
        <f t="shared" si="2"/>
        <v/>
      </c>
      <c r="AG50" s="191" t="str">
        <f t="shared" ref="AG50:AG54" si="56">+AE50</f>
        <v/>
      </c>
      <c r="AH50" s="193" t="str">
        <f t="shared" si="4"/>
        <v/>
      </c>
      <c r="AI50" s="191" t="str">
        <f t="shared" ref="AI50" si="57">IFERROR(IF(AND(X49="Impacto",X50="Impacto"),(AI49-(+AI49*AA50)),IF(X50="Impacto",($T$13-(+$T$13*AA50)),IF(X50="Probabilidad",AI49,""))),"")</f>
        <v/>
      </c>
      <c r="AJ50" s="194" t="str">
        <f t="shared" ref="AJ50:AJ51" si="58">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
      </c>
      <c r="AK50" s="195"/>
      <c r="AL50" s="186"/>
      <c r="AM50" s="196"/>
      <c r="AN50" s="196"/>
      <c r="AO50" s="197"/>
      <c r="AP50" s="381"/>
      <c r="AQ50" s="381"/>
      <c r="AR50" s="381"/>
    </row>
    <row r="51" spans="1:44" x14ac:dyDescent="0.2">
      <c r="A51" s="418"/>
      <c r="B51" s="387"/>
      <c r="C51" s="387"/>
      <c r="D51" s="421"/>
      <c r="E51" s="387"/>
      <c r="F51" s="387"/>
      <c r="G51" s="360"/>
      <c r="H51" s="360"/>
      <c r="I51" s="360"/>
      <c r="J51" s="360"/>
      <c r="K51" s="360"/>
      <c r="L51" s="360"/>
      <c r="M51" s="360"/>
      <c r="N51" s="381"/>
      <c r="O51" s="367"/>
      <c r="P51" s="364"/>
      <c r="Q51" s="353"/>
      <c r="R51" s="364">
        <f>IF(NOT(ISERROR(MATCH(Q51,_xlfn.ANCHORARRAY(E62),0))),P64&amp;"Por favor no seleccionar los criterios de impacto",Q51)</f>
        <v>0</v>
      </c>
      <c r="S51" s="367"/>
      <c r="T51" s="364"/>
      <c r="U51" s="362"/>
      <c r="V51" s="214">
        <v>3</v>
      </c>
      <c r="W51" s="188"/>
      <c r="X51" s="189" t="str">
        <f>IF(OR(Y51="Preventivo",Y51="Detectivo"),"Probabilidad",IF(Y51="Correctivo","Impacto",""))</f>
        <v/>
      </c>
      <c r="Y51" s="190"/>
      <c r="Z51" s="190"/>
      <c r="AA51" s="191" t="str">
        <f t="shared" si="55"/>
        <v/>
      </c>
      <c r="AB51" s="190"/>
      <c r="AC51" s="190"/>
      <c r="AD51" s="190"/>
      <c r="AE51" s="192" t="str">
        <f>IFERROR(IF(AND(X50="Probabilidad",X51="Probabilidad"),(AG50-(+AG50*AA51)),IF(AND(X50="Impacto",X51="Probabilidad"),(AG49-(+AG49*AA51)),IF(X51="Impacto",AG50,""))),"")</f>
        <v/>
      </c>
      <c r="AF51" s="193" t="str">
        <f t="shared" si="2"/>
        <v/>
      </c>
      <c r="AG51" s="191" t="str">
        <f t="shared" si="56"/>
        <v/>
      </c>
      <c r="AH51" s="193" t="str">
        <f t="shared" si="4"/>
        <v/>
      </c>
      <c r="AI51" s="191" t="str">
        <f t="shared" ref="AI51" si="59">IFERROR(IF(AND(X50="Impacto",X51="Impacto"),(AI50-(+AI50*AA51)),IF(AND(X50="Probabilidad",X51="Impacto"),(AI49-(+AI49*AA51)),IF(X51="Probabilidad",AI50,""))),"")</f>
        <v/>
      </c>
      <c r="AJ51" s="194" t="str">
        <f t="shared" si="58"/>
        <v/>
      </c>
      <c r="AK51" s="195"/>
      <c r="AL51" s="186"/>
      <c r="AM51" s="196"/>
      <c r="AN51" s="196"/>
      <c r="AO51" s="197"/>
      <c r="AP51" s="381"/>
      <c r="AQ51" s="381"/>
      <c r="AR51" s="381"/>
    </row>
    <row r="52" spans="1:44" x14ac:dyDescent="0.2">
      <c r="A52" s="418"/>
      <c r="B52" s="387"/>
      <c r="C52" s="387"/>
      <c r="D52" s="421"/>
      <c r="E52" s="387"/>
      <c r="F52" s="387"/>
      <c r="G52" s="360"/>
      <c r="H52" s="360"/>
      <c r="I52" s="360"/>
      <c r="J52" s="360"/>
      <c r="K52" s="360"/>
      <c r="L52" s="360"/>
      <c r="M52" s="360"/>
      <c r="N52" s="381"/>
      <c r="O52" s="367"/>
      <c r="P52" s="364"/>
      <c r="Q52" s="353"/>
      <c r="R52" s="364">
        <f>IF(NOT(ISERROR(MATCH(Q52,_xlfn.ANCHORARRAY(E63),0))),P65&amp;"Por favor no seleccionar los criterios de impacto",Q52)</f>
        <v>0</v>
      </c>
      <c r="S52" s="367"/>
      <c r="T52" s="364"/>
      <c r="U52" s="362"/>
      <c r="V52" s="214">
        <v>4</v>
      </c>
      <c r="W52" s="187"/>
      <c r="X52" s="189" t="str">
        <f t="shared" ref="X52:X54" si="60">IF(OR(Y52="Preventivo",Y52="Detectivo"),"Probabilidad",IF(Y52="Correctivo","Impacto",""))</f>
        <v/>
      </c>
      <c r="Y52" s="190"/>
      <c r="Z52" s="190"/>
      <c r="AA52" s="191" t="str">
        <f t="shared" si="55"/>
        <v/>
      </c>
      <c r="AB52" s="190"/>
      <c r="AC52" s="190"/>
      <c r="AD52" s="190"/>
      <c r="AE52" s="192" t="str">
        <f t="shared" ref="AE52:AE54" si="61">IFERROR(IF(AND(X51="Probabilidad",X52="Probabilidad"),(AG51-(+AG51*AA52)),IF(AND(X51="Impacto",X52="Probabilidad"),(AG50-(+AG50*AA52)),IF(X52="Impacto",AG51,""))),"")</f>
        <v/>
      </c>
      <c r="AF52" s="193" t="str">
        <f t="shared" si="2"/>
        <v/>
      </c>
      <c r="AG52" s="191" t="str">
        <f t="shared" si="56"/>
        <v/>
      </c>
      <c r="AH52" s="193" t="str">
        <f t="shared" si="4"/>
        <v/>
      </c>
      <c r="AI52" s="191" t="str">
        <f t="shared" si="14"/>
        <v/>
      </c>
      <c r="AJ52" s="194" t="str">
        <f>IFERROR(IF(OR(AND(AF52="Muy Baja",AH52="Leve"),AND(AF52="Muy Baja",AH52="Menor"),AND(AF52="Baja",AH52="Leve")),"Bajo",IF(OR(AND(AF52="Muy baja",AH52="Moderado"),AND(AF52="Baja",AH52="Menor"),AND(AF52="Baja",AH52="Moderado"),AND(AF52="Media",AH52="Leve"),AND(AF52="Media",AH52="Menor"),AND(AF52="Media",AH52="Moderado"),AND(AF52="Alta",AH52="Leve"),AND(AF52="Alta",AH52="Menor")),"Moderado",IF(OR(AND(AF52="Muy Baja",AH52="Mayor"),AND(AF52="Baja",AH52="Mayor"),AND(AF52="Media",AH52="Mayor"),AND(AF52="Alta",AH52="Moderado"),AND(AF52="Alta",AH52="Mayor"),AND(AF52="Muy Alta",AH52="Leve"),AND(AF52="Muy Alta",AH52="Menor"),AND(AF52="Muy Alta",AH52="Moderado"),AND(AF52="Muy Alta",AH52="Mayor")),"Alto",IF(OR(AND(AF52="Muy Baja",AH52="Catastrófico"),AND(AF52="Baja",AH52="Catastrófico"),AND(AF52="Media",AH52="Catastrófico"),AND(AF52="Alta",AH52="Catastrófico"),AND(AF52="Muy Alta",AH52="Catastrófico")),"Extremo","")))),"")</f>
        <v/>
      </c>
      <c r="AK52" s="195"/>
      <c r="AL52" s="186"/>
      <c r="AM52" s="196"/>
      <c r="AN52" s="196"/>
      <c r="AO52" s="197"/>
      <c r="AP52" s="381"/>
      <c r="AQ52" s="381"/>
      <c r="AR52" s="381"/>
    </row>
    <row r="53" spans="1:44" x14ac:dyDescent="0.2">
      <c r="A53" s="418"/>
      <c r="B53" s="387"/>
      <c r="C53" s="387"/>
      <c r="D53" s="421"/>
      <c r="E53" s="387"/>
      <c r="F53" s="387"/>
      <c r="G53" s="360"/>
      <c r="H53" s="360"/>
      <c r="I53" s="360"/>
      <c r="J53" s="360"/>
      <c r="K53" s="360"/>
      <c r="L53" s="360"/>
      <c r="M53" s="360"/>
      <c r="N53" s="381"/>
      <c r="O53" s="367"/>
      <c r="P53" s="364"/>
      <c r="Q53" s="353"/>
      <c r="R53" s="364">
        <f>IF(NOT(ISERROR(MATCH(Q53,_xlfn.ANCHORARRAY(E64),0))),P66&amp;"Por favor no seleccionar los criterios de impacto",Q53)</f>
        <v>0</v>
      </c>
      <c r="S53" s="367"/>
      <c r="T53" s="364"/>
      <c r="U53" s="362"/>
      <c r="V53" s="214">
        <v>5</v>
      </c>
      <c r="W53" s="187"/>
      <c r="X53" s="189" t="str">
        <f t="shared" si="60"/>
        <v/>
      </c>
      <c r="Y53" s="190"/>
      <c r="Z53" s="190"/>
      <c r="AA53" s="191" t="str">
        <f t="shared" si="55"/>
        <v/>
      </c>
      <c r="AB53" s="190"/>
      <c r="AC53" s="190"/>
      <c r="AD53" s="190"/>
      <c r="AE53" s="192" t="str">
        <f t="shared" si="61"/>
        <v/>
      </c>
      <c r="AF53" s="193" t="str">
        <f t="shared" si="2"/>
        <v/>
      </c>
      <c r="AG53" s="191" t="str">
        <f t="shared" si="56"/>
        <v/>
      </c>
      <c r="AH53" s="193" t="str">
        <f t="shared" si="4"/>
        <v/>
      </c>
      <c r="AI53" s="191" t="str">
        <f t="shared" si="14"/>
        <v/>
      </c>
      <c r="AJ53" s="194" t="str">
        <f t="shared" ref="AJ53:AJ54" si="62">IFERROR(IF(OR(AND(AF53="Muy Baja",AH53="Leve"),AND(AF53="Muy Baja",AH53="Menor"),AND(AF53="Baja",AH53="Leve")),"Bajo",IF(OR(AND(AF53="Muy baja",AH53="Moderado"),AND(AF53="Baja",AH53="Menor"),AND(AF53="Baja",AH53="Moderado"),AND(AF53="Media",AH53="Leve"),AND(AF53="Media",AH53="Menor"),AND(AF53="Media",AH53="Moderado"),AND(AF53="Alta",AH53="Leve"),AND(AF53="Alta",AH53="Menor")),"Moderado",IF(OR(AND(AF53="Muy Baja",AH53="Mayor"),AND(AF53="Baja",AH53="Mayor"),AND(AF53="Media",AH53="Mayor"),AND(AF53="Alta",AH53="Moderado"),AND(AF53="Alta",AH53="Mayor"),AND(AF53="Muy Alta",AH53="Leve"),AND(AF53="Muy Alta",AH53="Menor"),AND(AF53="Muy Alta",AH53="Moderado"),AND(AF53="Muy Alta",AH53="Mayor")),"Alto",IF(OR(AND(AF53="Muy Baja",AH53="Catastrófico"),AND(AF53="Baja",AH53="Catastrófico"),AND(AF53="Media",AH53="Catastrófico"),AND(AF53="Alta",AH53="Catastrófico"),AND(AF53="Muy Alta",AH53="Catastrófico")),"Extremo","")))),"")</f>
        <v/>
      </c>
      <c r="AK53" s="195"/>
      <c r="AL53" s="186"/>
      <c r="AM53" s="196"/>
      <c r="AN53" s="196"/>
      <c r="AO53" s="197"/>
      <c r="AP53" s="381"/>
      <c r="AQ53" s="381"/>
      <c r="AR53" s="381"/>
    </row>
    <row r="54" spans="1:44" x14ac:dyDescent="0.2">
      <c r="A54" s="418"/>
      <c r="B54" s="387"/>
      <c r="C54" s="387"/>
      <c r="D54" s="421"/>
      <c r="E54" s="387"/>
      <c r="F54" s="387"/>
      <c r="G54" s="373"/>
      <c r="H54" s="373"/>
      <c r="I54" s="373"/>
      <c r="J54" s="373"/>
      <c r="K54" s="373"/>
      <c r="L54" s="373"/>
      <c r="M54" s="373"/>
      <c r="N54" s="381"/>
      <c r="O54" s="367"/>
      <c r="P54" s="364"/>
      <c r="Q54" s="353"/>
      <c r="R54" s="364">
        <f>IF(NOT(ISERROR(MATCH(Q54,_xlfn.ANCHORARRAY(E65),0))),P67&amp;"Por favor no seleccionar los criterios de impacto",Q54)</f>
        <v>0</v>
      </c>
      <c r="S54" s="367"/>
      <c r="T54" s="364"/>
      <c r="U54" s="362"/>
      <c r="V54" s="214">
        <v>6</v>
      </c>
      <c r="W54" s="187"/>
      <c r="X54" s="189" t="str">
        <f t="shared" si="60"/>
        <v/>
      </c>
      <c r="Y54" s="190"/>
      <c r="Z54" s="190"/>
      <c r="AA54" s="191" t="str">
        <f t="shared" si="55"/>
        <v/>
      </c>
      <c r="AB54" s="190"/>
      <c r="AC54" s="190"/>
      <c r="AD54" s="190"/>
      <c r="AE54" s="192" t="str">
        <f t="shared" si="61"/>
        <v/>
      </c>
      <c r="AF54" s="193" t="str">
        <f t="shared" si="2"/>
        <v/>
      </c>
      <c r="AG54" s="191" t="str">
        <f t="shared" si="56"/>
        <v/>
      </c>
      <c r="AH54" s="193" t="str">
        <f t="shared" si="4"/>
        <v/>
      </c>
      <c r="AI54" s="191" t="str">
        <f t="shared" si="14"/>
        <v/>
      </c>
      <c r="AJ54" s="194" t="str">
        <f t="shared" si="62"/>
        <v/>
      </c>
      <c r="AK54" s="195"/>
      <c r="AL54" s="186"/>
      <c r="AM54" s="196"/>
      <c r="AN54" s="196"/>
      <c r="AO54" s="197"/>
      <c r="AP54" s="381"/>
      <c r="AQ54" s="381"/>
      <c r="AR54" s="381"/>
    </row>
    <row r="55" spans="1:44" x14ac:dyDescent="0.2">
      <c r="A55" s="418">
        <v>8</v>
      </c>
      <c r="B55" s="387"/>
      <c r="C55" s="387"/>
      <c r="D55" s="387"/>
      <c r="E55" s="387"/>
      <c r="F55" s="387"/>
      <c r="G55" s="392"/>
      <c r="H55" s="392"/>
      <c r="I55" s="392"/>
      <c r="J55" s="392"/>
      <c r="K55" s="392"/>
      <c r="L55" s="392"/>
      <c r="M55" s="392"/>
      <c r="N55" s="381"/>
      <c r="O55" s="367" t="str">
        <f>IF(N55&lt;=0,"",IF(N55&lt;=2,"Muy Baja",IF(N55&lt;=24,"Baja",IF(N55&lt;=500,"Media",IF(N55&lt;=5000,"Alta","Muy Alta")))))</f>
        <v/>
      </c>
      <c r="P55" s="364" t="str">
        <f>IF(O55="","",IF(O55="Muy Baja",0.2,IF(O55="Baja",0.4,IF(O55="Media",0.6,IF(O55="Alta",0.8,IF(O55="Muy Alta",1,))))))</f>
        <v/>
      </c>
      <c r="Q55" s="353"/>
      <c r="R55" s="364">
        <f>IF(NOT(ISERROR(MATCH(Q55,'Tabla Impacto'!$B$222:$B$224,0))),'Tabla Impacto'!$F$224&amp;"Por favor no seleccionar los criterios de impacto(Afectación Económica o presupuestal y Pérdida Reputacional)",Q55)</f>
        <v>0</v>
      </c>
      <c r="S55" s="367" t="str">
        <f>IF(OR(R55='Tabla Impacto'!$C$12,R55='Tabla Impacto'!$D$12),"Leve",IF(OR(R55='Tabla Impacto'!$C$13,R55='Tabla Impacto'!$D$13),"Menor",IF(OR(R55='Tabla Impacto'!$C$14,R55='Tabla Impacto'!$D$14),"Moderado",IF(OR(R55='Tabla Impacto'!$C$15,R55='Tabla Impacto'!$D$15),"Mayor",IF(OR(R55='Tabla Impacto'!$C$16,R55='Tabla Impacto'!$D$16),"Catastrófico","")))))</f>
        <v/>
      </c>
      <c r="T55" s="364" t="str">
        <f>IF(S55="","",IF(S55="Leve",0.2,IF(S55="Menor",0.4,IF(S55="Moderado",0.6,IF(S55="Mayor",0.8,IF(S55="Catastrófico",1,))))))</f>
        <v/>
      </c>
      <c r="U55" s="362" t="str">
        <f>IF(OR(AND(O55="Muy Baja",S55="Leve"),AND(O55="Muy Baja",S55="Menor"),AND(O55="Baja",S55="Leve")),"Bajo",IF(OR(AND(O55="Muy baja",S55="Moderado"),AND(O55="Baja",S55="Menor"),AND(O55="Baja",S55="Moderado"),AND(O55="Media",S55="Leve"),AND(O55="Media",S55="Menor"),AND(O55="Media",S55="Moderado"),AND(O55="Alta",S55="Leve"),AND(O55="Alta",S55="Menor")),"Moderado",IF(OR(AND(O55="Muy Baja",S55="Mayor"),AND(O55="Baja",S55="Mayor"),AND(O55="Media",S55="Mayor"),AND(O55="Alta",S55="Moderado"),AND(O55="Alta",S55="Mayor"),AND(O55="Muy Alta",S55="Leve"),AND(O55="Muy Alta",S55="Menor"),AND(O55="Muy Alta",S55="Moderado"),AND(O55="Muy Alta",S55="Mayor")),"Alto",IF(OR(AND(O55="Muy Baja",S55="Catastrófico"),AND(O55="Baja",S55="Catastrófico"),AND(O55="Media",S55="Catastrófico"),AND(O55="Alta",S55="Catastrófico"),AND(O55="Muy Alta",S55="Catastrófico")),"Extremo",""))))</f>
        <v/>
      </c>
      <c r="V55" s="214">
        <v>1</v>
      </c>
      <c r="W55" s="187"/>
      <c r="X55" s="189" t="str">
        <f>IF(OR(Y55="Preventivo",Y55="Detectivo"),"Probabilidad",IF(Y55="Correctivo","Impacto",""))</f>
        <v/>
      </c>
      <c r="Y55" s="190"/>
      <c r="Z55" s="190"/>
      <c r="AA55" s="191" t="str">
        <f>IF(AND(Y55="Preventivo",Z55="Automático"),"50%",IF(AND(Y55="Preventivo",Z55="Manual"),"40%",IF(AND(Y55="Detectivo",Z55="Automático"),"40%",IF(AND(Y55="Detectivo",Z55="Manual"),"30%",IF(AND(Y55="Correctivo",Z55="Automático"),"35%",IF(AND(Y55="Correctivo",Z55="Manual"),"25%",""))))))</f>
        <v/>
      </c>
      <c r="AB55" s="190"/>
      <c r="AC55" s="190"/>
      <c r="AD55" s="190"/>
      <c r="AE55" s="192" t="str">
        <f>IFERROR(IF(X55="Probabilidad",(P55-(+P55*AA55)),IF(X55="Impacto",P55,"")),"")</f>
        <v/>
      </c>
      <c r="AF55" s="193" t="str">
        <f>IFERROR(IF(AE55="","",IF(AE55&lt;=0.2,"Muy Baja",IF(AE55&lt;=0.4,"Baja",IF(AE55&lt;=0.6,"Media",IF(AE55&lt;=0.8,"Alta","Muy Alta"))))),"")</f>
        <v/>
      </c>
      <c r="AG55" s="191" t="str">
        <f>+AE55</f>
        <v/>
      </c>
      <c r="AH55" s="193" t="str">
        <f>IFERROR(IF(AI55="","",IF(AI55&lt;=0.2,"Leve",IF(AI55&lt;=0.4,"Menor",IF(AI55&lt;=0.6,"Moderado",IF(AI55&lt;=0.8,"Mayor","Catastrófico"))))),"")</f>
        <v/>
      </c>
      <c r="AI55" s="191" t="str">
        <f t="shared" ref="AI55" si="63">IFERROR(IF(X55="Impacto",(T55-(+T55*AA55)),IF(X55="Probabilidad",T55,"")),"")</f>
        <v/>
      </c>
      <c r="AJ55" s="194" t="str">
        <f>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
      </c>
      <c r="AK55" s="195"/>
      <c r="AL55" s="186"/>
      <c r="AM55" s="196"/>
      <c r="AN55" s="196"/>
      <c r="AO55" s="197"/>
      <c r="AP55" s="381"/>
      <c r="AQ55" s="381"/>
      <c r="AR55" s="381"/>
    </row>
    <row r="56" spans="1:44" x14ac:dyDescent="0.2">
      <c r="A56" s="418"/>
      <c r="B56" s="387"/>
      <c r="C56" s="387"/>
      <c r="D56" s="387"/>
      <c r="E56" s="387"/>
      <c r="F56" s="387"/>
      <c r="G56" s="360"/>
      <c r="H56" s="360"/>
      <c r="I56" s="360"/>
      <c r="J56" s="360"/>
      <c r="K56" s="360"/>
      <c r="L56" s="360"/>
      <c r="M56" s="360"/>
      <c r="N56" s="381"/>
      <c r="O56" s="367"/>
      <c r="P56" s="364"/>
      <c r="Q56" s="353"/>
      <c r="R56" s="364">
        <f>IF(NOT(ISERROR(MATCH(Q56,_xlfn.ANCHORARRAY(E67),0))),P69&amp;"Por favor no seleccionar los criterios de impacto",Q56)</f>
        <v>0</v>
      </c>
      <c r="S56" s="367"/>
      <c r="T56" s="364"/>
      <c r="U56" s="362"/>
      <c r="V56" s="214">
        <v>2</v>
      </c>
      <c r="W56" s="187"/>
      <c r="X56" s="189" t="str">
        <f>IF(OR(Y56="Preventivo",Y56="Detectivo"),"Probabilidad",IF(Y56="Correctivo","Impacto",""))</f>
        <v/>
      </c>
      <c r="Y56" s="190"/>
      <c r="Z56" s="190"/>
      <c r="AA56" s="191" t="str">
        <f t="shared" ref="AA56:AA60" si="64">IF(AND(Y56="Preventivo",Z56="Automático"),"50%",IF(AND(Y56="Preventivo",Z56="Manual"),"40%",IF(AND(Y56="Detectivo",Z56="Automático"),"40%",IF(AND(Y56="Detectivo",Z56="Manual"),"30%",IF(AND(Y56="Correctivo",Z56="Automático"),"35%",IF(AND(Y56="Correctivo",Z56="Manual"),"25%",""))))))</f>
        <v/>
      </c>
      <c r="AB56" s="190"/>
      <c r="AC56" s="190"/>
      <c r="AD56" s="190"/>
      <c r="AE56" s="192" t="str">
        <f>IFERROR(IF(AND(X55="Probabilidad",X56="Probabilidad"),(AG55-(+AG55*AA56)),IF(X56="Probabilidad",(P55-(+P55*AA56)),IF(X56="Impacto",AG55,""))),"")</f>
        <v/>
      </c>
      <c r="AF56" s="193" t="str">
        <f t="shared" si="2"/>
        <v/>
      </c>
      <c r="AG56" s="191" t="str">
        <f t="shared" ref="AG56:AG60" si="65">+AE56</f>
        <v/>
      </c>
      <c r="AH56" s="193" t="str">
        <f t="shared" si="4"/>
        <v/>
      </c>
      <c r="AI56" s="191" t="str">
        <f t="shared" ref="AI56" si="66">IFERROR(IF(AND(X55="Impacto",X56="Impacto"),(AI55-(+AI55*AA56)),IF(X56="Impacto",($T$13-(+$T$13*AA56)),IF(X56="Probabilidad",AI55,""))),"")</f>
        <v/>
      </c>
      <c r="AJ56" s="194" t="str">
        <f t="shared" ref="AJ56:AJ57" si="67">IFERROR(IF(OR(AND(AF56="Muy Baja",AH56="Leve"),AND(AF56="Muy Baja",AH56="Menor"),AND(AF56="Baja",AH56="Leve")),"Bajo",IF(OR(AND(AF56="Muy baja",AH56="Moderado"),AND(AF56="Baja",AH56="Menor"),AND(AF56="Baja",AH56="Moderado"),AND(AF56="Media",AH56="Leve"),AND(AF56="Media",AH56="Menor"),AND(AF56="Media",AH56="Moderado"),AND(AF56="Alta",AH56="Leve"),AND(AF56="Alta",AH56="Menor")),"Moderado",IF(OR(AND(AF56="Muy Baja",AH56="Mayor"),AND(AF56="Baja",AH56="Mayor"),AND(AF56="Media",AH56="Mayor"),AND(AF56="Alta",AH56="Moderado"),AND(AF56="Alta",AH56="Mayor"),AND(AF56="Muy Alta",AH56="Leve"),AND(AF56="Muy Alta",AH56="Menor"),AND(AF56="Muy Alta",AH56="Moderado"),AND(AF56="Muy Alta",AH56="Mayor")),"Alto",IF(OR(AND(AF56="Muy Baja",AH56="Catastrófico"),AND(AF56="Baja",AH56="Catastrófico"),AND(AF56="Media",AH56="Catastrófico"),AND(AF56="Alta",AH56="Catastrófico"),AND(AF56="Muy Alta",AH56="Catastrófico")),"Extremo","")))),"")</f>
        <v/>
      </c>
      <c r="AK56" s="195"/>
      <c r="AL56" s="186"/>
      <c r="AM56" s="196"/>
      <c r="AN56" s="196"/>
      <c r="AO56" s="197"/>
      <c r="AP56" s="381"/>
      <c r="AQ56" s="381"/>
      <c r="AR56" s="381"/>
    </row>
    <row r="57" spans="1:44" x14ac:dyDescent="0.2">
      <c r="A57" s="418"/>
      <c r="B57" s="387"/>
      <c r="C57" s="387"/>
      <c r="D57" s="387"/>
      <c r="E57" s="387"/>
      <c r="F57" s="387"/>
      <c r="G57" s="360"/>
      <c r="H57" s="360"/>
      <c r="I57" s="360"/>
      <c r="J57" s="360"/>
      <c r="K57" s="360"/>
      <c r="L57" s="360"/>
      <c r="M57" s="360"/>
      <c r="N57" s="381"/>
      <c r="O57" s="367"/>
      <c r="P57" s="364"/>
      <c r="Q57" s="353"/>
      <c r="R57" s="364">
        <f>IF(NOT(ISERROR(MATCH(Q57,_xlfn.ANCHORARRAY(E68),0))),P70&amp;"Por favor no seleccionar los criterios de impacto",Q57)</f>
        <v>0</v>
      </c>
      <c r="S57" s="367"/>
      <c r="T57" s="364"/>
      <c r="U57" s="362"/>
      <c r="V57" s="214">
        <v>3</v>
      </c>
      <c r="W57" s="188"/>
      <c r="X57" s="189" t="str">
        <f>IF(OR(Y57="Preventivo",Y57="Detectivo"),"Probabilidad",IF(Y57="Correctivo","Impacto",""))</f>
        <v/>
      </c>
      <c r="Y57" s="190"/>
      <c r="Z57" s="190"/>
      <c r="AA57" s="191" t="str">
        <f t="shared" si="64"/>
        <v/>
      </c>
      <c r="AB57" s="190"/>
      <c r="AC57" s="190"/>
      <c r="AD57" s="190"/>
      <c r="AE57" s="192" t="str">
        <f>IFERROR(IF(AND(X56="Probabilidad",X57="Probabilidad"),(AG56-(+AG56*AA57)),IF(AND(X56="Impacto",X57="Probabilidad"),(AG55-(+AG55*AA57)),IF(X57="Impacto",AG56,""))),"")</f>
        <v/>
      </c>
      <c r="AF57" s="193" t="str">
        <f t="shared" si="2"/>
        <v/>
      </c>
      <c r="AG57" s="191" t="str">
        <f t="shared" si="65"/>
        <v/>
      </c>
      <c r="AH57" s="193" t="str">
        <f t="shared" si="4"/>
        <v/>
      </c>
      <c r="AI57" s="191" t="str">
        <f t="shared" ref="AI57" si="68">IFERROR(IF(AND(X56="Impacto",X57="Impacto"),(AI56-(+AI56*AA57)),IF(AND(X56="Probabilidad",X57="Impacto"),(AI55-(+AI55*AA57)),IF(X57="Probabilidad",AI56,""))),"")</f>
        <v/>
      </c>
      <c r="AJ57" s="194" t="str">
        <f t="shared" si="67"/>
        <v/>
      </c>
      <c r="AK57" s="195"/>
      <c r="AL57" s="186"/>
      <c r="AM57" s="196"/>
      <c r="AN57" s="196"/>
      <c r="AO57" s="197"/>
      <c r="AP57" s="381"/>
      <c r="AQ57" s="381"/>
      <c r="AR57" s="381"/>
    </row>
    <row r="58" spans="1:44" x14ac:dyDescent="0.2">
      <c r="A58" s="418"/>
      <c r="B58" s="387"/>
      <c r="C58" s="387"/>
      <c r="D58" s="387"/>
      <c r="E58" s="387"/>
      <c r="F58" s="387"/>
      <c r="G58" s="360"/>
      <c r="H58" s="360"/>
      <c r="I58" s="360"/>
      <c r="J58" s="360"/>
      <c r="K58" s="360"/>
      <c r="L58" s="360"/>
      <c r="M58" s="360"/>
      <c r="N58" s="381"/>
      <c r="O58" s="367"/>
      <c r="P58" s="364"/>
      <c r="Q58" s="353"/>
      <c r="R58" s="364">
        <f>IF(NOT(ISERROR(MATCH(Q58,_xlfn.ANCHORARRAY(E69),0))),P71&amp;"Por favor no seleccionar los criterios de impacto",Q58)</f>
        <v>0</v>
      </c>
      <c r="S58" s="367"/>
      <c r="T58" s="364"/>
      <c r="U58" s="362"/>
      <c r="V58" s="214">
        <v>4</v>
      </c>
      <c r="W58" s="187"/>
      <c r="X58" s="189" t="str">
        <f t="shared" ref="X58:X60" si="69">IF(OR(Y58="Preventivo",Y58="Detectivo"),"Probabilidad",IF(Y58="Correctivo","Impacto",""))</f>
        <v/>
      </c>
      <c r="Y58" s="190"/>
      <c r="Z58" s="190"/>
      <c r="AA58" s="191" t="str">
        <f t="shared" si="64"/>
        <v/>
      </c>
      <c r="AB58" s="190"/>
      <c r="AC58" s="190"/>
      <c r="AD58" s="190"/>
      <c r="AE58" s="192" t="str">
        <f t="shared" ref="AE58:AE60" si="70">IFERROR(IF(AND(X57="Probabilidad",X58="Probabilidad"),(AG57-(+AG57*AA58)),IF(AND(X57="Impacto",X58="Probabilidad"),(AG56-(+AG56*AA58)),IF(X58="Impacto",AG57,""))),"")</f>
        <v/>
      </c>
      <c r="AF58" s="193" t="str">
        <f t="shared" si="2"/>
        <v/>
      </c>
      <c r="AG58" s="191" t="str">
        <f t="shared" si="65"/>
        <v/>
      </c>
      <c r="AH58" s="193" t="str">
        <f t="shared" si="4"/>
        <v/>
      </c>
      <c r="AI58" s="191" t="str">
        <f t="shared" si="14"/>
        <v/>
      </c>
      <c r="AJ58" s="194" t="str">
        <f>IFERROR(IF(OR(AND(AF58="Muy Baja",AH58="Leve"),AND(AF58="Muy Baja",AH58="Menor"),AND(AF58="Baja",AH58="Leve")),"Bajo",IF(OR(AND(AF58="Muy baja",AH58="Moderado"),AND(AF58="Baja",AH58="Menor"),AND(AF58="Baja",AH58="Moderado"),AND(AF58="Media",AH58="Leve"),AND(AF58="Media",AH58="Menor"),AND(AF58="Media",AH58="Moderado"),AND(AF58="Alta",AH58="Leve"),AND(AF58="Alta",AH58="Menor")),"Moderado",IF(OR(AND(AF58="Muy Baja",AH58="Mayor"),AND(AF58="Baja",AH58="Mayor"),AND(AF58="Media",AH58="Mayor"),AND(AF58="Alta",AH58="Moderado"),AND(AF58="Alta",AH58="Mayor"),AND(AF58="Muy Alta",AH58="Leve"),AND(AF58="Muy Alta",AH58="Menor"),AND(AF58="Muy Alta",AH58="Moderado"),AND(AF58="Muy Alta",AH58="Mayor")),"Alto",IF(OR(AND(AF58="Muy Baja",AH58="Catastrófico"),AND(AF58="Baja",AH58="Catastrófico"),AND(AF58="Media",AH58="Catastrófico"),AND(AF58="Alta",AH58="Catastrófico"),AND(AF58="Muy Alta",AH58="Catastrófico")),"Extremo","")))),"")</f>
        <v/>
      </c>
      <c r="AK58" s="195"/>
      <c r="AL58" s="186"/>
      <c r="AM58" s="196"/>
      <c r="AN58" s="196"/>
      <c r="AO58" s="197"/>
      <c r="AP58" s="381"/>
      <c r="AQ58" s="381"/>
      <c r="AR58" s="381"/>
    </row>
    <row r="59" spans="1:44" x14ac:dyDescent="0.2">
      <c r="A59" s="418"/>
      <c r="B59" s="387"/>
      <c r="C59" s="387"/>
      <c r="D59" s="387"/>
      <c r="E59" s="387"/>
      <c r="F59" s="387"/>
      <c r="G59" s="360"/>
      <c r="H59" s="360"/>
      <c r="I59" s="360"/>
      <c r="J59" s="360"/>
      <c r="K59" s="360"/>
      <c r="L59" s="360"/>
      <c r="M59" s="360"/>
      <c r="N59" s="381"/>
      <c r="O59" s="367"/>
      <c r="P59" s="364"/>
      <c r="Q59" s="353"/>
      <c r="R59" s="364">
        <f>IF(NOT(ISERROR(MATCH(Q59,_xlfn.ANCHORARRAY(E70),0))),P72&amp;"Por favor no seleccionar los criterios de impacto",Q59)</f>
        <v>0</v>
      </c>
      <c r="S59" s="367"/>
      <c r="T59" s="364"/>
      <c r="U59" s="362"/>
      <c r="V59" s="214">
        <v>5</v>
      </c>
      <c r="W59" s="187"/>
      <c r="X59" s="189" t="str">
        <f t="shared" si="69"/>
        <v/>
      </c>
      <c r="Y59" s="190"/>
      <c r="Z59" s="190"/>
      <c r="AA59" s="191" t="str">
        <f t="shared" si="64"/>
        <v/>
      </c>
      <c r="AB59" s="190"/>
      <c r="AC59" s="190"/>
      <c r="AD59" s="190"/>
      <c r="AE59" s="192" t="str">
        <f t="shared" si="70"/>
        <v/>
      </c>
      <c r="AF59" s="193" t="str">
        <f t="shared" si="2"/>
        <v/>
      </c>
      <c r="AG59" s="191" t="str">
        <f t="shared" si="65"/>
        <v/>
      </c>
      <c r="AH59" s="193" t="str">
        <f t="shared" si="4"/>
        <v/>
      </c>
      <c r="AI59" s="191" t="str">
        <f t="shared" si="14"/>
        <v/>
      </c>
      <c r="AJ59" s="194" t="str">
        <f t="shared" ref="AJ59:AJ60" si="71">IFERROR(IF(OR(AND(AF59="Muy Baja",AH59="Leve"),AND(AF59="Muy Baja",AH59="Menor"),AND(AF59="Baja",AH59="Leve")),"Bajo",IF(OR(AND(AF59="Muy baja",AH59="Moderado"),AND(AF59="Baja",AH59="Menor"),AND(AF59="Baja",AH59="Moderado"),AND(AF59="Media",AH59="Leve"),AND(AF59="Media",AH59="Menor"),AND(AF59="Media",AH59="Moderado"),AND(AF59="Alta",AH59="Leve"),AND(AF59="Alta",AH59="Menor")),"Moderado",IF(OR(AND(AF59="Muy Baja",AH59="Mayor"),AND(AF59="Baja",AH59="Mayor"),AND(AF59="Media",AH59="Mayor"),AND(AF59="Alta",AH59="Moderado"),AND(AF59="Alta",AH59="Mayor"),AND(AF59="Muy Alta",AH59="Leve"),AND(AF59="Muy Alta",AH59="Menor"),AND(AF59="Muy Alta",AH59="Moderado"),AND(AF59="Muy Alta",AH59="Mayor")),"Alto",IF(OR(AND(AF59="Muy Baja",AH59="Catastrófico"),AND(AF59="Baja",AH59="Catastrófico"),AND(AF59="Media",AH59="Catastrófico"),AND(AF59="Alta",AH59="Catastrófico"),AND(AF59="Muy Alta",AH59="Catastrófico")),"Extremo","")))),"")</f>
        <v/>
      </c>
      <c r="AK59" s="195"/>
      <c r="AL59" s="186"/>
      <c r="AM59" s="196"/>
      <c r="AN59" s="196"/>
      <c r="AO59" s="197"/>
      <c r="AP59" s="381"/>
      <c r="AQ59" s="381"/>
      <c r="AR59" s="381"/>
    </row>
    <row r="60" spans="1:44" x14ac:dyDescent="0.2">
      <c r="A60" s="418"/>
      <c r="B60" s="387"/>
      <c r="C60" s="387"/>
      <c r="D60" s="387"/>
      <c r="E60" s="387"/>
      <c r="F60" s="387"/>
      <c r="G60" s="373"/>
      <c r="H60" s="373"/>
      <c r="I60" s="373"/>
      <c r="J60" s="373"/>
      <c r="K60" s="373"/>
      <c r="L60" s="373"/>
      <c r="M60" s="373"/>
      <c r="N60" s="381"/>
      <c r="O60" s="367"/>
      <c r="P60" s="364"/>
      <c r="Q60" s="353"/>
      <c r="R60" s="364">
        <f>IF(NOT(ISERROR(MATCH(Q60,_xlfn.ANCHORARRAY(E71),0))),Q73&amp;"Por favor no seleccionar los criterios de impacto",Q60)</f>
        <v>0</v>
      </c>
      <c r="S60" s="367"/>
      <c r="T60" s="364"/>
      <c r="U60" s="362"/>
      <c r="V60" s="214">
        <v>6</v>
      </c>
      <c r="W60" s="187"/>
      <c r="X60" s="189" t="str">
        <f t="shared" si="69"/>
        <v/>
      </c>
      <c r="Y60" s="190"/>
      <c r="Z60" s="190"/>
      <c r="AA60" s="191" t="str">
        <f t="shared" si="64"/>
        <v/>
      </c>
      <c r="AB60" s="190"/>
      <c r="AC60" s="190"/>
      <c r="AD60" s="190"/>
      <c r="AE60" s="192" t="str">
        <f t="shared" si="70"/>
        <v/>
      </c>
      <c r="AF60" s="193" t="str">
        <f t="shared" si="2"/>
        <v/>
      </c>
      <c r="AG60" s="191" t="str">
        <f t="shared" si="65"/>
        <v/>
      </c>
      <c r="AH60" s="193" t="str">
        <f t="shared" si="4"/>
        <v/>
      </c>
      <c r="AI60" s="191" t="str">
        <f t="shared" si="14"/>
        <v/>
      </c>
      <c r="AJ60" s="194" t="str">
        <f t="shared" si="71"/>
        <v/>
      </c>
      <c r="AK60" s="195"/>
      <c r="AL60" s="186"/>
      <c r="AM60" s="196"/>
      <c r="AN60" s="196"/>
      <c r="AO60" s="197"/>
      <c r="AP60" s="381"/>
      <c r="AQ60" s="381"/>
      <c r="AR60" s="381"/>
    </row>
    <row r="61" spans="1:44" x14ac:dyDescent="0.2">
      <c r="A61" s="418">
        <v>9</v>
      </c>
      <c r="B61" s="387"/>
      <c r="C61" s="387"/>
      <c r="D61" s="387"/>
      <c r="E61" s="387"/>
      <c r="F61" s="387"/>
      <c r="G61" s="392"/>
      <c r="H61" s="392"/>
      <c r="I61" s="221"/>
      <c r="J61" s="221"/>
      <c r="K61" s="221"/>
      <c r="L61" s="392"/>
      <c r="M61" s="392"/>
      <c r="N61" s="381"/>
      <c r="O61" s="367" t="str">
        <f>IF(N61&lt;=0,"",IF(N61&lt;=2,"Muy Baja",IF(N61&lt;=24,"Baja",IF(N61&lt;=500,"Media",IF(N61&lt;=5000,"Alta","Muy Alta")))))</f>
        <v/>
      </c>
      <c r="P61" s="364" t="str">
        <f>IF(O61="","",IF(O61="Muy Baja",0.2,IF(O61="Baja",0.4,IF(O61="Media",0.6,IF(O61="Alta",0.8,IF(O61="Muy Alta",1,))))))</f>
        <v/>
      </c>
      <c r="Q61" s="353"/>
      <c r="R61" s="364">
        <f>IF(NOT(ISERROR(MATCH(Q61,'Tabla Impacto'!$B$222:$B$224,0))),'Tabla Impacto'!$F$224&amp;"Por favor no seleccionar los criterios de impacto(Afectación Económica o presupuestal y Pérdida Reputacional)",Q61)</f>
        <v>0</v>
      </c>
      <c r="S61" s="367" t="str">
        <f>IF(OR(R61='Tabla Impacto'!$C$12,R61='Tabla Impacto'!$D$12),"Leve",IF(OR(R61='Tabla Impacto'!$C$13,R61='Tabla Impacto'!$D$13),"Menor",IF(OR(R61='Tabla Impacto'!$C$14,R61='Tabla Impacto'!$D$14),"Moderado",IF(OR(R61='Tabla Impacto'!$C$15,R61='Tabla Impacto'!$D$15),"Mayor",IF(OR(R61='Tabla Impacto'!$C$16,R61='Tabla Impacto'!$D$16),"Catastrófico","")))))</f>
        <v/>
      </c>
      <c r="T61" s="364" t="str">
        <f>IF(S61="","",IF(S61="Leve",0.2,IF(S61="Menor",0.4,IF(S61="Moderado",0.6,IF(S61="Mayor",0.8,IF(S61="Catastrófico",1,))))))</f>
        <v/>
      </c>
      <c r="U61" s="362" t="str">
        <f>IF(OR(AND(O61="Muy Baja",S61="Leve"),AND(O61="Muy Baja",S61="Menor"),AND(O61="Baja",S61="Leve")),"Bajo",IF(OR(AND(O61="Muy baja",S61="Moderado"),AND(O61="Baja",S61="Menor"),AND(O61="Baja",S61="Moderado"),AND(O61="Media",S61="Leve"),AND(O61="Media",S61="Menor"),AND(O61="Media",S61="Moderado"),AND(O61="Alta",S61="Leve"),AND(O61="Alta",S61="Menor")),"Moderado",IF(OR(AND(O61="Muy Baja",S61="Mayor"),AND(O61="Baja",S61="Mayor"),AND(O61="Media",S61="Mayor"),AND(O61="Alta",S61="Moderado"),AND(O61="Alta",S61="Mayor"),AND(O61="Muy Alta",S61="Leve"),AND(O61="Muy Alta",S61="Menor"),AND(O61="Muy Alta",S61="Moderado"),AND(O61="Muy Alta",S61="Mayor")),"Alto",IF(OR(AND(O61="Muy Baja",S61="Catastrófico"),AND(O61="Baja",S61="Catastrófico"),AND(O61="Media",S61="Catastrófico"),AND(O61="Alta",S61="Catastrófico"),AND(O61="Muy Alta",S61="Catastrófico")),"Extremo",""))))</f>
        <v/>
      </c>
      <c r="V61" s="214">
        <v>1</v>
      </c>
      <c r="W61" s="187"/>
      <c r="X61" s="189" t="str">
        <f>IF(OR(Y61="Preventivo",Y61="Detectivo"),"Probabilidad",IF(Y61="Correctivo","Impacto",""))</f>
        <v/>
      </c>
      <c r="Y61" s="190"/>
      <c r="Z61" s="190"/>
      <c r="AA61" s="191" t="str">
        <f>IF(AND(Y61="Preventivo",Z61="Automático"),"50%",IF(AND(Y61="Preventivo",Z61="Manual"),"40%",IF(AND(Y61="Detectivo",Z61="Automático"),"40%",IF(AND(Y61="Detectivo",Z61="Manual"),"30%",IF(AND(Y61="Correctivo",Z61="Automático"),"35%",IF(AND(Y61="Correctivo",Z61="Manual"),"25%",""))))))</f>
        <v/>
      </c>
      <c r="AB61" s="190"/>
      <c r="AC61" s="190"/>
      <c r="AD61" s="190"/>
      <c r="AE61" s="192" t="str">
        <f>IFERROR(IF(X61="Probabilidad",(P61-(+P61*AA61)),IF(X61="Impacto",P61,"")),"")</f>
        <v/>
      </c>
      <c r="AF61" s="193" t="str">
        <f>IFERROR(IF(AE61="","",IF(AE61&lt;=0.2,"Muy Baja",IF(AE61&lt;=0.4,"Baja",IF(AE61&lt;=0.6,"Media",IF(AE61&lt;=0.8,"Alta","Muy Alta"))))),"")</f>
        <v/>
      </c>
      <c r="AG61" s="191" t="str">
        <f>+AE61</f>
        <v/>
      </c>
      <c r="AH61" s="193" t="str">
        <f>IFERROR(IF(AI61="","",IF(AI61&lt;=0.2,"Leve",IF(AI61&lt;=0.4,"Menor",IF(AI61&lt;=0.6,"Moderado",IF(AI61&lt;=0.8,"Mayor","Catastrófico"))))),"")</f>
        <v/>
      </c>
      <c r="AI61" s="191" t="str">
        <f t="shared" ref="AI61" si="72">IFERROR(IF(X61="Impacto",(T61-(+T61*AA61)),IF(X61="Probabilidad",T61,"")),"")</f>
        <v/>
      </c>
      <c r="AJ61" s="194" t="str">
        <f>IFERROR(IF(OR(AND(AF61="Muy Baja",AH61="Leve"),AND(AF61="Muy Baja",AH61="Menor"),AND(AF61="Baja",AH61="Leve")),"Bajo",IF(OR(AND(AF61="Muy baja",AH61="Moderado"),AND(AF61="Baja",AH61="Menor"),AND(AF61="Baja",AH61="Moderado"),AND(AF61="Media",AH61="Leve"),AND(AF61="Media",AH61="Menor"),AND(AF61="Media",AH61="Moderado"),AND(AF61="Alta",AH61="Leve"),AND(AF61="Alta",AH61="Menor")),"Moderado",IF(OR(AND(AF61="Muy Baja",AH61="Mayor"),AND(AF61="Baja",AH61="Mayor"),AND(AF61="Media",AH61="Mayor"),AND(AF61="Alta",AH61="Moderado"),AND(AF61="Alta",AH61="Mayor"),AND(AF61="Muy Alta",AH61="Leve"),AND(AF61="Muy Alta",AH61="Menor"),AND(AF61="Muy Alta",AH61="Moderado"),AND(AF61="Muy Alta",AH61="Mayor")),"Alto",IF(OR(AND(AF61="Muy Baja",AH61="Catastrófico"),AND(AF61="Baja",AH61="Catastrófico"),AND(AF61="Media",AH61="Catastrófico"),AND(AF61="Alta",AH61="Catastrófico"),AND(AF61="Muy Alta",AH61="Catastrófico")),"Extremo","")))),"")</f>
        <v/>
      </c>
      <c r="AK61" s="195"/>
      <c r="AL61" s="186"/>
      <c r="AM61" s="196"/>
      <c r="AN61" s="196"/>
      <c r="AO61" s="197"/>
      <c r="AP61" s="381"/>
      <c r="AQ61" s="381"/>
      <c r="AR61" s="381"/>
    </row>
    <row r="62" spans="1:44" x14ac:dyDescent="0.2">
      <c r="A62" s="418"/>
      <c r="B62" s="387"/>
      <c r="C62" s="387"/>
      <c r="D62" s="387"/>
      <c r="E62" s="387"/>
      <c r="F62" s="387"/>
      <c r="G62" s="360"/>
      <c r="H62" s="360"/>
      <c r="I62" s="222"/>
      <c r="J62" s="222"/>
      <c r="K62" s="222"/>
      <c r="L62" s="360"/>
      <c r="M62" s="360"/>
      <c r="N62" s="381"/>
      <c r="O62" s="367"/>
      <c r="P62" s="364"/>
      <c r="Q62" s="353"/>
      <c r="R62" s="364">
        <f>IF(NOT(ISERROR(MATCH(Q62,_xlfn.ANCHORARRAY(F73),0))),Q75&amp;"Por favor no seleccionar los criterios de impacto",Q62)</f>
        <v>0</v>
      </c>
      <c r="S62" s="367"/>
      <c r="T62" s="364"/>
      <c r="U62" s="362"/>
      <c r="V62" s="214">
        <v>2</v>
      </c>
      <c r="W62" s="187"/>
      <c r="X62" s="189" t="str">
        <f>IF(OR(Y62="Preventivo",Y62="Detectivo"),"Probabilidad",IF(Y62="Correctivo","Impacto",""))</f>
        <v/>
      </c>
      <c r="Y62" s="190"/>
      <c r="Z62" s="190"/>
      <c r="AA62" s="191" t="str">
        <f t="shared" ref="AA62:AA66" si="73">IF(AND(Y62="Preventivo",Z62="Automático"),"50%",IF(AND(Y62="Preventivo",Z62="Manual"),"40%",IF(AND(Y62="Detectivo",Z62="Automático"),"40%",IF(AND(Y62="Detectivo",Z62="Manual"),"30%",IF(AND(Y62="Correctivo",Z62="Automático"),"35%",IF(AND(Y62="Correctivo",Z62="Manual"),"25%",""))))))</f>
        <v/>
      </c>
      <c r="AB62" s="190"/>
      <c r="AC62" s="190"/>
      <c r="AD62" s="190"/>
      <c r="AE62" s="192" t="str">
        <f>IFERROR(IF(AND(X61="Probabilidad",X62="Probabilidad"),(AG61-(+AG61*AA62)),IF(X62="Probabilidad",(P61-(+P61*AA62)),IF(X62="Impacto",AG61,""))),"")</f>
        <v/>
      </c>
      <c r="AF62" s="193" t="str">
        <f t="shared" si="2"/>
        <v/>
      </c>
      <c r="AG62" s="191" t="str">
        <f t="shared" ref="AG62:AG66" si="74">+AE62</f>
        <v/>
      </c>
      <c r="AH62" s="193" t="str">
        <f t="shared" si="4"/>
        <v/>
      </c>
      <c r="AI62" s="191" t="str">
        <f t="shared" ref="AI62" si="75">IFERROR(IF(AND(X61="Impacto",X62="Impacto"),(AI61-(+AI61*AA62)),IF(X62="Impacto",($T$13-(+$T$13*AA62)),IF(X62="Probabilidad",AI61,""))),"")</f>
        <v/>
      </c>
      <c r="AJ62" s="194" t="str">
        <f t="shared" ref="AJ62:AJ63" si="76">IFERROR(IF(OR(AND(AF62="Muy Baja",AH62="Leve"),AND(AF62="Muy Baja",AH62="Menor"),AND(AF62="Baja",AH62="Leve")),"Bajo",IF(OR(AND(AF62="Muy baja",AH62="Moderado"),AND(AF62="Baja",AH62="Menor"),AND(AF62="Baja",AH62="Moderado"),AND(AF62="Media",AH62="Leve"),AND(AF62="Media",AH62="Menor"),AND(AF62="Media",AH62="Moderado"),AND(AF62="Alta",AH62="Leve"),AND(AF62="Alta",AH62="Menor")),"Moderado",IF(OR(AND(AF62="Muy Baja",AH62="Mayor"),AND(AF62="Baja",AH62="Mayor"),AND(AF62="Media",AH62="Mayor"),AND(AF62="Alta",AH62="Moderado"),AND(AF62="Alta",AH62="Mayor"),AND(AF62="Muy Alta",AH62="Leve"),AND(AF62="Muy Alta",AH62="Menor"),AND(AF62="Muy Alta",AH62="Moderado"),AND(AF62="Muy Alta",AH62="Mayor")),"Alto",IF(OR(AND(AF62="Muy Baja",AH62="Catastrófico"),AND(AF62="Baja",AH62="Catastrófico"),AND(AF62="Media",AH62="Catastrófico"),AND(AF62="Alta",AH62="Catastrófico"),AND(AF62="Muy Alta",AH62="Catastrófico")),"Extremo","")))),"")</f>
        <v/>
      </c>
      <c r="AK62" s="195"/>
      <c r="AL62" s="186"/>
      <c r="AM62" s="196"/>
      <c r="AN62" s="196"/>
      <c r="AO62" s="197"/>
      <c r="AP62" s="381"/>
      <c r="AQ62" s="381"/>
      <c r="AR62" s="381"/>
    </row>
    <row r="63" spans="1:44" x14ac:dyDescent="0.2">
      <c r="A63" s="418"/>
      <c r="B63" s="387"/>
      <c r="C63" s="387"/>
      <c r="D63" s="387"/>
      <c r="E63" s="387"/>
      <c r="F63" s="387"/>
      <c r="G63" s="360"/>
      <c r="H63" s="360"/>
      <c r="I63" s="222"/>
      <c r="J63" s="222"/>
      <c r="K63" s="222"/>
      <c r="L63" s="360"/>
      <c r="M63" s="360"/>
      <c r="N63" s="381"/>
      <c r="O63" s="367"/>
      <c r="P63" s="364"/>
      <c r="Q63" s="353"/>
      <c r="R63" s="364">
        <f>IF(NOT(ISERROR(MATCH(Q63,_xlfn.ANCHORARRAY(F74),0))),Q76&amp;"Por favor no seleccionar los criterios de impacto",Q63)</f>
        <v>0</v>
      </c>
      <c r="S63" s="367"/>
      <c r="T63" s="364"/>
      <c r="U63" s="362"/>
      <c r="V63" s="214">
        <v>3</v>
      </c>
      <c r="W63" s="187"/>
      <c r="X63" s="189" t="str">
        <f>IF(OR(Y63="Preventivo",Y63="Detectivo"),"Probabilidad",IF(Y63="Correctivo","Impacto",""))</f>
        <v/>
      </c>
      <c r="Y63" s="190"/>
      <c r="Z63" s="190"/>
      <c r="AA63" s="191" t="str">
        <f t="shared" si="73"/>
        <v/>
      </c>
      <c r="AB63" s="190"/>
      <c r="AC63" s="190"/>
      <c r="AD63" s="190"/>
      <c r="AE63" s="192" t="str">
        <f>IFERROR(IF(AND(X62="Probabilidad",X63="Probabilidad"),(AG62-(+AG62*AA63)),IF(AND(X62="Impacto",X63="Probabilidad"),(AG61-(+AG61*AA63)),IF(X63="Impacto",AG62,""))),"")</f>
        <v/>
      </c>
      <c r="AF63" s="193" t="str">
        <f t="shared" si="2"/>
        <v/>
      </c>
      <c r="AG63" s="191" t="str">
        <f t="shared" si="74"/>
        <v/>
      </c>
      <c r="AH63" s="193" t="str">
        <f t="shared" si="4"/>
        <v/>
      </c>
      <c r="AI63" s="191" t="str">
        <f t="shared" ref="AI63" si="77">IFERROR(IF(AND(X62="Impacto",X63="Impacto"),(AI62-(+AI62*AA63)),IF(AND(X62="Probabilidad",X63="Impacto"),(AI61-(+AI61*AA63)),IF(X63="Probabilidad",AI62,""))),"")</f>
        <v/>
      </c>
      <c r="AJ63" s="194" t="str">
        <f t="shared" si="76"/>
        <v/>
      </c>
      <c r="AK63" s="195"/>
      <c r="AL63" s="186"/>
      <c r="AM63" s="196"/>
      <c r="AN63" s="196"/>
      <c r="AO63" s="197"/>
      <c r="AP63" s="381"/>
      <c r="AQ63" s="381"/>
      <c r="AR63" s="381"/>
    </row>
    <row r="64" spans="1:44" x14ac:dyDescent="0.2">
      <c r="A64" s="418"/>
      <c r="B64" s="387"/>
      <c r="C64" s="387"/>
      <c r="D64" s="387"/>
      <c r="E64" s="387"/>
      <c r="F64" s="387"/>
      <c r="G64" s="360"/>
      <c r="H64" s="360"/>
      <c r="I64" s="222"/>
      <c r="J64" s="222"/>
      <c r="K64" s="222"/>
      <c r="L64" s="360"/>
      <c r="M64" s="360"/>
      <c r="N64" s="381"/>
      <c r="O64" s="367"/>
      <c r="P64" s="364"/>
      <c r="Q64" s="353"/>
      <c r="R64" s="364">
        <f>IF(NOT(ISERROR(MATCH(Q64,_xlfn.ANCHORARRAY(F75),0))),Q77&amp;"Por favor no seleccionar los criterios de impacto",Q64)</f>
        <v>0</v>
      </c>
      <c r="S64" s="367"/>
      <c r="T64" s="364"/>
      <c r="U64" s="362"/>
      <c r="V64" s="214">
        <v>4</v>
      </c>
      <c r="W64" s="187"/>
      <c r="X64" s="189" t="str">
        <f t="shared" ref="X64:X66" si="78">IF(OR(Y64="Preventivo",Y64="Detectivo"),"Probabilidad",IF(Y64="Correctivo","Impacto",""))</f>
        <v/>
      </c>
      <c r="Y64" s="190"/>
      <c r="Z64" s="190"/>
      <c r="AA64" s="191" t="str">
        <f t="shared" si="73"/>
        <v/>
      </c>
      <c r="AB64" s="190"/>
      <c r="AC64" s="190"/>
      <c r="AD64" s="190"/>
      <c r="AE64" s="192" t="str">
        <f t="shared" ref="AE64:AE66" si="79">IFERROR(IF(AND(X63="Probabilidad",X64="Probabilidad"),(AG63-(+AG63*AA64)),IF(AND(X63="Impacto",X64="Probabilidad"),(AG62-(+AG62*AA64)),IF(X64="Impacto",AG63,""))),"")</f>
        <v/>
      </c>
      <c r="AF64" s="193" t="str">
        <f t="shared" si="2"/>
        <v/>
      </c>
      <c r="AG64" s="191" t="str">
        <f t="shared" si="74"/>
        <v/>
      </c>
      <c r="AH64" s="193" t="str">
        <f t="shared" si="4"/>
        <v/>
      </c>
      <c r="AI64" s="191" t="str">
        <f t="shared" si="14"/>
        <v/>
      </c>
      <c r="AJ64" s="194" t="str">
        <f>IFERROR(IF(OR(AND(AF64="Muy Baja",AH64="Leve"),AND(AF64="Muy Baja",AH64="Menor"),AND(AF64="Baja",AH64="Leve")),"Bajo",IF(OR(AND(AF64="Muy baja",AH64="Moderado"),AND(AF64="Baja",AH64="Menor"),AND(AF64="Baja",AH64="Moderado"),AND(AF64="Media",AH64="Leve"),AND(AF64="Media",AH64="Menor"),AND(AF64="Media",AH64="Moderado"),AND(AF64="Alta",AH64="Leve"),AND(AF64="Alta",AH64="Menor")),"Moderado",IF(OR(AND(AF64="Muy Baja",AH64="Mayor"),AND(AF64="Baja",AH64="Mayor"),AND(AF64="Media",AH64="Mayor"),AND(AF64="Alta",AH64="Moderado"),AND(AF64="Alta",AH64="Mayor"),AND(AF64="Muy Alta",AH64="Leve"),AND(AF64="Muy Alta",AH64="Menor"),AND(AF64="Muy Alta",AH64="Moderado"),AND(AF64="Muy Alta",AH64="Mayor")),"Alto",IF(OR(AND(AF64="Muy Baja",AH64="Catastrófico"),AND(AF64="Baja",AH64="Catastrófico"),AND(AF64="Media",AH64="Catastrófico"),AND(AF64="Alta",AH64="Catastrófico"),AND(AF64="Muy Alta",AH64="Catastrófico")),"Extremo","")))),"")</f>
        <v/>
      </c>
      <c r="AK64" s="195"/>
      <c r="AL64" s="186"/>
      <c r="AM64" s="196"/>
      <c r="AN64" s="196"/>
      <c r="AO64" s="197"/>
      <c r="AP64" s="381"/>
      <c r="AQ64" s="381"/>
      <c r="AR64" s="381"/>
    </row>
    <row r="65" spans="1:44" x14ac:dyDescent="0.2">
      <c r="A65" s="418"/>
      <c r="B65" s="387"/>
      <c r="C65" s="387"/>
      <c r="D65" s="387"/>
      <c r="E65" s="387"/>
      <c r="F65" s="387"/>
      <c r="G65" s="360"/>
      <c r="H65" s="360"/>
      <c r="I65" s="222"/>
      <c r="J65" s="222"/>
      <c r="K65" s="222"/>
      <c r="L65" s="360"/>
      <c r="M65" s="360"/>
      <c r="N65" s="381"/>
      <c r="O65" s="367"/>
      <c r="P65" s="364"/>
      <c r="Q65" s="353"/>
      <c r="R65" s="364">
        <f>IF(NOT(ISERROR(MATCH(Q65,_xlfn.ANCHORARRAY(F76),0))),Q78&amp;"Por favor no seleccionar los criterios de impacto",Q65)</f>
        <v>0</v>
      </c>
      <c r="S65" s="367"/>
      <c r="T65" s="364"/>
      <c r="U65" s="362"/>
      <c r="V65" s="214">
        <v>5</v>
      </c>
      <c r="W65" s="187"/>
      <c r="X65" s="189" t="str">
        <f t="shared" si="78"/>
        <v/>
      </c>
      <c r="Y65" s="190"/>
      <c r="Z65" s="190"/>
      <c r="AA65" s="191" t="str">
        <f t="shared" si="73"/>
        <v/>
      </c>
      <c r="AB65" s="190"/>
      <c r="AC65" s="190"/>
      <c r="AD65" s="190"/>
      <c r="AE65" s="192" t="str">
        <f t="shared" si="79"/>
        <v/>
      </c>
      <c r="AF65" s="193" t="str">
        <f t="shared" si="2"/>
        <v/>
      </c>
      <c r="AG65" s="191" t="str">
        <f t="shared" si="74"/>
        <v/>
      </c>
      <c r="AH65" s="193" t="str">
        <f t="shared" si="4"/>
        <v/>
      </c>
      <c r="AI65" s="191" t="str">
        <f t="shared" si="14"/>
        <v/>
      </c>
      <c r="AJ65" s="194" t="str">
        <f t="shared" ref="AJ65:AJ66" si="80">IFERROR(IF(OR(AND(AF65="Muy Baja",AH65="Leve"),AND(AF65="Muy Baja",AH65="Menor"),AND(AF65="Baja",AH65="Leve")),"Bajo",IF(OR(AND(AF65="Muy baja",AH65="Moderado"),AND(AF65="Baja",AH65="Menor"),AND(AF65="Baja",AH65="Moderado"),AND(AF65="Media",AH65="Leve"),AND(AF65="Media",AH65="Menor"),AND(AF65="Media",AH65="Moderado"),AND(AF65="Alta",AH65="Leve"),AND(AF65="Alta",AH65="Menor")),"Moderado",IF(OR(AND(AF65="Muy Baja",AH65="Mayor"),AND(AF65="Baja",AH65="Mayor"),AND(AF65="Media",AH65="Mayor"),AND(AF65="Alta",AH65="Moderado"),AND(AF65="Alta",AH65="Mayor"),AND(AF65="Muy Alta",AH65="Leve"),AND(AF65="Muy Alta",AH65="Menor"),AND(AF65="Muy Alta",AH65="Moderado"),AND(AF65="Muy Alta",AH65="Mayor")),"Alto",IF(OR(AND(AF65="Muy Baja",AH65="Catastrófico"),AND(AF65="Baja",AH65="Catastrófico"),AND(AF65="Media",AH65="Catastrófico"),AND(AF65="Alta",AH65="Catastrófico"),AND(AF65="Muy Alta",AH65="Catastrófico")),"Extremo","")))),"")</f>
        <v/>
      </c>
      <c r="AK65" s="195"/>
      <c r="AL65" s="186"/>
      <c r="AM65" s="196"/>
      <c r="AN65" s="196"/>
      <c r="AO65" s="197"/>
      <c r="AP65" s="381"/>
      <c r="AQ65" s="381"/>
      <c r="AR65" s="381"/>
    </row>
    <row r="66" spans="1:44" x14ac:dyDescent="0.2">
      <c r="A66" s="418"/>
      <c r="B66" s="387"/>
      <c r="C66" s="387"/>
      <c r="D66" s="387"/>
      <c r="E66" s="387"/>
      <c r="F66" s="387"/>
      <c r="G66" s="373"/>
      <c r="H66" s="373"/>
      <c r="I66" s="223"/>
      <c r="J66" s="223"/>
      <c r="K66" s="223"/>
      <c r="L66" s="373"/>
      <c r="M66" s="373"/>
      <c r="N66" s="381"/>
      <c r="O66" s="367"/>
      <c r="P66" s="364"/>
      <c r="Q66" s="353"/>
      <c r="R66" s="364">
        <f>IF(NOT(ISERROR(MATCH(Q66,_xlfn.ANCHORARRAY(F77),0))),Q79&amp;"Por favor no seleccionar los criterios de impacto",Q66)</f>
        <v>0</v>
      </c>
      <c r="S66" s="367"/>
      <c r="T66" s="364"/>
      <c r="U66" s="362"/>
      <c r="V66" s="214">
        <v>6</v>
      </c>
      <c r="W66" s="187"/>
      <c r="X66" s="189" t="str">
        <f t="shared" si="78"/>
        <v/>
      </c>
      <c r="Y66" s="190"/>
      <c r="Z66" s="190"/>
      <c r="AA66" s="191" t="str">
        <f t="shared" si="73"/>
        <v/>
      </c>
      <c r="AB66" s="190"/>
      <c r="AC66" s="190"/>
      <c r="AD66" s="190"/>
      <c r="AE66" s="192" t="str">
        <f t="shared" si="79"/>
        <v/>
      </c>
      <c r="AF66" s="193" t="str">
        <f t="shared" si="2"/>
        <v/>
      </c>
      <c r="AG66" s="191" t="str">
        <f t="shared" si="74"/>
        <v/>
      </c>
      <c r="AH66" s="193" t="str">
        <f t="shared" si="4"/>
        <v/>
      </c>
      <c r="AI66" s="191" t="str">
        <f t="shared" si="14"/>
        <v/>
      </c>
      <c r="AJ66" s="194" t="str">
        <f t="shared" si="80"/>
        <v/>
      </c>
      <c r="AK66" s="195"/>
      <c r="AL66" s="186"/>
      <c r="AM66" s="196"/>
      <c r="AN66" s="196"/>
      <c r="AO66" s="197"/>
      <c r="AP66" s="381"/>
      <c r="AQ66" s="381"/>
      <c r="AR66" s="381"/>
    </row>
    <row r="67" spans="1:44" x14ac:dyDescent="0.2">
      <c r="A67" s="418">
        <v>10</v>
      </c>
      <c r="B67" s="387"/>
      <c r="C67" s="387"/>
      <c r="D67" s="387"/>
      <c r="E67" s="387"/>
      <c r="F67" s="387"/>
      <c r="G67" s="392"/>
      <c r="H67" s="392"/>
      <c r="I67" s="221"/>
      <c r="J67" s="221"/>
      <c r="K67" s="221"/>
      <c r="L67" s="392"/>
      <c r="M67" s="392"/>
      <c r="N67" s="381"/>
      <c r="O67" s="367" t="str">
        <f>IF(N67&lt;=0,"",IF(N67&lt;=2,"Muy Baja",IF(N67&lt;=24,"Baja",IF(N67&lt;=500,"Media",IF(N67&lt;=5000,"Alta","Muy Alta")))))</f>
        <v/>
      </c>
      <c r="P67" s="364" t="str">
        <f>IF(O67="","",IF(O67="Muy Baja",0.2,IF(O67="Baja",0.4,IF(O67="Media",0.6,IF(O67="Alta",0.8,IF(O67="Muy Alta",1,))))))</f>
        <v/>
      </c>
      <c r="Q67" s="353"/>
      <c r="R67" s="364">
        <f>IF(NOT(ISERROR(MATCH(Q67,'Tabla Impacto'!$B$222:$B$224,0))),'Tabla Impacto'!$F$224&amp;"Por favor no seleccionar los criterios de impacto(Afectación Económica o presupuestal y Pérdida Reputacional)",Q67)</f>
        <v>0</v>
      </c>
      <c r="S67" s="367" t="str">
        <f>IF(OR(R67='Tabla Impacto'!$C$12,R67='Tabla Impacto'!$D$12),"Leve",IF(OR(R67='Tabla Impacto'!$C$13,R67='Tabla Impacto'!$D$13),"Menor",IF(OR(R67='Tabla Impacto'!$C$14,R67='Tabla Impacto'!$D$14),"Moderado",IF(OR(R67='Tabla Impacto'!$C$15,R67='Tabla Impacto'!$D$15),"Mayor",IF(OR(R67='Tabla Impacto'!$C$16,R67='Tabla Impacto'!$D$16),"Catastrófico","")))))</f>
        <v/>
      </c>
      <c r="T67" s="364" t="str">
        <f>IF(S67="","",IF(S67="Leve",0.2,IF(S67="Menor",0.4,IF(S67="Moderado",0.6,IF(S67="Mayor",0.8,IF(S67="Catastrófico",1,))))))</f>
        <v/>
      </c>
      <c r="U67" s="362" t="str">
        <f>IF(OR(AND(O67="Muy Baja",S67="Leve"),AND(O67="Muy Baja",S67="Menor"),AND(O67="Baja",S67="Leve")),"Bajo",IF(OR(AND(O67="Muy baja",S67="Moderado"),AND(O67="Baja",S67="Menor"),AND(O67="Baja",S67="Moderado"),AND(O67="Media",S67="Leve"),AND(O67="Media",S67="Menor"),AND(O67="Media",S67="Moderado"),AND(O67="Alta",S67="Leve"),AND(O67="Alta",S67="Menor")),"Moderado",IF(OR(AND(O67="Muy Baja",S67="Mayor"),AND(O67="Baja",S67="Mayor"),AND(O67="Media",S67="Mayor"),AND(O67="Alta",S67="Moderado"),AND(O67="Alta",S67="Mayor"),AND(O67="Muy Alta",S67="Leve"),AND(O67="Muy Alta",S67="Menor"),AND(O67="Muy Alta",S67="Moderado"),AND(O67="Muy Alta",S67="Mayor")),"Alto",IF(OR(AND(O67="Muy Baja",S67="Catastrófico"),AND(O67="Baja",S67="Catastrófico"),AND(O67="Media",S67="Catastrófico"),AND(O67="Alta",S67="Catastrófico"),AND(O67="Muy Alta",S67="Catastrófico")),"Extremo",""))))</f>
        <v/>
      </c>
      <c r="V67" s="214">
        <v>1</v>
      </c>
      <c r="W67" s="187"/>
      <c r="X67" s="189" t="str">
        <f>IF(OR(Y67="Preventivo",Y67="Detectivo"),"Probabilidad",IF(Y67="Correctivo","Impacto",""))</f>
        <v/>
      </c>
      <c r="Y67" s="190"/>
      <c r="Z67" s="190"/>
      <c r="AA67" s="191" t="str">
        <f>IF(AND(Y67="Preventivo",Z67="Automático"),"50%",IF(AND(Y67="Preventivo",Z67="Manual"),"40%",IF(AND(Y67="Detectivo",Z67="Automático"),"40%",IF(AND(Y67="Detectivo",Z67="Manual"),"30%",IF(AND(Y67="Correctivo",Z67="Automático"),"35%",IF(AND(Y67="Correctivo",Z67="Manual"),"25%",""))))))</f>
        <v/>
      </c>
      <c r="AB67" s="190"/>
      <c r="AC67" s="190"/>
      <c r="AD67" s="190"/>
      <c r="AE67" s="192" t="str">
        <f>IFERROR(IF(X67="Probabilidad",(P67-(+P67*AA67)),IF(X67="Impacto",P67,"")),"")</f>
        <v/>
      </c>
      <c r="AF67" s="193" t="str">
        <f>IFERROR(IF(AE67="","",IF(AE67&lt;=0.2,"Muy Baja",IF(AE67&lt;=0.4,"Baja",IF(AE67&lt;=0.6,"Media",IF(AE67&lt;=0.8,"Alta","Muy Alta"))))),"")</f>
        <v/>
      </c>
      <c r="AG67" s="191" t="str">
        <f>+AE67</f>
        <v/>
      </c>
      <c r="AH67" s="193" t="str">
        <f>IFERROR(IF(AI67="","",IF(AI67&lt;=0.2,"Leve",IF(AI67&lt;=0.4,"Menor",IF(AI67&lt;=0.6,"Moderado",IF(AI67&lt;=0.8,"Mayor","Catastrófico"))))),"")</f>
        <v/>
      </c>
      <c r="AI67" s="191" t="str">
        <f t="shared" ref="AI67" si="81">IFERROR(IF(X67="Impacto",(T67-(+T67*AA67)),IF(X67="Probabilidad",T67,"")),"")</f>
        <v/>
      </c>
      <c r="AJ67" s="194" t="str">
        <f>IFERROR(IF(OR(AND(AF67="Muy Baja",AH67="Leve"),AND(AF67="Muy Baja",AH67="Menor"),AND(AF67="Baja",AH67="Leve")),"Bajo",IF(OR(AND(AF67="Muy baja",AH67="Moderado"),AND(AF67="Baja",AH67="Menor"),AND(AF67="Baja",AH67="Moderado"),AND(AF67="Media",AH67="Leve"),AND(AF67="Media",AH67="Menor"),AND(AF67="Media",AH67="Moderado"),AND(AF67="Alta",AH67="Leve"),AND(AF67="Alta",AH67="Menor")),"Moderado",IF(OR(AND(AF67="Muy Baja",AH67="Mayor"),AND(AF67="Baja",AH67="Mayor"),AND(AF67="Media",AH67="Mayor"),AND(AF67="Alta",AH67="Moderado"),AND(AF67="Alta",AH67="Mayor"),AND(AF67="Muy Alta",AH67="Leve"),AND(AF67="Muy Alta",AH67="Menor"),AND(AF67="Muy Alta",AH67="Moderado"),AND(AF67="Muy Alta",AH67="Mayor")),"Alto",IF(OR(AND(AF67="Muy Baja",AH67="Catastrófico"),AND(AF67="Baja",AH67="Catastrófico"),AND(AF67="Media",AH67="Catastrófico"),AND(AF67="Alta",AH67="Catastrófico"),AND(AF67="Muy Alta",AH67="Catastrófico")),"Extremo","")))),"")</f>
        <v/>
      </c>
      <c r="AK67" s="195"/>
      <c r="AL67" s="186"/>
      <c r="AM67" s="196"/>
      <c r="AN67" s="196"/>
      <c r="AO67" s="197"/>
      <c r="AP67" s="381"/>
      <c r="AQ67" s="381"/>
      <c r="AR67" s="381"/>
    </row>
    <row r="68" spans="1:44" x14ac:dyDescent="0.2">
      <c r="A68" s="418"/>
      <c r="B68" s="387"/>
      <c r="C68" s="387"/>
      <c r="D68" s="387"/>
      <c r="E68" s="387"/>
      <c r="F68" s="387"/>
      <c r="G68" s="360"/>
      <c r="H68" s="360"/>
      <c r="I68" s="222"/>
      <c r="J68" s="222"/>
      <c r="K68" s="222"/>
      <c r="L68" s="360"/>
      <c r="M68" s="360"/>
      <c r="N68" s="381"/>
      <c r="O68" s="367"/>
      <c r="P68" s="364"/>
      <c r="Q68" s="353"/>
      <c r="R68" s="364">
        <f>IF(NOT(ISERROR(MATCH(Q68,_xlfn.ANCHORARRAY(F79),0))),Q81&amp;"Por favor no seleccionar los criterios de impacto",Q68)</f>
        <v>0</v>
      </c>
      <c r="S68" s="367"/>
      <c r="T68" s="364"/>
      <c r="U68" s="362"/>
      <c r="V68" s="214">
        <v>2</v>
      </c>
      <c r="W68" s="187"/>
      <c r="X68" s="189" t="str">
        <f>IF(OR(Y68="Preventivo",Y68="Detectivo"),"Probabilidad",IF(Y68="Correctivo","Impacto",""))</f>
        <v/>
      </c>
      <c r="Y68" s="190"/>
      <c r="Z68" s="190"/>
      <c r="AA68" s="191" t="str">
        <f t="shared" ref="AA68:AA72" si="82">IF(AND(Y68="Preventivo",Z68="Automático"),"50%",IF(AND(Y68="Preventivo",Z68="Manual"),"40%",IF(AND(Y68="Detectivo",Z68="Automático"),"40%",IF(AND(Y68="Detectivo",Z68="Manual"),"30%",IF(AND(Y68="Correctivo",Z68="Automático"),"35%",IF(AND(Y68="Correctivo",Z68="Manual"),"25%",""))))))</f>
        <v/>
      </c>
      <c r="AB68" s="190"/>
      <c r="AC68" s="190"/>
      <c r="AD68" s="190"/>
      <c r="AE68" s="192" t="str">
        <f>IFERROR(IF(AND(X67="Probabilidad",X68="Probabilidad"),(AG67-(+AG67*AA68)),IF(X68="Probabilidad",(P67-(+P67*AA68)),IF(X68="Impacto",AG67,""))),"")</f>
        <v/>
      </c>
      <c r="AF68" s="193" t="str">
        <f t="shared" si="2"/>
        <v/>
      </c>
      <c r="AG68" s="191" t="str">
        <f t="shared" ref="AG68:AG72" si="83">+AE68</f>
        <v/>
      </c>
      <c r="AH68" s="193" t="str">
        <f t="shared" si="4"/>
        <v/>
      </c>
      <c r="AI68" s="191" t="str">
        <f t="shared" ref="AI68" si="84">IFERROR(IF(AND(X67="Impacto",X68="Impacto"),(AI67-(+AI67*AA68)),IF(X68="Impacto",($T$13-(+$T$13*AA68)),IF(X68="Probabilidad",AI67,""))),"")</f>
        <v/>
      </c>
      <c r="AJ68" s="194" t="str">
        <f t="shared" ref="AJ68:AJ69" si="85">IFERROR(IF(OR(AND(AF68="Muy Baja",AH68="Leve"),AND(AF68="Muy Baja",AH68="Menor"),AND(AF68="Baja",AH68="Leve")),"Bajo",IF(OR(AND(AF68="Muy baja",AH68="Moderado"),AND(AF68="Baja",AH68="Menor"),AND(AF68="Baja",AH68="Moderado"),AND(AF68="Media",AH68="Leve"),AND(AF68="Media",AH68="Menor"),AND(AF68="Media",AH68="Moderado"),AND(AF68="Alta",AH68="Leve"),AND(AF68="Alta",AH68="Menor")),"Moderado",IF(OR(AND(AF68="Muy Baja",AH68="Mayor"),AND(AF68="Baja",AH68="Mayor"),AND(AF68="Media",AH68="Mayor"),AND(AF68="Alta",AH68="Moderado"),AND(AF68="Alta",AH68="Mayor"),AND(AF68="Muy Alta",AH68="Leve"),AND(AF68="Muy Alta",AH68="Menor"),AND(AF68="Muy Alta",AH68="Moderado"),AND(AF68="Muy Alta",AH68="Mayor")),"Alto",IF(OR(AND(AF68="Muy Baja",AH68="Catastrófico"),AND(AF68="Baja",AH68="Catastrófico"),AND(AF68="Media",AH68="Catastrófico"),AND(AF68="Alta",AH68="Catastrófico"),AND(AF68="Muy Alta",AH68="Catastrófico")),"Extremo","")))),"")</f>
        <v/>
      </c>
      <c r="AK68" s="195"/>
      <c r="AL68" s="186"/>
      <c r="AM68" s="196"/>
      <c r="AN68" s="196"/>
      <c r="AO68" s="197"/>
      <c r="AP68" s="381"/>
      <c r="AQ68" s="381"/>
      <c r="AR68" s="381"/>
    </row>
    <row r="69" spans="1:44" x14ac:dyDescent="0.2">
      <c r="A69" s="418"/>
      <c r="B69" s="387"/>
      <c r="C69" s="387"/>
      <c r="D69" s="387"/>
      <c r="E69" s="387"/>
      <c r="F69" s="387"/>
      <c r="G69" s="360"/>
      <c r="H69" s="360"/>
      <c r="I69" s="222"/>
      <c r="J69" s="222"/>
      <c r="K69" s="222"/>
      <c r="L69" s="360"/>
      <c r="M69" s="360"/>
      <c r="N69" s="381"/>
      <c r="O69" s="367"/>
      <c r="P69" s="364"/>
      <c r="Q69" s="353"/>
      <c r="R69" s="364">
        <f>IF(NOT(ISERROR(MATCH(Q69,_xlfn.ANCHORARRAY(F80),0))),Q82&amp;"Por favor no seleccionar los criterios de impacto",Q69)</f>
        <v>0</v>
      </c>
      <c r="S69" s="367"/>
      <c r="T69" s="364"/>
      <c r="U69" s="362"/>
      <c r="V69" s="214">
        <v>3</v>
      </c>
      <c r="W69" s="187"/>
      <c r="X69" s="189" t="str">
        <f>IF(OR(Y69="Preventivo",Y69="Detectivo"),"Probabilidad",IF(Y69="Correctivo","Impacto",""))</f>
        <v/>
      </c>
      <c r="Y69" s="190"/>
      <c r="Z69" s="190"/>
      <c r="AA69" s="191" t="str">
        <f t="shared" si="82"/>
        <v/>
      </c>
      <c r="AB69" s="190"/>
      <c r="AC69" s="190"/>
      <c r="AD69" s="190"/>
      <c r="AE69" s="192" t="str">
        <f>IFERROR(IF(AND(X68="Probabilidad",X69="Probabilidad"),(AG68-(+AG68*AA69)),IF(AND(X68="Impacto",X69="Probabilidad"),(AG67-(+AG67*AA69)),IF(X69="Impacto",AG68,""))),"")</f>
        <v/>
      </c>
      <c r="AF69" s="193" t="str">
        <f t="shared" si="2"/>
        <v/>
      </c>
      <c r="AG69" s="191" t="str">
        <f t="shared" si="83"/>
        <v/>
      </c>
      <c r="AH69" s="193" t="str">
        <f t="shared" si="4"/>
        <v/>
      </c>
      <c r="AI69" s="191" t="str">
        <f t="shared" ref="AI69" si="86">IFERROR(IF(AND(X68="Impacto",X69="Impacto"),(AI68-(+AI68*AA69)),IF(AND(X68="Probabilidad",X69="Impacto"),(AI67-(+AI67*AA69)),IF(X69="Probabilidad",AI68,""))),"")</f>
        <v/>
      </c>
      <c r="AJ69" s="194" t="str">
        <f t="shared" si="85"/>
        <v/>
      </c>
      <c r="AK69" s="195"/>
      <c r="AL69" s="186"/>
      <c r="AM69" s="196"/>
      <c r="AN69" s="196"/>
      <c r="AO69" s="197"/>
      <c r="AP69" s="381"/>
      <c r="AQ69" s="381"/>
      <c r="AR69" s="381"/>
    </row>
    <row r="70" spans="1:44" x14ac:dyDescent="0.2">
      <c r="A70" s="418"/>
      <c r="B70" s="387"/>
      <c r="C70" s="387"/>
      <c r="D70" s="387"/>
      <c r="E70" s="387"/>
      <c r="F70" s="387"/>
      <c r="G70" s="360"/>
      <c r="H70" s="360"/>
      <c r="I70" s="222"/>
      <c r="J70" s="222"/>
      <c r="K70" s="222"/>
      <c r="L70" s="360"/>
      <c r="M70" s="360"/>
      <c r="N70" s="381"/>
      <c r="O70" s="367"/>
      <c r="P70" s="364"/>
      <c r="Q70" s="353"/>
      <c r="R70" s="364">
        <f>IF(NOT(ISERROR(MATCH(Q70,_xlfn.ANCHORARRAY(F81),0))),Q83&amp;"Por favor no seleccionar los criterios de impacto",Q70)</f>
        <v>0</v>
      </c>
      <c r="S70" s="367"/>
      <c r="T70" s="364"/>
      <c r="U70" s="362"/>
      <c r="V70" s="214">
        <v>4</v>
      </c>
      <c r="W70" s="187"/>
      <c r="X70" s="189" t="str">
        <f t="shared" ref="X70:X72" si="87">IF(OR(Y70="Preventivo",Y70="Detectivo"),"Probabilidad",IF(Y70="Correctivo","Impacto",""))</f>
        <v/>
      </c>
      <c r="Y70" s="190"/>
      <c r="Z70" s="190"/>
      <c r="AA70" s="191" t="str">
        <f t="shared" si="82"/>
        <v/>
      </c>
      <c r="AB70" s="190"/>
      <c r="AC70" s="190"/>
      <c r="AD70" s="190"/>
      <c r="AE70" s="192" t="str">
        <f t="shared" ref="AE70:AE72" si="88">IFERROR(IF(AND(X69="Probabilidad",X70="Probabilidad"),(AG69-(+AG69*AA70)),IF(AND(X69="Impacto",X70="Probabilidad"),(AG68-(+AG68*AA70)),IF(X70="Impacto",AG69,""))),"")</f>
        <v/>
      </c>
      <c r="AF70" s="193" t="str">
        <f t="shared" si="2"/>
        <v/>
      </c>
      <c r="AG70" s="191" t="str">
        <f t="shared" si="83"/>
        <v/>
      </c>
      <c r="AH70" s="193" t="str">
        <f t="shared" si="4"/>
        <v/>
      </c>
      <c r="AI70" s="191" t="str">
        <f t="shared" si="14"/>
        <v/>
      </c>
      <c r="AJ70" s="194" t="str">
        <f>IFERROR(IF(OR(AND(AF70="Muy Baja",AH70="Leve"),AND(AF70="Muy Baja",AH70="Menor"),AND(AF70="Baja",AH70="Leve")),"Bajo",IF(OR(AND(AF70="Muy baja",AH70="Moderado"),AND(AF70="Baja",AH70="Menor"),AND(AF70="Baja",AH70="Moderado"),AND(AF70="Media",AH70="Leve"),AND(AF70="Media",AH70="Menor"),AND(AF70="Media",AH70="Moderado"),AND(AF70="Alta",AH70="Leve"),AND(AF70="Alta",AH70="Menor")),"Moderado",IF(OR(AND(AF70="Muy Baja",AH70="Mayor"),AND(AF70="Baja",AH70="Mayor"),AND(AF70="Media",AH70="Mayor"),AND(AF70="Alta",AH70="Moderado"),AND(AF70="Alta",AH70="Mayor"),AND(AF70="Muy Alta",AH70="Leve"),AND(AF70="Muy Alta",AH70="Menor"),AND(AF70="Muy Alta",AH70="Moderado"),AND(AF70="Muy Alta",AH70="Mayor")),"Alto",IF(OR(AND(AF70="Muy Baja",AH70="Catastrófico"),AND(AF70="Baja",AH70="Catastrófico"),AND(AF70="Media",AH70="Catastrófico"),AND(AF70="Alta",AH70="Catastrófico"),AND(AF70="Muy Alta",AH70="Catastrófico")),"Extremo","")))),"")</f>
        <v/>
      </c>
      <c r="AK70" s="195"/>
      <c r="AL70" s="186"/>
      <c r="AM70" s="196"/>
      <c r="AN70" s="196"/>
      <c r="AO70" s="197"/>
      <c r="AP70" s="381"/>
      <c r="AQ70" s="381"/>
      <c r="AR70" s="381"/>
    </row>
    <row r="71" spans="1:44" x14ac:dyDescent="0.2">
      <c r="A71" s="418"/>
      <c r="B71" s="387"/>
      <c r="C71" s="387"/>
      <c r="D71" s="387"/>
      <c r="E71" s="387"/>
      <c r="F71" s="387"/>
      <c r="G71" s="360"/>
      <c r="H71" s="360"/>
      <c r="I71" s="222"/>
      <c r="J71" s="222"/>
      <c r="K71" s="222"/>
      <c r="L71" s="360"/>
      <c r="M71" s="360"/>
      <c r="N71" s="381"/>
      <c r="O71" s="367"/>
      <c r="P71" s="364"/>
      <c r="Q71" s="353"/>
      <c r="R71" s="364">
        <f>IF(NOT(ISERROR(MATCH(Q71,_xlfn.ANCHORARRAY(F82),0))),Q84&amp;"Por favor no seleccionar los criterios de impacto",Q71)</f>
        <v>0</v>
      </c>
      <c r="S71" s="367"/>
      <c r="T71" s="364"/>
      <c r="U71" s="362"/>
      <c r="V71" s="214">
        <v>5</v>
      </c>
      <c r="W71" s="187"/>
      <c r="X71" s="189" t="str">
        <f t="shared" si="87"/>
        <v/>
      </c>
      <c r="Y71" s="190"/>
      <c r="Z71" s="190"/>
      <c r="AA71" s="191" t="str">
        <f t="shared" si="82"/>
        <v/>
      </c>
      <c r="AB71" s="190"/>
      <c r="AC71" s="190"/>
      <c r="AD71" s="190"/>
      <c r="AE71" s="192" t="str">
        <f t="shared" si="88"/>
        <v/>
      </c>
      <c r="AF71" s="193" t="str">
        <f t="shared" si="2"/>
        <v/>
      </c>
      <c r="AG71" s="191" t="str">
        <f t="shared" si="83"/>
        <v/>
      </c>
      <c r="AH71" s="193" t="str">
        <f t="shared" si="4"/>
        <v/>
      </c>
      <c r="AI71" s="191" t="str">
        <f t="shared" si="14"/>
        <v/>
      </c>
      <c r="AJ71" s="194" t="str">
        <f t="shared" ref="AJ71:AJ72" si="89">IFERROR(IF(OR(AND(AF71="Muy Baja",AH71="Leve"),AND(AF71="Muy Baja",AH71="Menor"),AND(AF71="Baja",AH71="Leve")),"Bajo",IF(OR(AND(AF71="Muy baja",AH71="Moderado"),AND(AF71="Baja",AH71="Menor"),AND(AF71="Baja",AH71="Moderado"),AND(AF71="Media",AH71="Leve"),AND(AF71="Media",AH71="Menor"),AND(AF71="Media",AH71="Moderado"),AND(AF71="Alta",AH71="Leve"),AND(AF71="Alta",AH71="Menor")),"Moderado",IF(OR(AND(AF71="Muy Baja",AH71="Mayor"),AND(AF71="Baja",AH71="Mayor"),AND(AF71="Media",AH71="Mayor"),AND(AF71="Alta",AH71="Moderado"),AND(AF71="Alta",AH71="Mayor"),AND(AF71="Muy Alta",AH71="Leve"),AND(AF71="Muy Alta",AH71="Menor"),AND(AF71="Muy Alta",AH71="Moderado"),AND(AF71="Muy Alta",AH71="Mayor")),"Alto",IF(OR(AND(AF71="Muy Baja",AH71="Catastrófico"),AND(AF71="Baja",AH71="Catastrófico"),AND(AF71="Media",AH71="Catastrófico"),AND(AF71="Alta",AH71="Catastrófico"),AND(AF71="Muy Alta",AH71="Catastrófico")),"Extremo","")))),"")</f>
        <v/>
      </c>
      <c r="AK71" s="195"/>
      <c r="AL71" s="186"/>
      <c r="AM71" s="196"/>
      <c r="AN71" s="196"/>
      <c r="AO71" s="197"/>
      <c r="AP71" s="381"/>
      <c r="AQ71" s="381"/>
      <c r="AR71" s="381"/>
    </row>
    <row r="72" spans="1:44" x14ac:dyDescent="0.2">
      <c r="A72" s="418"/>
      <c r="B72" s="387"/>
      <c r="C72" s="387"/>
      <c r="D72" s="387"/>
      <c r="E72" s="387"/>
      <c r="F72" s="387"/>
      <c r="G72" s="373"/>
      <c r="H72" s="373"/>
      <c r="I72" s="223"/>
      <c r="J72" s="223"/>
      <c r="K72" s="223"/>
      <c r="L72" s="373"/>
      <c r="M72" s="373"/>
      <c r="N72" s="381"/>
      <c r="O72" s="367"/>
      <c r="P72" s="364"/>
      <c r="Q72" s="353"/>
      <c r="R72" s="364">
        <f>IF(NOT(ISERROR(MATCH(Q72,_xlfn.ANCHORARRAY(F83),0))),Q85&amp;"Por favor no seleccionar los criterios de impacto",Q72)</f>
        <v>0</v>
      </c>
      <c r="S72" s="367"/>
      <c r="T72" s="364"/>
      <c r="U72" s="362"/>
      <c r="V72" s="214">
        <v>6</v>
      </c>
      <c r="W72" s="187"/>
      <c r="X72" s="189" t="str">
        <f t="shared" si="87"/>
        <v/>
      </c>
      <c r="Y72" s="190"/>
      <c r="Z72" s="190"/>
      <c r="AA72" s="191" t="str">
        <f t="shared" si="82"/>
        <v/>
      </c>
      <c r="AB72" s="190"/>
      <c r="AC72" s="190"/>
      <c r="AD72" s="190"/>
      <c r="AE72" s="192" t="str">
        <f t="shared" si="88"/>
        <v/>
      </c>
      <c r="AF72" s="193" t="str">
        <f t="shared" si="2"/>
        <v/>
      </c>
      <c r="AG72" s="191" t="str">
        <f t="shared" si="83"/>
        <v/>
      </c>
      <c r="AH72" s="193" t="str">
        <f t="shared" si="4"/>
        <v/>
      </c>
      <c r="AI72" s="191" t="str">
        <f t="shared" si="14"/>
        <v/>
      </c>
      <c r="AJ72" s="194" t="str">
        <f t="shared" si="89"/>
        <v/>
      </c>
      <c r="AK72" s="195"/>
      <c r="AL72" s="186"/>
      <c r="AM72" s="196"/>
      <c r="AN72" s="196"/>
      <c r="AO72" s="197"/>
      <c r="AP72" s="381"/>
      <c r="AQ72" s="381"/>
      <c r="AR72" s="381"/>
    </row>
    <row r="73" spans="1:44" x14ac:dyDescent="0.2">
      <c r="A73" s="216"/>
      <c r="B73" s="422" t="s">
        <v>261</v>
      </c>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row>
    <row r="75" spans="1:44" ht="15.75" x14ac:dyDescent="0.2">
      <c r="A75" s="198"/>
      <c r="B75" s="206" t="s">
        <v>262</v>
      </c>
      <c r="C75" s="198"/>
      <c r="D75" s="198"/>
      <c r="E75" s="198"/>
      <c r="N75" s="198"/>
    </row>
    <row r="76" spans="1:44" s="259" customFormat="1" x14ac:dyDescent="0.2">
      <c r="A76" s="258"/>
      <c r="B76" s="258"/>
      <c r="C76" s="258"/>
      <c r="D76" s="258"/>
      <c r="E76" s="258"/>
      <c r="N76" s="260"/>
      <c r="AL76" s="261"/>
    </row>
  </sheetData>
  <dataConsolidate/>
  <mergeCells count="299">
    <mergeCell ref="C8:T8"/>
    <mergeCell ref="D1:T2"/>
    <mergeCell ref="D4:T4"/>
    <mergeCell ref="J3:T3"/>
    <mergeCell ref="D3:I3"/>
    <mergeCell ref="A25:A30"/>
    <mergeCell ref="B25:B30"/>
    <mergeCell ref="C25:C30"/>
    <mergeCell ref="D25:D30"/>
    <mergeCell ref="A1:C4"/>
    <mergeCell ref="N25:N30"/>
    <mergeCell ref="O25:O30"/>
    <mergeCell ref="P25:P30"/>
    <mergeCell ref="F25:F30"/>
    <mergeCell ref="N19:N24"/>
    <mergeCell ref="O19:O24"/>
    <mergeCell ref="P19:P24"/>
    <mergeCell ref="G19:G24"/>
    <mergeCell ref="G25:G30"/>
    <mergeCell ref="L19:L24"/>
    <mergeCell ref="M19:M24"/>
    <mergeCell ref="A19:A24"/>
    <mergeCell ref="B19:B24"/>
    <mergeCell ref="C19:C24"/>
    <mergeCell ref="D19:D24"/>
    <mergeCell ref="Z6:AR6"/>
    <mergeCell ref="Z7:AR7"/>
    <mergeCell ref="Z8:AR8"/>
    <mergeCell ref="X1:AR2"/>
    <mergeCell ref="X3:AL3"/>
    <mergeCell ref="X4:AR4"/>
    <mergeCell ref="AM3:AR3"/>
    <mergeCell ref="A6:B6"/>
    <mergeCell ref="A7:B7"/>
    <mergeCell ref="A8:B8"/>
    <mergeCell ref="W6:Y6"/>
    <mergeCell ref="C6:T6"/>
    <mergeCell ref="C7:T7"/>
    <mergeCell ref="U13:U18"/>
    <mergeCell ref="P13:P18"/>
    <mergeCell ref="Q13:Q18"/>
    <mergeCell ref="R13:R18"/>
    <mergeCell ref="S13:S18"/>
    <mergeCell ref="G13:G18"/>
    <mergeCell ref="A10:F10"/>
    <mergeCell ref="I13:I18"/>
    <mergeCell ref="T11:T12"/>
    <mergeCell ref="F11:F12"/>
    <mergeCell ref="U37:U42"/>
    <mergeCell ref="T43:T48"/>
    <mergeCell ref="U43:U48"/>
    <mergeCell ref="Q49:Q54"/>
    <mergeCell ref="R49:R54"/>
    <mergeCell ref="S49:S54"/>
    <mergeCell ref="F37:F42"/>
    <mergeCell ref="F43:F48"/>
    <mergeCell ref="G37:G42"/>
    <mergeCell ref="Q43:Q48"/>
    <mergeCell ref="R43:R48"/>
    <mergeCell ref="S43:S48"/>
    <mergeCell ref="N37:N42"/>
    <mergeCell ref="O37:O42"/>
    <mergeCell ref="G49:G54"/>
    <mergeCell ref="I49:I54"/>
    <mergeCell ref="J49:J54"/>
    <mergeCell ref="K49:K54"/>
    <mergeCell ref="L37:L42"/>
    <mergeCell ref="G43:G48"/>
    <mergeCell ref="I37:I42"/>
    <mergeCell ref="J37:J42"/>
    <mergeCell ref="K37:K42"/>
    <mergeCell ref="I43:I48"/>
    <mergeCell ref="E61:E66"/>
    <mergeCell ref="N61:N66"/>
    <mergeCell ref="O61:O66"/>
    <mergeCell ref="P61:P66"/>
    <mergeCell ref="P37:P42"/>
    <mergeCell ref="Q37:Q42"/>
    <mergeCell ref="N43:N48"/>
    <mergeCell ref="O43:O48"/>
    <mergeCell ref="P43:P48"/>
    <mergeCell ref="F49:F54"/>
    <mergeCell ref="F55:F60"/>
    <mergeCell ref="G55:G60"/>
    <mergeCell ref="I55:I60"/>
    <mergeCell ref="J55:J60"/>
    <mergeCell ref="K55:K60"/>
    <mergeCell ref="J43:J48"/>
    <mergeCell ref="K43:K48"/>
    <mergeCell ref="H37:H42"/>
    <mergeCell ref="H43:H48"/>
    <mergeCell ref="B73:AP73"/>
    <mergeCell ref="T61:T66"/>
    <mergeCell ref="U61:U66"/>
    <mergeCell ref="A67:A72"/>
    <mergeCell ref="B67:B72"/>
    <mergeCell ref="C67:C72"/>
    <mergeCell ref="D67:D72"/>
    <mergeCell ref="E67:E72"/>
    <mergeCell ref="N67:N72"/>
    <mergeCell ref="O67:O72"/>
    <mergeCell ref="P67:P72"/>
    <mergeCell ref="Q67:Q72"/>
    <mergeCell ref="R67:R72"/>
    <mergeCell ref="S67:S72"/>
    <mergeCell ref="T67:T72"/>
    <mergeCell ref="U67:U72"/>
    <mergeCell ref="Q61:Q66"/>
    <mergeCell ref="R61:R66"/>
    <mergeCell ref="S61:S66"/>
    <mergeCell ref="A61:A66"/>
    <mergeCell ref="B61:B66"/>
    <mergeCell ref="C61:C66"/>
    <mergeCell ref="D61:D66"/>
    <mergeCell ref="F61:F66"/>
    <mergeCell ref="F67:F72"/>
    <mergeCell ref="T49:T54"/>
    <mergeCell ref="U49:U54"/>
    <mergeCell ref="N55:N60"/>
    <mergeCell ref="O55:O60"/>
    <mergeCell ref="P55:P60"/>
    <mergeCell ref="Q55:Q60"/>
    <mergeCell ref="N49:N54"/>
    <mergeCell ref="O49:O54"/>
    <mergeCell ref="P49:P54"/>
    <mergeCell ref="R55:R60"/>
    <mergeCell ref="S55:S60"/>
    <mergeCell ref="T55:T60"/>
    <mergeCell ref="U55:U60"/>
    <mergeCell ref="G61:G66"/>
    <mergeCell ref="G67:G72"/>
    <mergeCell ref="H67:H72"/>
    <mergeCell ref="H49:H54"/>
    <mergeCell ref="H55:H60"/>
    <mergeCell ref="H61:H66"/>
    <mergeCell ref="B55:B60"/>
    <mergeCell ref="C55:C60"/>
    <mergeCell ref="D55:D60"/>
    <mergeCell ref="E55:E60"/>
    <mergeCell ref="A49:A54"/>
    <mergeCell ref="B49:B54"/>
    <mergeCell ref="C49:C54"/>
    <mergeCell ref="D49:D54"/>
    <mergeCell ref="E49:E54"/>
    <mergeCell ref="A55:A60"/>
    <mergeCell ref="A37:A42"/>
    <mergeCell ref="B37:B42"/>
    <mergeCell ref="C37:C42"/>
    <mergeCell ref="A43:A48"/>
    <mergeCell ref="B43:B48"/>
    <mergeCell ref="C43:C48"/>
    <mergeCell ref="D43:D48"/>
    <mergeCell ref="E43:E48"/>
    <mergeCell ref="D37:D42"/>
    <mergeCell ref="E37:E42"/>
    <mergeCell ref="C31:C36"/>
    <mergeCell ref="D31:D36"/>
    <mergeCell ref="E31:E36"/>
    <mergeCell ref="N31:N36"/>
    <mergeCell ref="O31:O36"/>
    <mergeCell ref="P31:P36"/>
    <mergeCell ref="F31:F36"/>
    <mergeCell ref="G31:G36"/>
    <mergeCell ref="I31:I36"/>
    <mergeCell ref="J31:J36"/>
    <mergeCell ref="K31:K36"/>
    <mergeCell ref="L31:L36"/>
    <mergeCell ref="M31:M36"/>
    <mergeCell ref="H31:H36"/>
    <mergeCell ref="A13:A18"/>
    <mergeCell ref="B13:B18"/>
    <mergeCell ref="A11:A12"/>
    <mergeCell ref="E11:E12"/>
    <mergeCell ref="D11:D12"/>
    <mergeCell ref="C11:C12"/>
    <mergeCell ref="AP37:AP42"/>
    <mergeCell ref="T31:T36"/>
    <mergeCell ref="R37:R42"/>
    <mergeCell ref="S37:S42"/>
    <mergeCell ref="T37:T42"/>
    <mergeCell ref="E19:E24"/>
    <mergeCell ref="E25:E30"/>
    <mergeCell ref="B11:B12"/>
    <mergeCell ref="F13:F18"/>
    <mergeCell ref="G11:G12"/>
    <mergeCell ref="H11:H12"/>
    <mergeCell ref="I11:I12"/>
    <mergeCell ref="J11:J12"/>
    <mergeCell ref="K11:K12"/>
    <mergeCell ref="H13:H18"/>
    <mergeCell ref="H19:H24"/>
    <mergeCell ref="A31:A36"/>
    <mergeCell ref="B31:B36"/>
    <mergeCell ref="AQ37:AQ42"/>
    <mergeCell ref="AR37:AR42"/>
    <mergeCell ref="T13:T18"/>
    <mergeCell ref="N11:N12"/>
    <mergeCell ref="O11:O12"/>
    <mergeCell ref="U11:U12"/>
    <mergeCell ref="Q11:Q12"/>
    <mergeCell ref="R11:R12"/>
    <mergeCell ref="AP11:AP12"/>
    <mergeCell ref="AQ11:AQ12"/>
    <mergeCell ref="AR11:AR12"/>
    <mergeCell ref="AP13:AP18"/>
    <mergeCell ref="AQ13:AQ18"/>
    <mergeCell ref="AR13:AR18"/>
    <mergeCell ref="AK11:AK12"/>
    <mergeCell ref="AN11:AN12"/>
    <mergeCell ref="V11:V12"/>
    <mergeCell ref="AJ11:AJ12"/>
    <mergeCell ref="AI11:AI12"/>
    <mergeCell ref="AE11:AE12"/>
    <mergeCell ref="W11:W12"/>
    <mergeCell ref="AH11:AH12"/>
    <mergeCell ref="AF11:AF12"/>
    <mergeCell ref="S31:S36"/>
    <mergeCell ref="AR61:AR66"/>
    <mergeCell ref="T25:T30"/>
    <mergeCell ref="U25:U30"/>
    <mergeCell ref="AP67:AP72"/>
    <mergeCell ref="AQ67:AQ72"/>
    <mergeCell ref="AR67:AR72"/>
    <mergeCell ref="AP43:AP48"/>
    <mergeCell ref="AQ43:AQ48"/>
    <mergeCell ref="AP19:AP24"/>
    <mergeCell ref="AQ19:AQ24"/>
    <mergeCell ref="AR19:AR24"/>
    <mergeCell ref="AR43:AR48"/>
    <mergeCell ref="AP49:AP54"/>
    <mergeCell ref="AQ49:AQ54"/>
    <mergeCell ref="AR49:AR54"/>
    <mergeCell ref="AP55:AP60"/>
    <mergeCell ref="AQ55:AQ60"/>
    <mergeCell ref="AR55:AR60"/>
    <mergeCell ref="AP25:AP30"/>
    <mergeCell ref="AQ25:AQ30"/>
    <mergeCell ref="AR25:AR30"/>
    <mergeCell ref="AP31:AP36"/>
    <mergeCell ref="AQ31:AQ36"/>
    <mergeCell ref="AR31:AR36"/>
    <mergeCell ref="H25:H30"/>
    <mergeCell ref="J13:J18"/>
    <mergeCell ref="K13:K18"/>
    <mergeCell ref="I19:I24"/>
    <mergeCell ref="J19:J24"/>
    <mergeCell ref="K19:K24"/>
    <mergeCell ref="I25:I30"/>
    <mergeCell ref="F19:F24"/>
    <mergeCell ref="J25:J30"/>
    <mergeCell ref="K25:K30"/>
    <mergeCell ref="G10:K10"/>
    <mergeCell ref="C13:C18"/>
    <mergeCell ref="D13:D18"/>
    <mergeCell ref="E13:E18"/>
    <mergeCell ref="L67:L72"/>
    <mergeCell ref="M67:M72"/>
    <mergeCell ref="AP10:AR10"/>
    <mergeCell ref="AF10:AJ10"/>
    <mergeCell ref="AK10:AO10"/>
    <mergeCell ref="M37:M42"/>
    <mergeCell ref="L43:L48"/>
    <mergeCell ref="M43:M48"/>
    <mergeCell ref="L49:L54"/>
    <mergeCell ref="M49:M54"/>
    <mergeCell ref="L55:L60"/>
    <mergeCell ref="M55:M60"/>
    <mergeCell ref="L61:L66"/>
    <mergeCell ref="M61:M66"/>
    <mergeCell ref="AP61:AP66"/>
    <mergeCell ref="AQ61:AQ66"/>
    <mergeCell ref="P11:P12"/>
    <mergeCell ref="S11:S12"/>
    <mergeCell ref="AL11:AL12"/>
    <mergeCell ref="AO11:AO12"/>
    <mergeCell ref="AM11:AM12"/>
    <mergeCell ref="Q31:Q36"/>
    <mergeCell ref="L10:M11"/>
    <mergeCell ref="N10:V10"/>
    <mergeCell ref="L13:L18"/>
    <mergeCell ref="M13:M18"/>
    <mergeCell ref="U31:U36"/>
    <mergeCell ref="R19:R24"/>
    <mergeCell ref="S19:S24"/>
    <mergeCell ref="T19:T24"/>
    <mergeCell ref="U19:U24"/>
    <mergeCell ref="AG11:AG12"/>
    <mergeCell ref="X11:X12"/>
    <mergeCell ref="Y11:AD11"/>
    <mergeCell ref="L25:L30"/>
    <mergeCell ref="M25:M30"/>
    <mergeCell ref="Q19:Q24"/>
    <mergeCell ref="W10:AE10"/>
    <mergeCell ref="Q25:Q30"/>
    <mergeCell ref="R25:R30"/>
    <mergeCell ref="S25:S30"/>
    <mergeCell ref="R31:R36"/>
    <mergeCell ref="N13:N18"/>
    <mergeCell ref="O13:O18"/>
  </mergeCells>
  <conditionalFormatting sqref="O13 O19">
    <cfRule type="cellIs" dxfId="700" priority="324" operator="equal">
      <formula>"Muy Alta"</formula>
    </cfRule>
    <cfRule type="cellIs" dxfId="699" priority="325" operator="equal">
      <formula>"Alta"</formula>
    </cfRule>
    <cfRule type="cellIs" dxfId="698" priority="326" operator="equal">
      <formula>"Media"</formula>
    </cfRule>
    <cfRule type="cellIs" dxfId="697" priority="327" operator="equal">
      <formula>"Baja"</formula>
    </cfRule>
    <cfRule type="cellIs" dxfId="696" priority="328" operator="equal">
      <formula>"Muy Baja"</formula>
    </cfRule>
  </conditionalFormatting>
  <conditionalFormatting sqref="S13 S19 S25 S31 S37 S43 S49 S55 S61 S67">
    <cfRule type="cellIs" dxfId="695" priority="319" operator="equal">
      <formula>"Catastrófico"</formula>
    </cfRule>
    <cfRule type="cellIs" dxfId="694" priority="320" operator="equal">
      <formula>"Mayor"</formula>
    </cfRule>
    <cfRule type="cellIs" dxfId="693" priority="321" operator="equal">
      <formula>"Moderado"</formula>
    </cfRule>
    <cfRule type="cellIs" dxfId="692" priority="322" operator="equal">
      <formula>"Menor"</formula>
    </cfRule>
    <cfRule type="cellIs" dxfId="691" priority="323" operator="equal">
      <formula>"Leve"</formula>
    </cfRule>
  </conditionalFormatting>
  <conditionalFormatting sqref="U13">
    <cfRule type="cellIs" dxfId="690" priority="315" operator="equal">
      <formula>"Extremo"</formula>
    </cfRule>
    <cfRule type="cellIs" dxfId="689" priority="316" operator="equal">
      <formula>"Alto"</formula>
    </cfRule>
    <cfRule type="cellIs" dxfId="688" priority="317" operator="equal">
      <formula>"Moderado"</formula>
    </cfRule>
    <cfRule type="cellIs" dxfId="687" priority="318" operator="equal">
      <formula>"Bajo"</formula>
    </cfRule>
  </conditionalFormatting>
  <conditionalFormatting sqref="AF13:AF18">
    <cfRule type="cellIs" dxfId="686" priority="310" operator="equal">
      <formula>"Muy Alta"</formula>
    </cfRule>
    <cfRule type="cellIs" dxfId="685" priority="311" operator="equal">
      <formula>"Alta"</formula>
    </cfRule>
    <cfRule type="cellIs" dxfId="684" priority="312" operator="equal">
      <formula>"Media"</formula>
    </cfRule>
    <cfRule type="cellIs" dxfId="683" priority="313" operator="equal">
      <formula>"Baja"</formula>
    </cfRule>
    <cfRule type="cellIs" dxfId="682" priority="314" operator="equal">
      <formula>"Muy Baja"</formula>
    </cfRule>
  </conditionalFormatting>
  <conditionalFormatting sqref="AH13:AH18">
    <cfRule type="cellIs" dxfId="681" priority="305" operator="equal">
      <formula>"Catastrófico"</formula>
    </cfRule>
    <cfRule type="cellIs" dxfId="680" priority="306" operator="equal">
      <formula>"Mayor"</formula>
    </cfRule>
    <cfRule type="cellIs" dxfId="679" priority="307" operator="equal">
      <formula>"Moderado"</formula>
    </cfRule>
    <cfRule type="cellIs" dxfId="678" priority="308" operator="equal">
      <formula>"Menor"</formula>
    </cfRule>
    <cfRule type="cellIs" dxfId="677" priority="309" operator="equal">
      <formula>"Leve"</formula>
    </cfRule>
  </conditionalFormatting>
  <conditionalFormatting sqref="AJ13:AJ18">
    <cfRule type="cellIs" dxfId="676" priority="301" operator="equal">
      <formula>"Extremo"</formula>
    </cfRule>
    <cfRule type="cellIs" dxfId="675" priority="302" operator="equal">
      <formula>"Alto"</formula>
    </cfRule>
    <cfRule type="cellIs" dxfId="674" priority="303" operator="equal">
      <formula>"Moderado"</formula>
    </cfRule>
    <cfRule type="cellIs" dxfId="673" priority="304" operator="equal">
      <formula>"Bajo"</formula>
    </cfRule>
  </conditionalFormatting>
  <conditionalFormatting sqref="O61">
    <cfRule type="cellIs" dxfId="672" priority="58" operator="equal">
      <formula>"Muy Alta"</formula>
    </cfRule>
    <cfRule type="cellIs" dxfId="671" priority="59" operator="equal">
      <formula>"Alta"</formula>
    </cfRule>
    <cfRule type="cellIs" dxfId="670" priority="60" operator="equal">
      <formula>"Media"</formula>
    </cfRule>
    <cfRule type="cellIs" dxfId="669" priority="61" operator="equal">
      <formula>"Baja"</formula>
    </cfRule>
    <cfRule type="cellIs" dxfId="668" priority="62" operator="equal">
      <formula>"Muy Baja"</formula>
    </cfRule>
  </conditionalFormatting>
  <conditionalFormatting sqref="U19">
    <cfRule type="cellIs" dxfId="667" priority="245" operator="equal">
      <formula>"Extremo"</formula>
    </cfRule>
    <cfRule type="cellIs" dxfId="666" priority="246" operator="equal">
      <formula>"Alto"</formula>
    </cfRule>
    <cfRule type="cellIs" dxfId="665" priority="247" operator="equal">
      <formula>"Moderado"</formula>
    </cfRule>
    <cfRule type="cellIs" dxfId="664" priority="248" operator="equal">
      <formula>"Bajo"</formula>
    </cfRule>
  </conditionalFormatting>
  <conditionalFormatting sqref="AF19:AF24">
    <cfRule type="cellIs" dxfId="663" priority="240" operator="equal">
      <formula>"Muy Alta"</formula>
    </cfRule>
    <cfRule type="cellIs" dxfId="662" priority="241" operator="equal">
      <formula>"Alta"</formula>
    </cfRule>
    <cfRule type="cellIs" dxfId="661" priority="242" operator="equal">
      <formula>"Media"</formula>
    </cfRule>
    <cfRule type="cellIs" dxfId="660" priority="243" operator="equal">
      <formula>"Baja"</formula>
    </cfRule>
    <cfRule type="cellIs" dxfId="659" priority="244" operator="equal">
      <formula>"Muy Baja"</formula>
    </cfRule>
  </conditionalFormatting>
  <conditionalFormatting sqref="AH19:AH24">
    <cfRule type="cellIs" dxfId="658" priority="235" operator="equal">
      <formula>"Catastrófico"</formula>
    </cfRule>
    <cfRule type="cellIs" dxfId="657" priority="236" operator="equal">
      <formula>"Mayor"</formula>
    </cfRule>
    <cfRule type="cellIs" dxfId="656" priority="237" operator="equal">
      <formula>"Moderado"</formula>
    </cfRule>
    <cfRule type="cellIs" dxfId="655" priority="238" operator="equal">
      <formula>"Menor"</formula>
    </cfRule>
    <cfRule type="cellIs" dxfId="654" priority="239" operator="equal">
      <formula>"Leve"</formula>
    </cfRule>
  </conditionalFormatting>
  <conditionalFormatting sqref="AJ19:AJ24">
    <cfRule type="cellIs" dxfId="653" priority="231" operator="equal">
      <formula>"Extremo"</formula>
    </cfRule>
    <cfRule type="cellIs" dxfId="652" priority="232" operator="equal">
      <formula>"Alto"</formula>
    </cfRule>
    <cfRule type="cellIs" dxfId="651" priority="233" operator="equal">
      <formula>"Moderado"</formula>
    </cfRule>
    <cfRule type="cellIs" dxfId="650" priority="234" operator="equal">
      <formula>"Bajo"</formula>
    </cfRule>
  </conditionalFormatting>
  <conditionalFormatting sqref="O25">
    <cfRule type="cellIs" dxfId="649" priority="226" operator="equal">
      <formula>"Muy Alta"</formula>
    </cfRule>
    <cfRule type="cellIs" dxfId="648" priority="227" operator="equal">
      <formula>"Alta"</formula>
    </cfRule>
    <cfRule type="cellIs" dxfId="647" priority="228" operator="equal">
      <formula>"Media"</formula>
    </cfRule>
    <cfRule type="cellIs" dxfId="646" priority="229" operator="equal">
      <formula>"Baja"</formula>
    </cfRule>
    <cfRule type="cellIs" dxfId="645" priority="230" operator="equal">
      <formula>"Muy Baja"</formula>
    </cfRule>
  </conditionalFormatting>
  <conditionalFormatting sqref="U25">
    <cfRule type="cellIs" dxfId="644" priority="217" operator="equal">
      <formula>"Extremo"</formula>
    </cfRule>
    <cfRule type="cellIs" dxfId="643" priority="218" operator="equal">
      <formula>"Alto"</formula>
    </cfRule>
    <cfRule type="cellIs" dxfId="642" priority="219" operator="equal">
      <formula>"Moderado"</formula>
    </cfRule>
    <cfRule type="cellIs" dxfId="641" priority="220" operator="equal">
      <formula>"Bajo"</formula>
    </cfRule>
  </conditionalFormatting>
  <conditionalFormatting sqref="AF25:AF30">
    <cfRule type="cellIs" dxfId="640" priority="212" operator="equal">
      <formula>"Muy Alta"</formula>
    </cfRule>
    <cfRule type="cellIs" dxfId="639" priority="213" operator="equal">
      <formula>"Alta"</formula>
    </cfRule>
    <cfRule type="cellIs" dxfId="638" priority="214" operator="equal">
      <formula>"Media"</formula>
    </cfRule>
    <cfRule type="cellIs" dxfId="637" priority="215" operator="equal">
      <formula>"Baja"</formula>
    </cfRule>
    <cfRule type="cellIs" dxfId="636" priority="216" operator="equal">
      <formula>"Muy Baja"</formula>
    </cfRule>
  </conditionalFormatting>
  <conditionalFormatting sqref="AH25:AH30">
    <cfRule type="cellIs" dxfId="635" priority="207" operator="equal">
      <formula>"Catastrófico"</formula>
    </cfRule>
    <cfRule type="cellIs" dxfId="634" priority="208" operator="equal">
      <formula>"Mayor"</formula>
    </cfRule>
    <cfRule type="cellIs" dxfId="633" priority="209" operator="equal">
      <formula>"Moderado"</formula>
    </cfRule>
    <cfRule type="cellIs" dxfId="632" priority="210" operator="equal">
      <formula>"Menor"</formula>
    </cfRule>
    <cfRule type="cellIs" dxfId="631" priority="211" operator="equal">
      <formula>"Leve"</formula>
    </cfRule>
  </conditionalFormatting>
  <conditionalFormatting sqref="AJ25:AJ30">
    <cfRule type="cellIs" dxfId="630" priority="203" operator="equal">
      <formula>"Extremo"</formula>
    </cfRule>
    <cfRule type="cellIs" dxfId="629" priority="204" operator="equal">
      <formula>"Alto"</formula>
    </cfRule>
    <cfRule type="cellIs" dxfId="628" priority="205" operator="equal">
      <formula>"Moderado"</formula>
    </cfRule>
    <cfRule type="cellIs" dxfId="627" priority="206" operator="equal">
      <formula>"Bajo"</formula>
    </cfRule>
  </conditionalFormatting>
  <conditionalFormatting sqref="O31">
    <cfRule type="cellIs" dxfId="626" priority="198" operator="equal">
      <formula>"Muy Alta"</formula>
    </cfRule>
    <cfRule type="cellIs" dxfId="625" priority="199" operator="equal">
      <formula>"Alta"</formula>
    </cfRule>
    <cfRule type="cellIs" dxfId="624" priority="200" operator="equal">
      <formula>"Media"</formula>
    </cfRule>
    <cfRule type="cellIs" dxfId="623" priority="201" operator="equal">
      <formula>"Baja"</formula>
    </cfRule>
    <cfRule type="cellIs" dxfId="622" priority="202" operator="equal">
      <formula>"Muy Baja"</formula>
    </cfRule>
  </conditionalFormatting>
  <conditionalFormatting sqref="U31">
    <cfRule type="cellIs" dxfId="621" priority="189" operator="equal">
      <formula>"Extremo"</formula>
    </cfRule>
    <cfRule type="cellIs" dxfId="620" priority="190" operator="equal">
      <formula>"Alto"</formula>
    </cfRule>
    <cfRule type="cellIs" dxfId="619" priority="191" operator="equal">
      <formula>"Moderado"</formula>
    </cfRule>
    <cfRule type="cellIs" dxfId="618" priority="192" operator="equal">
      <formula>"Bajo"</formula>
    </cfRule>
  </conditionalFormatting>
  <conditionalFormatting sqref="AF31:AF36">
    <cfRule type="cellIs" dxfId="617" priority="184" operator="equal">
      <formula>"Muy Alta"</formula>
    </cfRule>
    <cfRule type="cellIs" dxfId="616" priority="185" operator="equal">
      <formula>"Alta"</formula>
    </cfRule>
    <cfRule type="cellIs" dxfId="615" priority="186" operator="equal">
      <formula>"Media"</formula>
    </cfRule>
    <cfRule type="cellIs" dxfId="614" priority="187" operator="equal">
      <formula>"Baja"</formula>
    </cfRule>
    <cfRule type="cellIs" dxfId="613" priority="188" operator="equal">
      <formula>"Muy Baja"</formula>
    </cfRule>
  </conditionalFormatting>
  <conditionalFormatting sqref="AH31:AH36">
    <cfRule type="cellIs" dxfId="612" priority="179" operator="equal">
      <formula>"Catastrófico"</formula>
    </cfRule>
    <cfRule type="cellIs" dxfId="611" priority="180" operator="equal">
      <formula>"Mayor"</formula>
    </cfRule>
    <cfRule type="cellIs" dxfId="610" priority="181" operator="equal">
      <formula>"Moderado"</formula>
    </cfRule>
    <cfRule type="cellIs" dxfId="609" priority="182" operator="equal">
      <formula>"Menor"</formula>
    </cfRule>
    <cfRule type="cellIs" dxfId="608" priority="183" operator="equal">
      <formula>"Leve"</formula>
    </cfRule>
  </conditionalFormatting>
  <conditionalFormatting sqref="AJ31:AJ36">
    <cfRule type="cellIs" dxfId="607" priority="175" operator="equal">
      <formula>"Extremo"</formula>
    </cfRule>
    <cfRule type="cellIs" dxfId="606" priority="176" operator="equal">
      <formula>"Alto"</formula>
    </cfRule>
    <cfRule type="cellIs" dxfId="605" priority="177" operator="equal">
      <formula>"Moderado"</formula>
    </cfRule>
    <cfRule type="cellIs" dxfId="604" priority="178" operator="equal">
      <formula>"Bajo"</formula>
    </cfRule>
  </conditionalFormatting>
  <conditionalFormatting sqref="O37">
    <cfRule type="cellIs" dxfId="603" priority="170" operator="equal">
      <formula>"Muy Alta"</formula>
    </cfRule>
    <cfRule type="cellIs" dxfId="602" priority="171" operator="equal">
      <formula>"Alta"</formula>
    </cfRule>
    <cfRule type="cellIs" dxfId="601" priority="172" operator="equal">
      <formula>"Media"</formula>
    </cfRule>
    <cfRule type="cellIs" dxfId="600" priority="173" operator="equal">
      <formula>"Baja"</formula>
    </cfRule>
    <cfRule type="cellIs" dxfId="599" priority="174" operator="equal">
      <formula>"Muy Baja"</formula>
    </cfRule>
  </conditionalFormatting>
  <conditionalFormatting sqref="U37">
    <cfRule type="cellIs" dxfId="598" priority="161" operator="equal">
      <formula>"Extremo"</formula>
    </cfRule>
    <cfRule type="cellIs" dxfId="597" priority="162" operator="equal">
      <formula>"Alto"</formula>
    </cfRule>
    <cfRule type="cellIs" dxfId="596" priority="163" operator="equal">
      <formula>"Moderado"</formula>
    </cfRule>
    <cfRule type="cellIs" dxfId="595" priority="164" operator="equal">
      <formula>"Bajo"</formula>
    </cfRule>
  </conditionalFormatting>
  <conditionalFormatting sqref="AF37:AF42">
    <cfRule type="cellIs" dxfId="594" priority="156" operator="equal">
      <formula>"Muy Alta"</formula>
    </cfRule>
    <cfRule type="cellIs" dxfId="593" priority="157" operator="equal">
      <formula>"Alta"</formula>
    </cfRule>
    <cfRule type="cellIs" dxfId="592" priority="158" operator="equal">
      <formula>"Media"</formula>
    </cfRule>
    <cfRule type="cellIs" dxfId="591" priority="159" operator="equal">
      <formula>"Baja"</formula>
    </cfRule>
    <cfRule type="cellIs" dxfId="590" priority="160" operator="equal">
      <formula>"Muy Baja"</formula>
    </cfRule>
  </conditionalFormatting>
  <conditionalFormatting sqref="AH37:AH42">
    <cfRule type="cellIs" dxfId="589" priority="151" operator="equal">
      <formula>"Catastrófico"</formula>
    </cfRule>
    <cfRule type="cellIs" dxfId="588" priority="152" operator="equal">
      <formula>"Mayor"</formula>
    </cfRule>
    <cfRule type="cellIs" dxfId="587" priority="153" operator="equal">
      <formula>"Moderado"</formula>
    </cfRule>
    <cfRule type="cellIs" dxfId="586" priority="154" operator="equal">
      <formula>"Menor"</formula>
    </cfRule>
    <cfRule type="cellIs" dxfId="585" priority="155" operator="equal">
      <formula>"Leve"</formula>
    </cfRule>
  </conditionalFormatting>
  <conditionalFormatting sqref="AJ37:AJ42">
    <cfRule type="cellIs" dxfId="584" priority="147" operator="equal">
      <formula>"Extremo"</formula>
    </cfRule>
    <cfRule type="cellIs" dxfId="583" priority="148" operator="equal">
      <formula>"Alto"</formula>
    </cfRule>
    <cfRule type="cellIs" dxfId="582" priority="149" operator="equal">
      <formula>"Moderado"</formula>
    </cfRule>
    <cfRule type="cellIs" dxfId="581" priority="150" operator="equal">
      <formula>"Bajo"</formula>
    </cfRule>
  </conditionalFormatting>
  <conditionalFormatting sqref="O43">
    <cfRule type="cellIs" dxfId="580" priority="142" operator="equal">
      <formula>"Muy Alta"</formula>
    </cfRule>
    <cfRule type="cellIs" dxfId="579" priority="143" operator="equal">
      <formula>"Alta"</formula>
    </cfRule>
    <cfRule type="cellIs" dxfId="578" priority="144" operator="equal">
      <formula>"Media"</formula>
    </cfRule>
    <cfRule type="cellIs" dxfId="577" priority="145" operator="equal">
      <formula>"Baja"</formula>
    </cfRule>
    <cfRule type="cellIs" dxfId="576" priority="146" operator="equal">
      <formula>"Muy Baja"</formula>
    </cfRule>
  </conditionalFormatting>
  <conditionalFormatting sqref="U43">
    <cfRule type="cellIs" dxfId="575" priority="133" operator="equal">
      <formula>"Extremo"</formula>
    </cfRule>
    <cfRule type="cellIs" dxfId="574" priority="134" operator="equal">
      <formula>"Alto"</formula>
    </cfRule>
    <cfRule type="cellIs" dxfId="573" priority="135" operator="equal">
      <formula>"Moderado"</formula>
    </cfRule>
    <cfRule type="cellIs" dxfId="572" priority="136" operator="equal">
      <formula>"Bajo"</formula>
    </cfRule>
  </conditionalFormatting>
  <conditionalFormatting sqref="AF43:AF48">
    <cfRule type="cellIs" dxfId="571" priority="128" operator="equal">
      <formula>"Muy Alta"</formula>
    </cfRule>
    <cfRule type="cellIs" dxfId="570" priority="129" operator="equal">
      <formula>"Alta"</formula>
    </cfRule>
    <cfRule type="cellIs" dxfId="569" priority="130" operator="equal">
      <formula>"Media"</formula>
    </cfRule>
    <cfRule type="cellIs" dxfId="568" priority="131" operator="equal">
      <formula>"Baja"</formula>
    </cfRule>
    <cfRule type="cellIs" dxfId="567" priority="132" operator="equal">
      <formula>"Muy Baja"</formula>
    </cfRule>
  </conditionalFormatting>
  <conditionalFormatting sqref="AH43:AH48">
    <cfRule type="cellIs" dxfId="566" priority="123" operator="equal">
      <formula>"Catastrófico"</formula>
    </cfRule>
    <cfRule type="cellIs" dxfId="565" priority="124" operator="equal">
      <formula>"Mayor"</formula>
    </cfRule>
    <cfRule type="cellIs" dxfId="564" priority="125" operator="equal">
      <formula>"Moderado"</formula>
    </cfRule>
    <cfRule type="cellIs" dxfId="563" priority="126" operator="equal">
      <formula>"Menor"</formula>
    </cfRule>
    <cfRule type="cellIs" dxfId="562" priority="127" operator="equal">
      <formula>"Leve"</formula>
    </cfRule>
  </conditionalFormatting>
  <conditionalFormatting sqref="AJ43:AJ48">
    <cfRule type="cellIs" dxfId="561" priority="119" operator="equal">
      <formula>"Extremo"</formula>
    </cfRule>
    <cfRule type="cellIs" dxfId="560" priority="120" operator="equal">
      <formula>"Alto"</formula>
    </cfRule>
    <cfRule type="cellIs" dxfId="559" priority="121" operator="equal">
      <formula>"Moderado"</formula>
    </cfRule>
    <cfRule type="cellIs" dxfId="558" priority="122" operator="equal">
      <formula>"Bajo"</formula>
    </cfRule>
  </conditionalFormatting>
  <conditionalFormatting sqref="O49">
    <cfRule type="cellIs" dxfId="557" priority="114" operator="equal">
      <formula>"Muy Alta"</formula>
    </cfRule>
    <cfRule type="cellIs" dxfId="556" priority="115" operator="equal">
      <formula>"Alta"</formula>
    </cfRule>
    <cfRule type="cellIs" dxfId="555" priority="116" operator="equal">
      <formula>"Media"</formula>
    </cfRule>
    <cfRule type="cellIs" dxfId="554" priority="117" operator="equal">
      <formula>"Baja"</formula>
    </cfRule>
    <cfRule type="cellIs" dxfId="553" priority="118" operator="equal">
      <formula>"Muy Baja"</formula>
    </cfRule>
  </conditionalFormatting>
  <conditionalFormatting sqref="U49">
    <cfRule type="cellIs" dxfId="552" priority="105" operator="equal">
      <formula>"Extremo"</formula>
    </cfRule>
    <cfRule type="cellIs" dxfId="551" priority="106" operator="equal">
      <formula>"Alto"</formula>
    </cfRule>
    <cfRule type="cellIs" dxfId="550" priority="107" operator="equal">
      <formula>"Moderado"</formula>
    </cfRule>
    <cfRule type="cellIs" dxfId="549" priority="108" operator="equal">
      <formula>"Bajo"</formula>
    </cfRule>
  </conditionalFormatting>
  <conditionalFormatting sqref="AF49:AF54">
    <cfRule type="cellIs" dxfId="548" priority="100" operator="equal">
      <formula>"Muy Alta"</formula>
    </cfRule>
    <cfRule type="cellIs" dxfId="547" priority="101" operator="equal">
      <formula>"Alta"</formula>
    </cfRule>
    <cfRule type="cellIs" dxfId="546" priority="102" operator="equal">
      <formula>"Media"</formula>
    </cfRule>
    <cfRule type="cellIs" dxfId="545" priority="103" operator="equal">
      <formula>"Baja"</formula>
    </cfRule>
    <cfRule type="cellIs" dxfId="544" priority="104" operator="equal">
      <formula>"Muy Baja"</formula>
    </cfRule>
  </conditionalFormatting>
  <conditionalFormatting sqref="AH49:AH54">
    <cfRule type="cellIs" dxfId="543" priority="95" operator="equal">
      <formula>"Catastrófico"</formula>
    </cfRule>
    <cfRule type="cellIs" dxfId="542" priority="96" operator="equal">
      <formula>"Mayor"</formula>
    </cfRule>
    <cfRule type="cellIs" dxfId="541" priority="97" operator="equal">
      <formula>"Moderado"</formula>
    </cfRule>
    <cfRule type="cellIs" dxfId="540" priority="98" operator="equal">
      <formula>"Menor"</formula>
    </cfRule>
    <cfRule type="cellIs" dxfId="539" priority="99" operator="equal">
      <formula>"Leve"</formula>
    </cfRule>
  </conditionalFormatting>
  <conditionalFormatting sqref="AJ49:AJ54">
    <cfRule type="cellIs" dxfId="538" priority="91" operator="equal">
      <formula>"Extremo"</formula>
    </cfRule>
    <cfRule type="cellIs" dxfId="537" priority="92" operator="equal">
      <formula>"Alto"</formula>
    </cfRule>
    <cfRule type="cellIs" dxfId="536" priority="93" operator="equal">
      <formula>"Moderado"</formula>
    </cfRule>
    <cfRule type="cellIs" dxfId="535" priority="94" operator="equal">
      <formula>"Bajo"</formula>
    </cfRule>
  </conditionalFormatting>
  <conditionalFormatting sqref="U55">
    <cfRule type="cellIs" dxfId="534" priority="77" operator="equal">
      <formula>"Extremo"</formula>
    </cfRule>
    <cfRule type="cellIs" dxfId="533" priority="78" operator="equal">
      <formula>"Alto"</formula>
    </cfRule>
    <cfRule type="cellIs" dxfId="532" priority="79" operator="equal">
      <formula>"Moderado"</formula>
    </cfRule>
    <cfRule type="cellIs" dxfId="531" priority="80" operator="equal">
      <formula>"Bajo"</formula>
    </cfRule>
  </conditionalFormatting>
  <conditionalFormatting sqref="AF55:AF60">
    <cfRule type="cellIs" dxfId="530" priority="72" operator="equal">
      <formula>"Muy Alta"</formula>
    </cfRule>
    <cfRule type="cellIs" dxfId="529" priority="73" operator="equal">
      <formula>"Alta"</formula>
    </cfRule>
    <cfRule type="cellIs" dxfId="528" priority="74" operator="equal">
      <formula>"Media"</formula>
    </cfRule>
    <cfRule type="cellIs" dxfId="527" priority="75" operator="equal">
      <formula>"Baja"</formula>
    </cfRule>
    <cfRule type="cellIs" dxfId="526" priority="76" operator="equal">
      <formula>"Muy Baja"</formula>
    </cfRule>
  </conditionalFormatting>
  <conditionalFormatting sqref="AH55:AH60">
    <cfRule type="cellIs" dxfId="525" priority="67" operator="equal">
      <formula>"Catastrófico"</formula>
    </cfRule>
    <cfRule type="cellIs" dxfId="524" priority="68" operator="equal">
      <formula>"Mayor"</formula>
    </cfRule>
    <cfRule type="cellIs" dxfId="523" priority="69" operator="equal">
      <formula>"Moderado"</formula>
    </cfRule>
    <cfRule type="cellIs" dxfId="522" priority="70" operator="equal">
      <formula>"Menor"</formula>
    </cfRule>
    <cfRule type="cellIs" dxfId="521" priority="71" operator="equal">
      <formula>"Leve"</formula>
    </cfRule>
  </conditionalFormatting>
  <conditionalFormatting sqref="AJ55:AJ60">
    <cfRule type="cellIs" dxfId="520" priority="63" operator="equal">
      <formula>"Extremo"</formula>
    </cfRule>
    <cfRule type="cellIs" dxfId="519" priority="64" operator="equal">
      <formula>"Alto"</formula>
    </cfRule>
    <cfRule type="cellIs" dxfId="518" priority="65" operator="equal">
      <formula>"Moderado"</formula>
    </cfRule>
    <cfRule type="cellIs" dxfId="517" priority="66" operator="equal">
      <formula>"Bajo"</formula>
    </cfRule>
  </conditionalFormatting>
  <conditionalFormatting sqref="U61">
    <cfRule type="cellIs" dxfId="516" priority="49" operator="equal">
      <formula>"Extremo"</formula>
    </cfRule>
    <cfRule type="cellIs" dxfId="515" priority="50" operator="equal">
      <formula>"Alto"</formula>
    </cfRule>
    <cfRule type="cellIs" dxfId="514" priority="51" operator="equal">
      <formula>"Moderado"</formula>
    </cfRule>
    <cfRule type="cellIs" dxfId="513" priority="52" operator="equal">
      <formula>"Bajo"</formula>
    </cfRule>
  </conditionalFormatting>
  <conditionalFormatting sqref="AF61:AF66">
    <cfRule type="cellIs" dxfId="512" priority="44" operator="equal">
      <formula>"Muy Alta"</formula>
    </cfRule>
    <cfRule type="cellIs" dxfId="511" priority="45" operator="equal">
      <formula>"Alta"</formula>
    </cfRule>
    <cfRule type="cellIs" dxfId="510" priority="46" operator="equal">
      <formula>"Media"</formula>
    </cfRule>
    <cfRule type="cellIs" dxfId="509" priority="47" operator="equal">
      <formula>"Baja"</formula>
    </cfRule>
    <cfRule type="cellIs" dxfId="508" priority="48" operator="equal">
      <formula>"Muy Baja"</formula>
    </cfRule>
  </conditionalFormatting>
  <conditionalFormatting sqref="AH61:AH66">
    <cfRule type="cellIs" dxfId="507" priority="39" operator="equal">
      <formula>"Catastrófico"</formula>
    </cfRule>
    <cfRule type="cellIs" dxfId="506" priority="40" operator="equal">
      <formula>"Mayor"</formula>
    </cfRule>
    <cfRule type="cellIs" dxfId="505" priority="41" operator="equal">
      <formula>"Moderado"</formula>
    </cfRule>
    <cfRule type="cellIs" dxfId="504" priority="42" operator="equal">
      <formula>"Menor"</formula>
    </cfRule>
    <cfRule type="cellIs" dxfId="503" priority="43" operator="equal">
      <formula>"Leve"</formula>
    </cfRule>
  </conditionalFormatting>
  <conditionalFormatting sqref="AJ61:AJ66">
    <cfRule type="cellIs" dxfId="502" priority="35" operator="equal">
      <formula>"Extremo"</formula>
    </cfRule>
    <cfRule type="cellIs" dxfId="501" priority="36" operator="equal">
      <formula>"Alto"</formula>
    </cfRule>
    <cfRule type="cellIs" dxfId="500" priority="37" operator="equal">
      <formula>"Moderado"</formula>
    </cfRule>
    <cfRule type="cellIs" dxfId="499" priority="38" operator="equal">
      <formula>"Bajo"</formula>
    </cfRule>
  </conditionalFormatting>
  <conditionalFormatting sqref="O67">
    <cfRule type="cellIs" dxfId="498" priority="30" operator="equal">
      <formula>"Muy Alta"</formula>
    </cfRule>
    <cfRule type="cellIs" dxfId="497" priority="31" operator="equal">
      <formula>"Alta"</formula>
    </cfRule>
    <cfRule type="cellIs" dxfId="496" priority="32" operator="equal">
      <formula>"Media"</formula>
    </cfRule>
    <cfRule type="cellIs" dxfId="495" priority="33" operator="equal">
      <formula>"Baja"</formula>
    </cfRule>
    <cfRule type="cellIs" dxfId="494" priority="34" operator="equal">
      <formula>"Muy Baja"</formula>
    </cfRule>
  </conditionalFormatting>
  <conditionalFormatting sqref="U67">
    <cfRule type="cellIs" dxfId="493" priority="21" operator="equal">
      <formula>"Extremo"</formula>
    </cfRule>
    <cfRule type="cellIs" dxfId="492" priority="22" operator="equal">
      <formula>"Alto"</formula>
    </cfRule>
    <cfRule type="cellIs" dxfId="491" priority="23" operator="equal">
      <formula>"Moderado"</formula>
    </cfRule>
    <cfRule type="cellIs" dxfId="490" priority="24" operator="equal">
      <formula>"Bajo"</formula>
    </cfRule>
  </conditionalFormatting>
  <conditionalFormatting sqref="AF67:AF72">
    <cfRule type="cellIs" dxfId="489" priority="16" operator="equal">
      <formula>"Muy Alta"</formula>
    </cfRule>
    <cfRule type="cellIs" dxfId="488" priority="17" operator="equal">
      <formula>"Alta"</formula>
    </cfRule>
    <cfRule type="cellIs" dxfId="487" priority="18" operator="equal">
      <formula>"Media"</formula>
    </cfRule>
    <cfRule type="cellIs" dxfId="486" priority="19" operator="equal">
      <formula>"Baja"</formula>
    </cfRule>
    <cfRule type="cellIs" dxfId="485" priority="20" operator="equal">
      <formula>"Muy Baja"</formula>
    </cfRule>
  </conditionalFormatting>
  <conditionalFormatting sqref="AH67:AH72">
    <cfRule type="cellIs" dxfId="484" priority="11" operator="equal">
      <formula>"Catastrófico"</formula>
    </cfRule>
    <cfRule type="cellIs" dxfId="483" priority="12" operator="equal">
      <formula>"Mayor"</formula>
    </cfRule>
    <cfRule type="cellIs" dxfId="482" priority="13" operator="equal">
      <formula>"Moderado"</formula>
    </cfRule>
    <cfRule type="cellIs" dxfId="481" priority="14" operator="equal">
      <formula>"Menor"</formula>
    </cfRule>
    <cfRule type="cellIs" dxfId="480" priority="15" operator="equal">
      <formula>"Leve"</formula>
    </cfRule>
  </conditionalFormatting>
  <conditionalFormatting sqref="AJ67:AJ72">
    <cfRule type="cellIs" dxfId="479" priority="7" operator="equal">
      <formula>"Extremo"</formula>
    </cfRule>
    <cfRule type="cellIs" dxfId="478" priority="8" operator="equal">
      <formula>"Alto"</formula>
    </cfRule>
    <cfRule type="cellIs" dxfId="477" priority="9" operator="equal">
      <formula>"Moderado"</formula>
    </cfRule>
    <cfRule type="cellIs" dxfId="476" priority="10" operator="equal">
      <formula>"Bajo"</formula>
    </cfRule>
  </conditionalFormatting>
  <conditionalFormatting sqref="R13:R72">
    <cfRule type="containsText" dxfId="475" priority="6" operator="containsText" text="❌">
      <formula>NOT(ISERROR(SEARCH("❌",R13)))</formula>
    </cfRule>
  </conditionalFormatting>
  <conditionalFormatting sqref="O55">
    <cfRule type="cellIs" dxfId="474" priority="1" operator="equal">
      <formula>"Muy Alta"</formula>
    </cfRule>
    <cfRule type="cellIs" dxfId="473" priority="2" operator="equal">
      <formula>"Alta"</formula>
    </cfRule>
    <cfRule type="cellIs" dxfId="472" priority="3" operator="equal">
      <formula>"Media"</formula>
    </cfRule>
    <cfRule type="cellIs" dxfId="471" priority="4" operator="equal">
      <formula>"Baja"</formula>
    </cfRule>
    <cfRule type="cellIs" dxfId="470" priority="5" operator="equal">
      <formula>"Muy Baja"</formula>
    </cfRule>
  </conditionalFormatting>
  <dataValidations count="1">
    <dataValidation allowBlank="1" showInputMessage="1" showErrorMessage="1" error="Recuerde que las acciones se generan bajo la medida de mitigar el riesgo" sqref="AP19:AR24" xr:uid="{00000000-0002-0000-0300-000000000000}"/>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0" max="75" man="1"/>
  </colBreaks>
  <ignoredErrors>
    <ignoredError sqref="AI15" formula="1"/>
  </ignoredError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1000000}">
          <x14:formula1>
            <xm:f>'Tabla Valoración controles'!$D$4:$D$6</xm:f>
          </x14:formula1>
          <xm:sqref>Y13:Y72</xm:sqref>
        </x14:dataValidation>
        <x14:dataValidation type="list" allowBlank="1" showInputMessage="1" showErrorMessage="1" xr:uid="{00000000-0002-0000-0300-000002000000}">
          <x14:formula1>
            <xm:f>'Tabla Valoración controles'!$D$7:$D$8</xm:f>
          </x14:formula1>
          <xm:sqref>Z13:Z72</xm:sqref>
        </x14:dataValidation>
        <x14:dataValidation type="list" allowBlank="1" showInputMessage="1" showErrorMessage="1" xr:uid="{00000000-0002-0000-0300-000003000000}">
          <x14:formula1>
            <xm:f>'Tabla Valoración controles'!$D$9:$D$10</xm:f>
          </x14:formula1>
          <xm:sqref>AB13:AB72</xm:sqref>
        </x14:dataValidation>
        <x14:dataValidation type="list" allowBlank="1" showInputMessage="1" showErrorMessage="1" xr:uid="{00000000-0002-0000-0300-000004000000}">
          <x14:formula1>
            <xm:f>'Tabla Valoración controles'!$D$11:$D$12</xm:f>
          </x14:formula1>
          <xm:sqref>AC13:AC72</xm:sqref>
        </x14:dataValidation>
        <x14:dataValidation type="list" allowBlank="1" showInputMessage="1" showErrorMessage="1" xr:uid="{00000000-0002-0000-0300-000005000000}">
          <x14:formula1>
            <xm:f>'Tabla Valoración controles'!$D$13:$D$14</xm:f>
          </x14:formula1>
          <xm:sqref>AD13:AD72</xm:sqref>
        </x14:dataValidation>
        <x14:dataValidation type="list" allowBlank="1" showInputMessage="1" showErrorMessage="1" xr:uid="{00000000-0002-0000-0300-000006000000}">
          <x14:formula1>
            <xm:f>Listas!$E$2:$E$4</xm:f>
          </x14:formula1>
          <xm:sqref>B13:B72</xm:sqref>
        </x14:dataValidation>
        <x14:dataValidation type="list" allowBlank="1" showInputMessage="1" showErrorMessage="1" xr:uid="{00000000-0002-0000-0300-000007000000}">
          <x14:formula1>
            <xm:f>Listas!$B$2:$B$5</xm:f>
          </x14:formula1>
          <xm:sqref>AK13:AK72</xm:sqref>
        </x14:dataValidation>
        <x14:dataValidation type="list" allowBlank="1" showInputMessage="1" showErrorMessage="1" xr:uid="{00000000-0002-0000-0300-000008000000}">
          <x14:formula1>
            <xm:f>'Tabla Impacto'!$F$211:$F$222</xm:f>
          </x14:formula1>
          <xm:sqref>Q13:Q72</xm:sqref>
        </x14:dataValidation>
        <x14:dataValidation type="custom" allowBlank="1" showInputMessage="1" showErrorMessage="1" error="Recuerde que las acciones se generan bajo la medida de mitigar el riesgo" xr:uid="{00000000-0002-0000-0300-000009000000}">
          <x14:formula1>
            <xm:f>IF(OR(#REF!=Listas!$B$2,#REF!=Listas!$B$3,#REF!=Listas!$B$4),ISBLANK(#REF!),ISTEXT(#REF!))</xm:f>
          </x14:formula1>
          <xm:sqref>AP25:AR25 AP67:AR67 AP61:AR61 AP55:AR55 AP49:AR49 AP43:AR43 AP37:AR37 AP31:AR31</xm:sqref>
        </x14:dataValidation>
        <x14:dataValidation type="list" allowBlank="1" showInputMessage="1" showErrorMessage="1" xr:uid="{00000000-0002-0000-0300-00000A000000}">
          <x14:formula1>
            <xm:f>Listas!$B$12:$B$16</xm:f>
          </x14:formula1>
          <xm:sqref>F13:F72</xm:sqref>
        </x14:dataValidation>
        <x14:dataValidation type="list" allowBlank="1" showInputMessage="1" showErrorMessage="1" xr:uid="{00000000-0002-0000-0300-00000B000000}">
          <x14:formula1>
            <xm:f>Listas!$F$8:$F$9</xm:f>
          </x14:formula1>
          <xm:sqref>G13:G72</xm:sqref>
        </x14:dataValidation>
        <x14:dataValidation type="list" allowBlank="1" showInputMessage="1" showErrorMessage="1" xr:uid="{00000000-0002-0000-0300-00000C000000}">
          <x14:formula1>
            <xm:f>Intructivo!$C$300:$C$316</xm:f>
          </x14:formula1>
          <xm:sqref>U6:V6</xm:sqref>
        </x14:dataValidation>
        <x14:dataValidation type="list" allowBlank="1" showInputMessage="1" showErrorMessage="1" xr:uid="{00000000-0002-0000-0300-00000D000000}">
          <x14:formula1>
            <xm:f>Listas!$H$8:$H$12</xm:f>
          </x14:formula1>
          <xm:sqref>L13:L72</xm:sqref>
        </x14:dataValidation>
        <x14:dataValidation type="list" allowBlank="1" showInputMessage="1" showErrorMessage="1" xr:uid="{00000000-0002-0000-0300-00000E000000}">
          <x14:formula1>
            <xm:f>Listas!$H$14:$H$18</xm:f>
          </x14:formula1>
          <xm:sqref>M13:M72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topLeftCell="A2" zoomScale="40" zoomScaleNormal="40" workbookViewId="0">
      <selection activeCell="Z14" sqref="Z14:AA15"/>
    </sheetView>
  </sheetViews>
  <sheetFormatPr baseColWidth="10" defaultColWidth="11.42578125" defaultRowHeight="15" x14ac:dyDescent="0.25"/>
  <cols>
    <col min="2" max="39" width="5.7109375" customWidth="1"/>
    <col min="41" max="46" width="5.7109375" customWidth="1"/>
  </cols>
  <sheetData>
    <row r="1" spans="1:99"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row>
    <row r="2" spans="1:99" ht="18" customHeight="1" x14ac:dyDescent="0.25">
      <c r="A2" s="66"/>
      <c r="B2" s="462" t="s">
        <v>263</v>
      </c>
      <c r="C2" s="462"/>
      <c r="D2" s="462"/>
      <c r="E2" s="462"/>
      <c r="F2" s="462"/>
      <c r="G2" s="462"/>
      <c r="H2" s="462"/>
      <c r="I2" s="462"/>
      <c r="J2" s="499" t="s">
        <v>15</v>
      </c>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ht="18.75" customHeight="1" x14ac:dyDescent="0.25">
      <c r="A3" s="66"/>
      <c r="B3" s="462"/>
      <c r="C3" s="462"/>
      <c r="D3" s="462"/>
      <c r="E3" s="462"/>
      <c r="F3" s="462"/>
      <c r="G3" s="462"/>
      <c r="H3" s="462"/>
      <c r="I3" s="462"/>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ht="15" customHeight="1" x14ac:dyDescent="0.25">
      <c r="A4" s="66"/>
      <c r="B4" s="462"/>
      <c r="C4" s="462"/>
      <c r="D4" s="462"/>
      <c r="E4" s="462"/>
      <c r="F4" s="462"/>
      <c r="G4" s="462"/>
      <c r="H4" s="462"/>
      <c r="I4" s="462"/>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ht="15" customHeight="1" x14ac:dyDescent="0.25">
      <c r="A6" s="66"/>
      <c r="B6" s="510" t="s">
        <v>264</v>
      </c>
      <c r="C6" s="510"/>
      <c r="D6" s="511"/>
      <c r="E6" s="500" t="s">
        <v>265</v>
      </c>
      <c r="F6" s="501"/>
      <c r="G6" s="501"/>
      <c r="H6" s="501"/>
      <c r="I6" s="502"/>
      <c r="J6" s="496" t="str">
        <f>IF(AND('Riesgos de Gestión'!$O$13="Muy Alta",'Riesgos de Gestión'!$S$13="Leve"),CONCATENATE("R",'Riesgos de Gestión'!$A$13),"")</f>
        <v/>
      </c>
      <c r="K6" s="497"/>
      <c r="L6" s="497" t="str">
        <f>IF(AND('Riesgos de Gestión'!$O$19="Muy Alta",'Riesgos de Gestión'!$S$19="Leve"),CONCATENATE("R",'Riesgos de Gestión'!$A$19),"")</f>
        <v/>
      </c>
      <c r="M6" s="497"/>
      <c r="N6" s="497" t="str">
        <f>IF(AND('Riesgos de Gestión'!$O$25="Muy Alta",'Riesgos de Gestión'!$S$25="Leve"),CONCATENATE("R",'Riesgos de Gestión'!$A$25),"")</f>
        <v/>
      </c>
      <c r="O6" s="498"/>
      <c r="P6" s="496" t="str">
        <f>IF(AND('Riesgos de Gestión'!$O$13="Muy Alta",'Riesgos de Gestión'!$S$13="Menor"),CONCATENATE("R",'Riesgos de Gestión'!$A$13),"")</f>
        <v/>
      </c>
      <c r="Q6" s="497"/>
      <c r="R6" s="497" t="str">
        <f>IF(AND('Riesgos de Gestión'!$O$19="Muy Alta",'Riesgos de Gestión'!$S$19="Menor"),CONCATENATE("R",'Riesgos de Gestión'!$A$19),"")</f>
        <v/>
      </c>
      <c r="S6" s="497"/>
      <c r="T6" s="497" t="str">
        <f>IF(AND('Riesgos de Gestión'!$O$25="Muy Alta",'Riesgos de Gestión'!$S$25="Menor"),CONCATENATE("R",'Riesgos de Gestión'!$A$25),"")</f>
        <v/>
      </c>
      <c r="U6" s="498"/>
      <c r="V6" s="496" t="str">
        <f>IF(AND('Riesgos de Gestión'!$O$13="Muy Alta",'Riesgos de Gestión'!$S$13="Moderado"),CONCATENATE("R",'Riesgos de Gestión'!$A$13),"")</f>
        <v/>
      </c>
      <c r="W6" s="497"/>
      <c r="X6" s="497" t="str">
        <f>IF(AND('Riesgos de Gestión'!$O$19="Muy Alta",'Riesgos de Gestión'!$S$19="Moderado"),CONCATENATE("R",'Riesgos de Gestión'!$A$19),"")</f>
        <v/>
      </c>
      <c r="Y6" s="497"/>
      <c r="Z6" s="497" t="str">
        <f>IF(AND('Riesgos de Gestión'!$O$25="Muy Alta",'Riesgos de Gestión'!$S$25="Moderado"),CONCATENATE("R",'Riesgos de Gestión'!$A$25),"")</f>
        <v/>
      </c>
      <c r="AA6" s="498"/>
      <c r="AB6" s="496" t="str">
        <f>IF(AND('Riesgos de Gestión'!$O$13="Muy Alta",'Riesgos de Gestión'!$S$13="Mayor"),CONCATENATE("R",'Riesgos de Gestión'!$A$13),"")</f>
        <v/>
      </c>
      <c r="AC6" s="497"/>
      <c r="AD6" s="497" t="str">
        <f>IF(AND('Riesgos de Gestión'!$O$19="Muy Alta",'Riesgos de Gestión'!$S$19="Mayor"),CONCATENATE("R",'Riesgos de Gestión'!$A$19),"")</f>
        <v/>
      </c>
      <c r="AE6" s="497"/>
      <c r="AF6" s="497" t="str">
        <f>IF(AND('Riesgos de Gestión'!$O$25="Muy Alta",'Riesgos de Gestión'!$S$25="Mayor"),CONCATENATE("R",'Riesgos de Gestión'!$A$25),"")</f>
        <v/>
      </c>
      <c r="AG6" s="498"/>
      <c r="AH6" s="487" t="str">
        <f>IF(AND('Riesgos de Gestión'!$O$13="Muy Alta",'Riesgos de Gestión'!$S$13="Catastrófico"),CONCATENATE("R",'Riesgos de Gestión'!$A$13),"")</f>
        <v/>
      </c>
      <c r="AI6" s="488"/>
      <c r="AJ6" s="488" t="str">
        <f>IF(AND('Riesgos de Gestión'!$O$19="Muy Alta",'Riesgos de Gestión'!$S$19="Catastrófico"),CONCATENATE("R",'Riesgos de Gestión'!$A$19),"")</f>
        <v/>
      </c>
      <c r="AK6" s="488"/>
      <c r="AL6" s="488" t="str">
        <f>IF(AND('Riesgos de Gestión'!$O$25="Muy Alta",'Riesgos de Gestión'!$S$25="Catastrófico"),CONCATENATE("R",'Riesgos de Gestión'!$A$25),"")</f>
        <v/>
      </c>
      <c r="AM6" s="489"/>
      <c r="AO6" s="512" t="s">
        <v>266</v>
      </c>
      <c r="AP6" s="513"/>
      <c r="AQ6" s="513"/>
      <c r="AR6" s="513"/>
      <c r="AS6" s="513"/>
      <c r="AT6" s="514"/>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row>
    <row r="7" spans="1:99" ht="15" customHeight="1" x14ac:dyDescent="0.25">
      <c r="A7" s="66"/>
      <c r="B7" s="510"/>
      <c r="C7" s="510"/>
      <c r="D7" s="511"/>
      <c r="E7" s="503"/>
      <c r="F7" s="504"/>
      <c r="G7" s="504"/>
      <c r="H7" s="504"/>
      <c r="I7" s="505"/>
      <c r="J7" s="490"/>
      <c r="K7" s="491"/>
      <c r="L7" s="491"/>
      <c r="M7" s="491"/>
      <c r="N7" s="491"/>
      <c r="O7" s="492"/>
      <c r="P7" s="490"/>
      <c r="Q7" s="491"/>
      <c r="R7" s="491"/>
      <c r="S7" s="491"/>
      <c r="T7" s="491"/>
      <c r="U7" s="492"/>
      <c r="V7" s="490"/>
      <c r="W7" s="491"/>
      <c r="X7" s="491"/>
      <c r="Y7" s="491"/>
      <c r="Z7" s="491"/>
      <c r="AA7" s="492"/>
      <c r="AB7" s="490"/>
      <c r="AC7" s="491"/>
      <c r="AD7" s="491"/>
      <c r="AE7" s="491"/>
      <c r="AF7" s="491"/>
      <c r="AG7" s="492"/>
      <c r="AH7" s="481"/>
      <c r="AI7" s="482"/>
      <c r="AJ7" s="482"/>
      <c r="AK7" s="482"/>
      <c r="AL7" s="482"/>
      <c r="AM7" s="483"/>
      <c r="AN7" s="66"/>
      <c r="AO7" s="515"/>
      <c r="AP7" s="516"/>
      <c r="AQ7" s="516"/>
      <c r="AR7" s="516"/>
      <c r="AS7" s="516"/>
      <c r="AT7" s="517"/>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1:99" ht="15" customHeight="1" x14ac:dyDescent="0.25">
      <c r="A8" s="66"/>
      <c r="B8" s="510"/>
      <c r="C8" s="510"/>
      <c r="D8" s="511"/>
      <c r="E8" s="503"/>
      <c r="F8" s="504"/>
      <c r="G8" s="504"/>
      <c r="H8" s="504"/>
      <c r="I8" s="505"/>
      <c r="J8" s="490" t="str">
        <f>IF(AND('Riesgos de Gestión'!$O$31="Muy Alta",'Riesgos de Gestión'!$S$31="Leve"),CONCATENATE("R",'Riesgos de Gestión'!$A$31),"")</f>
        <v/>
      </c>
      <c r="K8" s="491"/>
      <c r="L8" s="491" t="str">
        <f>IF(AND('Riesgos de Gestión'!$O$37="Muy Alta",'Riesgos de Gestión'!$S$37="Leve"),CONCATENATE("R",'Riesgos de Gestión'!$A$37),"")</f>
        <v/>
      </c>
      <c r="M8" s="491"/>
      <c r="N8" s="491" t="str">
        <f>IF(AND('Riesgos de Gestión'!$O$43="Muy Alta",'Riesgos de Gestión'!$S$43="Leve"),CONCATENATE("R",'Riesgos de Gestión'!$A$43),"")</f>
        <v/>
      </c>
      <c r="O8" s="492"/>
      <c r="P8" s="490" t="str">
        <f>IF(AND('Riesgos de Gestión'!$O$31="Muy Alta",'Riesgos de Gestión'!$S$31="Menor"),CONCATENATE("R",'Riesgos de Gestión'!$A$31),"")</f>
        <v/>
      </c>
      <c r="Q8" s="491"/>
      <c r="R8" s="491" t="str">
        <f>IF(AND('Riesgos de Gestión'!$O$37="Muy Alta",'Riesgos de Gestión'!$S$37="Menor"),CONCATENATE("R",'Riesgos de Gestión'!$A$37),"")</f>
        <v/>
      </c>
      <c r="S8" s="491"/>
      <c r="T8" s="491" t="str">
        <f>IF(AND('Riesgos de Gestión'!$O$43="Muy Alta",'Riesgos de Gestión'!$S$43="Menor"),CONCATENATE("R",'Riesgos de Gestión'!$A$43),"")</f>
        <v/>
      </c>
      <c r="U8" s="492"/>
      <c r="V8" s="490" t="str">
        <f>IF(AND('Riesgos de Gestión'!$O$31="Muy Alta",'Riesgos de Gestión'!$S$31="Moderado"),CONCATENATE("R",'Riesgos de Gestión'!$A$31),"")</f>
        <v/>
      </c>
      <c r="W8" s="491"/>
      <c r="X8" s="491" t="str">
        <f>IF(AND('Riesgos de Gestión'!$O$37="Muy Alta",'Riesgos de Gestión'!$S$37="Moderado"),CONCATENATE("R",'Riesgos de Gestión'!$A$37),"")</f>
        <v/>
      </c>
      <c r="Y8" s="491"/>
      <c r="Z8" s="491" t="str">
        <f>IF(AND('Riesgos de Gestión'!$O$43="Muy Alta",'Riesgos de Gestión'!$S$43="Moderado"),CONCATENATE("R",'Riesgos de Gestión'!$A$43),"")</f>
        <v/>
      </c>
      <c r="AA8" s="492"/>
      <c r="AB8" s="490" t="str">
        <f>IF(AND('Riesgos de Gestión'!$O$31="Muy Alta",'Riesgos de Gestión'!$S$31="Mayor"),CONCATENATE("R",'Riesgos de Gestión'!$A$31),"")</f>
        <v/>
      </c>
      <c r="AC8" s="491"/>
      <c r="AD8" s="491" t="str">
        <f>IF(AND('Riesgos de Gestión'!$O$37="Muy Alta",'Riesgos de Gestión'!$S$37="Mayor"),CONCATENATE("R",'Riesgos de Gestión'!$A$37),"")</f>
        <v/>
      </c>
      <c r="AE8" s="491"/>
      <c r="AF8" s="491" t="str">
        <f>IF(AND('Riesgos de Gestión'!$O$43="Muy Alta",'Riesgos de Gestión'!$S$43="Mayor"),CONCATENATE("R",'Riesgos de Gestión'!$A$43),"")</f>
        <v/>
      </c>
      <c r="AG8" s="492"/>
      <c r="AH8" s="481" t="str">
        <f>IF(AND('Riesgos de Gestión'!$O$31="Muy Alta",'Riesgos de Gestión'!$S$31="Catastrófico"),CONCATENATE("R",'Riesgos de Gestión'!$A$31),"")</f>
        <v/>
      </c>
      <c r="AI8" s="482"/>
      <c r="AJ8" s="482" t="str">
        <f>IF(AND('Riesgos de Gestión'!$O$37="Muy Alta",'Riesgos de Gestión'!$S$37="Catastrófico"),CONCATENATE("R",'Riesgos de Gestión'!$A$37),"")</f>
        <v/>
      </c>
      <c r="AK8" s="482"/>
      <c r="AL8" s="482" t="str">
        <f>IF(AND('Riesgos de Gestión'!$O$43="Muy Alta",'Riesgos de Gestión'!$S$43="Catastrófico"),CONCATENATE("R",'Riesgos de Gestión'!$A$43),"")</f>
        <v/>
      </c>
      <c r="AM8" s="483"/>
      <c r="AN8" s="66"/>
      <c r="AO8" s="515"/>
      <c r="AP8" s="516"/>
      <c r="AQ8" s="516"/>
      <c r="AR8" s="516"/>
      <c r="AS8" s="516"/>
      <c r="AT8" s="517"/>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1:99" ht="15" customHeight="1" x14ac:dyDescent="0.25">
      <c r="A9" s="66"/>
      <c r="B9" s="510"/>
      <c r="C9" s="510"/>
      <c r="D9" s="511"/>
      <c r="E9" s="503"/>
      <c r="F9" s="504"/>
      <c r="G9" s="504"/>
      <c r="H9" s="504"/>
      <c r="I9" s="505"/>
      <c r="J9" s="490"/>
      <c r="K9" s="491"/>
      <c r="L9" s="491"/>
      <c r="M9" s="491"/>
      <c r="N9" s="491"/>
      <c r="O9" s="492"/>
      <c r="P9" s="490"/>
      <c r="Q9" s="491"/>
      <c r="R9" s="491"/>
      <c r="S9" s="491"/>
      <c r="T9" s="491"/>
      <c r="U9" s="492"/>
      <c r="V9" s="490"/>
      <c r="W9" s="491"/>
      <c r="X9" s="491"/>
      <c r="Y9" s="491"/>
      <c r="Z9" s="491"/>
      <c r="AA9" s="492"/>
      <c r="AB9" s="490"/>
      <c r="AC9" s="491"/>
      <c r="AD9" s="491"/>
      <c r="AE9" s="491"/>
      <c r="AF9" s="491"/>
      <c r="AG9" s="492"/>
      <c r="AH9" s="481"/>
      <c r="AI9" s="482"/>
      <c r="AJ9" s="482"/>
      <c r="AK9" s="482"/>
      <c r="AL9" s="482"/>
      <c r="AM9" s="483"/>
      <c r="AN9" s="66"/>
      <c r="AO9" s="515"/>
      <c r="AP9" s="516"/>
      <c r="AQ9" s="516"/>
      <c r="AR9" s="516"/>
      <c r="AS9" s="516"/>
      <c r="AT9" s="517"/>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1:99" ht="15" customHeight="1" x14ac:dyDescent="0.25">
      <c r="A10" s="66"/>
      <c r="B10" s="510"/>
      <c r="C10" s="510"/>
      <c r="D10" s="511"/>
      <c r="E10" s="503"/>
      <c r="F10" s="504"/>
      <c r="G10" s="504"/>
      <c r="H10" s="504"/>
      <c r="I10" s="505"/>
      <c r="J10" s="490" t="str">
        <f>IF(AND('Riesgos de Gestión'!$O$49="Muy Alta",'Riesgos de Gestión'!$S$49="Leve"),CONCATENATE("R",'Riesgos de Gestión'!$A$49),"")</f>
        <v/>
      </c>
      <c r="K10" s="491"/>
      <c r="L10" s="491" t="str">
        <f>IF(AND('Riesgos de Gestión'!$O$55="Muy Alta",'Riesgos de Gestión'!$S$55="Leve"),CONCATENATE("R",'Riesgos de Gestión'!$A$55),"")</f>
        <v/>
      </c>
      <c r="M10" s="491"/>
      <c r="N10" s="491" t="str">
        <f>IF(AND('Riesgos de Gestión'!$O$61="Muy Alta",'Riesgos de Gestión'!$S$61="Leve"),CONCATENATE("R",'Riesgos de Gestión'!$A$61),"")</f>
        <v/>
      </c>
      <c r="O10" s="492"/>
      <c r="P10" s="490" t="str">
        <f>IF(AND('Riesgos de Gestión'!$O$49="Muy Alta",'Riesgos de Gestión'!$S$49="Menor"),CONCATENATE("R",'Riesgos de Gestión'!$A$49),"")</f>
        <v/>
      </c>
      <c r="Q10" s="491"/>
      <c r="R10" s="491" t="str">
        <f>IF(AND('Riesgos de Gestión'!$O$55="Muy Alta",'Riesgos de Gestión'!$S$55="Menor"),CONCATENATE("R",'Riesgos de Gestión'!$A$55),"")</f>
        <v/>
      </c>
      <c r="S10" s="491"/>
      <c r="T10" s="491" t="str">
        <f>IF(AND('Riesgos de Gestión'!$O$61="Muy Alta",'Riesgos de Gestión'!$S$61="Menor"),CONCATENATE("R",'Riesgos de Gestión'!$A$61),"")</f>
        <v/>
      </c>
      <c r="U10" s="492"/>
      <c r="V10" s="490" t="str">
        <f>IF(AND('Riesgos de Gestión'!$O$49="Muy Alta",'Riesgos de Gestión'!$S$49="Moderado"),CONCATENATE("R",'Riesgos de Gestión'!$A$49),"")</f>
        <v/>
      </c>
      <c r="W10" s="491"/>
      <c r="X10" s="491" t="str">
        <f>IF(AND('Riesgos de Gestión'!$O$55="Muy Alta",'Riesgos de Gestión'!$S$55="Moderado"),CONCATENATE("R",'Riesgos de Gestión'!$A$55),"")</f>
        <v/>
      </c>
      <c r="Y10" s="491"/>
      <c r="Z10" s="491" t="str">
        <f>IF(AND('Riesgos de Gestión'!$O$61="Muy Alta",'Riesgos de Gestión'!$S$61="Moderado"),CONCATENATE("R",'Riesgos de Gestión'!$A$61),"")</f>
        <v/>
      </c>
      <c r="AA10" s="492"/>
      <c r="AB10" s="490" t="str">
        <f>IF(AND('Riesgos de Gestión'!$O$49="Muy Alta",'Riesgos de Gestión'!$S$49="Mayor"),CONCATENATE("R",'Riesgos de Gestión'!$A$49),"")</f>
        <v/>
      </c>
      <c r="AC10" s="491"/>
      <c r="AD10" s="491" t="str">
        <f>IF(AND('Riesgos de Gestión'!$O$55="Muy Alta",'Riesgos de Gestión'!$S$55="Mayor"),CONCATENATE("R",'Riesgos de Gestión'!$A$55),"")</f>
        <v/>
      </c>
      <c r="AE10" s="491"/>
      <c r="AF10" s="491" t="str">
        <f>IF(AND('Riesgos de Gestión'!$O$61="Muy Alta",'Riesgos de Gestión'!$S$61="Mayor"),CONCATENATE("R",'Riesgos de Gestión'!$A$61),"")</f>
        <v/>
      </c>
      <c r="AG10" s="492"/>
      <c r="AH10" s="481" t="str">
        <f>IF(AND('Riesgos de Gestión'!$O$49="Muy Alta",'Riesgos de Gestión'!$S$49="Catastrófico"),CONCATENATE("R",'Riesgos de Gestión'!$A$49),"")</f>
        <v/>
      </c>
      <c r="AI10" s="482"/>
      <c r="AJ10" s="482" t="str">
        <f>IF(AND('Riesgos de Gestión'!$O$55="Muy Alta",'Riesgos de Gestión'!$S$55="Catastrófico"),CONCATENATE("R",'Riesgos de Gestión'!$A$55),"")</f>
        <v/>
      </c>
      <c r="AK10" s="482"/>
      <c r="AL10" s="482" t="str">
        <f>IF(AND('Riesgos de Gestión'!$O$61="Muy Alta",'Riesgos de Gestión'!$S$61="Catastrófico"),CONCATENATE("R",'Riesgos de Gestión'!$A$61),"")</f>
        <v/>
      </c>
      <c r="AM10" s="483"/>
      <c r="AN10" s="66"/>
      <c r="AO10" s="515"/>
      <c r="AP10" s="516"/>
      <c r="AQ10" s="516"/>
      <c r="AR10" s="516"/>
      <c r="AS10" s="516"/>
      <c r="AT10" s="517"/>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1:99" ht="15" customHeight="1" x14ac:dyDescent="0.25">
      <c r="A11" s="66"/>
      <c r="B11" s="510"/>
      <c r="C11" s="510"/>
      <c r="D11" s="511"/>
      <c r="E11" s="503"/>
      <c r="F11" s="504"/>
      <c r="G11" s="504"/>
      <c r="H11" s="504"/>
      <c r="I11" s="505"/>
      <c r="J11" s="490"/>
      <c r="K11" s="491"/>
      <c r="L11" s="491"/>
      <c r="M11" s="491"/>
      <c r="N11" s="491"/>
      <c r="O11" s="492"/>
      <c r="P11" s="490"/>
      <c r="Q11" s="491"/>
      <c r="R11" s="491"/>
      <c r="S11" s="491"/>
      <c r="T11" s="491"/>
      <c r="U11" s="492"/>
      <c r="V11" s="490"/>
      <c r="W11" s="491"/>
      <c r="X11" s="491"/>
      <c r="Y11" s="491"/>
      <c r="Z11" s="491"/>
      <c r="AA11" s="492"/>
      <c r="AB11" s="490"/>
      <c r="AC11" s="491"/>
      <c r="AD11" s="491"/>
      <c r="AE11" s="491"/>
      <c r="AF11" s="491"/>
      <c r="AG11" s="492"/>
      <c r="AH11" s="481"/>
      <c r="AI11" s="482"/>
      <c r="AJ11" s="482"/>
      <c r="AK11" s="482"/>
      <c r="AL11" s="482"/>
      <c r="AM11" s="483"/>
      <c r="AN11" s="66"/>
      <c r="AO11" s="515"/>
      <c r="AP11" s="516"/>
      <c r="AQ11" s="516"/>
      <c r="AR11" s="516"/>
      <c r="AS11" s="516"/>
      <c r="AT11" s="517"/>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1:99" ht="15" customHeight="1" x14ac:dyDescent="0.25">
      <c r="A12" s="66"/>
      <c r="B12" s="510"/>
      <c r="C12" s="510"/>
      <c r="D12" s="511"/>
      <c r="E12" s="503"/>
      <c r="F12" s="504"/>
      <c r="G12" s="504"/>
      <c r="H12" s="504"/>
      <c r="I12" s="505"/>
      <c r="J12" s="490" t="str">
        <f>IF(AND('Riesgos de Gestión'!$O$67="Muy Alta",'Riesgos de Gestión'!$S$67="Leve"),CONCATENATE("R",'Riesgos de Gestión'!$A$67),"")</f>
        <v/>
      </c>
      <c r="K12" s="491"/>
      <c r="L12" s="491" t="str">
        <f>IF(AND('Riesgos de Gestión'!$P$73="Muy Alta",'Riesgos de Gestión'!$T$73="Leve"),CONCATENATE("R",'Riesgos de Gestión'!$A$73),"")</f>
        <v/>
      </c>
      <c r="M12" s="491"/>
      <c r="N12" s="491" t="str">
        <f>IF(AND('Riesgos de Gestión'!$P$79="Muy Alta",'Riesgos de Gestión'!$T$79="Leve"),CONCATENATE("R",'Riesgos de Gestión'!$A$79),"")</f>
        <v/>
      </c>
      <c r="O12" s="492"/>
      <c r="P12" s="490" t="str">
        <f>IF(AND('Riesgos de Gestión'!$O$67="Muy Alta",'Riesgos de Gestión'!$S$67="Menor"),CONCATENATE("R",'Riesgos de Gestión'!$A$67),"")</f>
        <v/>
      </c>
      <c r="Q12" s="491"/>
      <c r="R12" s="491" t="str">
        <f>IF(AND('Riesgos de Gestión'!$P$73="Muy Alta",'Riesgos de Gestión'!$T$73="Menor"),CONCATENATE("R",'Riesgos de Gestión'!$A$73),"")</f>
        <v/>
      </c>
      <c r="S12" s="491"/>
      <c r="T12" s="491" t="str">
        <f>IF(AND('Riesgos de Gestión'!$P$79="Muy Alta",'Riesgos de Gestión'!$T$79="Menor"),CONCATENATE("R",'Riesgos de Gestión'!$A$79),"")</f>
        <v/>
      </c>
      <c r="U12" s="492"/>
      <c r="V12" s="490" t="str">
        <f>IF(AND('Riesgos de Gestión'!$O$67="Muy Alta",'Riesgos de Gestión'!$S$67="Moderado"),CONCATENATE("R",'Riesgos de Gestión'!$A$67),"")</f>
        <v/>
      </c>
      <c r="W12" s="491"/>
      <c r="X12" s="491" t="str">
        <f>IF(AND('Riesgos de Gestión'!$P$73="Muy Alta",'Riesgos de Gestión'!$T$73="Moderado"),CONCATENATE("R",'Riesgos de Gestión'!$A$73),"")</f>
        <v/>
      </c>
      <c r="Y12" s="491"/>
      <c r="Z12" s="491" t="str">
        <f>IF(AND('Riesgos de Gestión'!$P$79="Muy Alta",'Riesgos de Gestión'!$T$79="Moderado"),CONCATENATE("R",'Riesgos de Gestión'!$A$79),"")</f>
        <v/>
      </c>
      <c r="AA12" s="492"/>
      <c r="AB12" s="490" t="str">
        <f>IF(AND('Riesgos de Gestión'!$O$67="Muy Alta",'Riesgos de Gestión'!$S$67="Mayor"),CONCATENATE("R",'Riesgos de Gestión'!$A$67),"")</f>
        <v/>
      </c>
      <c r="AC12" s="491"/>
      <c r="AD12" s="491" t="str">
        <f>IF(AND('Riesgos de Gestión'!$P$73="Muy Alta",'Riesgos de Gestión'!$T$73="Mayor"),CONCATENATE("R",'Riesgos de Gestión'!$A$73),"")</f>
        <v/>
      </c>
      <c r="AE12" s="491"/>
      <c r="AF12" s="491" t="str">
        <f>IF(AND('Riesgos de Gestión'!$P$79="Muy Alta",'Riesgos de Gestión'!$T$79="Mayor"),CONCATENATE("R",'Riesgos de Gestión'!$A$79),"")</f>
        <v/>
      </c>
      <c r="AG12" s="492"/>
      <c r="AH12" s="481" t="str">
        <f>IF(AND('Riesgos de Gestión'!$O$67="Muy Alta",'Riesgos de Gestión'!$S$67="Catastrófico"),CONCATENATE("R",'Riesgos de Gestión'!$A$67),"")</f>
        <v/>
      </c>
      <c r="AI12" s="482"/>
      <c r="AJ12" s="482" t="str">
        <f>IF(AND('Riesgos de Gestión'!$P$73="Muy Alta",'Riesgos de Gestión'!$T$73="Catastrófico"),CONCATENATE("R",'Riesgos de Gestión'!$A$73),"")</f>
        <v/>
      </c>
      <c r="AK12" s="482"/>
      <c r="AL12" s="482" t="str">
        <f>IF(AND('Riesgos de Gestión'!$P$79="Muy Alta",'Riesgos de Gestión'!$T$79="Catastrófico"),CONCATENATE("R",'Riesgos de Gestión'!$A$79),"")</f>
        <v/>
      </c>
      <c r="AM12" s="483"/>
      <c r="AN12" s="66"/>
      <c r="AO12" s="515"/>
      <c r="AP12" s="516"/>
      <c r="AQ12" s="516"/>
      <c r="AR12" s="516"/>
      <c r="AS12" s="516"/>
      <c r="AT12" s="517"/>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1:99" ht="15.75" customHeight="1" thickBot="1" x14ac:dyDescent="0.3">
      <c r="A13" s="66"/>
      <c r="B13" s="510"/>
      <c r="C13" s="510"/>
      <c r="D13" s="511"/>
      <c r="E13" s="506"/>
      <c r="F13" s="507"/>
      <c r="G13" s="507"/>
      <c r="H13" s="507"/>
      <c r="I13" s="508"/>
      <c r="J13" s="490"/>
      <c r="K13" s="491"/>
      <c r="L13" s="491"/>
      <c r="M13" s="491"/>
      <c r="N13" s="491"/>
      <c r="O13" s="492"/>
      <c r="P13" s="490"/>
      <c r="Q13" s="491"/>
      <c r="R13" s="491"/>
      <c r="S13" s="491"/>
      <c r="T13" s="491"/>
      <c r="U13" s="492"/>
      <c r="V13" s="490"/>
      <c r="W13" s="491"/>
      <c r="X13" s="491"/>
      <c r="Y13" s="491"/>
      <c r="Z13" s="491"/>
      <c r="AA13" s="492"/>
      <c r="AB13" s="490"/>
      <c r="AC13" s="491"/>
      <c r="AD13" s="491"/>
      <c r="AE13" s="491"/>
      <c r="AF13" s="491"/>
      <c r="AG13" s="492"/>
      <c r="AH13" s="484"/>
      <c r="AI13" s="485"/>
      <c r="AJ13" s="485"/>
      <c r="AK13" s="485"/>
      <c r="AL13" s="485"/>
      <c r="AM13" s="486"/>
      <c r="AN13" s="66"/>
      <c r="AO13" s="518"/>
      <c r="AP13" s="519"/>
      <c r="AQ13" s="519"/>
      <c r="AR13" s="519"/>
      <c r="AS13" s="519"/>
      <c r="AT13" s="520"/>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99" ht="15" customHeight="1" x14ac:dyDescent="0.25">
      <c r="A14" s="66"/>
      <c r="B14" s="510"/>
      <c r="C14" s="510"/>
      <c r="D14" s="511"/>
      <c r="E14" s="500" t="s">
        <v>267</v>
      </c>
      <c r="F14" s="501"/>
      <c r="G14" s="501"/>
      <c r="H14" s="501"/>
      <c r="I14" s="501"/>
      <c r="J14" s="478" t="str">
        <f>IF(AND('Riesgos de Gestión'!$O$13="Alta",'Riesgos de Gestión'!$S$13="Leve"),CONCATENATE("R",'Riesgos de Gestión'!$A$13),"")</f>
        <v/>
      </c>
      <c r="K14" s="479"/>
      <c r="L14" s="479" t="str">
        <f>IF(AND('Riesgos de Gestión'!$O$19="Alta",'Riesgos de Gestión'!$S$19="Leve"),CONCATENATE("R",'Riesgos de Gestión'!$A$19),"")</f>
        <v/>
      </c>
      <c r="M14" s="479"/>
      <c r="N14" s="479" t="str">
        <f>IF(AND('Riesgos de Gestión'!$O$25="Alta",'Riesgos de Gestión'!$S$25="Leve"),CONCATENATE("R",'Riesgos de Gestión'!$A$25),"")</f>
        <v/>
      </c>
      <c r="O14" s="480"/>
      <c r="P14" s="478" t="str">
        <f>IF(AND('Riesgos de Gestión'!$O$13="Alta",'Riesgos de Gestión'!$S$13="Menor"),CONCATENATE("R",'Riesgos de Gestión'!$A$13),"")</f>
        <v/>
      </c>
      <c r="Q14" s="479"/>
      <c r="R14" s="479" t="str">
        <f>IF(AND('Riesgos de Gestión'!$O$19="Alta",'Riesgos de Gestión'!$S$19="Menor"),CONCATENATE("R",'Riesgos de Gestión'!$A$19),"")</f>
        <v/>
      </c>
      <c r="S14" s="479"/>
      <c r="T14" s="479" t="str">
        <f>IF(AND('Riesgos de Gestión'!$O$25="Alta",'Riesgos de Gestión'!$S$25="Menor"),CONCATENATE("R",'Riesgos de Gestión'!$A$25),"")</f>
        <v/>
      </c>
      <c r="U14" s="480"/>
      <c r="V14" s="496" t="str">
        <f>IF(AND('Riesgos de Gestión'!$O$13="Alta",'Riesgos de Gestión'!$S$13="Moderado"),CONCATENATE("R",'Riesgos de Gestión'!$A$13),"")</f>
        <v/>
      </c>
      <c r="W14" s="497"/>
      <c r="X14" s="497" t="str">
        <f>IF(AND('Riesgos de Gestión'!$O$19="Alta",'Riesgos de Gestión'!$S$19="Moderado"),CONCATENATE("R",'Riesgos de Gestión'!$A$19),"")</f>
        <v/>
      </c>
      <c r="Y14" s="497"/>
      <c r="Z14" s="497" t="str">
        <f>IF(AND('Riesgos de Gestión'!$O$25="Alta",'Riesgos de Gestión'!$S$25="Moderado"),CONCATENATE("R",'Riesgos de Gestión'!$A$25),"")</f>
        <v/>
      </c>
      <c r="AA14" s="498"/>
      <c r="AB14" s="496" t="str">
        <f>IF(AND('Riesgos de Gestión'!$O$13="Alta",'Riesgos de Gestión'!$S$13="Mayor"),CONCATENATE("R",'Riesgos de Gestión'!$A$13),"")</f>
        <v/>
      </c>
      <c r="AC14" s="497"/>
      <c r="AD14" s="497" t="str">
        <f>IF(AND('Riesgos de Gestión'!$O$19="Alta",'Riesgos de Gestión'!$S$19="Mayor"),CONCATENATE("R",'Riesgos de Gestión'!$A$19),"")</f>
        <v/>
      </c>
      <c r="AE14" s="497"/>
      <c r="AF14" s="497" t="str">
        <f>IF(AND('Riesgos de Gestión'!$O$25="Alta",'Riesgos de Gestión'!$S$25="Mayor"),CONCATENATE("R",'Riesgos de Gestión'!$A$25),"")</f>
        <v/>
      </c>
      <c r="AG14" s="498"/>
      <c r="AH14" s="487" t="str">
        <f>IF(AND('Riesgos de Gestión'!$O$13="Alta",'Riesgos de Gestión'!$S$13="Catastrófico"),CONCATENATE("R",'Riesgos de Gestión'!$A$13),"")</f>
        <v/>
      </c>
      <c r="AI14" s="488"/>
      <c r="AJ14" s="488" t="str">
        <f>IF(AND('Riesgos de Gestión'!$O$19="Alta",'Riesgos de Gestión'!$S$19="Catastrófico"),CONCATENATE("R",'Riesgos de Gestión'!$A$19),"")</f>
        <v/>
      </c>
      <c r="AK14" s="488"/>
      <c r="AL14" s="488" t="str">
        <f>IF(AND('Riesgos de Gestión'!$O$25="Alta",'Riesgos de Gestión'!$S$25="Catastrófico"),CONCATENATE("R",'Riesgos de Gestión'!$A$25),"")</f>
        <v/>
      </c>
      <c r="AM14" s="489"/>
      <c r="AN14" s="66"/>
      <c r="AO14" s="521" t="s">
        <v>268</v>
      </c>
      <c r="AP14" s="522"/>
      <c r="AQ14" s="522"/>
      <c r="AR14" s="522"/>
      <c r="AS14" s="522"/>
      <c r="AT14" s="523"/>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row>
    <row r="15" spans="1:99" ht="15" customHeight="1" x14ac:dyDescent="0.25">
      <c r="A15" s="66"/>
      <c r="B15" s="510"/>
      <c r="C15" s="510"/>
      <c r="D15" s="511"/>
      <c r="E15" s="503"/>
      <c r="F15" s="504"/>
      <c r="G15" s="504"/>
      <c r="H15" s="504"/>
      <c r="I15" s="504"/>
      <c r="J15" s="472"/>
      <c r="K15" s="473"/>
      <c r="L15" s="473"/>
      <c r="M15" s="473"/>
      <c r="N15" s="473"/>
      <c r="O15" s="474"/>
      <c r="P15" s="472"/>
      <c r="Q15" s="473"/>
      <c r="R15" s="473"/>
      <c r="S15" s="473"/>
      <c r="T15" s="473"/>
      <c r="U15" s="474"/>
      <c r="V15" s="490"/>
      <c r="W15" s="491"/>
      <c r="X15" s="491"/>
      <c r="Y15" s="491"/>
      <c r="Z15" s="491"/>
      <c r="AA15" s="492"/>
      <c r="AB15" s="490"/>
      <c r="AC15" s="491"/>
      <c r="AD15" s="491"/>
      <c r="AE15" s="491"/>
      <c r="AF15" s="491"/>
      <c r="AG15" s="492"/>
      <c r="AH15" s="481"/>
      <c r="AI15" s="482"/>
      <c r="AJ15" s="482"/>
      <c r="AK15" s="482"/>
      <c r="AL15" s="482"/>
      <c r="AM15" s="483"/>
      <c r="AN15" s="66"/>
      <c r="AO15" s="524"/>
      <c r="AP15" s="525"/>
      <c r="AQ15" s="525"/>
      <c r="AR15" s="525"/>
      <c r="AS15" s="525"/>
      <c r="AT15" s="52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row>
    <row r="16" spans="1:99" ht="15" customHeight="1" x14ac:dyDescent="0.25">
      <c r="A16" s="66"/>
      <c r="B16" s="510"/>
      <c r="C16" s="510"/>
      <c r="D16" s="511"/>
      <c r="E16" s="503"/>
      <c r="F16" s="504"/>
      <c r="G16" s="504"/>
      <c r="H16" s="504"/>
      <c r="I16" s="504"/>
      <c r="J16" s="472" t="str">
        <f>IF(AND('Riesgos de Gestión'!$O$31="Alta",'Riesgos de Gestión'!$S$31="Leve"),CONCATENATE("R",'Riesgos de Gestión'!$A$31),"")</f>
        <v/>
      </c>
      <c r="K16" s="473"/>
      <c r="L16" s="473" t="str">
        <f>IF(AND('Riesgos de Gestión'!$O$37="Alta",'Riesgos de Gestión'!$S$37="Leve"),CONCATENATE("R",'Riesgos de Gestión'!$A$37),"")</f>
        <v/>
      </c>
      <c r="M16" s="473"/>
      <c r="N16" s="473" t="str">
        <f>IF(AND('Riesgos de Gestión'!$O$43="Alta",'Riesgos de Gestión'!$S$43="Leve"),CONCATENATE("R",'Riesgos de Gestión'!$A$43),"")</f>
        <v/>
      </c>
      <c r="O16" s="474"/>
      <c r="P16" s="472" t="str">
        <f>IF(AND('Riesgos de Gestión'!$O$31="Alta",'Riesgos de Gestión'!$S$31="Menor"),CONCATENATE("R",'Riesgos de Gestión'!$A$31),"")</f>
        <v/>
      </c>
      <c r="Q16" s="473"/>
      <c r="R16" s="473" t="str">
        <f>IF(AND('Riesgos de Gestión'!$O$37="Alta",'Riesgos de Gestión'!$S$37="Menor"),CONCATENATE("R",'Riesgos de Gestión'!$A$37),"")</f>
        <v/>
      </c>
      <c r="S16" s="473"/>
      <c r="T16" s="473" t="str">
        <f>IF(AND('Riesgos de Gestión'!$O$43="Alta",'Riesgos de Gestión'!$S$43="Menor"),CONCATENATE("R",'Riesgos de Gestión'!$A$43),"")</f>
        <v/>
      </c>
      <c r="U16" s="474"/>
      <c r="V16" s="490" t="str">
        <f>IF(AND('Riesgos de Gestión'!$O$31="Alta",'Riesgos de Gestión'!$S$31="Moderado"),CONCATENATE("R",'Riesgos de Gestión'!$A$31),"")</f>
        <v/>
      </c>
      <c r="W16" s="491"/>
      <c r="X16" s="491" t="str">
        <f>IF(AND('Riesgos de Gestión'!$O$37="Alta",'Riesgos de Gestión'!$S$37="Moderado"),CONCATENATE("R",'Riesgos de Gestión'!$A$37),"")</f>
        <v/>
      </c>
      <c r="Y16" s="491"/>
      <c r="Z16" s="491" t="str">
        <f>IF(AND('Riesgos de Gestión'!$O$43="Alta",'Riesgos de Gestión'!$S$43="Moderado"),CONCATENATE("R",'Riesgos de Gestión'!$A$43),"")</f>
        <v/>
      </c>
      <c r="AA16" s="492"/>
      <c r="AB16" s="490" t="str">
        <f>IF(AND('Riesgos de Gestión'!$O$31="Alta",'Riesgos de Gestión'!$S$31="Mayor"),CONCATENATE("R",'Riesgos de Gestión'!$A$31),"")</f>
        <v/>
      </c>
      <c r="AC16" s="491"/>
      <c r="AD16" s="491" t="str">
        <f>IF(AND('Riesgos de Gestión'!$O$37="Alta",'Riesgos de Gestión'!$S$37="Mayor"),CONCATENATE("R",'Riesgos de Gestión'!$A$37),"")</f>
        <v/>
      </c>
      <c r="AE16" s="491"/>
      <c r="AF16" s="491" t="str">
        <f>IF(AND('Riesgos de Gestión'!$O$43="Alta",'Riesgos de Gestión'!$S$43="Mayor"),CONCATENATE("R",'Riesgos de Gestión'!$A$43),"")</f>
        <v/>
      </c>
      <c r="AG16" s="492"/>
      <c r="AH16" s="481" t="str">
        <f>IF(AND('Riesgos de Gestión'!$O$31="Alta",'Riesgos de Gestión'!$S$31="Catastrófico"),CONCATENATE("R",'Riesgos de Gestión'!$A$31),"")</f>
        <v/>
      </c>
      <c r="AI16" s="482"/>
      <c r="AJ16" s="482" t="str">
        <f>IF(AND('Riesgos de Gestión'!$O$37="Alta",'Riesgos de Gestión'!$S$37="Catastrófico"),CONCATENATE("R",'Riesgos de Gestión'!$A$37),"")</f>
        <v/>
      </c>
      <c r="AK16" s="482"/>
      <c r="AL16" s="482" t="str">
        <f>IF(AND('Riesgos de Gestión'!$O$43="Alta",'Riesgos de Gestión'!$S$43="Catastrófico"),CONCATENATE("R",'Riesgos de Gestión'!$A$43),"")</f>
        <v/>
      </c>
      <c r="AM16" s="483"/>
      <c r="AN16" s="66"/>
      <c r="AO16" s="524"/>
      <c r="AP16" s="525"/>
      <c r="AQ16" s="525"/>
      <c r="AR16" s="525"/>
      <c r="AS16" s="525"/>
      <c r="AT16" s="52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row>
    <row r="17" spans="1:80" ht="15" customHeight="1" x14ac:dyDescent="0.25">
      <c r="A17" s="66"/>
      <c r="B17" s="510"/>
      <c r="C17" s="510"/>
      <c r="D17" s="511"/>
      <c r="E17" s="503"/>
      <c r="F17" s="504"/>
      <c r="G17" s="504"/>
      <c r="H17" s="504"/>
      <c r="I17" s="504"/>
      <c r="J17" s="472"/>
      <c r="K17" s="473"/>
      <c r="L17" s="473"/>
      <c r="M17" s="473"/>
      <c r="N17" s="473"/>
      <c r="O17" s="474"/>
      <c r="P17" s="472"/>
      <c r="Q17" s="473"/>
      <c r="R17" s="473"/>
      <c r="S17" s="473"/>
      <c r="T17" s="473"/>
      <c r="U17" s="474"/>
      <c r="V17" s="490"/>
      <c r="W17" s="491"/>
      <c r="X17" s="491"/>
      <c r="Y17" s="491"/>
      <c r="Z17" s="491"/>
      <c r="AA17" s="492"/>
      <c r="AB17" s="490"/>
      <c r="AC17" s="491"/>
      <c r="AD17" s="491"/>
      <c r="AE17" s="491"/>
      <c r="AF17" s="491"/>
      <c r="AG17" s="492"/>
      <c r="AH17" s="481"/>
      <c r="AI17" s="482"/>
      <c r="AJ17" s="482"/>
      <c r="AK17" s="482"/>
      <c r="AL17" s="482"/>
      <c r="AM17" s="483"/>
      <c r="AN17" s="66"/>
      <c r="AO17" s="524"/>
      <c r="AP17" s="525"/>
      <c r="AQ17" s="525"/>
      <c r="AR17" s="525"/>
      <c r="AS17" s="525"/>
      <c r="AT17" s="52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80" ht="15" customHeight="1" x14ac:dyDescent="0.25">
      <c r="A18" s="66"/>
      <c r="B18" s="510"/>
      <c r="C18" s="510"/>
      <c r="D18" s="511"/>
      <c r="E18" s="503"/>
      <c r="F18" s="504"/>
      <c r="G18" s="504"/>
      <c r="H18" s="504"/>
      <c r="I18" s="504"/>
      <c r="J18" s="472" t="str">
        <f>IF(AND('Riesgos de Gestión'!$O$49="Alta",'Riesgos de Gestión'!$S$49="Leve"),CONCATENATE("R",'Riesgos de Gestión'!$A$49),"")</f>
        <v/>
      </c>
      <c r="K18" s="473"/>
      <c r="L18" s="473" t="str">
        <f>IF(AND('Riesgos de Gestión'!$O$55="Alta",'Riesgos de Gestión'!$S$55="Leve"),CONCATENATE("R",'Riesgos de Gestión'!$A$55),"")</f>
        <v/>
      </c>
      <c r="M18" s="473"/>
      <c r="N18" s="473" t="str">
        <f>IF(AND('Riesgos de Gestión'!$O$61="Alta",'Riesgos de Gestión'!$S$61="Leve"),CONCATENATE("R",'Riesgos de Gestión'!$A$61),"")</f>
        <v/>
      </c>
      <c r="O18" s="474"/>
      <c r="P18" s="472" t="str">
        <f>IF(AND('Riesgos de Gestión'!$O$49="Alta",'Riesgos de Gestión'!$S$49="Menor"),CONCATENATE("R",'Riesgos de Gestión'!$A$49),"")</f>
        <v/>
      </c>
      <c r="Q18" s="473"/>
      <c r="R18" s="473" t="str">
        <f>IF(AND('Riesgos de Gestión'!$O$55="Alta",'Riesgos de Gestión'!$S$55="Menor"),CONCATENATE("R",'Riesgos de Gestión'!$A$55),"")</f>
        <v/>
      </c>
      <c r="S18" s="473"/>
      <c r="T18" s="473" t="str">
        <f>IF(AND('Riesgos de Gestión'!$O$61="Alta",'Riesgos de Gestión'!$S$61="Menor"),CONCATENATE("R",'Riesgos de Gestión'!$A$61),"")</f>
        <v/>
      </c>
      <c r="U18" s="474"/>
      <c r="V18" s="490" t="str">
        <f>IF(AND('Riesgos de Gestión'!$O$49="Alta",'Riesgos de Gestión'!$S$49="Moderado"),CONCATENATE("R",'Riesgos de Gestión'!$A$49),"")</f>
        <v/>
      </c>
      <c r="W18" s="491"/>
      <c r="X18" s="491" t="str">
        <f>IF(AND('Riesgos de Gestión'!$O$55="Alta",'Riesgos de Gestión'!$S$55="Moderado"),CONCATENATE("R",'Riesgos de Gestión'!$A$55),"")</f>
        <v/>
      </c>
      <c r="Y18" s="491"/>
      <c r="Z18" s="491" t="str">
        <f>IF(AND('Riesgos de Gestión'!$O$61="Alta",'Riesgos de Gestión'!$S$61="Moderado"),CONCATENATE("R",'Riesgos de Gestión'!$A$61),"")</f>
        <v/>
      </c>
      <c r="AA18" s="492"/>
      <c r="AB18" s="490" t="str">
        <f>IF(AND('Riesgos de Gestión'!$O$49="Alta",'Riesgos de Gestión'!$S$49="Mayor"),CONCATENATE("R",'Riesgos de Gestión'!$A$49),"")</f>
        <v/>
      </c>
      <c r="AC18" s="491"/>
      <c r="AD18" s="491" t="str">
        <f>IF(AND('Riesgos de Gestión'!$O$55="Alta",'Riesgos de Gestión'!$S$55="Mayor"),CONCATENATE("R",'Riesgos de Gestión'!$A$55),"")</f>
        <v/>
      </c>
      <c r="AE18" s="491"/>
      <c r="AF18" s="491" t="str">
        <f>IF(AND('Riesgos de Gestión'!$O$61="Alta",'Riesgos de Gestión'!$S$61="Mayor"),CONCATENATE("R",'Riesgos de Gestión'!$A$61),"")</f>
        <v/>
      </c>
      <c r="AG18" s="492"/>
      <c r="AH18" s="481" t="str">
        <f>IF(AND('Riesgos de Gestión'!$O$49="Alta",'Riesgos de Gestión'!$S$49="Catastrófico"),CONCATENATE("R",'Riesgos de Gestión'!$A$49),"")</f>
        <v/>
      </c>
      <c r="AI18" s="482"/>
      <c r="AJ18" s="482" t="str">
        <f>IF(AND('Riesgos de Gestión'!$O$55="Alta",'Riesgos de Gestión'!$S$55="Catastrófico"),CONCATENATE("R",'Riesgos de Gestión'!$A$55),"")</f>
        <v/>
      </c>
      <c r="AK18" s="482"/>
      <c r="AL18" s="482" t="str">
        <f>IF(AND('Riesgos de Gestión'!$O$61="Alta",'Riesgos de Gestión'!$S$61="Catastrófico"),CONCATENATE("R",'Riesgos de Gestión'!$A$61),"")</f>
        <v/>
      </c>
      <c r="AM18" s="483"/>
      <c r="AN18" s="66"/>
      <c r="AO18" s="524"/>
      <c r="AP18" s="525"/>
      <c r="AQ18" s="525"/>
      <c r="AR18" s="525"/>
      <c r="AS18" s="525"/>
      <c r="AT18" s="52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row>
    <row r="19" spans="1:80" ht="15" customHeight="1" x14ac:dyDescent="0.25">
      <c r="A19" s="66"/>
      <c r="B19" s="510"/>
      <c r="C19" s="510"/>
      <c r="D19" s="511"/>
      <c r="E19" s="503"/>
      <c r="F19" s="504"/>
      <c r="G19" s="504"/>
      <c r="H19" s="504"/>
      <c r="I19" s="504"/>
      <c r="J19" s="472"/>
      <c r="K19" s="473"/>
      <c r="L19" s="473"/>
      <c r="M19" s="473"/>
      <c r="N19" s="473"/>
      <c r="O19" s="474"/>
      <c r="P19" s="472"/>
      <c r="Q19" s="473"/>
      <c r="R19" s="473"/>
      <c r="S19" s="473"/>
      <c r="T19" s="473"/>
      <c r="U19" s="474"/>
      <c r="V19" s="490"/>
      <c r="W19" s="491"/>
      <c r="X19" s="491"/>
      <c r="Y19" s="491"/>
      <c r="Z19" s="491"/>
      <c r="AA19" s="492"/>
      <c r="AB19" s="490"/>
      <c r="AC19" s="491"/>
      <c r="AD19" s="491"/>
      <c r="AE19" s="491"/>
      <c r="AF19" s="491"/>
      <c r="AG19" s="492"/>
      <c r="AH19" s="481"/>
      <c r="AI19" s="482"/>
      <c r="AJ19" s="482"/>
      <c r="AK19" s="482"/>
      <c r="AL19" s="482"/>
      <c r="AM19" s="483"/>
      <c r="AN19" s="66"/>
      <c r="AO19" s="524"/>
      <c r="AP19" s="525"/>
      <c r="AQ19" s="525"/>
      <c r="AR19" s="525"/>
      <c r="AS19" s="525"/>
      <c r="AT19" s="52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row>
    <row r="20" spans="1:80" ht="15" customHeight="1" x14ac:dyDescent="0.25">
      <c r="A20" s="66"/>
      <c r="B20" s="510"/>
      <c r="C20" s="510"/>
      <c r="D20" s="511"/>
      <c r="E20" s="503"/>
      <c r="F20" s="504"/>
      <c r="G20" s="504"/>
      <c r="H20" s="504"/>
      <c r="I20" s="504"/>
      <c r="J20" s="472" t="str">
        <f>IF(AND('Riesgos de Gestión'!$O$67="Alta",'Riesgos de Gestión'!$S$67="Leve"),CONCATENATE("R",'Riesgos de Gestión'!$A$67),"")</f>
        <v/>
      </c>
      <c r="K20" s="473"/>
      <c r="L20" s="473" t="str">
        <f>IF(AND('Riesgos de Gestión'!$P$73="Alta",'Riesgos de Gestión'!$T$73="Leve"),CONCATENATE("R",'Riesgos de Gestión'!$A$73),"")</f>
        <v/>
      </c>
      <c r="M20" s="473"/>
      <c r="N20" s="473" t="str">
        <f>IF(AND('Riesgos de Gestión'!$P$79="Alta",'Riesgos de Gestión'!$T$79="Leve"),CONCATENATE("R",'Riesgos de Gestión'!$A$79),"")</f>
        <v/>
      </c>
      <c r="O20" s="474"/>
      <c r="P20" s="472" t="str">
        <f>IF(AND('Riesgos de Gestión'!$O$67="Alta",'Riesgos de Gestión'!$S$67="Menor"),CONCATENATE("R",'Riesgos de Gestión'!$A$67),"")</f>
        <v/>
      </c>
      <c r="Q20" s="473"/>
      <c r="R20" s="473" t="str">
        <f>IF(AND('Riesgos de Gestión'!$P$73="Alta",'Riesgos de Gestión'!$T$73="Menor"),CONCATENATE("R",'Riesgos de Gestión'!$A$73),"")</f>
        <v/>
      </c>
      <c r="S20" s="473"/>
      <c r="T20" s="473" t="str">
        <f>IF(AND('Riesgos de Gestión'!$P$79="Alta",'Riesgos de Gestión'!$T$79="Menor"),CONCATENATE("R",'Riesgos de Gestión'!$A$79),"")</f>
        <v/>
      </c>
      <c r="U20" s="474"/>
      <c r="V20" s="490" t="str">
        <f>IF(AND('Riesgos de Gestión'!$O$67="Alta",'Riesgos de Gestión'!$S$67="Moderado"),CONCATENATE("R",'Riesgos de Gestión'!$A$67),"")</f>
        <v/>
      </c>
      <c r="W20" s="491"/>
      <c r="X20" s="491" t="str">
        <f>IF(AND('Riesgos de Gestión'!$P$73="Alta",'Riesgos de Gestión'!$T$73="Moderado"),CONCATENATE("R",'Riesgos de Gestión'!$A$73),"")</f>
        <v/>
      </c>
      <c r="Y20" s="491"/>
      <c r="Z20" s="491" t="str">
        <f>IF(AND('Riesgos de Gestión'!$P$79="Alta",'Riesgos de Gestión'!$T$79="Moderado"),CONCATENATE("R",'Riesgos de Gestión'!$A$79),"")</f>
        <v/>
      </c>
      <c r="AA20" s="492"/>
      <c r="AB20" s="490" t="str">
        <f>IF(AND('Riesgos de Gestión'!$O$67="Alta",'Riesgos de Gestión'!$S$67="Mayor"),CONCATENATE("R",'Riesgos de Gestión'!$A$67),"")</f>
        <v/>
      </c>
      <c r="AC20" s="491"/>
      <c r="AD20" s="491" t="str">
        <f>IF(AND('Riesgos de Gestión'!$P$73="Alta",'Riesgos de Gestión'!$T$73="Mayor"),CONCATENATE("R",'Riesgos de Gestión'!$A$73),"")</f>
        <v/>
      </c>
      <c r="AE20" s="491"/>
      <c r="AF20" s="491" t="str">
        <f>IF(AND('Riesgos de Gestión'!$P$79="Alta",'Riesgos de Gestión'!$T$79="Mayor"),CONCATENATE("R",'Riesgos de Gestión'!$A$79),"")</f>
        <v/>
      </c>
      <c r="AG20" s="492"/>
      <c r="AH20" s="481" t="str">
        <f>IF(AND('Riesgos de Gestión'!$O$67="Alta",'Riesgos de Gestión'!$S$67="Catastrófico"),CONCATENATE("R",'Riesgos de Gestión'!$A$67),"")</f>
        <v/>
      </c>
      <c r="AI20" s="482"/>
      <c r="AJ20" s="482" t="str">
        <f>IF(AND('Riesgos de Gestión'!$P$73="Alta",'Riesgos de Gestión'!$T$73="Catastrófico"),CONCATENATE("R",'Riesgos de Gestión'!$A$73),"")</f>
        <v/>
      </c>
      <c r="AK20" s="482"/>
      <c r="AL20" s="482" t="str">
        <f>IF(AND('Riesgos de Gestión'!$P$79="Alta",'Riesgos de Gestión'!$T$79="Catastrófico"),CONCATENATE("R",'Riesgos de Gestión'!$A$79),"")</f>
        <v/>
      </c>
      <c r="AM20" s="483"/>
      <c r="AN20" s="66"/>
      <c r="AO20" s="524"/>
      <c r="AP20" s="525"/>
      <c r="AQ20" s="525"/>
      <c r="AR20" s="525"/>
      <c r="AS20" s="525"/>
      <c r="AT20" s="52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row>
    <row r="21" spans="1:80" ht="15.75" customHeight="1" thickBot="1" x14ac:dyDescent="0.3">
      <c r="A21" s="66"/>
      <c r="B21" s="510"/>
      <c r="C21" s="510"/>
      <c r="D21" s="511"/>
      <c r="E21" s="506"/>
      <c r="F21" s="507"/>
      <c r="G21" s="507"/>
      <c r="H21" s="507"/>
      <c r="I21" s="507"/>
      <c r="J21" s="475"/>
      <c r="K21" s="476"/>
      <c r="L21" s="476"/>
      <c r="M21" s="476"/>
      <c r="N21" s="476"/>
      <c r="O21" s="477"/>
      <c r="P21" s="475"/>
      <c r="Q21" s="476"/>
      <c r="R21" s="476"/>
      <c r="S21" s="476"/>
      <c r="T21" s="476"/>
      <c r="U21" s="477"/>
      <c r="V21" s="493"/>
      <c r="W21" s="494"/>
      <c r="X21" s="494"/>
      <c r="Y21" s="494"/>
      <c r="Z21" s="494"/>
      <c r="AA21" s="495"/>
      <c r="AB21" s="493"/>
      <c r="AC21" s="494"/>
      <c r="AD21" s="494"/>
      <c r="AE21" s="494"/>
      <c r="AF21" s="494"/>
      <c r="AG21" s="495"/>
      <c r="AH21" s="484"/>
      <c r="AI21" s="485"/>
      <c r="AJ21" s="485"/>
      <c r="AK21" s="485"/>
      <c r="AL21" s="485"/>
      <c r="AM21" s="486"/>
      <c r="AN21" s="66"/>
      <c r="AO21" s="527"/>
      <c r="AP21" s="528"/>
      <c r="AQ21" s="528"/>
      <c r="AR21" s="528"/>
      <c r="AS21" s="528"/>
      <c r="AT21" s="529"/>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row>
    <row r="22" spans="1:80" x14ac:dyDescent="0.25">
      <c r="A22" s="66"/>
      <c r="B22" s="510"/>
      <c r="C22" s="510"/>
      <c r="D22" s="511"/>
      <c r="E22" s="500" t="s">
        <v>269</v>
      </c>
      <c r="F22" s="501"/>
      <c r="G22" s="501"/>
      <c r="H22" s="501"/>
      <c r="I22" s="502"/>
      <c r="J22" s="478" t="str">
        <f>IF(AND('Riesgos de Gestión'!$O$13="Media",'Riesgos de Gestión'!$S$13="Leve"),CONCATENATE("R",'Riesgos de Gestión'!$A$13),"")</f>
        <v/>
      </c>
      <c r="K22" s="479"/>
      <c r="L22" s="479" t="str">
        <f>IF(AND('Riesgos de Gestión'!$O$19="Media",'Riesgos de Gestión'!$S$19="Leve"),CONCATENATE("R",'Riesgos de Gestión'!$A$19),"")</f>
        <v/>
      </c>
      <c r="M22" s="479"/>
      <c r="N22" s="479" t="str">
        <f>IF(AND('Riesgos de Gestión'!$O$25="Media",'Riesgos de Gestión'!$S$25="Leve"),CONCATENATE("R",'Riesgos de Gestión'!$A$25),"")</f>
        <v/>
      </c>
      <c r="O22" s="480"/>
      <c r="P22" s="478" t="str">
        <f>IF(AND('Riesgos de Gestión'!$O$13="Media",'Riesgos de Gestión'!$S$13="Menor"),CONCATENATE("R",'Riesgos de Gestión'!$A$13),"")</f>
        <v/>
      </c>
      <c r="Q22" s="479"/>
      <c r="R22" s="479" t="str">
        <f>IF(AND('Riesgos de Gestión'!$O$19="Media",'Riesgos de Gestión'!$S$19="Menor"),CONCATENATE("R",'Riesgos de Gestión'!$A$19),"")</f>
        <v/>
      </c>
      <c r="S22" s="479"/>
      <c r="T22" s="479" t="str">
        <f>IF(AND('Riesgos de Gestión'!$O$25="Media",'Riesgos de Gestión'!$S$25="Menor"),CONCATENATE("R",'Riesgos de Gestión'!$A$25),"")</f>
        <v/>
      </c>
      <c r="U22" s="480"/>
      <c r="V22" s="478" t="str">
        <f>IF(AND('Riesgos de Gestión'!$O$13="Media",'Riesgos de Gestión'!$S$13="Moderado"),CONCATENATE("R",'Riesgos de Gestión'!$A$13),"")</f>
        <v>R1</v>
      </c>
      <c r="W22" s="479"/>
      <c r="X22" s="479" t="str">
        <f>IF(AND('Riesgos de Gestión'!$O$19="Media",'Riesgos de Gestión'!$S$19="Moderado"),CONCATENATE("R",'Riesgos de Gestión'!$A$19),"")</f>
        <v>R2</v>
      </c>
      <c r="Y22" s="479"/>
      <c r="Z22" s="479" t="str">
        <f>IF(AND('Riesgos de Gestión'!$O$25="Media",'Riesgos de Gestión'!$S$25="Moderado"),CONCATENATE("R",'Riesgos de Gestión'!$A$25),"")</f>
        <v/>
      </c>
      <c r="AA22" s="480"/>
      <c r="AB22" s="496" t="str">
        <f>IF(AND('Riesgos de Gestión'!$O$13="Media",'Riesgos de Gestión'!$S$13="Mayor"),CONCATENATE("R",'Riesgos de Gestión'!$A$13),"")</f>
        <v/>
      </c>
      <c r="AC22" s="497"/>
      <c r="AD22" s="497" t="str">
        <f>IF(AND('Riesgos de Gestión'!$O$19="Media",'Riesgos de Gestión'!$S$19="Mayor"),CONCATENATE("R",'Riesgos de Gestión'!$A$19),"")</f>
        <v/>
      </c>
      <c r="AE22" s="497"/>
      <c r="AF22" s="497" t="str">
        <f>IF(AND('Riesgos de Gestión'!$O$25="Media",'Riesgos de Gestión'!$S$25="Mayor"),CONCATENATE("R",'Riesgos de Gestión'!$A$25),"")</f>
        <v/>
      </c>
      <c r="AG22" s="498"/>
      <c r="AH22" s="487" t="str">
        <f>IF(AND('Riesgos de Gestión'!$O$13="Media",'Riesgos de Gestión'!$S$13="Catastrófico"),CONCATENATE("R",'Riesgos de Gestión'!$A$13),"")</f>
        <v/>
      </c>
      <c r="AI22" s="488"/>
      <c r="AJ22" s="488" t="str">
        <f>IF(AND('Riesgos de Gestión'!$O$19="Media",'Riesgos de Gestión'!$S$19="Catastrófico"),CONCATENATE("R",'Riesgos de Gestión'!$A$19),"")</f>
        <v/>
      </c>
      <c r="AK22" s="488"/>
      <c r="AL22" s="488" t="str">
        <f>IF(AND('Riesgos de Gestión'!$O$25="Media",'Riesgos de Gestión'!$S$25="Catastrófico"),CONCATENATE("R",'Riesgos de Gestión'!$A$25),"")</f>
        <v/>
      </c>
      <c r="AM22" s="489"/>
      <c r="AN22" s="66"/>
      <c r="AO22" s="530" t="s">
        <v>270</v>
      </c>
      <c r="AP22" s="531"/>
      <c r="AQ22" s="531"/>
      <c r="AR22" s="531"/>
      <c r="AS22" s="531"/>
      <c r="AT22" s="532"/>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row>
    <row r="23" spans="1:80" x14ac:dyDescent="0.25">
      <c r="A23" s="66"/>
      <c r="B23" s="510"/>
      <c r="C23" s="510"/>
      <c r="D23" s="511"/>
      <c r="E23" s="503"/>
      <c r="F23" s="504"/>
      <c r="G23" s="504"/>
      <c r="H23" s="504"/>
      <c r="I23" s="505"/>
      <c r="J23" s="472"/>
      <c r="K23" s="473"/>
      <c r="L23" s="473"/>
      <c r="M23" s="473"/>
      <c r="N23" s="473"/>
      <c r="O23" s="474"/>
      <c r="P23" s="472"/>
      <c r="Q23" s="473"/>
      <c r="R23" s="473"/>
      <c r="S23" s="473"/>
      <c r="T23" s="473"/>
      <c r="U23" s="474"/>
      <c r="V23" s="472"/>
      <c r="W23" s="473"/>
      <c r="X23" s="473"/>
      <c r="Y23" s="473"/>
      <c r="Z23" s="473"/>
      <c r="AA23" s="474"/>
      <c r="AB23" s="490"/>
      <c r="AC23" s="491"/>
      <c r="AD23" s="491"/>
      <c r="AE23" s="491"/>
      <c r="AF23" s="491"/>
      <c r="AG23" s="492"/>
      <c r="AH23" s="481"/>
      <c r="AI23" s="482"/>
      <c r="AJ23" s="482"/>
      <c r="AK23" s="482"/>
      <c r="AL23" s="482"/>
      <c r="AM23" s="483"/>
      <c r="AN23" s="66"/>
      <c r="AO23" s="533"/>
      <c r="AP23" s="534"/>
      <c r="AQ23" s="534"/>
      <c r="AR23" s="534"/>
      <c r="AS23" s="534"/>
      <c r="AT23" s="535"/>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row>
    <row r="24" spans="1:80" x14ac:dyDescent="0.25">
      <c r="A24" s="66"/>
      <c r="B24" s="510"/>
      <c r="C24" s="510"/>
      <c r="D24" s="511"/>
      <c r="E24" s="503"/>
      <c r="F24" s="504"/>
      <c r="G24" s="504"/>
      <c r="H24" s="504"/>
      <c r="I24" s="505"/>
      <c r="J24" s="472" t="str">
        <f>IF(AND('Riesgos de Gestión'!$O$31="Media",'Riesgos de Gestión'!$S$31="Leve"),CONCATENATE("R",'Riesgos de Gestión'!$A$31),"")</f>
        <v/>
      </c>
      <c r="K24" s="473"/>
      <c r="L24" s="473" t="str">
        <f>IF(AND('Riesgos de Gestión'!$O$37="Media",'Riesgos de Gestión'!$S$37="Leve"),CONCATENATE("R",'Riesgos de Gestión'!$A$37),"")</f>
        <v/>
      </c>
      <c r="M24" s="473"/>
      <c r="N24" s="473" t="str">
        <f>IF(AND('Riesgos de Gestión'!$O$43="Media",'Riesgos de Gestión'!$S$43="Leve"),CONCATENATE("R",'Riesgos de Gestión'!$A$43),"")</f>
        <v/>
      </c>
      <c r="O24" s="474"/>
      <c r="P24" s="472" t="str">
        <f>IF(AND('Riesgos de Gestión'!$O$31="Media",'Riesgos de Gestión'!$S$31="Menor"),CONCATENATE("R",'Riesgos de Gestión'!$A$31),"")</f>
        <v/>
      </c>
      <c r="Q24" s="473"/>
      <c r="R24" s="473" t="str">
        <f>IF(AND('Riesgos de Gestión'!$O$37="Media",'Riesgos de Gestión'!$S$37="Menor"),CONCATENATE("R",'Riesgos de Gestión'!$A$37),"")</f>
        <v/>
      </c>
      <c r="S24" s="473"/>
      <c r="T24" s="473" t="str">
        <f>IF(AND('Riesgos de Gestión'!$O$43="Media",'Riesgos de Gestión'!$S$43="Menor"),CONCATENATE("R",'Riesgos de Gestión'!$A$43),"")</f>
        <v/>
      </c>
      <c r="U24" s="474"/>
      <c r="V24" s="472" t="str">
        <f>IF(AND('Riesgos de Gestión'!$O$31="Media",'Riesgos de Gestión'!$S$31="Moderado"),CONCATENATE("R",'Riesgos de Gestión'!$A$31),"")</f>
        <v/>
      </c>
      <c r="W24" s="473"/>
      <c r="X24" s="473" t="str">
        <f>IF(AND('Riesgos de Gestión'!$O$37="Media",'Riesgos de Gestión'!$S$37="Moderado"),CONCATENATE("R",'Riesgos de Gestión'!$A$37),"")</f>
        <v/>
      </c>
      <c r="Y24" s="473"/>
      <c r="Z24" s="473" t="str">
        <f>IF(AND('Riesgos de Gestión'!$O$43="Media",'Riesgos de Gestión'!$S$43="Moderado"),CONCATENATE("R",'Riesgos de Gestión'!$A$43),"")</f>
        <v/>
      </c>
      <c r="AA24" s="474"/>
      <c r="AB24" s="490" t="str">
        <f>IF(AND('Riesgos de Gestión'!$O$31="Media",'Riesgos de Gestión'!$S$31="Mayor"),CONCATENATE("R",'Riesgos de Gestión'!$A$31),"")</f>
        <v/>
      </c>
      <c r="AC24" s="491"/>
      <c r="AD24" s="491" t="str">
        <f>IF(AND('Riesgos de Gestión'!$O$37="Media",'Riesgos de Gestión'!$S$37="Mayor"),CONCATENATE("R",'Riesgos de Gestión'!$A$37),"")</f>
        <v/>
      </c>
      <c r="AE24" s="491"/>
      <c r="AF24" s="491" t="str">
        <f>IF(AND('Riesgos de Gestión'!$O$43="Media",'Riesgos de Gestión'!$S$43="Mayor"),CONCATENATE("R",'Riesgos de Gestión'!$A$43),"")</f>
        <v/>
      </c>
      <c r="AG24" s="492"/>
      <c r="AH24" s="481" t="str">
        <f>IF(AND('Riesgos de Gestión'!$O$31="Media",'Riesgos de Gestión'!$S$31="Catastrófico"),CONCATENATE("R",'Riesgos de Gestión'!$A$31),"")</f>
        <v/>
      </c>
      <c r="AI24" s="482"/>
      <c r="AJ24" s="482" t="str">
        <f>IF(AND('Riesgos de Gestión'!$O$37="Media",'Riesgos de Gestión'!$S$37="Catastrófico"),CONCATENATE("R",'Riesgos de Gestión'!$A$37),"")</f>
        <v/>
      </c>
      <c r="AK24" s="482"/>
      <c r="AL24" s="482" t="str">
        <f>IF(AND('Riesgos de Gestión'!$O$43="Media",'Riesgos de Gestión'!$S$43="Catastrófico"),CONCATENATE("R",'Riesgos de Gestión'!$A$43),"")</f>
        <v/>
      </c>
      <c r="AM24" s="483"/>
      <c r="AN24" s="66"/>
      <c r="AO24" s="533"/>
      <c r="AP24" s="534"/>
      <c r="AQ24" s="534"/>
      <c r="AR24" s="534"/>
      <c r="AS24" s="534"/>
      <c r="AT24" s="535"/>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row>
    <row r="25" spans="1:80" x14ac:dyDescent="0.25">
      <c r="A25" s="66"/>
      <c r="B25" s="510"/>
      <c r="C25" s="510"/>
      <c r="D25" s="511"/>
      <c r="E25" s="503"/>
      <c r="F25" s="504"/>
      <c r="G25" s="504"/>
      <c r="H25" s="504"/>
      <c r="I25" s="505"/>
      <c r="J25" s="472"/>
      <c r="K25" s="473"/>
      <c r="L25" s="473"/>
      <c r="M25" s="473"/>
      <c r="N25" s="473"/>
      <c r="O25" s="474"/>
      <c r="P25" s="472"/>
      <c r="Q25" s="473"/>
      <c r="R25" s="473"/>
      <c r="S25" s="473"/>
      <c r="T25" s="473"/>
      <c r="U25" s="474"/>
      <c r="V25" s="472"/>
      <c r="W25" s="473"/>
      <c r="X25" s="473"/>
      <c r="Y25" s="473"/>
      <c r="Z25" s="473"/>
      <c r="AA25" s="474"/>
      <c r="AB25" s="490"/>
      <c r="AC25" s="491"/>
      <c r="AD25" s="491"/>
      <c r="AE25" s="491"/>
      <c r="AF25" s="491"/>
      <c r="AG25" s="492"/>
      <c r="AH25" s="481"/>
      <c r="AI25" s="482"/>
      <c r="AJ25" s="482"/>
      <c r="AK25" s="482"/>
      <c r="AL25" s="482"/>
      <c r="AM25" s="483"/>
      <c r="AN25" s="66"/>
      <c r="AO25" s="533"/>
      <c r="AP25" s="534"/>
      <c r="AQ25" s="534"/>
      <c r="AR25" s="534"/>
      <c r="AS25" s="534"/>
      <c r="AT25" s="535"/>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6" spans="1:80" x14ac:dyDescent="0.25">
      <c r="A26" s="66"/>
      <c r="B26" s="510"/>
      <c r="C26" s="510"/>
      <c r="D26" s="511"/>
      <c r="E26" s="503"/>
      <c r="F26" s="504"/>
      <c r="G26" s="504"/>
      <c r="H26" s="504"/>
      <c r="I26" s="505"/>
      <c r="J26" s="472" t="str">
        <f>IF(AND('Riesgos de Gestión'!$O$49="Media",'Riesgos de Gestión'!$S$49="Leve"),CONCATENATE("R",'Riesgos de Gestión'!$A$49),"")</f>
        <v/>
      </c>
      <c r="K26" s="473"/>
      <c r="L26" s="473" t="str">
        <f>IF(AND('Riesgos de Gestión'!$O$55="Media",'Riesgos de Gestión'!$S$55="Leve"),CONCATENATE("R",'Riesgos de Gestión'!$A$55),"")</f>
        <v/>
      </c>
      <c r="M26" s="473"/>
      <c r="N26" s="473" t="str">
        <f>IF(AND('Riesgos de Gestión'!$O$61="Media",'Riesgos de Gestión'!$S$61="Leve"),CONCATENATE("R",'Riesgos de Gestión'!$A$61),"")</f>
        <v/>
      </c>
      <c r="O26" s="474"/>
      <c r="P26" s="472" t="str">
        <f>IF(AND('Riesgos de Gestión'!$O$49="Media",'Riesgos de Gestión'!$S$49="Menor"),CONCATENATE("R",'Riesgos de Gestión'!$A$49),"")</f>
        <v/>
      </c>
      <c r="Q26" s="473"/>
      <c r="R26" s="473" t="str">
        <f>IF(AND('Riesgos de Gestión'!$O$55="Media",'Riesgos de Gestión'!$S$55="Menor"),CONCATENATE("R",'Riesgos de Gestión'!$A$55),"")</f>
        <v/>
      </c>
      <c r="S26" s="473"/>
      <c r="T26" s="473" t="str">
        <f>IF(AND('Riesgos de Gestión'!$O$61="Media",'Riesgos de Gestión'!$S$61="Menor"),CONCATENATE("R",'Riesgos de Gestión'!$A$61),"")</f>
        <v/>
      </c>
      <c r="U26" s="474"/>
      <c r="V26" s="472" t="str">
        <f>IF(AND('Riesgos de Gestión'!$O$49="Media",'Riesgos de Gestión'!$S$49="Moderado"),CONCATENATE("R",'Riesgos de Gestión'!$A$49),"")</f>
        <v/>
      </c>
      <c r="W26" s="473"/>
      <c r="X26" s="473" t="str">
        <f>IF(AND('Riesgos de Gestión'!$O$55="Media",'Riesgos de Gestión'!$S$55="Moderado"),CONCATENATE("R",'Riesgos de Gestión'!$A$55),"")</f>
        <v/>
      </c>
      <c r="Y26" s="473"/>
      <c r="Z26" s="473" t="str">
        <f>IF(AND('Riesgos de Gestión'!$O$61="Media",'Riesgos de Gestión'!$S$61="Moderado"),CONCATENATE("R",'Riesgos de Gestión'!$A$61),"")</f>
        <v/>
      </c>
      <c r="AA26" s="474"/>
      <c r="AB26" s="490" t="str">
        <f>IF(AND('Riesgos de Gestión'!$O$49="Media",'Riesgos de Gestión'!$S$49="Mayor"),CONCATENATE("R",'Riesgos de Gestión'!$A$49),"")</f>
        <v/>
      </c>
      <c r="AC26" s="491"/>
      <c r="AD26" s="491" t="str">
        <f>IF(AND('Riesgos de Gestión'!$O$55="Media",'Riesgos de Gestión'!$S$55="Mayor"),CONCATENATE("R",'Riesgos de Gestión'!$A$55),"")</f>
        <v/>
      </c>
      <c r="AE26" s="491"/>
      <c r="AF26" s="491" t="str">
        <f>IF(AND('Riesgos de Gestión'!$O$61="Media",'Riesgos de Gestión'!$S$61="Mayor"),CONCATENATE("R",'Riesgos de Gestión'!$A$61),"")</f>
        <v/>
      </c>
      <c r="AG26" s="492"/>
      <c r="AH26" s="481" t="str">
        <f>IF(AND('Riesgos de Gestión'!$O$49="Media",'Riesgos de Gestión'!$S$49="Catastrófico"),CONCATENATE("R",'Riesgos de Gestión'!$A$49),"")</f>
        <v/>
      </c>
      <c r="AI26" s="482"/>
      <c r="AJ26" s="482" t="str">
        <f>IF(AND('Riesgos de Gestión'!$O$55="Media",'Riesgos de Gestión'!$S$55="Catastrófico"),CONCATENATE("R",'Riesgos de Gestión'!$A$55),"")</f>
        <v/>
      </c>
      <c r="AK26" s="482"/>
      <c r="AL26" s="482" t="str">
        <f>IF(AND('Riesgos de Gestión'!$O$61="Media",'Riesgos de Gestión'!$S$61="Catastrófico"),CONCATENATE("R",'Riesgos de Gestión'!$A$61),"")</f>
        <v/>
      </c>
      <c r="AM26" s="483"/>
      <c r="AN26" s="66"/>
      <c r="AO26" s="533"/>
      <c r="AP26" s="534"/>
      <c r="AQ26" s="534"/>
      <c r="AR26" s="534"/>
      <c r="AS26" s="534"/>
      <c r="AT26" s="535"/>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row>
    <row r="27" spans="1:80" x14ac:dyDescent="0.25">
      <c r="A27" s="66"/>
      <c r="B27" s="510"/>
      <c r="C27" s="510"/>
      <c r="D27" s="511"/>
      <c r="E27" s="503"/>
      <c r="F27" s="504"/>
      <c r="G27" s="504"/>
      <c r="H27" s="504"/>
      <c r="I27" s="505"/>
      <c r="J27" s="472"/>
      <c r="K27" s="473"/>
      <c r="L27" s="473"/>
      <c r="M27" s="473"/>
      <c r="N27" s="473"/>
      <c r="O27" s="474"/>
      <c r="P27" s="472"/>
      <c r="Q27" s="473"/>
      <c r="R27" s="473"/>
      <c r="S27" s="473"/>
      <c r="T27" s="473"/>
      <c r="U27" s="474"/>
      <c r="V27" s="472"/>
      <c r="W27" s="473"/>
      <c r="X27" s="473"/>
      <c r="Y27" s="473"/>
      <c r="Z27" s="473"/>
      <c r="AA27" s="474"/>
      <c r="AB27" s="490"/>
      <c r="AC27" s="491"/>
      <c r="AD27" s="491"/>
      <c r="AE27" s="491"/>
      <c r="AF27" s="491"/>
      <c r="AG27" s="492"/>
      <c r="AH27" s="481"/>
      <c r="AI27" s="482"/>
      <c r="AJ27" s="482"/>
      <c r="AK27" s="482"/>
      <c r="AL27" s="482"/>
      <c r="AM27" s="483"/>
      <c r="AN27" s="66"/>
      <c r="AO27" s="533"/>
      <c r="AP27" s="534"/>
      <c r="AQ27" s="534"/>
      <c r="AR27" s="534"/>
      <c r="AS27" s="534"/>
      <c r="AT27" s="535"/>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x14ac:dyDescent="0.25">
      <c r="A28" s="66"/>
      <c r="B28" s="510"/>
      <c r="C28" s="510"/>
      <c r="D28" s="511"/>
      <c r="E28" s="503"/>
      <c r="F28" s="504"/>
      <c r="G28" s="504"/>
      <c r="H28" s="504"/>
      <c r="I28" s="505"/>
      <c r="J28" s="472" t="str">
        <f>IF(AND('Riesgos de Gestión'!$O$67="Media",'Riesgos de Gestión'!$S$67="Leve"),CONCATENATE("R",'Riesgos de Gestión'!$A$67),"")</f>
        <v/>
      </c>
      <c r="K28" s="473"/>
      <c r="L28" s="473" t="str">
        <f>IF(AND('Riesgos de Gestión'!$P$73="Media",'Riesgos de Gestión'!$T$73="Leve"),CONCATENATE("R",'Riesgos de Gestión'!$A$73),"")</f>
        <v/>
      </c>
      <c r="M28" s="473"/>
      <c r="N28" s="473" t="str">
        <f>IF(AND('Riesgos de Gestión'!$P$79="Media",'Riesgos de Gestión'!$T$79="Leve"),CONCATENATE("R",'Riesgos de Gestión'!$A$79),"")</f>
        <v/>
      </c>
      <c r="O28" s="474"/>
      <c r="P28" s="472" t="str">
        <f>IF(AND('Riesgos de Gestión'!$O$67="Media",'Riesgos de Gestión'!$S$67="Menor"),CONCATENATE("R",'Riesgos de Gestión'!$A$67),"")</f>
        <v/>
      </c>
      <c r="Q28" s="473"/>
      <c r="R28" s="473" t="str">
        <f>IF(AND('Riesgos de Gestión'!$P$73="Media",'Riesgos de Gestión'!$T$73="Menor"),CONCATENATE("R",'Riesgos de Gestión'!$A$73),"")</f>
        <v/>
      </c>
      <c r="S28" s="473"/>
      <c r="T28" s="473" t="str">
        <f>IF(AND('Riesgos de Gestión'!$P$79="Media",'Riesgos de Gestión'!$T$79="Menor"),CONCATENATE("R",'Riesgos de Gestión'!$A$79),"")</f>
        <v/>
      </c>
      <c r="U28" s="474"/>
      <c r="V28" s="472" t="str">
        <f>IF(AND('Riesgos de Gestión'!$O$67="Media",'Riesgos de Gestión'!$S$67="Moderado"),CONCATENATE("R",'Riesgos de Gestión'!$A$67),"")</f>
        <v/>
      </c>
      <c r="W28" s="473"/>
      <c r="X28" s="473" t="str">
        <f>IF(AND('Riesgos de Gestión'!$P$73="Media",'Riesgos de Gestión'!$T$73="Moderado"),CONCATENATE("R",'Riesgos de Gestión'!$A$73),"")</f>
        <v/>
      </c>
      <c r="Y28" s="473"/>
      <c r="Z28" s="473" t="str">
        <f>IF(AND('Riesgos de Gestión'!$P$79="Media",'Riesgos de Gestión'!$T$79="Moderado"),CONCATENATE("R",'Riesgos de Gestión'!$A$79),"")</f>
        <v/>
      </c>
      <c r="AA28" s="474"/>
      <c r="AB28" s="490" t="str">
        <f>IF(AND('Riesgos de Gestión'!$O$67="Media",'Riesgos de Gestión'!$S$67="Mayor"),CONCATENATE("R",'Riesgos de Gestión'!$A$67),"")</f>
        <v/>
      </c>
      <c r="AC28" s="491"/>
      <c r="AD28" s="491" t="str">
        <f>IF(AND('Riesgos de Gestión'!$P$73="Media",'Riesgos de Gestión'!$T$73="Mayor"),CONCATENATE("R",'Riesgos de Gestión'!$A$73),"")</f>
        <v/>
      </c>
      <c r="AE28" s="491"/>
      <c r="AF28" s="491" t="str">
        <f>IF(AND('Riesgos de Gestión'!$P$79="Media",'Riesgos de Gestión'!$T$79="Mayor"),CONCATENATE("R",'Riesgos de Gestión'!$A$79),"")</f>
        <v/>
      </c>
      <c r="AG28" s="492"/>
      <c r="AH28" s="481" t="str">
        <f>IF(AND('Riesgos de Gestión'!$O$67="Media",'Riesgos de Gestión'!$S$67="Catastrófico"),CONCATENATE("R",'Riesgos de Gestión'!$A$67),"")</f>
        <v/>
      </c>
      <c r="AI28" s="482"/>
      <c r="AJ28" s="482" t="str">
        <f>IF(AND('Riesgos de Gestión'!$P$73="Media",'Riesgos de Gestión'!$T$73="Catastrófico"),CONCATENATE("R",'Riesgos de Gestión'!$A$73),"")</f>
        <v/>
      </c>
      <c r="AK28" s="482"/>
      <c r="AL28" s="482" t="str">
        <f>IF(AND('Riesgos de Gestión'!$P$79="Media",'Riesgos de Gestión'!$T$79="Catastrófico"),CONCATENATE("R",'Riesgos de Gestión'!$A$79),"")</f>
        <v/>
      </c>
      <c r="AM28" s="483"/>
      <c r="AN28" s="66"/>
      <c r="AO28" s="533"/>
      <c r="AP28" s="534"/>
      <c r="AQ28" s="534"/>
      <c r="AR28" s="534"/>
      <c r="AS28" s="534"/>
      <c r="AT28" s="535"/>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row>
    <row r="29" spans="1:80" ht="15.75" thickBot="1" x14ac:dyDescent="0.3">
      <c r="A29" s="66"/>
      <c r="B29" s="510"/>
      <c r="C29" s="510"/>
      <c r="D29" s="511"/>
      <c r="E29" s="506"/>
      <c r="F29" s="507"/>
      <c r="G29" s="507"/>
      <c r="H29" s="507"/>
      <c r="I29" s="508"/>
      <c r="J29" s="472"/>
      <c r="K29" s="473"/>
      <c r="L29" s="473"/>
      <c r="M29" s="473"/>
      <c r="N29" s="473"/>
      <c r="O29" s="474"/>
      <c r="P29" s="475"/>
      <c r="Q29" s="476"/>
      <c r="R29" s="476"/>
      <c r="S29" s="476"/>
      <c r="T29" s="476"/>
      <c r="U29" s="477"/>
      <c r="V29" s="475"/>
      <c r="W29" s="476"/>
      <c r="X29" s="476"/>
      <c r="Y29" s="476"/>
      <c r="Z29" s="476"/>
      <c r="AA29" s="477"/>
      <c r="AB29" s="493"/>
      <c r="AC29" s="494"/>
      <c r="AD29" s="494"/>
      <c r="AE29" s="494"/>
      <c r="AF29" s="494"/>
      <c r="AG29" s="495"/>
      <c r="AH29" s="484"/>
      <c r="AI29" s="485"/>
      <c r="AJ29" s="485"/>
      <c r="AK29" s="485"/>
      <c r="AL29" s="485"/>
      <c r="AM29" s="486"/>
      <c r="AN29" s="66"/>
      <c r="AO29" s="536"/>
      <c r="AP29" s="537"/>
      <c r="AQ29" s="537"/>
      <c r="AR29" s="537"/>
      <c r="AS29" s="537"/>
      <c r="AT29" s="538"/>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row>
    <row r="30" spans="1:80" x14ac:dyDescent="0.25">
      <c r="A30" s="66"/>
      <c r="B30" s="510"/>
      <c r="C30" s="510"/>
      <c r="D30" s="511"/>
      <c r="E30" s="500" t="s">
        <v>271</v>
      </c>
      <c r="F30" s="501"/>
      <c r="G30" s="501"/>
      <c r="H30" s="501"/>
      <c r="I30" s="501"/>
      <c r="J30" s="469" t="str">
        <f>IF(AND('Riesgos de Gestión'!$O$13="Baja",'Riesgos de Gestión'!$S$13="Leve"),CONCATENATE("R",'Riesgos de Gestión'!$A$13),"")</f>
        <v/>
      </c>
      <c r="K30" s="470"/>
      <c r="L30" s="470" t="str">
        <f>IF(AND('Riesgos de Gestión'!$O$19="Baja",'Riesgos de Gestión'!$S$19="Leve"),CONCATENATE("R",'Riesgos de Gestión'!$A$19),"")</f>
        <v/>
      </c>
      <c r="M30" s="470"/>
      <c r="N30" s="470" t="str">
        <f>IF(AND('Riesgos de Gestión'!$O$25="Baja",'Riesgos de Gestión'!$S$25="Leve"),CONCATENATE("R",'Riesgos de Gestión'!$A$25),"")</f>
        <v/>
      </c>
      <c r="O30" s="471"/>
      <c r="P30" s="479" t="str">
        <f>IF(AND('Riesgos de Gestión'!$O$13="Baja",'Riesgos de Gestión'!$S$13="Menor"),CONCATENATE("R",'Riesgos de Gestión'!$A$13),"")</f>
        <v/>
      </c>
      <c r="Q30" s="479"/>
      <c r="R30" s="479" t="str">
        <f>IF(AND('Riesgos de Gestión'!$O$19="Baja",'Riesgos de Gestión'!$S$19="Menor"),CONCATENATE("R",'Riesgos de Gestión'!$A$19),"")</f>
        <v/>
      </c>
      <c r="S30" s="479"/>
      <c r="T30" s="479" t="str">
        <f>IF(AND('Riesgos de Gestión'!$O$25="Baja",'Riesgos de Gestión'!$S$25="Menor"),CONCATENATE("R",'Riesgos de Gestión'!$A$25),"")</f>
        <v/>
      </c>
      <c r="U30" s="480"/>
      <c r="V30" s="478" t="str">
        <f>IF(AND('Riesgos de Gestión'!$O$13="Baja",'Riesgos de Gestión'!$S$13="Moderado"),CONCATENATE("R",'Riesgos de Gestión'!$A$13),"")</f>
        <v/>
      </c>
      <c r="W30" s="479"/>
      <c r="X30" s="479" t="str">
        <f>IF(AND('Riesgos de Gestión'!$O$19="Baja",'Riesgos de Gestión'!$S$19="Moderado"),CONCATENATE("R",'Riesgos de Gestión'!$A$19),"")</f>
        <v/>
      </c>
      <c r="Y30" s="479"/>
      <c r="Z30" s="479" t="str">
        <f>IF(AND('Riesgos de Gestión'!$O$25="Baja",'Riesgos de Gestión'!$S$25="Moderado"),CONCATENATE("R",'Riesgos de Gestión'!$A$25),"")</f>
        <v/>
      </c>
      <c r="AA30" s="480"/>
      <c r="AB30" s="496" t="str">
        <f>IF(AND('Riesgos de Gestión'!$O$13="Baja",'Riesgos de Gestión'!$S$13="Mayor"),CONCATENATE("R",'Riesgos de Gestión'!$A$13),"")</f>
        <v/>
      </c>
      <c r="AC30" s="497"/>
      <c r="AD30" s="497" t="str">
        <f>IF(AND('Riesgos de Gestión'!$O$19="Baja",'Riesgos de Gestión'!$S$19="Mayor"),CONCATENATE("R",'Riesgos de Gestión'!$A$19),"")</f>
        <v/>
      </c>
      <c r="AE30" s="497"/>
      <c r="AF30" s="497" t="str">
        <f>IF(AND('Riesgos de Gestión'!$O$25="Baja",'Riesgos de Gestión'!$S$25="Mayor"),CONCATENATE("R",'Riesgos de Gestión'!$A$25),"")</f>
        <v/>
      </c>
      <c r="AG30" s="498"/>
      <c r="AH30" s="487" t="str">
        <f>IF(AND('Riesgos de Gestión'!$O$13="Baja",'Riesgos de Gestión'!$S$13="Catastrófico"),CONCATENATE("R",'Riesgos de Gestión'!$A$13),"")</f>
        <v/>
      </c>
      <c r="AI30" s="488"/>
      <c r="AJ30" s="488" t="str">
        <f>IF(AND('Riesgos de Gestión'!$O$19="Baja",'Riesgos de Gestión'!$S$19="Catastrófico"),CONCATENATE("R",'Riesgos de Gestión'!$A$19),"")</f>
        <v/>
      </c>
      <c r="AK30" s="488"/>
      <c r="AL30" s="488" t="str">
        <f>IF(AND('Riesgos de Gestión'!$O$25="Baja",'Riesgos de Gestión'!$S$25="Catastrófico"),CONCATENATE("R",'Riesgos de Gestión'!$A$25),"")</f>
        <v/>
      </c>
      <c r="AM30" s="489"/>
      <c r="AN30" s="66"/>
      <c r="AO30" s="539" t="s">
        <v>272</v>
      </c>
      <c r="AP30" s="540"/>
      <c r="AQ30" s="540"/>
      <c r="AR30" s="540"/>
      <c r="AS30" s="540"/>
      <c r="AT30" s="541"/>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row>
    <row r="31" spans="1:80" x14ac:dyDescent="0.25">
      <c r="A31" s="66"/>
      <c r="B31" s="510"/>
      <c r="C31" s="510"/>
      <c r="D31" s="511"/>
      <c r="E31" s="503"/>
      <c r="F31" s="504"/>
      <c r="G31" s="504"/>
      <c r="H31" s="504"/>
      <c r="I31" s="504"/>
      <c r="J31" s="463"/>
      <c r="K31" s="464"/>
      <c r="L31" s="464"/>
      <c r="M31" s="464"/>
      <c r="N31" s="464"/>
      <c r="O31" s="465"/>
      <c r="P31" s="473"/>
      <c r="Q31" s="473"/>
      <c r="R31" s="473"/>
      <c r="S31" s="473"/>
      <c r="T31" s="473"/>
      <c r="U31" s="474"/>
      <c r="V31" s="472"/>
      <c r="W31" s="473"/>
      <c r="X31" s="473"/>
      <c r="Y31" s="473"/>
      <c r="Z31" s="473"/>
      <c r="AA31" s="474"/>
      <c r="AB31" s="490"/>
      <c r="AC31" s="491"/>
      <c r="AD31" s="491"/>
      <c r="AE31" s="491"/>
      <c r="AF31" s="491"/>
      <c r="AG31" s="492"/>
      <c r="AH31" s="481"/>
      <c r="AI31" s="482"/>
      <c r="AJ31" s="482"/>
      <c r="AK31" s="482"/>
      <c r="AL31" s="482"/>
      <c r="AM31" s="483"/>
      <c r="AN31" s="66"/>
      <c r="AO31" s="542"/>
      <c r="AP31" s="543"/>
      <c r="AQ31" s="543"/>
      <c r="AR31" s="543"/>
      <c r="AS31" s="543"/>
      <c r="AT31" s="544"/>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row>
    <row r="32" spans="1:80" x14ac:dyDescent="0.25">
      <c r="A32" s="66"/>
      <c r="B32" s="510"/>
      <c r="C32" s="510"/>
      <c r="D32" s="511"/>
      <c r="E32" s="503"/>
      <c r="F32" s="504"/>
      <c r="G32" s="504"/>
      <c r="H32" s="504"/>
      <c r="I32" s="504"/>
      <c r="J32" s="463" t="str">
        <f>IF(AND('Riesgos de Gestión'!$O$31="Baja",'Riesgos de Gestión'!$S$31="Leve"),CONCATENATE("R",'Riesgos de Gestión'!$A$31),"")</f>
        <v/>
      </c>
      <c r="K32" s="464"/>
      <c r="L32" s="464" t="str">
        <f>IF(AND('Riesgos de Gestión'!$O$37="Baja",'Riesgos de Gestión'!$S$37="Leve"),CONCATENATE("R",'Riesgos de Gestión'!$A$37),"")</f>
        <v/>
      </c>
      <c r="M32" s="464"/>
      <c r="N32" s="464" t="str">
        <f>IF(AND('Riesgos de Gestión'!$O$43="Baja",'Riesgos de Gestión'!$S$43="Leve"),CONCATENATE("R",'Riesgos de Gestión'!$A$43),"")</f>
        <v/>
      </c>
      <c r="O32" s="465"/>
      <c r="P32" s="473" t="str">
        <f>IF(AND('Riesgos de Gestión'!$O$31="Baja",'Riesgos de Gestión'!$S$31="Menor"),CONCATENATE("R",'Riesgos de Gestión'!$A$31),"")</f>
        <v/>
      </c>
      <c r="Q32" s="473"/>
      <c r="R32" s="473" t="str">
        <f>IF(AND('Riesgos de Gestión'!$O$37="Baja",'Riesgos de Gestión'!$S$37="Menor"),CONCATENATE("R",'Riesgos de Gestión'!$A$37),"")</f>
        <v/>
      </c>
      <c r="S32" s="473"/>
      <c r="T32" s="473" t="str">
        <f>IF(AND('Riesgos de Gestión'!$O$43="Baja",'Riesgos de Gestión'!$S$43="Menor"),CONCATENATE("R",'Riesgos de Gestión'!$A$43),"")</f>
        <v/>
      </c>
      <c r="U32" s="474"/>
      <c r="V32" s="472" t="str">
        <f>IF(AND('Riesgos de Gestión'!$O$31="Baja",'Riesgos de Gestión'!$S$31="Moderado"),CONCATENATE("R",'Riesgos de Gestión'!$A$31),"")</f>
        <v/>
      </c>
      <c r="W32" s="473"/>
      <c r="X32" s="473" t="str">
        <f>IF(AND('Riesgos de Gestión'!$O$37="Baja",'Riesgos de Gestión'!$S$37="Moderado"),CONCATENATE("R",'Riesgos de Gestión'!$A$37),"")</f>
        <v/>
      </c>
      <c r="Y32" s="473"/>
      <c r="Z32" s="473" t="str">
        <f>IF(AND('Riesgos de Gestión'!$O$43="Baja",'Riesgos de Gestión'!$S$43="Moderado"),CONCATENATE("R",'Riesgos de Gestión'!$A$43),"")</f>
        <v/>
      </c>
      <c r="AA32" s="474"/>
      <c r="AB32" s="490" t="str">
        <f>IF(AND('Riesgos de Gestión'!$O$31="Baja",'Riesgos de Gestión'!$S$31="Mayor"),CONCATENATE("R",'Riesgos de Gestión'!$A$31),"")</f>
        <v/>
      </c>
      <c r="AC32" s="491"/>
      <c r="AD32" s="491" t="str">
        <f>IF(AND('Riesgos de Gestión'!$O$37="Baja",'Riesgos de Gestión'!$S$37="Mayor"),CONCATENATE("R",'Riesgos de Gestión'!$A$37),"")</f>
        <v/>
      </c>
      <c r="AE32" s="491"/>
      <c r="AF32" s="491" t="str">
        <f>IF(AND('Riesgos de Gestión'!$O$43="Baja",'Riesgos de Gestión'!$S$43="Mayor"),CONCATENATE("R",'Riesgos de Gestión'!$A$43),"")</f>
        <v/>
      </c>
      <c r="AG32" s="492"/>
      <c r="AH32" s="481" t="str">
        <f>IF(AND('Riesgos de Gestión'!$O$31="Baja",'Riesgos de Gestión'!$S$31="Catastrófico"),CONCATENATE("R",'Riesgos de Gestión'!$A$31),"")</f>
        <v/>
      </c>
      <c r="AI32" s="482"/>
      <c r="AJ32" s="482" t="str">
        <f>IF(AND('Riesgos de Gestión'!$O$37="Baja",'Riesgos de Gestión'!$S$37="Catastrófico"),CONCATENATE("R",'Riesgos de Gestión'!$A$37),"")</f>
        <v/>
      </c>
      <c r="AK32" s="482"/>
      <c r="AL32" s="482" t="str">
        <f>IF(AND('Riesgos de Gestión'!$O$43="Baja",'Riesgos de Gestión'!$S$43="Catastrófico"),CONCATENATE("R",'Riesgos de Gestión'!$A$43),"")</f>
        <v/>
      </c>
      <c r="AM32" s="483"/>
      <c r="AN32" s="66"/>
      <c r="AO32" s="542"/>
      <c r="AP32" s="543"/>
      <c r="AQ32" s="543"/>
      <c r="AR32" s="543"/>
      <c r="AS32" s="543"/>
      <c r="AT32" s="544"/>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row>
    <row r="33" spans="1:80" x14ac:dyDescent="0.25">
      <c r="A33" s="66"/>
      <c r="B33" s="510"/>
      <c r="C33" s="510"/>
      <c r="D33" s="511"/>
      <c r="E33" s="503"/>
      <c r="F33" s="504"/>
      <c r="G33" s="504"/>
      <c r="H33" s="504"/>
      <c r="I33" s="504"/>
      <c r="J33" s="463"/>
      <c r="K33" s="464"/>
      <c r="L33" s="464"/>
      <c r="M33" s="464"/>
      <c r="N33" s="464"/>
      <c r="O33" s="465"/>
      <c r="P33" s="473"/>
      <c r="Q33" s="473"/>
      <c r="R33" s="473"/>
      <c r="S33" s="473"/>
      <c r="T33" s="473"/>
      <c r="U33" s="474"/>
      <c r="V33" s="472"/>
      <c r="W33" s="473"/>
      <c r="X33" s="473"/>
      <c r="Y33" s="473"/>
      <c r="Z33" s="473"/>
      <c r="AA33" s="474"/>
      <c r="AB33" s="490"/>
      <c r="AC33" s="491"/>
      <c r="AD33" s="491"/>
      <c r="AE33" s="491"/>
      <c r="AF33" s="491"/>
      <c r="AG33" s="492"/>
      <c r="AH33" s="481"/>
      <c r="AI33" s="482"/>
      <c r="AJ33" s="482"/>
      <c r="AK33" s="482"/>
      <c r="AL33" s="482"/>
      <c r="AM33" s="483"/>
      <c r="AN33" s="66"/>
      <c r="AO33" s="542"/>
      <c r="AP33" s="543"/>
      <c r="AQ33" s="543"/>
      <c r="AR33" s="543"/>
      <c r="AS33" s="543"/>
      <c r="AT33" s="544"/>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row>
    <row r="34" spans="1:80" x14ac:dyDescent="0.25">
      <c r="A34" s="66"/>
      <c r="B34" s="510"/>
      <c r="C34" s="510"/>
      <c r="D34" s="511"/>
      <c r="E34" s="503"/>
      <c r="F34" s="504"/>
      <c r="G34" s="504"/>
      <c r="H34" s="504"/>
      <c r="I34" s="504"/>
      <c r="J34" s="463" t="str">
        <f>IF(AND('Riesgos de Gestión'!$O$49="Baja",'Riesgos de Gestión'!$S$49="Leve"),CONCATENATE("R",'Riesgos de Gestión'!$A$49),"")</f>
        <v/>
      </c>
      <c r="K34" s="464"/>
      <c r="L34" s="464" t="str">
        <f>IF(AND('Riesgos de Gestión'!$O$55="Baja",'Riesgos de Gestión'!$S$55="Leve"),CONCATENATE("R",'Riesgos de Gestión'!$A$55),"")</f>
        <v/>
      </c>
      <c r="M34" s="464"/>
      <c r="N34" s="464" t="str">
        <f>IF(AND('Riesgos de Gestión'!$O$61="Baja",'Riesgos de Gestión'!$S$61="Leve"),CONCATENATE("R",'Riesgos de Gestión'!$A$61),"")</f>
        <v/>
      </c>
      <c r="O34" s="465"/>
      <c r="P34" s="473" t="str">
        <f>IF(AND('Riesgos de Gestión'!$O$49="Baja",'Riesgos de Gestión'!$S$49="Menor"),CONCATENATE("R",'Riesgos de Gestión'!$A$49),"")</f>
        <v/>
      </c>
      <c r="Q34" s="473"/>
      <c r="R34" s="473" t="str">
        <f>IF(AND('Riesgos de Gestión'!$O$55="Baja",'Riesgos de Gestión'!$S$55="Menor"),CONCATENATE("R",'Riesgos de Gestión'!$A$55),"")</f>
        <v/>
      </c>
      <c r="S34" s="473"/>
      <c r="T34" s="473" t="str">
        <f>IF(AND('Riesgos de Gestión'!$O$61="Baja",'Riesgos de Gestión'!$S$61="Menor"),CONCATENATE("R",'Riesgos de Gestión'!$A$61),"")</f>
        <v/>
      </c>
      <c r="U34" s="474"/>
      <c r="V34" s="472" t="str">
        <f>IF(AND('Riesgos de Gestión'!$O$49="Baja",'Riesgos de Gestión'!$S$49="Moderado"),CONCATENATE("R",'Riesgos de Gestión'!$A$49),"")</f>
        <v/>
      </c>
      <c r="W34" s="473"/>
      <c r="X34" s="473" t="str">
        <f>IF(AND('Riesgos de Gestión'!$O$55="Baja",'Riesgos de Gestión'!$S$55="Moderado"),CONCATENATE("R",'Riesgos de Gestión'!$A$55),"")</f>
        <v/>
      </c>
      <c r="Y34" s="473"/>
      <c r="Z34" s="473" t="str">
        <f>IF(AND('Riesgos de Gestión'!$O$61="Baja",'Riesgos de Gestión'!$S$61="Moderado"),CONCATENATE("R",'Riesgos de Gestión'!$A$61),"")</f>
        <v/>
      </c>
      <c r="AA34" s="474"/>
      <c r="AB34" s="490" t="str">
        <f>IF(AND('Riesgos de Gestión'!$O$49="Baja",'Riesgos de Gestión'!$S$49="Mayor"),CONCATENATE("R",'Riesgos de Gestión'!$A$49),"")</f>
        <v/>
      </c>
      <c r="AC34" s="491"/>
      <c r="AD34" s="491" t="str">
        <f>IF(AND('Riesgos de Gestión'!$O$55="Baja",'Riesgos de Gestión'!$S$55="Mayor"),CONCATENATE("R",'Riesgos de Gestión'!$A$55),"")</f>
        <v/>
      </c>
      <c r="AE34" s="491"/>
      <c r="AF34" s="491" t="str">
        <f>IF(AND('Riesgos de Gestión'!$O$61="Baja",'Riesgos de Gestión'!$S$61="Mayor"),CONCATENATE("R",'Riesgos de Gestión'!$A$61),"")</f>
        <v/>
      </c>
      <c r="AG34" s="492"/>
      <c r="AH34" s="481" t="str">
        <f>IF(AND('Riesgos de Gestión'!$O$49="Baja",'Riesgos de Gestión'!$S$49="Catastrófico"),CONCATENATE("R",'Riesgos de Gestión'!$A$49),"")</f>
        <v/>
      </c>
      <c r="AI34" s="482"/>
      <c r="AJ34" s="482" t="str">
        <f>IF(AND('Riesgos de Gestión'!$O$55="Baja",'Riesgos de Gestión'!$S$55="Catastrófico"),CONCATENATE("R",'Riesgos de Gestión'!$A$55),"")</f>
        <v/>
      </c>
      <c r="AK34" s="482"/>
      <c r="AL34" s="482" t="str">
        <f>IF(AND('Riesgos de Gestión'!$O$61="Baja",'Riesgos de Gestión'!$S$61="Catastrófico"),CONCATENATE("R",'Riesgos de Gestión'!$A$61),"")</f>
        <v/>
      </c>
      <c r="AM34" s="483"/>
      <c r="AN34" s="66"/>
      <c r="AO34" s="542"/>
      <c r="AP34" s="543"/>
      <c r="AQ34" s="543"/>
      <c r="AR34" s="543"/>
      <c r="AS34" s="543"/>
      <c r="AT34" s="544"/>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row>
    <row r="35" spans="1:80" x14ac:dyDescent="0.25">
      <c r="A35" s="66"/>
      <c r="B35" s="510"/>
      <c r="C35" s="510"/>
      <c r="D35" s="511"/>
      <c r="E35" s="503"/>
      <c r="F35" s="504"/>
      <c r="G35" s="504"/>
      <c r="H35" s="504"/>
      <c r="I35" s="504"/>
      <c r="J35" s="463"/>
      <c r="K35" s="464"/>
      <c r="L35" s="464"/>
      <c r="M35" s="464"/>
      <c r="N35" s="464"/>
      <c r="O35" s="465"/>
      <c r="P35" s="473"/>
      <c r="Q35" s="473"/>
      <c r="R35" s="473"/>
      <c r="S35" s="473"/>
      <c r="T35" s="473"/>
      <c r="U35" s="474"/>
      <c r="V35" s="472"/>
      <c r="W35" s="473"/>
      <c r="X35" s="473"/>
      <c r="Y35" s="473"/>
      <c r="Z35" s="473"/>
      <c r="AA35" s="474"/>
      <c r="AB35" s="490"/>
      <c r="AC35" s="491"/>
      <c r="AD35" s="491"/>
      <c r="AE35" s="491"/>
      <c r="AF35" s="491"/>
      <c r="AG35" s="492"/>
      <c r="AH35" s="481"/>
      <c r="AI35" s="482"/>
      <c r="AJ35" s="482"/>
      <c r="AK35" s="482"/>
      <c r="AL35" s="482"/>
      <c r="AM35" s="483"/>
      <c r="AN35" s="66"/>
      <c r="AO35" s="542"/>
      <c r="AP35" s="543"/>
      <c r="AQ35" s="543"/>
      <c r="AR35" s="543"/>
      <c r="AS35" s="543"/>
      <c r="AT35" s="544"/>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row>
    <row r="36" spans="1:80" x14ac:dyDescent="0.25">
      <c r="A36" s="66"/>
      <c r="B36" s="510"/>
      <c r="C36" s="510"/>
      <c r="D36" s="511"/>
      <c r="E36" s="503"/>
      <c r="F36" s="504"/>
      <c r="G36" s="504"/>
      <c r="H36" s="504"/>
      <c r="I36" s="504"/>
      <c r="J36" s="463" t="str">
        <f>IF(AND('Riesgos de Gestión'!$O$67="Baja",'Riesgos de Gestión'!$S$67="Leve"),CONCATENATE("R",'Riesgos de Gestión'!$A$67),"")</f>
        <v/>
      </c>
      <c r="K36" s="464"/>
      <c r="L36" s="464" t="str">
        <f>IF(AND('Riesgos de Gestión'!$P$73="Baja",'Riesgos de Gestión'!$T$73="Leve"),CONCATENATE("R",'Riesgos de Gestión'!$A$73),"")</f>
        <v/>
      </c>
      <c r="M36" s="464"/>
      <c r="N36" s="464" t="str">
        <f>IF(AND('Riesgos de Gestión'!$P$79="Baja",'Riesgos de Gestión'!$T$79="Leve"),CONCATENATE("R",'Riesgos de Gestión'!$A$79),"")</f>
        <v/>
      </c>
      <c r="O36" s="465"/>
      <c r="P36" s="473" t="str">
        <f>IF(AND('Riesgos de Gestión'!$O$67="Baja",'Riesgos de Gestión'!$S$67="Menor"),CONCATENATE("R",'Riesgos de Gestión'!$A$67),"")</f>
        <v/>
      </c>
      <c r="Q36" s="473"/>
      <c r="R36" s="473" t="str">
        <f>IF(AND('Riesgos de Gestión'!$P$73="Baja",'Riesgos de Gestión'!$T$73="Menor"),CONCATENATE("R",'Riesgos de Gestión'!$A$73),"")</f>
        <v/>
      </c>
      <c r="S36" s="473"/>
      <c r="T36" s="473" t="str">
        <f>IF(AND('Riesgos de Gestión'!$P$79="Baja",'Riesgos de Gestión'!$T$79="Menor"),CONCATENATE("R",'Riesgos de Gestión'!$A$79),"")</f>
        <v/>
      </c>
      <c r="U36" s="474"/>
      <c r="V36" s="472" t="str">
        <f>IF(AND('Riesgos de Gestión'!$O$67="Baja",'Riesgos de Gestión'!$S$67="Moderado"),CONCATENATE("R",'Riesgos de Gestión'!$A$67),"")</f>
        <v/>
      </c>
      <c r="W36" s="473"/>
      <c r="X36" s="473" t="str">
        <f>IF(AND('Riesgos de Gestión'!$P$73="Baja",'Riesgos de Gestión'!$T$73="Moderado"),CONCATENATE("R",'Riesgos de Gestión'!$A$73),"")</f>
        <v/>
      </c>
      <c r="Y36" s="473"/>
      <c r="Z36" s="473" t="str">
        <f>IF(AND('Riesgos de Gestión'!$P$79="Baja",'Riesgos de Gestión'!$T$79="Moderado"),CONCATENATE("R",'Riesgos de Gestión'!$A$79),"")</f>
        <v/>
      </c>
      <c r="AA36" s="474"/>
      <c r="AB36" s="490" t="str">
        <f>IF(AND('Riesgos de Gestión'!$O$67="Baja",'Riesgos de Gestión'!$S$67="Mayor"),CONCATENATE("R",'Riesgos de Gestión'!$A$67),"")</f>
        <v/>
      </c>
      <c r="AC36" s="491"/>
      <c r="AD36" s="491" t="str">
        <f>IF(AND('Riesgos de Gestión'!$P$73="Baja",'Riesgos de Gestión'!$T$73="Mayor"),CONCATENATE("R",'Riesgos de Gestión'!$A$73),"")</f>
        <v/>
      </c>
      <c r="AE36" s="491"/>
      <c r="AF36" s="491" t="str">
        <f>IF(AND('Riesgos de Gestión'!$P$79="Baja",'Riesgos de Gestión'!$T$79="Mayor"),CONCATENATE("R",'Riesgos de Gestión'!$A$79),"")</f>
        <v/>
      </c>
      <c r="AG36" s="492"/>
      <c r="AH36" s="481" t="str">
        <f>IF(AND('Riesgos de Gestión'!$O$67="Baja",'Riesgos de Gestión'!$S$67="Catastrófico"),CONCATENATE("R",'Riesgos de Gestión'!$A$67),"")</f>
        <v/>
      </c>
      <c r="AI36" s="482"/>
      <c r="AJ36" s="482" t="str">
        <f>IF(AND('Riesgos de Gestión'!$P$73="Baja",'Riesgos de Gestión'!$T$73="Catastrófico"),CONCATENATE("R",'Riesgos de Gestión'!$A$73),"")</f>
        <v/>
      </c>
      <c r="AK36" s="482"/>
      <c r="AL36" s="482" t="str">
        <f>IF(AND('Riesgos de Gestión'!$P$79="Baja",'Riesgos de Gestión'!$T$79="Catastrófico"),CONCATENATE("R",'Riesgos de Gestión'!$A$79),"")</f>
        <v/>
      </c>
      <c r="AM36" s="483"/>
      <c r="AN36" s="66"/>
      <c r="AO36" s="542"/>
      <c r="AP36" s="543"/>
      <c r="AQ36" s="543"/>
      <c r="AR36" s="543"/>
      <c r="AS36" s="543"/>
      <c r="AT36" s="544"/>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row>
    <row r="37" spans="1:80" ht="15.75" thickBot="1" x14ac:dyDescent="0.3">
      <c r="A37" s="66"/>
      <c r="B37" s="510"/>
      <c r="C37" s="510"/>
      <c r="D37" s="511"/>
      <c r="E37" s="506"/>
      <c r="F37" s="507"/>
      <c r="G37" s="507"/>
      <c r="H37" s="507"/>
      <c r="I37" s="507"/>
      <c r="J37" s="466"/>
      <c r="K37" s="467"/>
      <c r="L37" s="467"/>
      <c r="M37" s="467"/>
      <c r="N37" s="467"/>
      <c r="O37" s="468"/>
      <c r="P37" s="476"/>
      <c r="Q37" s="476"/>
      <c r="R37" s="476"/>
      <c r="S37" s="476"/>
      <c r="T37" s="476"/>
      <c r="U37" s="477"/>
      <c r="V37" s="475"/>
      <c r="W37" s="476"/>
      <c r="X37" s="476"/>
      <c r="Y37" s="476"/>
      <c r="Z37" s="476"/>
      <c r="AA37" s="477"/>
      <c r="AB37" s="493"/>
      <c r="AC37" s="494"/>
      <c r="AD37" s="494"/>
      <c r="AE37" s="494"/>
      <c r="AF37" s="494"/>
      <c r="AG37" s="495"/>
      <c r="AH37" s="484"/>
      <c r="AI37" s="485"/>
      <c r="AJ37" s="485"/>
      <c r="AK37" s="485"/>
      <c r="AL37" s="485"/>
      <c r="AM37" s="486"/>
      <c r="AN37" s="66"/>
      <c r="AO37" s="545"/>
      <c r="AP37" s="546"/>
      <c r="AQ37" s="546"/>
      <c r="AR37" s="546"/>
      <c r="AS37" s="546"/>
      <c r="AT37" s="547"/>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row>
    <row r="38" spans="1:80" x14ac:dyDescent="0.25">
      <c r="A38" s="66"/>
      <c r="B38" s="510"/>
      <c r="C38" s="510"/>
      <c r="D38" s="511"/>
      <c r="E38" s="500" t="s">
        <v>273</v>
      </c>
      <c r="F38" s="501"/>
      <c r="G38" s="501"/>
      <c r="H38" s="501"/>
      <c r="I38" s="502"/>
      <c r="J38" s="469" t="str">
        <f>IF(AND('Riesgos de Gestión'!$O$13="Muy Baja",'Riesgos de Gestión'!$S$13="Leve"),CONCATENATE("R",'Riesgos de Gestión'!$A$13),"")</f>
        <v/>
      </c>
      <c r="K38" s="470"/>
      <c r="L38" s="470" t="str">
        <f>IF(AND('Riesgos de Gestión'!$O$19="Muy Baja",'Riesgos de Gestión'!$S$19="Leve"),CONCATENATE("R",'Riesgos de Gestión'!$A$19),"")</f>
        <v/>
      </c>
      <c r="M38" s="470"/>
      <c r="N38" s="470" t="str">
        <f>IF(AND('Riesgos de Gestión'!$O$25="Muy Baja",'Riesgos de Gestión'!$S$25="Leve"),CONCATENATE("R",'Riesgos de Gestión'!$A$25),"")</f>
        <v/>
      </c>
      <c r="O38" s="471"/>
      <c r="P38" s="469" t="str">
        <f>IF(AND('Riesgos de Gestión'!$O$13="Muy Baja",'Riesgos de Gestión'!$S$13="Menor"),CONCATENATE("R",'Riesgos de Gestión'!$A$13),"")</f>
        <v/>
      </c>
      <c r="Q38" s="470"/>
      <c r="R38" s="470" t="str">
        <f>IF(AND('Riesgos de Gestión'!$O$19="Muy Baja",'Riesgos de Gestión'!$S$19="Menor"),CONCATENATE("R",'Riesgos de Gestión'!$A$19),"")</f>
        <v/>
      </c>
      <c r="S38" s="470"/>
      <c r="T38" s="470" t="str">
        <f>IF(AND('Riesgos de Gestión'!$O$25="Muy Baja",'Riesgos de Gestión'!$S$25="Menor"),CONCATENATE("R",'Riesgos de Gestión'!$A$25),"")</f>
        <v/>
      </c>
      <c r="U38" s="471"/>
      <c r="V38" s="478" t="str">
        <f>IF(AND('Riesgos de Gestión'!$O$13="Muy Baja",'Riesgos de Gestión'!$S$13="Moderado"),CONCATENATE("R",'Riesgos de Gestión'!$A$13),"")</f>
        <v/>
      </c>
      <c r="W38" s="479"/>
      <c r="X38" s="479" t="str">
        <f>IF(AND('Riesgos de Gestión'!$O$19="Muy Baja",'Riesgos de Gestión'!$S$19="Moderado"),CONCATENATE("R",'Riesgos de Gestión'!$A$19),"")</f>
        <v/>
      </c>
      <c r="Y38" s="479"/>
      <c r="Z38" s="479" t="str">
        <f>IF(AND('Riesgos de Gestión'!$O$25="Muy Baja",'Riesgos de Gestión'!$S$25="Moderado"),CONCATENATE("R",'Riesgos de Gestión'!$A$25),"")</f>
        <v/>
      </c>
      <c r="AA38" s="480"/>
      <c r="AB38" s="496" t="str">
        <f>IF(AND('Riesgos de Gestión'!$O$13="Muy Baja",'Riesgos de Gestión'!$S$13="Mayor"),CONCATENATE("R",'Riesgos de Gestión'!$A$13),"")</f>
        <v/>
      </c>
      <c r="AC38" s="497"/>
      <c r="AD38" s="497" t="str">
        <f>IF(AND('Riesgos de Gestión'!$O$19="Muy Baja",'Riesgos de Gestión'!$S$19="Mayor"),CONCATENATE("R",'Riesgos de Gestión'!$A$19),"")</f>
        <v/>
      </c>
      <c r="AE38" s="497"/>
      <c r="AF38" s="497" t="str">
        <f>IF(AND('Riesgos de Gestión'!$O$25="Muy Baja",'Riesgos de Gestión'!$S$25="Mayor"),CONCATENATE("R",'Riesgos de Gestión'!$A$25),"")</f>
        <v/>
      </c>
      <c r="AG38" s="498"/>
      <c r="AH38" s="487" t="str">
        <f>IF(AND('Riesgos de Gestión'!$O$13="Muy Baja",'Riesgos de Gestión'!$S$13="Catastrófico"),CONCATENATE("R",'Riesgos de Gestión'!$A$13),"")</f>
        <v/>
      </c>
      <c r="AI38" s="488"/>
      <c r="AJ38" s="488" t="str">
        <f>IF(AND('Riesgos de Gestión'!$O$19="Muy Baja",'Riesgos de Gestión'!$S$19="Catastrófico"),CONCATENATE("R",'Riesgos de Gestión'!$A$19),"")</f>
        <v/>
      </c>
      <c r="AK38" s="488"/>
      <c r="AL38" s="488" t="str">
        <f>IF(AND('Riesgos de Gestión'!$O$25="Muy Baja",'Riesgos de Gestión'!$S$25="Catastrófico"),CONCATENATE("R",'Riesgos de Gestión'!$A$25),"")</f>
        <v/>
      </c>
      <c r="AM38" s="489"/>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row>
    <row r="39" spans="1:80" x14ac:dyDescent="0.25">
      <c r="A39" s="66"/>
      <c r="B39" s="510"/>
      <c r="C39" s="510"/>
      <c r="D39" s="511"/>
      <c r="E39" s="503"/>
      <c r="F39" s="504"/>
      <c r="G39" s="504"/>
      <c r="H39" s="504"/>
      <c r="I39" s="505"/>
      <c r="J39" s="463"/>
      <c r="K39" s="464"/>
      <c r="L39" s="464"/>
      <c r="M39" s="464"/>
      <c r="N39" s="464"/>
      <c r="O39" s="465"/>
      <c r="P39" s="463"/>
      <c r="Q39" s="464"/>
      <c r="R39" s="464"/>
      <c r="S39" s="464"/>
      <c r="T39" s="464"/>
      <c r="U39" s="465"/>
      <c r="V39" s="472"/>
      <c r="W39" s="473"/>
      <c r="X39" s="473"/>
      <c r="Y39" s="473"/>
      <c r="Z39" s="473"/>
      <c r="AA39" s="474"/>
      <c r="AB39" s="490"/>
      <c r="AC39" s="491"/>
      <c r="AD39" s="491"/>
      <c r="AE39" s="491"/>
      <c r="AF39" s="491"/>
      <c r="AG39" s="492"/>
      <c r="AH39" s="481"/>
      <c r="AI39" s="482"/>
      <c r="AJ39" s="482"/>
      <c r="AK39" s="482"/>
      <c r="AL39" s="482"/>
      <c r="AM39" s="483"/>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row>
    <row r="40" spans="1:80" x14ac:dyDescent="0.25">
      <c r="A40" s="66"/>
      <c r="B40" s="510"/>
      <c r="C40" s="510"/>
      <c r="D40" s="511"/>
      <c r="E40" s="503"/>
      <c r="F40" s="504"/>
      <c r="G40" s="504"/>
      <c r="H40" s="504"/>
      <c r="I40" s="505"/>
      <c r="J40" s="463" t="str">
        <f>IF(AND('Riesgos de Gestión'!$O$31="Muy Baja",'Riesgos de Gestión'!$S$31="Leve"),CONCATENATE("R",'Riesgos de Gestión'!$A$31),"")</f>
        <v/>
      </c>
      <c r="K40" s="464"/>
      <c r="L40" s="464" t="str">
        <f>IF(AND('Riesgos de Gestión'!$O$37="Muy Baja",'Riesgos de Gestión'!$S$37="Leve"),CONCATENATE("R",'Riesgos de Gestión'!$A$37),"")</f>
        <v/>
      </c>
      <c r="M40" s="464"/>
      <c r="N40" s="464" t="str">
        <f>IF(AND('Riesgos de Gestión'!$O$43="Muy Baja",'Riesgos de Gestión'!$S$43="Leve"),CONCATENATE("R",'Riesgos de Gestión'!$A$43),"")</f>
        <v/>
      </c>
      <c r="O40" s="465"/>
      <c r="P40" s="463" t="str">
        <f>IF(AND('Riesgos de Gestión'!$O$31="Muy Baja",'Riesgos de Gestión'!$S$31="Menor"),CONCATENATE("R",'Riesgos de Gestión'!$A$31),"")</f>
        <v/>
      </c>
      <c r="Q40" s="464"/>
      <c r="R40" s="464" t="str">
        <f>IF(AND('Riesgos de Gestión'!$O$37="Muy Baja",'Riesgos de Gestión'!$S$37="Menor"),CONCATENATE("R",'Riesgos de Gestión'!$A$37),"")</f>
        <v/>
      </c>
      <c r="S40" s="464"/>
      <c r="T40" s="464" t="str">
        <f>IF(AND('Riesgos de Gestión'!$O$43="Muy Baja",'Riesgos de Gestión'!$S$43="Menor"),CONCATENATE("R",'Riesgos de Gestión'!$A$43),"")</f>
        <v/>
      </c>
      <c r="U40" s="465"/>
      <c r="V40" s="472" t="str">
        <f>IF(AND('Riesgos de Gestión'!$O$31="Muy Baja",'Riesgos de Gestión'!$S$31="Moderado"),CONCATENATE("R",'Riesgos de Gestión'!$A$31),"")</f>
        <v/>
      </c>
      <c r="W40" s="473"/>
      <c r="X40" s="473" t="str">
        <f>IF(AND('Riesgos de Gestión'!$O$37="Muy Baja",'Riesgos de Gestión'!$S$37="Moderado"),CONCATENATE("R",'Riesgos de Gestión'!$A$37),"")</f>
        <v/>
      </c>
      <c r="Y40" s="473"/>
      <c r="Z40" s="473" t="str">
        <f>IF(AND('Riesgos de Gestión'!$O$43="Muy Baja",'Riesgos de Gestión'!$S$43="Moderado"),CONCATENATE("R",'Riesgos de Gestión'!$A$43),"")</f>
        <v/>
      </c>
      <c r="AA40" s="474"/>
      <c r="AB40" s="490" t="str">
        <f>IF(AND('Riesgos de Gestión'!$O$31="Muy Baja",'Riesgos de Gestión'!$S$31="Mayor"),CONCATENATE("R",'Riesgos de Gestión'!$A$31),"")</f>
        <v/>
      </c>
      <c r="AC40" s="491"/>
      <c r="AD40" s="491" t="str">
        <f>IF(AND('Riesgos de Gestión'!$O$37="Muy Baja",'Riesgos de Gestión'!$S$37="Mayor"),CONCATENATE("R",'Riesgos de Gestión'!$A$37),"")</f>
        <v/>
      </c>
      <c r="AE40" s="491"/>
      <c r="AF40" s="491" t="str">
        <f>IF(AND('Riesgos de Gestión'!$O$43="Muy Baja",'Riesgos de Gestión'!$S$43="Mayor"),CONCATENATE("R",'Riesgos de Gestión'!$A$43),"")</f>
        <v/>
      </c>
      <c r="AG40" s="492"/>
      <c r="AH40" s="481" t="str">
        <f>IF(AND('Riesgos de Gestión'!$O$31="Muy Baja",'Riesgos de Gestión'!$S$31="Catastrófico"),CONCATENATE("R",'Riesgos de Gestión'!$A$31),"")</f>
        <v/>
      </c>
      <c r="AI40" s="482"/>
      <c r="AJ40" s="482" t="str">
        <f>IF(AND('Riesgos de Gestión'!$O$37="Muy Baja",'Riesgos de Gestión'!$S$37="Catastrófico"),CONCATENATE("R",'Riesgos de Gestión'!$A$37),"")</f>
        <v/>
      </c>
      <c r="AK40" s="482"/>
      <c r="AL40" s="482" t="str">
        <f>IF(AND('Riesgos de Gestión'!$O$43="Muy Baja",'Riesgos de Gestión'!$S$43="Catastrófico"),CONCATENATE("R",'Riesgos de Gestión'!$A$43),"")</f>
        <v/>
      </c>
      <c r="AM40" s="483"/>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row>
    <row r="41" spans="1:80" x14ac:dyDescent="0.25">
      <c r="A41" s="66"/>
      <c r="B41" s="510"/>
      <c r="C41" s="510"/>
      <c r="D41" s="511"/>
      <c r="E41" s="503"/>
      <c r="F41" s="504"/>
      <c r="G41" s="504"/>
      <c r="H41" s="504"/>
      <c r="I41" s="505"/>
      <c r="J41" s="463"/>
      <c r="K41" s="464"/>
      <c r="L41" s="464"/>
      <c r="M41" s="464"/>
      <c r="N41" s="464"/>
      <c r="O41" s="465"/>
      <c r="P41" s="463"/>
      <c r="Q41" s="464"/>
      <c r="R41" s="464"/>
      <c r="S41" s="464"/>
      <c r="T41" s="464"/>
      <c r="U41" s="465"/>
      <c r="V41" s="472"/>
      <c r="W41" s="473"/>
      <c r="X41" s="473"/>
      <c r="Y41" s="473"/>
      <c r="Z41" s="473"/>
      <c r="AA41" s="474"/>
      <c r="AB41" s="490"/>
      <c r="AC41" s="491"/>
      <c r="AD41" s="491"/>
      <c r="AE41" s="491"/>
      <c r="AF41" s="491"/>
      <c r="AG41" s="492"/>
      <c r="AH41" s="481"/>
      <c r="AI41" s="482"/>
      <c r="AJ41" s="482"/>
      <c r="AK41" s="482"/>
      <c r="AL41" s="482"/>
      <c r="AM41" s="483"/>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row>
    <row r="42" spans="1:80" x14ac:dyDescent="0.25">
      <c r="A42" s="66"/>
      <c r="B42" s="510"/>
      <c r="C42" s="510"/>
      <c r="D42" s="511"/>
      <c r="E42" s="503"/>
      <c r="F42" s="504"/>
      <c r="G42" s="504"/>
      <c r="H42" s="504"/>
      <c r="I42" s="505"/>
      <c r="J42" s="463" t="str">
        <f>IF(AND('Riesgos de Gestión'!$O$49="Muy Baja",'Riesgos de Gestión'!$S$49="Leve"),CONCATENATE("R",'Riesgos de Gestión'!$A$49),"")</f>
        <v/>
      </c>
      <c r="K42" s="464"/>
      <c r="L42" s="464" t="str">
        <f>IF(AND('Riesgos de Gestión'!$O$55="Muy Baja",'Riesgos de Gestión'!$S$55="Leve"),CONCATENATE("R",'Riesgos de Gestión'!$A$55),"")</f>
        <v/>
      </c>
      <c r="M42" s="464"/>
      <c r="N42" s="464" t="str">
        <f>IF(AND('Riesgos de Gestión'!$O$61="Muy Baja",'Riesgos de Gestión'!$S$61="Leve"),CONCATENATE("R",'Riesgos de Gestión'!$A$61),"")</f>
        <v/>
      </c>
      <c r="O42" s="465"/>
      <c r="P42" s="463" t="str">
        <f>IF(AND('Riesgos de Gestión'!$O$49="Muy Baja",'Riesgos de Gestión'!$S$49="Menor"),CONCATENATE("R",'Riesgos de Gestión'!$A$49),"")</f>
        <v/>
      </c>
      <c r="Q42" s="464"/>
      <c r="R42" s="464" t="str">
        <f>IF(AND('Riesgos de Gestión'!$O$55="Muy Baja",'Riesgos de Gestión'!$S$55="Menor"),CONCATENATE("R",'Riesgos de Gestión'!$A$55),"")</f>
        <v/>
      </c>
      <c r="S42" s="464"/>
      <c r="T42" s="464" t="str">
        <f>IF(AND('Riesgos de Gestión'!$O$61="Muy Baja",'Riesgos de Gestión'!$S$61="Menor"),CONCATENATE("R",'Riesgos de Gestión'!$A$61),"")</f>
        <v/>
      </c>
      <c r="U42" s="465"/>
      <c r="V42" s="472" t="str">
        <f>IF(AND('Riesgos de Gestión'!$O$49="Muy Baja",'Riesgos de Gestión'!$S$49="Moderado"),CONCATENATE("R",'Riesgos de Gestión'!$A$49),"")</f>
        <v/>
      </c>
      <c r="W42" s="473"/>
      <c r="X42" s="473" t="str">
        <f>IF(AND('Riesgos de Gestión'!$O$55="Muy Baja",'Riesgos de Gestión'!$S$55="Moderado"),CONCATENATE("R",'Riesgos de Gestión'!$A$55),"")</f>
        <v/>
      </c>
      <c r="Y42" s="473"/>
      <c r="Z42" s="473" t="str">
        <f>IF(AND('Riesgos de Gestión'!$O$61="Muy Baja",'Riesgos de Gestión'!$S$61="Moderado"),CONCATENATE("R",'Riesgos de Gestión'!$A$61),"")</f>
        <v/>
      </c>
      <c r="AA42" s="474"/>
      <c r="AB42" s="490" t="str">
        <f>IF(AND('Riesgos de Gestión'!$O$49="Muy Baja",'Riesgos de Gestión'!$S$49="Mayor"),CONCATENATE("R",'Riesgos de Gestión'!$A$49),"")</f>
        <v/>
      </c>
      <c r="AC42" s="491"/>
      <c r="AD42" s="491" t="str">
        <f>IF(AND('Riesgos de Gestión'!$O$55="Muy Baja",'Riesgos de Gestión'!$S$55="Mayor"),CONCATENATE("R",'Riesgos de Gestión'!$A$55),"")</f>
        <v/>
      </c>
      <c r="AE42" s="491"/>
      <c r="AF42" s="491" t="str">
        <f>IF(AND('Riesgos de Gestión'!$O$61="Muy Baja",'Riesgos de Gestión'!$S$61="Mayor"),CONCATENATE("R",'Riesgos de Gestión'!$A$61),"")</f>
        <v/>
      </c>
      <c r="AG42" s="492"/>
      <c r="AH42" s="481" t="str">
        <f>IF(AND('Riesgos de Gestión'!$O$49="Muy Baja",'Riesgos de Gestión'!$S$49="Catastrófico"),CONCATENATE("R",'Riesgos de Gestión'!$A$49),"")</f>
        <v/>
      </c>
      <c r="AI42" s="482"/>
      <c r="AJ42" s="482" t="str">
        <f>IF(AND('Riesgos de Gestión'!$O$55="Muy Baja",'Riesgos de Gestión'!$S$55="Catastrófico"),CONCATENATE("R",'Riesgos de Gestión'!$A$55),"")</f>
        <v/>
      </c>
      <c r="AK42" s="482"/>
      <c r="AL42" s="482" t="str">
        <f>IF(AND('Riesgos de Gestión'!$O$61="Muy Baja",'Riesgos de Gestión'!$S$61="Catastrófico"),CONCATENATE("R",'Riesgos de Gestión'!$A$61),"")</f>
        <v/>
      </c>
      <c r="AM42" s="483"/>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row>
    <row r="43" spans="1:80" x14ac:dyDescent="0.25">
      <c r="A43" s="66"/>
      <c r="B43" s="510"/>
      <c r="C43" s="510"/>
      <c r="D43" s="511"/>
      <c r="E43" s="503"/>
      <c r="F43" s="504"/>
      <c r="G43" s="504"/>
      <c r="H43" s="504"/>
      <c r="I43" s="505"/>
      <c r="J43" s="463"/>
      <c r="K43" s="464"/>
      <c r="L43" s="464"/>
      <c r="M43" s="464"/>
      <c r="N43" s="464"/>
      <c r="O43" s="465"/>
      <c r="P43" s="463"/>
      <c r="Q43" s="464"/>
      <c r="R43" s="464"/>
      <c r="S43" s="464"/>
      <c r="T43" s="464"/>
      <c r="U43" s="465"/>
      <c r="V43" s="472"/>
      <c r="W43" s="473"/>
      <c r="X43" s="473"/>
      <c r="Y43" s="473"/>
      <c r="Z43" s="473"/>
      <c r="AA43" s="474"/>
      <c r="AB43" s="490"/>
      <c r="AC43" s="491"/>
      <c r="AD43" s="491"/>
      <c r="AE43" s="491"/>
      <c r="AF43" s="491"/>
      <c r="AG43" s="492"/>
      <c r="AH43" s="481"/>
      <c r="AI43" s="482"/>
      <c r="AJ43" s="482"/>
      <c r="AK43" s="482"/>
      <c r="AL43" s="482"/>
      <c r="AM43" s="483"/>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row>
    <row r="44" spans="1:80" x14ac:dyDescent="0.25">
      <c r="A44" s="66"/>
      <c r="B44" s="510"/>
      <c r="C44" s="510"/>
      <c r="D44" s="511"/>
      <c r="E44" s="503"/>
      <c r="F44" s="504"/>
      <c r="G44" s="504"/>
      <c r="H44" s="504"/>
      <c r="I44" s="505"/>
      <c r="J44" s="463" t="str">
        <f>IF(AND('Riesgos de Gestión'!$O$67="Muy Baja",'Riesgos de Gestión'!$S$67="Leve"),CONCATENATE("R",'Riesgos de Gestión'!$A$67),"")</f>
        <v/>
      </c>
      <c r="K44" s="464"/>
      <c r="L44" s="464" t="str">
        <f>IF(AND('Riesgos de Gestión'!$P$73="Muy Baja",'Riesgos de Gestión'!$T$73="Leve"),CONCATENATE("R",'Riesgos de Gestión'!$A$73),"")</f>
        <v/>
      </c>
      <c r="M44" s="464"/>
      <c r="N44" s="464" t="str">
        <f>IF(AND('Riesgos de Gestión'!$P$79="Muy Baja",'Riesgos de Gestión'!$T$79="Leve"),CONCATENATE("R",'Riesgos de Gestión'!$A$79),"")</f>
        <v/>
      </c>
      <c r="O44" s="465"/>
      <c r="P44" s="463" t="str">
        <f>IF(AND('Riesgos de Gestión'!$O$67="Muy Baja",'Riesgos de Gestión'!$S$67="Menor"),CONCATENATE("R",'Riesgos de Gestión'!$A$67),"")</f>
        <v/>
      </c>
      <c r="Q44" s="464"/>
      <c r="R44" s="464" t="str">
        <f>IF(AND('Riesgos de Gestión'!$P$73="Muy Baja",'Riesgos de Gestión'!$T$73="Menor"),CONCATENATE("R",'Riesgos de Gestión'!$A$73),"")</f>
        <v/>
      </c>
      <c r="S44" s="464"/>
      <c r="T44" s="464" t="str">
        <f>IF(AND('Riesgos de Gestión'!$P$79="Muy Baja",'Riesgos de Gestión'!$T$79="Menor"),CONCATENATE("R",'Riesgos de Gestión'!$A$79),"")</f>
        <v/>
      </c>
      <c r="U44" s="465"/>
      <c r="V44" s="472" t="str">
        <f>IF(AND('Riesgos de Gestión'!$O$67="Muy Baja",'Riesgos de Gestión'!$S$67="Moderado"),CONCATENATE("R",'Riesgos de Gestión'!$A$67),"")</f>
        <v/>
      </c>
      <c r="W44" s="473"/>
      <c r="X44" s="473" t="str">
        <f>IF(AND('Riesgos de Gestión'!$P$73="Muy Baja",'Riesgos de Gestión'!$T$73="Moderado"),CONCATENATE("R",'Riesgos de Gestión'!$A$73),"")</f>
        <v/>
      </c>
      <c r="Y44" s="473"/>
      <c r="Z44" s="473" t="str">
        <f>IF(AND('Riesgos de Gestión'!$P$79="Muy Baja",'Riesgos de Gestión'!$T$79="Moderado"),CONCATENATE("R",'Riesgos de Gestión'!$A$79),"")</f>
        <v/>
      </c>
      <c r="AA44" s="474"/>
      <c r="AB44" s="490" t="str">
        <f>IF(AND('Riesgos de Gestión'!$O$67="Muy Baja",'Riesgos de Gestión'!$S$67="Mayor"),CONCATENATE("R",'Riesgos de Gestión'!$A$67),"")</f>
        <v/>
      </c>
      <c r="AC44" s="491"/>
      <c r="AD44" s="491" t="str">
        <f>IF(AND('Riesgos de Gestión'!$P$73="Muy Baja",'Riesgos de Gestión'!$T$73="Mayor"),CONCATENATE("R",'Riesgos de Gestión'!$A$73),"")</f>
        <v/>
      </c>
      <c r="AE44" s="491"/>
      <c r="AF44" s="491" t="str">
        <f>IF(AND('Riesgos de Gestión'!$P$79="Muy Baja",'Riesgos de Gestión'!$T$79="Mayor"),CONCATENATE("R",'Riesgos de Gestión'!$A$79),"")</f>
        <v/>
      </c>
      <c r="AG44" s="492"/>
      <c r="AH44" s="481" t="str">
        <f>IF(AND('Riesgos de Gestión'!$O$67="Muy Baja",'Riesgos de Gestión'!$S$67="Catastrófico"),CONCATENATE("R",'Riesgos de Gestión'!$A$67),"")</f>
        <v/>
      </c>
      <c r="AI44" s="482"/>
      <c r="AJ44" s="482" t="str">
        <f>IF(AND('Riesgos de Gestión'!$P$73="Muy Baja",'Riesgos de Gestión'!$T$73="Catastrófico"),CONCATENATE("R",'Riesgos de Gestión'!$A$73),"")</f>
        <v/>
      </c>
      <c r="AK44" s="482"/>
      <c r="AL44" s="482" t="str">
        <f>IF(AND('Riesgos de Gestión'!$P$79="Muy Baja",'Riesgos de Gestión'!$T$79="Catastrófico"),CONCATENATE("R",'Riesgos de Gestión'!$A$79),"")</f>
        <v/>
      </c>
      <c r="AM44" s="483"/>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row>
    <row r="45" spans="1:80" ht="15.75" thickBot="1" x14ac:dyDescent="0.3">
      <c r="A45" s="66"/>
      <c r="B45" s="510"/>
      <c r="C45" s="510"/>
      <c r="D45" s="511"/>
      <c r="E45" s="506"/>
      <c r="F45" s="507"/>
      <c r="G45" s="507"/>
      <c r="H45" s="507"/>
      <c r="I45" s="508"/>
      <c r="J45" s="466"/>
      <c r="K45" s="467"/>
      <c r="L45" s="467"/>
      <c r="M45" s="467"/>
      <c r="N45" s="467"/>
      <c r="O45" s="468"/>
      <c r="P45" s="466"/>
      <c r="Q45" s="467"/>
      <c r="R45" s="467"/>
      <c r="S45" s="467"/>
      <c r="T45" s="467"/>
      <c r="U45" s="468"/>
      <c r="V45" s="475"/>
      <c r="W45" s="476"/>
      <c r="X45" s="476"/>
      <c r="Y45" s="476"/>
      <c r="Z45" s="476"/>
      <c r="AA45" s="477"/>
      <c r="AB45" s="493"/>
      <c r="AC45" s="494"/>
      <c r="AD45" s="494"/>
      <c r="AE45" s="494"/>
      <c r="AF45" s="494"/>
      <c r="AG45" s="495"/>
      <c r="AH45" s="484"/>
      <c r="AI45" s="485"/>
      <c r="AJ45" s="485"/>
      <c r="AK45" s="485"/>
      <c r="AL45" s="485"/>
      <c r="AM45" s="48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row>
    <row r="46" spans="1:80" x14ac:dyDescent="0.25">
      <c r="A46" s="66"/>
      <c r="B46" s="66"/>
      <c r="C46" s="66"/>
      <c r="D46" s="66"/>
      <c r="E46" s="66"/>
      <c r="F46" s="66"/>
      <c r="G46" s="66"/>
      <c r="H46" s="66"/>
      <c r="I46" s="66"/>
      <c r="J46" s="500" t="s">
        <v>274</v>
      </c>
      <c r="K46" s="501"/>
      <c r="L46" s="501"/>
      <c r="M46" s="501"/>
      <c r="N46" s="501"/>
      <c r="O46" s="502"/>
      <c r="P46" s="500" t="s">
        <v>275</v>
      </c>
      <c r="Q46" s="501"/>
      <c r="R46" s="501"/>
      <c r="S46" s="501"/>
      <c r="T46" s="501"/>
      <c r="U46" s="502"/>
      <c r="V46" s="500" t="s">
        <v>276</v>
      </c>
      <c r="W46" s="501"/>
      <c r="X46" s="501"/>
      <c r="Y46" s="501"/>
      <c r="Z46" s="501"/>
      <c r="AA46" s="502"/>
      <c r="AB46" s="500" t="s">
        <v>277</v>
      </c>
      <c r="AC46" s="509"/>
      <c r="AD46" s="501"/>
      <c r="AE46" s="501"/>
      <c r="AF46" s="501"/>
      <c r="AG46" s="502"/>
      <c r="AH46" s="500" t="s">
        <v>278</v>
      </c>
      <c r="AI46" s="501"/>
      <c r="AJ46" s="501"/>
      <c r="AK46" s="501"/>
      <c r="AL46" s="501"/>
      <c r="AM46" s="502"/>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x14ac:dyDescent="0.25">
      <c r="A47" s="66"/>
      <c r="B47" s="66"/>
      <c r="C47" s="66"/>
      <c r="D47" s="66"/>
      <c r="E47" s="66"/>
      <c r="F47" s="66"/>
      <c r="G47" s="66"/>
      <c r="H47" s="66"/>
      <c r="I47" s="66"/>
      <c r="J47" s="503"/>
      <c r="K47" s="504"/>
      <c r="L47" s="504"/>
      <c r="M47" s="504"/>
      <c r="N47" s="504"/>
      <c r="O47" s="505"/>
      <c r="P47" s="503"/>
      <c r="Q47" s="504"/>
      <c r="R47" s="504"/>
      <c r="S47" s="504"/>
      <c r="T47" s="504"/>
      <c r="U47" s="505"/>
      <c r="V47" s="503"/>
      <c r="W47" s="504"/>
      <c r="X47" s="504"/>
      <c r="Y47" s="504"/>
      <c r="Z47" s="504"/>
      <c r="AA47" s="505"/>
      <c r="AB47" s="503"/>
      <c r="AC47" s="504"/>
      <c r="AD47" s="504"/>
      <c r="AE47" s="504"/>
      <c r="AF47" s="504"/>
      <c r="AG47" s="505"/>
      <c r="AH47" s="503"/>
      <c r="AI47" s="504"/>
      <c r="AJ47" s="504"/>
      <c r="AK47" s="504"/>
      <c r="AL47" s="504"/>
      <c r="AM47" s="505"/>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x14ac:dyDescent="0.25">
      <c r="A48" s="66"/>
      <c r="B48" s="66"/>
      <c r="C48" s="66"/>
      <c r="D48" s="66"/>
      <c r="E48" s="66"/>
      <c r="F48" s="66"/>
      <c r="G48" s="66"/>
      <c r="H48" s="66"/>
      <c r="I48" s="66"/>
      <c r="J48" s="503"/>
      <c r="K48" s="504"/>
      <c r="L48" s="504"/>
      <c r="M48" s="504"/>
      <c r="N48" s="504"/>
      <c r="O48" s="505"/>
      <c r="P48" s="503"/>
      <c r="Q48" s="504"/>
      <c r="R48" s="504"/>
      <c r="S48" s="504"/>
      <c r="T48" s="504"/>
      <c r="U48" s="505"/>
      <c r="V48" s="503"/>
      <c r="W48" s="504"/>
      <c r="X48" s="504"/>
      <c r="Y48" s="504"/>
      <c r="Z48" s="504"/>
      <c r="AA48" s="505"/>
      <c r="AB48" s="503"/>
      <c r="AC48" s="504"/>
      <c r="AD48" s="504"/>
      <c r="AE48" s="504"/>
      <c r="AF48" s="504"/>
      <c r="AG48" s="505"/>
      <c r="AH48" s="503"/>
      <c r="AI48" s="504"/>
      <c r="AJ48" s="504"/>
      <c r="AK48" s="504"/>
      <c r="AL48" s="504"/>
      <c r="AM48" s="505"/>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x14ac:dyDescent="0.25">
      <c r="A49" s="66"/>
      <c r="B49" s="66"/>
      <c r="C49" s="66"/>
      <c r="D49" s="66"/>
      <c r="E49" s="66"/>
      <c r="F49" s="66"/>
      <c r="G49" s="66"/>
      <c r="H49" s="66"/>
      <c r="I49" s="66"/>
      <c r="J49" s="503"/>
      <c r="K49" s="504"/>
      <c r="L49" s="504"/>
      <c r="M49" s="504"/>
      <c r="N49" s="504"/>
      <c r="O49" s="505"/>
      <c r="P49" s="503"/>
      <c r="Q49" s="504"/>
      <c r="R49" s="504"/>
      <c r="S49" s="504"/>
      <c r="T49" s="504"/>
      <c r="U49" s="505"/>
      <c r="V49" s="503"/>
      <c r="W49" s="504"/>
      <c r="X49" s="504"/>
      <c r="Y49" s="504"/>
      <c r="Z49" s="504"/>
      <c r="AA49" s="505"/>
      <c r="AB49" s="503"/>
      <c r="AC49" s="504"/>
      <c r="AD49" s="504"/>
      <c r="AE49" s="504"/>
      <c r="AF49" s="504"/>
      <c r="AG49" s="505"/>
      <c r="AH49" s="503"/>
      <c r="AI49" s="504"/>
      <c r="AJ49" s="504"/>
      <c r="AK49" s="504"/>
      <c r="AL49" s="504"/>
      <c r="AM49" s="505"/>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x14ac:dyDescent="0.25">
      <c r="A50" s="66"/>
      <c r="B50" s="66"/>
      <c r="C50" s="66"/>
      <c r="D50" s="66"/>
      <c r="E50" s="66"/>
      <c r="F50" s="66"/>
      <c r="G50" s="66"/>
      <c r="H50" s="66"/>
      <c r="I50" s="66"/>
      <c r="J50" s="503"/>
      <c r="K50" s="504"/>
      <c r="L50" s="504"/>
      <c r="M50" s="504"/>
      <c r="N50" s="504"/>
      <c r="O50" s="505"/>
      <c r="P50" s="503"/>
      <c r="Q50" s="504"/>
      <c r="R50" s="504"/>
      <c r="S50" s="504"/>
      <c r="T50" s="504"/>
      <c r="U50" s="505"/>
      <c r="V50" s="503"/>
      <c r="W50" s="504"/>
      <c r="X50" s="504"/>
      <c r="Y50" s="504"/>
      <c r="Z50" s="504"/>
      <c r="AA50" s="505"/>
      <c r="AB50" s="503"/>
      <c r="AC50" s="504"/>
      <c r="AD50" s="504"/>
      <c r="AE50" s="504"/>
      <c r="AF50" s="504"/>
      <c r="AG50" s="505"/>
      <c r="AH50" s="503"/>
      <c r="AI50" s="504"/>
      <c r="AJ50" s="504"/>
      <c r="AK50" s="504"/>
      <c r="AL50" s="504"/>
      <c r="AM50" s="505"/>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75" thickBot="1" x14ac:dyDescent="0.3">
      <c r="A51" s="66"/>
      <c r="B51" s="66"/>
      <c r="C51" s="66"/>
      <c r="D51" s="66"/>
      <c r="E51" s="66"/>
      <c r="F51" s="66"/>
      <c r="G51" s="66"/>
      <c r="H51" s="66"/>
      <c r="I51" s="66"/>
      <c r="J51" s="506"/>
      <c r="K51" s="507"/>
      <c r="L51" s="507"/>
      <c r="M51" s="507"/>
      <c r="N51" s="507"/>
      <c r="O51" s="508"/>
      <c r="P51" s="506"/>
      <c r="Q51" s="507"/>
      <c r="R51" s="507"/>
      <c r="S51" s="507"/>
      <c r="T51" s="507"/>
      <c r="U51" s="508"/>
      <c r="V51" s="506"/>
      <c r="W51" s="507"/>
      <c r="X51" s="507"/>
      <c r="Y51" s="507"/>
      <c r="Z51" s="507"/>
      <c r="AA51" s="508"/>
      <c r="AB51" s="506"/>
      <c r="AC51" s="507"/>
      <c r="AD51" s="507"/>
      <c r="AE51" s="507"/>
      <c r="AF51" s="507"/>
      <c r="AG51" s="508"/>
      <c r="AH51" s="506"/>
      <c r="AI51" s="507"/>
      <c r="AJ51" s="507"/>
      <c r="AK51" s="507"/>
      <c r="AL51" s="507"/>
      <c r="AM51" s="508"/>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row>
    <row r="63" spans="1:80"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row>
    <row r="64" spans="1:80"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row>
    <row r="65" spans="1:8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row>
    <row r="66" spans="1:8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row>
    <row r="67" spans="1:8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row>
    <row r="68" spans="1:8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row>
    <row r="69" spans="1:8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row>
    <row r="70" spans="1:8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row>
    <row r="71" spans="1:8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row>
    <row r="72" spans="1:8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row>
    <row r="73" spans="1:8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row>
    <row r="74" spans="1:8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row>
    <row r="75" spans="1:8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row>
    <row r="76" spans="1:8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row>
    <row r="77" spans="1:8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row>
    <row r="78" spans="1:8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row>
    <row r="79" spans="1:8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row>
    <row r="80" spans="1:8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row>
    <row r="81" spans="1:63"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row>
    <row r="82" spans="1:63"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row>
    <row r="83" spans="1:63"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row>
    <row r="84" spans="1:63"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row>
    <row r="85" spans="1:63"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row>
    <row r="86" spans="1:6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row>
    <row r="87" spans="1:63"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row>
    <row r="88" spans="1:63"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row>
    <row r="89" spans="1:63"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row>
    <row r="90" spans="1:63"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row>
    <row r="91" spans="1:63"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row>
    <row r="92" spans="1:63"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row>
    <row r="93" spans="1:63"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row>
    <row r="94" spans="1:63"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row>
    <row r="95" spans="1:63"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row>
    <row r="96" spans="1:63"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row>
    <row r="97" spans="1:63"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row>
    <row r="98" spans="1:63"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row>
    <row r="99" spans="1:63"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row>
    <row r="100" spans="1:63"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row>
    <row r="101" spans="1:63"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row>
    <row r="102" spans="1:63"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row>
    <row r="103" spans="1:63"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row>
    <row r="104" spans="1:63"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row>
    <row r="105" spans="1:63"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row>
    <row r="106" spans="1:63"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row>
    <row r="107" spans="1:63"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row>
    <row r="108" spans="1:63"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row>
    <row r="109" spans="1:63"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row>
    <row r="110" spans="1:63"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row>
    <row r="111" spans="1:63"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row>
    <row r="112" spans="1:63"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row>
    <row r="113" spans="1:63"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row>
    <row r="114" spans="1:63"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row>
    <row r="115" spans="1:63"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row>
    <row r="116" spans="1:63"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row>
    <row r="117" spans="1:63"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row>
    <row r="118" spans="1:63"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row>
    <row r="119" spans="1:63"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row>
    <row r="120" spans="1:63"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row>
    <row r="121" spans="1:63"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row>
    <row r="122" spans="1:63" x14ac:dyDescent="0.25">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row>
    <row r="123" spans="1:63" x14ac:dyDescent="0.25">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row>
    <row r="124" spans="1:63" x14ac:dyDescent="0.2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row>
    <row r="125" spans="1:63" x14ac:dyDescent="0.25">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row>
    <row r="126" spans="1:63" x14ac:dyDescent="0.25">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row>
    <row r="127" spans="1:63" x14ac:dyDescent="0.25">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row>
    <row r="128" spans="1:63" x14ac:dyDescent="0.25">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row>
    <row r="129" spans="2:63" x14ac:dyDescent="0.2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row>
    <row r="130" spans="2:63" x14ac:dyDescent="0.2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row>
    <row r="131" spans="2:63" x14ac:dyDescent="0.25">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row>
    <row r="132" spans="2:63" x14ac:dyDescent="0.25">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row>
    <row r="133" spans="2:63" x14ac:dyDescent="0.2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row>
    <row r="134" spans="2:63" x14ac:dyDescent="0.25">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row>
    <row r="135" spans="2:63" x14ac:dyDescent="0.25">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row>
    <row r="136" spans="2:63" x14ac:dyDescent="0.2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row>
    <row r="137" spans="2:63" x14ac:dyDescent="0.25">
      <c r="B137" s="66"/>
      <c r="C137" s="66"/>
      <c r="D137" s="66"/>
      <c r="E137" s="66"/>
      <c r="F137" s="66"/>
      <c r="G137" s="66"/>
      <c r="H137" s="66"/>
      <c r="I137" s="66"/>
    </row>
    <row r="138" spans="2:63" x14ac:dyDescent="0.25">
      <c r="B138" s="66"/>
      <c r="C138" s="66"/>
      <c r="D138" s="66"/>
      <c r="E138" s="66"/>
      <c r="F138" s="66"/>
      <c r="G138" s="66"/>
      <c r="H138" s="66"/>
      <c r="I138" s="66"/>
    </row>
    <row r="139" spans="2:63" x14ac:dyDescent="0.25">
      <c r="B139" s="66"/>
      <c r="C139" s="66"/>
      <c r="D139" s="66"/>
      <c r="E139" s="66"/>
      <c r="F139" s="66"/>
      <c r="G139" s="66"/>
      <c r="H139" s="66"/>
      <c r="I139" s="66"/>
    </row>
    <row r="140" spans="2:63" x14ac:dyDescent="0.25">
      <c r="B140" s="66"/>
      <c r="C140" s="66"/>
      <c r="D140" s="66"/>
      <c r="E140" s="66"/>
      <c r="F140" s="66"/>
      <c r="G140" s="66"/>
      <c r="H140" s="66"/>
      <c r="I140" s="66"/>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topLeftCell="A30" zoomScale="50" zoomScaleNormal="50" workbookViewId="0">
      <selection activeCell="X46" sqref="X4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row>
    <row r="2" spans="1:91" ht="18" customHeight="1" x14ac:dyDescent="0.25">
      <c r="A2" s="66"/>
      <c r="B2" s="577" t="s">
        <v>279</v>
      </c>
      <c r="C2" s="578"/>
      <c r="D2" s="578"/>
      <c r="E2" s="578"/>
      <c r="F2" s="578"/>
      <c r="G2" s="578"/>
      <c r="H2" s="578"/>
      <c r="I2" s="578"/>
      <c r="J2" s="499" t="s">
        <v>15</v>
      </c>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row>
    <row r="3" spans="1:91" ht="18.75" customHeight="1" x14ac:dyDescent="0.25">
      <c r="A3" s="66"/>
      <c r="B3" s="578"/>
      <c r="C3" s="578"/>
      <c r="D3" s="578"/>
      <c r="E3" s="578"/>
      <c r="F3" s="578"/>
      <c r="G3" s="578"/>
      <c r="H3" s="578"/>
      <c r="I3" s="578"/>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row>
    <row r="4" spans="1:91" ht="15" customHeight="1" x14ac:dyDescent="0.25">
      <c r="A4" s="66"/>
      <c r="B4" s="578"/>
      <c r="C4" s="578"/>
      <c r="D4" s="578"/>
      <c r="E4" s="578"/>
      <c r="F4" s="578"/>
      <c r="G4" s="578"/>
      <c r="H4" s="578"/>
      <c r="I4" s="578"/>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row>
    <row r="5" spans="1:91"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91" ht="15" customHeight="1" x14ac:dyDescent="0.25">
      <c r="A6" s="66"/>
      <c r="B6" s="510" t="s">
        <v>264</v>
      </c>
      <c r="C6" s="510"/>
      <c r="D6" s="511"/>
      <c r="E6" s="548" t="s">
        <v>265</v>
      </c>
      <c r="F6" s="549"/>
      <c r="G6" s="549"/>
      <c r="H6" s="549"/>
      <c r="I6" s="550"/>
      <c r="J6" s="29" t="str">
        <f>IF(AND('Riesgos de Gestión'!$AF$13="Muy Alta",'Riesgos de Gestión'!$AH$13="Leve"),CONCATENATE("R1C",'Riesgos de Gestión'!$V$13),"")</f>
        <v/>
      </c>
      <c r="K6" s="30" t="str">
        <f>IF(AND('Riesgos de Gestión'!$AF$14="Muy Alta",'Riesgos de Gestión'!$AH$14="Leve"),CONCATENATE("R1C",'Riesgos de Gestión'!$V$14),"")</f>
        <v/>
      </c>
      <c r="L6" s="30" t="str">
        <f>IF(AND('Riesgos de Gestión'!$AF$15="Muy Alta",'Riesgos de Gestión'!$AH$15="Leve"),CONCATENATE("R1C",'Riesgos de Gestión'!$V$15),"")</f>
        <v/>
      </c>
      <c r="M6" s="30" t="str">
        <f>IF(AND('Riesgos de Gestión'!$AF$16="Muy Alta",'Riesgos de Gestión'!$AH$16="Leve"),CONCATENATE("R1C",'Riesgos de Gestión'!$V$16),"")</f>
        <v/>
      </c>
      <c r="N6" s="30" t="str">
        <f>IF(AND('Riesgos de Gestión'!$AF$17="Muy Alta",'Riesgos de Gestión'!$AH$17="Leve"),CONCATENATE("R1C",'Riesgos de Gestión'!$V$17),"")</f>
        <v/>
      </c>
      <c r="O6" s="31" t="str">
        <f>IF(AND('Riesgos de Gestión'!$AF$18="Muy Alta",'Riesgos de Gestión'!$AH$18="Leve"),CONCATENATE("R1C",'Riesgos de Gestión'!$V$18),"")</f>
        <v/>
      </c>
      <c r="P6" s="29" t="str">
        <f>IF(AND('Riesgos de Gestión'!$AF$13="Muy Alta",'Riesgos de Gestión'!$AH$13="Menor"),CONCATENATE("R1C",'Riesgos de Gestión'!$V$13),"")</f>
        <v/>
      </c>
      <c r="Q6" s="30" t="str">
        <f>IF(AND('Riesgos de Gestión'!$AF$14="Muy Alta",'Riesgos de Gestión'!$AH$14="Menor"),CONCATENATE("R1C",'Riesgos de Gestión'!$V$14),"")</f>
        <v/>
      </c>
      <c r="R6" s="30" t="str">
        <f>IF(AND('Riesgos de Gestión'!$AF$15="Muy Alta",'Riesgos de Gestión'!$AH$15="Menor"),CONCATENATE("R1C",'Riesgos de Gestión'!$V$15),"")</f>
        <v/>
      </c>
      <c r="S6" s="30" t="str">
        <f>IF(AND('Riesgos de Gestión'!$AF$16="Muy Alta",'Riesgos de Gestión'!$AH$16="Menor"),CONCATENATE("R1C",'Riesgos de Gestión'!$V$16),"")</f>
        <v/>
      </c>
      <c r="T6" s="30" t="str">
        <f>IF(AND('Riesgos de Gestión'!$AF$17="Muy Alta",'Riesgos de Gestión'!$AH$17="Menor"),CONCATENATE("R1C",'Riesgos de Gestión'!$V$17),"")</f>
        <v/>
      </c>
      <c r="U6" s="31" t="str">
        <f>IF(AND('Riesgos de Gestión'!$AF$18="Muy Alta",'Riesgos de Gestión'!$AH$18="Menor"),CONCATENATE("R1C",'Riesgos de Gestión'!$V$18),"")</f>
        <v/>
      </c>
      <c r="V6" s="29" t="str">
        <f>IF(AND('Riesgos de Gestión'!$AF$13="Muy Alta",'Riesgos de Gestión'!$AH$13="Moderado"),CONCATENATE("R1C",'Riesgos de Gestión'!$V$13),"")</f>
        <v/>
      </c>
      <c r="W6" s="30" t="str">
        <f>IF(AND('Riesgos de Gestión'!$AF$14="Muy Alta",'Riesgos de Gestión'!$AH$14="Moderado"),CONCATENATE("R1C",'Riesgos de Gestión'!$V$14),"")</f>
        <v/>
      </c>
      <c r="X6" s="30" t="str">
        <f>IF(AND('Riesgos de Gestión'!$AF$15="Muy Alta",'Riesgos de Gestión'!$AH$15="Moderado"),CONCATENATE("R1C",'Riesgos de Gestión'!$V$15),"")</f>
        <v/>
      </c>
      <c r="Y6" s="30" t="str">
        <f>IF(AND('Riesgos de Gestión'!$AF$16="Muy Alta",'Riesgos de Gestión'!$AH$16="Moderado"),CONCATENATE("R1C",'Riesgos de Gestión'!$V$16),"")</f>
        <v/>
      </c>
      <c r="Z6" s="30" t="str">
        <f>IF(AND('Riesgos de Gestión'!$AF$17="Muy Alta",'Riesgos de Gestión'!$AH$17="Moderado"),CONCATENATE("R1C",'Riesgos de Gestión'!$V$17),"")</f>
        <v/>
      </c>
      <c r="AA6" s="31" t="str">
        <f>IF(AND('Riesgos de Gestión'!$AF$18="Muy Alta",'Riesgos de Gestión'!$AH$18="Moderado"),CONCATENATE("R1C",'Riesgos de Gestión'!$V$18),"")</f>
        <v/>
      </c>
      <c r="AB6" s="29" t="str">
        <f>IF(AND('Riesgos de Gestión'!$AF$13="Muy Alta",'Riesgos de Gestión'!$AH$13="Mayor"),CONCATENATE("R1C",'Riesgos de Gestión'!$V$13),"")</f>
        <v/>
      </c>
      <c r="AC6" s="30" t="str">
        <f>IF(AND('Riesgos de Gestión'!$AF$14="Muy Alta",'Riesgos de Gestión'!$AH$14="Mayor"),CONCATENATE("R1C",'Riesgos de Gestión'!$V$14),"")</f>
        <v/>
      </c>
      <c r="AD6" s="30" t="str">
        <f>IF(AND('Riesgos de Gestión'!$AF$15="Muy Alta",'Riesgos de Gestión'!$AH$15="Mayor"),CONCATENATE("R1C",'Riesgos de Gestión'!$V$15),"")</f>
        <v/>
      </c>
      <c r="AE6" s="30" t="str">
        <f>IF(AND('Riesgos de Gestión'!$AF$16="Muy Alta",'Riesgos de Gestión'!$AH$16="Mayor"),CONCATENATE("R1C",'Riesgos de Gestión'!$V$16),"")</f>
        <v/>
      </c>
      <c r="AF6" s="30" t="str">
        <f>IF(AND('Riesgos de Gestión'!$AF$17="Muy Alta",'Riesgos de Gestión'!$AH$17="Mayor"),CONCATENATE("R1C",'Riesgos de Gestión'!$V$17),"")</f>
        <v/>
      </c>
      <c r="AG6" s="31" t="str">
        <f>IF(AND('Riesgos de Gestión'!$AF$18="Muy Alta",'Riesgos de Gestión'!$AH$18="Mayor"),CONCATENATE("R1C",'Riesgos de Gestión'!$V$18),"")</f>
        <v/>
      </c>
      <c r="AH6" s="32" t="str">
        <f>IF(AND('Riesgos de Gestión'!$AF$13="Muy Alta",'Riesgos de Gestión'!$AH$13="Catastrófico"),CONCATENATE("R1C",'Riesgos de Gestión'!$V$13),"")</f>
        <v/>
      </c>
      <c r="AI6" s="33" t="str">
        <f>IF(AND('Riesgos de Gestión'!$AF$14="Muy Alta",'Riesgos de Gestión'!$AH$14="Catastrófico"),CONCATENATE("R1C",'Riesgos de Gestión'!$V$14),"")</f>
        <v/>
      </c>
      <c r="AJ6" s="33" t="str">
        <f>IF(AND('Riesgos de Gestión'!$AF$15="Muy Alta",'Riesgos de Gestión'!$AH$15="Catastrófico"),CONCATENATE("R1C",'Riesgos de Gestión'!$V$15),"")</f>
        <v/>
      </c>
      <c r="AK6" s="33" t="str">
        <f>IF(AND('Riesgos de Gestión'!$AF$16="Muy Alta",'Riesgos de Gestión'!$AH$16="Catastrófico"),CONCATENATE("R1C",'Riesgos de Gestión'!$V$16),"")</f>
        <v/>
      </c>
      <c r="AL6" s="33" t="str">
        <f>IF(AND('Riesgos de Gestión'!$AF$17="Muy Alta",'Riesgos de Gestión'!$AH$17="Catastrófico"),CONCATENATE("R1C",'Riesgos de Gestión'!$V$17),"")</f>
        <v/>
      </c>
      <c r="AM6" s="34" t="str">
        <f>IF(AND('Riesgos de Gestión'!$AF$18="Muy Alta",'Riesgos de Gestión'!$AH$18="Catastrófico"),CONCATENATE("R1C",'Riesgos de Gestión'!$V$18),"")</f>
        <v/>
      </c>
      <c r="AN6" s="66"/>
      <c r="AO6" s="568" t="s">
        <v>266</v>
      </c>
      <c r="AP6" s="569"/>
      <c r="AQ6" s="569"/>
      <c r="AR6" s="569"/>
      <c r="AS6" s="569"/>
      <c r="AT6" s="570"/>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1:91" ht="15" customHeight="1" x14ac:dyDescent="0.25">
      <c r="A7" s="66"/>
      <c r="B7" s="510"/>
      <c r="C7" s="510"/>
      <c r="D7" s="511"/>
      <c r="E7" s="551"/>
      <c r="F7" s="552"/>
      <c r="G7" s="552"/>
      <c r="H7" s="552"/>
      <c r="I7" s="553"/>
      <c r="J7" s="35" t="str">
        <f>IF(AND('Riesgos de Gestión'!$AF$19="Muy Alta",'Riesgos de Gestión'!$AH$19="Leve"),CONCATENATE("R2C",'Riesgos de Gestión'!$V$19),"")</f>
        <v/>
      </c>
      <c r="K7" s="36" t="str">
        <f>IF(AND('Riesgos de Gestión'!$AF$20="Muy Alta",'Riesgos de Gestión'!$AH$20="Leve"),CONCATENATE("R2C",'Riesgos de Gestión'!$V$20),"")</f>
        <v/>
      </c>
      <c r="L7" s="36" t="str">
        <f>IF(AND('Riesgos de Gestión'!$AF$21="Muy Alta",'Riesgos de Gestión'!$AH$21="Leve"),CONCATENATE("R2C",'Riesgos de Gestión'!$V$21),"")</f>
        <v/>
      </c>
      <c r="M7" s="36" t="str">
        <f>IF(AND('Riesgos de Gestión'!$AF$22="Muy Alta",'Riesgos de Gestión'!$AH$22="Leve"),CONCATENATE("R2C",'Riesgos de Gestión'!$V$22),"")</f>
        <v/>
      </c>
      <c r="N7" s="36" t="str">
        <f>IF(AND('Riesgos de Gestión'!$AF$23="Muy Alta",'Riesgos de Gestión'!$AH$23="Leve"),CONCATENATE("R2C",'Riesgos de Gestión'!$V$23),"")</f>
        <v/>
      </c>
      <c r="O7" s="37" t="str">
        <f>IF(AND('Riesgos de Gestión'!$AF$24="Muy Alta",'Riesgos de Gestión'!$AH$24="Leve"),CONCATENATE("R2C",'Riesgos de Gestión'!$V$24),"")</f>
        <v/>
      </c>
      <c r="P7" s="35" t="str">
        <f>IF(AND('Riesgos de Gestión'!$AF$19="Muy Alta",'Riesgos de Gestión'!$AH$19="Menor"),CONCATENATE("R2C",'Riesgos de Gestión'!$V$19),"")</f>
        <v/>
      </c>
      <c r="Q7" s="36" t="str">
        <f>IF(AND('Riesgos de Gestión'!$AF$20="Muy Alta",'Riesgos de Gestión'!$AH$20="Menor"),CONCATENATE("R2C",'Riesgos de Gestión'!$V$20),"")</f>
        <v/>
      </c>
      <c r="R7" s="36" t="str">
        <f>IF(AND('Riesgos de Gestión'!$AF$21="Muy Alta",'Riesgos de Gestión'!$AH$21="Menor"),CONCATENATE("R2C",'Riesgos de Gestión'!$V$21),"")</f>
        <v/>
      </c>
      <c r="S7" s="36" t="str">
        <f>IF(AND('Riesgos de Gestión'!$AF$22="Muy Alta",'Riesgos de Gestión'!$AH$22="Menor"),CONCATENATE("R2C",'Riesgos de Gestión'!$V$22),"")</f>
        <v/>
      </c>
      <c r="T7" s="36" t="str">
        <f>IF(AND('Riesgos de Gestión'!$AF$23="Muy Alta",'Riesgos de Gestión'!$AH$23="Menor"),CONCATENATE("R2C",'Riesgos de Gestión'!$V$23),"")</f>
        <v/>
      </c>
      <c r="U7" s="37" t="str">
        <f>IF(AND('Riesgos de Gestión'!$AF$24="Muy Alta",'Riesgos de Gestión'!$AH$24="Menor"),CONCATENATE("R2C",'Riesgos de Gestión'!$V$24),"")</f>
        <v/>
      </c>
      <c r="V7" s="35" t="str">
        <f>IF(AND('Riesgos de Gestión'!$AF$19="Muy Alta",'Riesgos de Gestión'!$AH$19="Moderado"),CONCATENATE("R2C",'Riesgos de Gestión'!$V$19),"")</f>
        <v/>
      </c>
      <c r="W7" s="36" t="str">
        <f>IF(AND('Riesgos de Gestión'!$AF$20="Muy Alta",'Riesgos de Gestión'!$AH$20="Moderado"),CONCATENATE("R2C",'Riesgos de Gestión'!$V$20),"")</f>
        <v/>
      </c>
      <c r="X7" s="36" t="str">
        <f>IF(AND('Riesgos de Gestión'!$AF$21="Muy Alta",'Riesgos de Gestión'!$AH$21="Moderado"),CONCATENATE("R2C",'Riesgos de Gestión'!$V$21),"")</f>
        <v/>
      </c>
      <c r="Y7" s="36" t="str">
        <f>IF(AND('Riesgos de Gestión'!$AF$22="Muy Alta",'Riesgos de Gestión'!$AH$22="Moderado"),CONCATENATE("R2C",'Riesgos de Gestión'!$V$22),"")</f>
        <v/>
      </c>
      <c r="Z7" s="36" t="str">
        <f>IF(AND('Riesgos de Gestión'!$AF$23="Muy Alta",'Riesgos de Gestión'!$AH$23="Moderado"),CONCATENATE("R2C",'Riesgos de Gestión'!$V$23),"")</f>
        <v/>
      </c>
      <c r="AA7" s="37" t="str">
        <f>IF(AND('Riesgos de Gestión'!$AF$24="Muy Alta",'Riesgos de Gestión'!$AH$24="Moderado"),CONCATENATE("R2C",'Riesgos de Gestión'!$V$24),"")</f>
        <v/>
      </c>
      <c r="AB7" s="35" t="str">
        <f>IF(AND('Riesgos de Gestión'!$AF$19="Muy Alta",'Riesgos de Gestión'!$AH$19="Mayor"),CONCATENATE("R2C",'Riesgos de Gestión'!$V$19),"")</f>
        <v/>
      </c>
      <c r="AC7" s="36" t="str">
        <f>IF(AND('Riesgos de Gestión'!$AF$20="Muy Alta",'Riesgos de Gestión'!$AH$20="Mayor"),CONCATENATE("R2C",'Riesgos de Gestión'!$V$20),"")</f>
        <v/>
      </c>
      <c r="AD7" s="36" t="str">
        <f>IF(AND('Riesgos de Gestión'!$AF$21="Muy Alta",'Riesgos de Gestión'!$AH$21="Mayor"),CONCATENATE("R2C",'Riesgos de Gestión'!$V$21),"")</f>
        <v/>
      </c>
      <c r="AE7" s="36" t="str">
        <f>IF(AND('Riesgos de Gestión'!$AF$22="Muy Alta",'Riesgos de Gestión'!$AH$22="Mayor"),CONCATENATE("R2C",'Riesgos de Gestión'!$V$22),"")</f>
        <v/>
      </c>
      <c r="AF7" s="36" t="str">
        <f>IF(AND('Riesgos de Gestión'!$AF$23="Muy Alta",'Riesgos de Gestión'!$AH$23="Mayor"),CONCATENATE("R2C",'Riesgos de Gestión'!$V$23),"")</f>
        <v/>
      </c>
      <c r="AG7" s="37" t="str">
        <f>IF(AND('Riesgos de Gestión'!$AF$24="Muy Alta",'Riesgos de Gestión'!$AH$24="Mayor"),CONCATENATE("R2C",'Riesgos de Gestión'!$V$24),"")</f>
        <v/>
      </c>
      <c r="AH7" s="38" t="str">
        <f>IF(AND('Riesgos de Gestión'!$AF$19="Muy Alta",'Riesgos de Gestión'!$AH$19="Catastrófico"),CONCATENATE("R2C",'Riesgos de Gestión'!$V$19),"")</f>
        <v/>
      </c>
      <c r="AI7" s="39" t="str">
        <f>IF(AND('Riesgos de Gestión'!$AF$20="Muy Alta",'Riesgos de Gestión'!$AH$20="Catastrófico"),CONCATENATE("R2C",'Riesgos de Gestión'!$V$20),"")</f>
        <v/>
      </c>
      <c r="AJ7" s="39" t="str">
        <f>IF(AND('Riesgos de Gestión'!$AF$21="Muy Alta",'Riesgos de Gestión'!$AH$21="Catastrófico"),CONCATENATE("R2C",'Riesgos de Gestión'!$V$21),"")</f>
        <v/>
      </c>
      <c r="AK7" s="39" t="str">
        <f>IF(AND('Riesgos de Gestión'!$AF$22="Muy Alta",'Riesgos de Gestión'!$AH$22="Catastrófico"),CONCATENATE("R2C",'Riesgos de Gestión'!$V$22),"")</f>
        <v/>
      </c>
      <c r="AL7" s="39" t="str">
        <f>IF(AND('Riesgos de Gestión'!$AF$23="Muy Alta",'Riesgos de Gestión'!$AH$23="Catastrófico"),CONCATENATE("R2C",'Riesgos de Gestión'!$V$23),"")</f>
        <v/>
      </c>
      <c r="AM7" s="40" t="str">
        <f>IF(AND('Riesgos de Gestión'!$AF$24="Muy Alta",'Riesgos de Gestión'!$AH$24="Catastrófico"),CONCATENATE("R2C",'Riesgos de Gestión'!$V$24),"")</f>
        <v/>
      </c>
      <c r="AN7" s="66"/>
      <c r="AO7" s="571"/>
      <c r="AP7" s="572"/>
      <c r="AQ7" s="572"/>
      <c r="AR7" s="572"/>
      <c r="AS7" s="572"/>
      <c r="AT7" s="573"/>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row>
    <row r="8" spans="1:91" ht="15" customHeight="1" x14ac:dyDescent="0.25">
      <c r="A8" s="66"/>
      <c r="B8" s="510"/>
      <c r="C8" s="510"/>
      <c r="D8" s="511"/>
      <c r="E8" s="551"/>
      <c r="F8" s="552"/>
      <c r="G8" s="552"/>
      <c r="H8" s="552"/>
      <c r="I8" s="553"/>
      <c r="J8" s="35" t="str">
        <f>IF(AND('Riesgos de Gestión'!$AF$25="Muy Alta",'Riesgos de Gestión'!$AH$25="Leve"),CONCATENATE("R3C",'Riesgos de Gestión'!$V$25),"")</f>
        <v/>
      </c>
      <c r="K8" s="36" t="str">
        <f>IF(AND('Riesgos de Gestión'!$AF$26="Muy Alta",'Riesgos de Gestión'!$AH$26="Leve"),CONCATENATE("R3C",'Riesgos de Gestión'!$V$26),"")</f>
        <v/>
      </c>
      <c r="L8" s="36" t="str">
        <f>IF(AND('Riesgos de Gestión'!$AF$27="Muy Alta",'Riesgos de Gestión'!$AH$27="Leve"),CONCATENATE("R3C",'Riesgos de Gestión'!$V$27),"")</f>
        <v/>
      </c>
      <c r="M8" s="36" t="str">
        <f>IF(AND('Riesgos de Gestión'!$AF$28="Muy Alta",'Riesgos de Gestión'!$AH$28="Leve"),CONCATENATE("R3C",'Riesgos de Gestión'!$V$28),"")</f>
        <v/>
      </c>
      <c r="N8" s="36" t="str">
        <f>IF(AND('Riesgos de Gestión'!$AF$29="Muy Alta",'Riesgos de Gestión'!$AH$29="Leve"),CONCATENATE("R3C",'Riesgos de Gestión'!$V$29),"")</f>
        <v/>
      </c>
      <c r="O8" s="37" t="str">
        <f>IF(AND('Riesgos de Gestión'!$AF$30="Muy Alta",'Riesgos de Gestión'!$AH$30="Leve"),CONCATENATE("R3C",'Riesgos de Gestión'!$V$30),"")</f>
        <v/>
      </c>
      <c r="P8" s="35" t="str">
        <f>IF(AND('Riesgos de Gestión'!$AF$25="Muy Alta",'Riesgos de Gestión'!$AH$25="Menor"),CONCATENATE("R3C",'Riesgos de Gestión'!$V$25),"")</f>
        <v/>
      </c>
      <c r="Q8" s="36" t="str">
        <f>IF(AND('Riesgos de Gestión'!$AF$26="Muy Alta",'Riesgos de Gestión'!$AH$26="Menor"),CONCATENATE("R3C",'Riesgos de Gestión'!$V$26),"")</f>
        <v/>
      </c>
      <c r="R8" s="36" t="str">
        <f>IF(AND('Riesgos de Gestión'!$AF$27="Muy Alta",'Riesgos de Gestión'!$AH$27="Menor"),CONCATENATE("R3C",'Riesgos de Gestión'!$V$27),"")</f>
        <v/>
      </c>
      <c r="S8" s="36" t="str">
        <f>IF(AND('Riesgos de Gestión'!$AF$28="Muy Alta",'Riesgos de Gestión'!$AH$28="Menor"),CONCATENATE("R3C",'Riesgos de Gestión'!$V$28),"")</f>
        <v/>
      </c>
      <c r="T8" s="36" t="str">
        <f>IF(AND('Riesgos de Gestión'!$AF$29="Muy Alta",'Riesgos de Gestión'!$AH$29="Menor"),CONCATENATE("R3C",'Riesgos de Gestión'!$V$29),"")</f>
        <v/>
      </c>
      <c r="U8" s="37" t="str">
        <f>IF(AND('Riesgos de Gestión'!$AF$30="Muy Alta",'Riesgos de Gestión'!$AH$30="Menor"),CONCATENATE("R3C",'Riesgos de Gestión'!$V$30),"")</f>
        <v/>
      </c>
      <c r="V8" s="35" t="str">
        <f>IF(AND('Riesgos de Gestión'!$AF$25="Muy Alta",'Riesgos de Gestión'!$AH$25="Moderado"),CONCATENATE("R3C",'Riesgos de Gestión'!$V$25),"")</f>
        <v/>
      </c>
      <c r="W8" s="36" t="str">
        <f>IF(AND('Riesgos de Gestión'!$AF$26="Muy Alta",'Riesgos de Gestión'!$AH$26="Moderado"),CONCATENATE("R3C",'Riesgos de Gestión'!$V$26),"")</f>
        <v/>
      </c>
      <c r="X8" s="36" t="str">
        <f>IF(AND('Riesgos de Gestión'!$AF$27="Muy Alta",'Riesgos de Gestión'!$AH$27="Moderado"),CONCATENATE("R3C",'Riesgos de Gestión'!$V$27),"")</f>
        <v/>
      </c>
      <c r="Y8" s="36" t="str">
        <f>IF(AND('Riesgos de Gestión'!$AF$28="Muy Alta",'Riesgos de Gestión'!$AH$28="Moderado"),CONCATENATE("R3C",'Riesgos de Gestión'!$V$28),"")</f>
        <v/>
      </c>
      <c r="Z8" s="36" t="str">
        <f>IF(AND('Riesgos de Gestión'!$AF$29="Muy Alta",'Riesgos de Gestión'!$AH$29="Moderado"),CONCATENATE("R3C",'Riesgos de Gestión'!$V$29),"")</f>
        <v/>
      </c>
      <c r="AA8" s="37" t="str">
        <f>IF(AND('Riesgos de Gestión'!$AF$30="Muy Alta",'Riesgos de Gestión'!$AH$30="Moderado"),CONCATENATE("R3C",'Riesgos de Gestión'!$V$30),"")</f>
        <v/>
      </c>
      <c r="AB8" s="35" t="str">
        <f>IF(AND('Riesgos de Gestión'!$AF$25="Muy Alta",'Riesgos de Gestión'!$AH$25="Mayor"),CONCATENATE("R3C",'Riesgos de Gestión'!$V$25),"")</f>
        <v/>
      </c>
      <c r="AC8" s="36" t="str">
        <f>IF(AND('Riesgos de Gestión'!$AF$26="Muy Alta",'Riesgos de Gestión'!$AH$26="Mayor"),CONCATENATE("R3C",'Riesgos de Gestión'!$V$26),"")</f>
        <v/>
      </c>
      <c r="AD8" s="36" t="str">
        <f>IF(AND('Riesgos de Gestión'!$AF$27="Muy Alta",'Riesgos de Gestión'!$AH$27="Mayor"),CONCATENATE("R3C",'Riesgos de Gestión'!$V$27),"")</f>
        <v/>
      </c>
      <c r="AE8" s="36" t="str">
        <f>IF(AND('Riesgos de Gestión'!$AF$28="Muy Alta",'Riesgos de Gestión'!$AH$28="Mayor"),CONCATENATE("R3C",'Riesgos de Gestión'!$V$28),"")</f>
        <v/>
      </c>
      <c r="AF8" s="36" t="str">
        <f>IF(AND('Riesgos de Gestión'!$AF$29="Muy Alta",'Riesgos de Gestión'!$AH$29="Mayor"),CONCATENATE("R3C",'Riesgos de Gestión'!$V$29),"")</f>
        <v/>
      </c>
      <c r="AG8" s="37" t="str">
        <f>IF(AND('Riesgos de Gestión'!$AF$30="Muy Alta",'Riesgos de Gestión'!$AH$30="Mayor"),CONCATENATE("R3C",'Riesgos de Gestión'!$V$30),"")</f>
        <v/>
      </c>
      <c r="AH8" s="38" t="str">
        <f>IF(AND('Riesgos de Gestión'!$AF$25="Muy Alta",'Riesgos de Gestión'!$AH$25="Catastrófico"),CONCATENATE("R3C",'Riesgos de Gestión'!$V$25),"")</f>
        <v/>
      </c>
      <c r="AI8" s="39" t="str">
        <f>IF(AND('Riesgos de Gestión'!$AF$26="Muy Alta",'Riesgos de Gestión'!$AH$26="Catastrófico"),CONCATENATE("R3C",'Riesgos de Gestión'!$V$26),"")</f>
        <v/>
      </c>
      <c r="AJ8" s="39" t="str">
        <f>IF(AND('Riesgos de Gestión'!$AF$27="Muy Alta",'Riesgos de Gestión'!$AH$27="Catastrófico"),CONCATENATE("R3C",'Riesgos de Gestión'!$V$27),"")</f>
        <v/>
      </c>
      <c r="AK8" s="39" t="str">
        <f>IF(AND('Riesgos de Gestión'!$AF$28="Muy Alta",'Riesgos de Gestión'!$AH$28="Catastrófico"),CONCATENATE("R3C",'Riesgos de Gestión'!$V$28),"")</f>
        <v/>
      </c>
      <c r="AL8" s="39" t="str">
        <f>IF(AND('Riesgos de Gestión'!$AF$29="Muy Alta",'Riesgos de Gestión'!$AH$29="Catastrófico"),CONCATENATE("R3C",'Riesgos de Gestión'!$V$29),"")</f>
        <v/>
      </c>
      <c r="AM8" s="40" t="str">
        <f>IF(AND('Riesgos de Gestión'!$AF$30="Muy Alta",'Riesgos de Gestión'!$AH$30="Catastrófico"),CONCATENATE("R3C",'Riesgos de Gestión'!$V$30),"")</f>
        <v/>
      </c>
      <c r="AN8" s="66"/>
      <c r="AO8" s="571"/>
      <c r="AP8" s="572"/>
      <c r="AQ8" s="572"/>
      <c r="AR8" s="572"/>
      <c r="AS8" s="572"/>
      <c r="AT8" s="573"/>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row>
    <row r="9" spans="1:91" ht="15" customHeight="1" x14ac:dyDescent="0.25">
      <c r="A9" s="66"/>
      <c r="B9" s="510"/>
      <c r="C9" s="510"/>
      <c r="D9" s="511"/>
      <c r="E9" s="551"/>
      <c r="F9" s="552"/>
      <c r="G9" s="552"/>
      <c r="H9" s="552"/>
      <c r="I9" s="553"/>
      <c r="J9" s="35" t="str">
        <f>IF(AND('Riesgos de Gestión'!$AF$31="Muy Alta",'Riesgos de Gestión'!$AH$31="Leve"),CONCATENATE("R4C",'Riesgos de Gestión'!$V$31),"")</f>
        <v/>
      </c>
      <c r="K9" s="36" t="str">
        <f>IF(AND('Riesgos de Gestión'!$AF$32="Muy Alta",'Riesgos de Gestión'!$AH$32="Leve"),CONCATENATE("R4C",'Riesgos de Gestión'!$V$32),"")</f>
        <v/>
      </c>
      <c r="L9" s="36" t="str">
        <f>IF(AND('Riesgos de Gestión'!$AF$33="Muy Alta",'Riesgos de Gestión'!$AH$33="Leve"),CONCATENATE("R4C",'Riesgos de Gestión'!$V$33),"")</f>
        <v/>
      </c>
      <c r="M9" s="36" t="str">
        <f>IF(AND('Riesgos de Gestión'!$AF$34="Muy Alta",'Riesgos de Gestión'!$AH$34="Leve"),CONCATENATE("R4C",'Riesgos de Gestión'!$V$34),"")</f>
        <v/>
      </c>
      <c r="N9" s="36" t="str">
        <f>IF(AND('Riesgos de Gestión'!$AF$35="Muy Alta",'Riesgos de Gestión'!$AH$35="Leve"),CONCATENATE("R4C",'Riesgos de Gestión'!$V$35),"")</f>
        <v/>
      </c>
      <c r="O9" s="37" t="str">
        <f>IF(AND('Riesgos de Gestión'!$AF$36="Muy Alta",'Riesgos de Gestión'!$AH$36="Leve"),CONCATENATE("R4C",'Riesgos de Gestión'!$V$36),"")</f>
        <v/>
      </c>
      <c r="P9" s="35" t="str">
        <f>IF(AND('Riesgos de Gestión'!$AF$31="Muy Alta",'Riesgos de Gestión'!$AH$31="Menor"),CONCATENATE("R4C",'Riesgos de Gestión'!$V$31),"")</f>
        <v/>
      </c>
      <c r="Q9" s="36" t="str">
        <f>IF(AND('Riesgos de Gestión'!$AF$32="Muy Alta",'Riesgos de Gestión'!$AH$32="Menor"),CONCATENATE("R4C",'Riesgos de Gestión'!$V$32),"")</f>
        <v/>
      </c>
      <c r="R9" s="36" t="str">
        <f>IF(AND('Riesgos de Gestión'!$AF$33="Muy Alta",'Riesgos de Gestión'!$AH$33="Menor"),CONCATENATE("R4C",'Riesgos de Gestión'!$V$33),"")</f>
        <v/>
      </c>
      <c r="S9" s="36" t="str">
        <f>IF(AND('Riesgos de Gestión'!$AF$34="Muy Alta",'Riesgos de Gestión'!$AH$34="Menor"),CONCATENATE("R4C",'Riesgos de Gestión'!$V$34),"")</f>
        <v/>
      </c>
      <c r="T9" s="36" t="str">
        <f>IF(AND('Riesgos de Gestión'!$AF$35="Muy Alta",'Riesgos de Gestión'!$AH$35="Menor"),CONCATENATE("R4C",'Riesgos de Gestión'!$V$35),"")</f>
        <v/>
      </c>
      <c r="U9" s="37" t="str">
        <f>IF(AND('Riesgos de Gestión'!$AF$36="Muy Alta",'Riesgos de Gestión'!$AH$36="Menor"),CONCATENATE("R4C",'Riesgos de Gestión'!$V$36),"")</f>
        <v/>
      </c>
      <c r="V9" s="35" t="str">
        <f>IF(AND('Riesgos de Gestión'!$AF$31="Muy Alta",'Riesgos de Gestión'!$AH$31="Moderado"),CONCATENATE("R4C",'Riesgos de Gestión'!$V$31),"")</f>
        <v/>
      </c>
      <c r="W9" s="36" t="str">
        <f>IF(AND('Riesgos de Gestión'!$AF$32="Muy Alta",'Riesgos de Gestión'!$AH$32="Moderado"),CONCATENATE("R4C",'Riesgos de Gestión'!$V$32),"")</f>
        <v/>
      </c>
      <c r="X9" s="36" t="str">
        <f>IF(AND('Riesgos de Gestión'!$AF$33="Muy Alta",'Riesgos de Gestión'!$AH$33="Moderado"),CONCATENATE("R4C",'Riesgos de Gestión'!$V$33),"")</f>
        <v/>
      </c>
      <c r="Y9" s="36" t="str">
        <f>IF(AND('Riesgos de Gestión'!$AF$34="Muy Alta",'Riesgos de Gestión'!$AH$34="Moderado"),CONCATENATE("R4C",'Riesgos de Gestión'!$V$34),"")</f>
        <v/>
      </c>
      <c r="Z9" s="36" t="str">
        <f>IF(AND('Riesgos de Gestión'!$AF$35="Muy Alta",'Riesgos de Gestión'!$AH$35="Moderado"),CONCATENATE("R4C",'Riesgos de Gestión'!$V$35),"")</f>
        <v/>
      </c>
      <c r="AA9" s="37" t="str">
        <f>IF(AND('Riesgos de Gestión'!$AF$36="Muy Alta",'Riesgos de Gestión'!$AH$36="Moderado"),CONCATENATE("R4C",'Riesgos de Gestión'!$V$36),"")</f>
        <v/>
      </c>
      <c r="AB9" s="35" t="str">
        <f>IF(AND('Riesgos de Gestión'!$AF$31="Muy Alta",'Riesgos de Gestión'!$AH$31="Mayor"),CONCATENATE("R4C",'Riesgos de Gestión'!$V$31),"")</f>
        <v/>
      </c>
      <c r="AC9" s="36" t="str">
        <f>IF(AND('Riesgos de Gestión'!$AF$32="Muy Alta",'Riesgos de Gestión'!$AH$32="Mayor"),CONCATENATE("R4C",'Riesgos de Gestión'!$V$32),"")</f>
        <v/>
      </c>
      <c r="AD9" s="36" t="str">
        <f>IF(AND('Riesgos de Gestión'!$AF$33="Muy Alta",'Riesgos de Gestión'!$AH$33="Mayor"),CONCATENATE("R4C",'Riesgos de Gestión'!$V$33),"")</f>
        <v/>
      </c>
      <c r="AE9" s="36" t="str">
        <f>IF(AND('Riesgos de Gestión'!$AF$34="Muy Alta",'Riesgos de Gestión'!$AH$34="Mayor"),CONCATENATE("R4C",'Riesgos de Gestión'!$V$34),"")</f>
        <v/>
      </c>
      <c r="AF9" s="36" t="str">
        <f>IF(AND('Riesgos de Gestión'!$AF$35="Muy Alta",'Riesgos de Gestión'!$AH$35="Mayor"),CONCATENATE("R4C",'Riesgos de Gestión'!$V$35),"")</f>
        <v/>
      </c>
      <c r="AG9" s="37" t="str">
        <f>IF(AND('Riesgos de Gestión'!$AF$36="Muy Alta",'Riesgos de Gestión'!$AH$36="Mayor"),CONCATENATE("R4C",'Riesgos de Gestión'!$V$36),"")</f>
        <v/>
      </c>
      <c r="AH9" s="38" t="str">
        <f>IF(AND('Riesgos de Gestión'!$AF$31="Muy Alta",'Riesgos de Gestión'!$AH$31="Catastrófico"),CONCATENATE("R4C",'Riesgos de Gestión'!$V$31),"")</f>
        <v/>
      </c>
      <c r="AI9" s="39" t="str">
        <f>IF(AND('Riesgos de Gestión'!$AF$32="Muy Alta",'Riesgos de Gestión'!$AH$32="Catastrófico"),CONCATENATE("R4C",'Riesgos de Gestión'!$V$32),"")</f>
        <v/>
      </c>
      <c r="AJ9" s="39" t="str">
        <f>IF(AND('Riesgos de Gestión'!$AF$33="Muy Alta",'Riesgos de Gestión'!$AH$33="Catastrófico"),CONCATENATE("R4C",'Riesgos de Gestión'!$V$33),"")</f>
        <v/>
      </c>
      <c r="AK9" s="39" t="str">
        <f>IF(AND('Riesgos de Gestión'!$AF$34="Muy Alta",'Riesgos de Gestión'!$AH$34="Catastrófico"),CONCATENATE("R4C",'Riesgos de Gestión'!$V$34),"")</f>
        <v/>
      </c>
      <c r="AL9" s="39" t="str">
        <f>IF(AND('Riesgos de Gestión'!$AF$35="Muy Alta",'Riesgos de Gestión'!$AH$35="Catastrófico"),CONCATENATE("R4C",'Riesgos de Gestión'!$V$35),"")</f>
        <v/>
      </c>
      <c r="AM9" s="40" t="str">
        <f>IF(AND('Riesgos de Gestión'!$AF$36="Muy Alta",'Riesgos de Gestión'!$AH$36="Catastrófico"),CONCATENATE("R4C",'Riesgos de Gestión'!$V$36),"")</f>
        <v/>
      </c>
      <c r="AN9" s="66"/>
      <c r="AO9" s="571"/>
      <c r="AP9" s="572"/>
      <c r="AQ9" s="572"/>
      <c r="AR9" s="572"/>
      <c r="AS9" s="572"/>
      <c r="AT9" s="573"/>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row>
    <row r="10" spans="1:91" ht="15" customHeight="1" x14ac:dyDescent="0.25">
      <c r="A10" s="66"/>
      <c r="B10" s="510"/>
      <c r="C10" s="510"/>
      <c r="D10" s="511"/>
      <c r="E10" s="551"/>
      <c r="F10" s="552"/>
      <c r="G10" s="552"/>
      <c r="H10" s="552"/>
      <c r="I10" s="553"/>
      <c r="J10" s="35" t="str">
        <f>IF(AND('Riesgos de Gestión'!$AF$37="Muy Alta",'Riesgos de Gestión'!$AH$37="Leve"),CONCATENATE("R5C",'Riesgos de Gestión'!$V$37),"")</f>
        <v/>
      </c>
      <c r="K10" s="36" t="str">
        <f>IF(AND('Riesgos de Gestión'!$AF$38="Muy Alta",'Riesgos de Gestión'!$AH$38="Leve"),CONCATENATE("R5C",'Riesgos de Gestión'!$V$38),"")</f>
        <v/>
      </c>
      <c r="L10" s="36" t="str">
        <f>IF(AND('Riesgos de Gestión'!$AF$39="Muy Alta",'Riesgos de Gestión'!$AH$39="Leve"),CONCATENATE("R5C",'Riesgos de Gestión'!$V$39),"")</f>
        <v/>
      </c>
      <c r="M10" s="36" t="str">
        <f>IF(AND('Riesgos de Gestión'!$AF$40="Muy Alta",'Riesgos de Gestión'!$AH$40="Leve"),CONCATENATE("R5C",'Riesgos de Gestión'!$V$40),"")</f>
        <v/>
      </c>
      <c r="N10" s="36" t="str">
        <f>IF(AND('Riesgos de Gestión'!$AF$41="Muy Alta",'Riesgos de Gestión'!$AH$41="Leve"),CONCATENATE("R5C",'Riesgos de Gestión'!$V$41),"")</f>
        <v/>
      </c>
      <c r="O10" s="37" t="str">
        <f>IF(AND('Riesgos de Gestión'!$AF$42="Muy Alta",'Riesgos de Gestión'!$AH$42="Leve"),CONCATENATE("R5C",'Riesgos de Gestión'!$V$42),"")</f>
        <v/>
      </c>
      <c r="P10" s="35" t="str">
        <f>IF(AND('Riesgos de Gestión'!$AF$37="Muy Alta",'Riesgos de Gestión'!$AH$37="Menor"),CONCATENATE("R5C",'Riesgos de Gestión'!$V$37),"")</f>
        <v/>
      </c>
      <c r="Q10" s="36" t="str">
        <f>IF(AND('Riesgos de Gestión'!$AF$38="Muy Alta",'Riesgos de Gestión'!$AH$38="Menor"),CONCATENATE("R5C",'Riesgos de Gestión'!$V$38),"")</f>
        <v/>
      </c>
      <c r="R10" s="36" t="str">
        <f>IF(AND('Riesgos de Gestión'!$AF$39="Muy Alta",'Riesgos de Gestión'!$AH$39="Menor"),CONCATENATE("R5C",'Riesgos de Gestión'!$V$39),"")</f>
        <v/>
      </c>
      <c r="S10" s="36" t="str">
        <f>IF(AND('Riesgos de Gestión'!$AF$40="Muy Alta",'Riesgos de Gestión'!$AH$40="Menor"),CONCATENATE("R5C",'Riesgos de Gestión'!$V$40),"")</f>
        <v/>
      </c>
      <c r="T10" s="36" t="str">
        <f>IF(AND('Riesgos de Gestión'!$AF$41="Muy Alta",'Riesgos de Gestión'!$AH$41="Menor"),CONCATENATE("R5C",'Riesgos de Gestión'!$V$41),"")</f>
        <v/>
      </c>
      <c r="U10" s="37" t="str">
        <f>IF(AND('Riesgos de Gestión'!$AF$42="Muy Alta",'Riesgos de Gestión'!$AH$42="Menor"),CONCATENATE("R5C",'Riesgos de Gestión'!$V$42),"")</f>
        <v/>
      </c>
      <c r="V10" s="35" t="str">
        <f>IF(AND('Riesgos de Gestión'!$AF$37="Muy Alta",'Riesgos de Gestión'!$AH$37="Moderado"),CONCATENATE("R5C",'Riesgos de Gestión'!$V$37),"")</f>
        <v/>
      </c>
      <c r="W10" s="36" t="str">
        <f>IF(AND('Riesgos de Gestión'!$AF$38="Muy Alta",'Riesgos de Gestión'!$AH$38="Moderado"),CONCATENATE("R5C",'Riesgos de Gestión'!$V$38),"")</f>
        <v/>
      </c>
      <c r="X10" s="36" t="str">
        <f>IF(AND('Riesgos de Gestión'!$AF$39="Muy Alta",'Riesgos de Gestión'!$AH$39="Moderado"),CONCATENATE("R5C",'Riesgos de Gestión'!$V$39),"")</f>
        <v/>
      </c>
      <c r="Y10" s="36" t="str">
        <f>IF(AND('Riesgos de Gestión'!$AF$40="Muy Alta",'Riesgos de Gestión'!$AH$40="Moderado"),CONCATENATE("R5C",'Riesgos de Gestión'!$V$40),"")</f>
        <v/>
      </c>
      <c r="Z10" s="36" t="str">
        <f>IF(AND('Riesgos de Gestión'!$AF$41="Muy Alta",'Riesgos de Gestión'!$AH$41="Moderado"),CONCATENATE("R5C",'Riesgos de Gestión'!$V$41),"")</f>
        <v/>
      </c>
      <c r="AA10" s="37" t="str">
        <f>IF(AND('Riesgos de Gestión'!$AF$42="Muy Alta",'Riesgos de Gestión'!$AH$42="Moderado"),CONCATENATE("R5C",'Riesgos de Gestión'!$V$42),"")</f>
        <v/>
      </c>
      <c r="AB10" s="35" t="str">
        <f>IF(AND('Riesgos de Gestión'!$AF$37="Muy Alta",'Riesgos de Gestión'!$AH$37="Mayor"),CONCATENATE("R5C",'Riesgos de Gestión'!$V$37),"")</f>
        <v/>
      </c>
      <c r="AC10" s="36" t="str">
        <f>IF(AND('Riesgos de Gestión'!$AF$38="Muy Alta",'Riesgos de Gestión'!$AH$38="Mayor"),CONCATENATE("R5C",'Riesgos de Gestión'!$V$38),"")</f>
        <v/>
      </c>
      <c r="AD10" s="36" t="str">
        <f>IF(AND('Riesgos de Gestión'!$AF$39="Muy Alta",'Riesgos de Gestión'!$AH$39="Mayor"),CONCATENATE("R5C",'Riesgos de Gestión'!$V$39),"")</f>
        <v/>
      </c>
      <c r="AE10" s="36" t="str">
        <f>IF(AND('Riesgos de Gestión'!$AF$40="Muy Alta",'Riesgos de Gestión'!$AH$40="Mayor"),CONCATENATE("R5C",'Riesgos de Gestión'!$V$40),"")</f>
        <v/>
      </c>
      <c r="AF10" s="36" t="str">
        <f>IF(AND('Riesgos de Gestión'!$AF$41="Muy Alta",'Riesgos de Gestión'!$AH$41="Mayor"),CONCATENATE("R5C",'Riesgos de Gestión'!$V$41),"")</f>
        <v/>
      </c>
      <c r="AG10" s="37" t="str">
        <f>IF(AND('Riesgos de Gestión'!$AF$42="Muy Alta",'Riesgos de Gestión'!$AH$42="Mayor"),CONCATENATE("R5C",'Riesgos de Gestión'!$V$42),"")</f>
        <v/>
      </c>
      <c r="AH10" s="38" t="str">
        <f>IF(AND('Riesgos de Gestión'!$AF$37="Muy Alta",'Riesgos de Gestión'!$AH$37="Catastrófico"),CONCATENATE("R5C",'Riesgos de Gestión'!$V$37),"")</f>
        <v/>
      </c>
      <c r="AI10" s="39" t="str">
        <f>IF(AND('Riesgos de Gestión'!$AF$38="Muy Alta",'Riesgos de Gestión'!$AH$38="Catastrófico"),CONCATENATE("R5C",'Riesgos de Gestión'!$V$38),"")</f>
        <v/>
      </c>
      <c r="AJ10" s="39" t="str">
        <f>IF(AND('Riesgos de Gestión'!$AF$39="Muy Alta",'Riesgos de Gestión'!$AH$39="Catastrófico"),CONCATENATE("R5C",'Riesgos de Gestión'!$V$39),"")</f>
        <v/>
      </c>
      <c r="AK10" s="39" t="str">
        <f>IF(AND('Riesgos de Gestión'!$AF$40="Muy Alta",'Riesgos de Gestión'!$AH$40="Catastrófico"),CONCATENATE("R5C",'Riesgos de Gestión'!$V$40),"")</f>
        <v/>
      </c>
      <c r="AL10" s="39" t="str">
        <f>IF(AND('Riesgos de Gestión'!$AF$41="Muy Alta",'Riesgos de Gestión'!$AH$41="Catastrófico"),CONCATENATE("R5C",'Riesgos de Gestión'!$V$41),"")</f>
        <v/>
      </c>
      <c r="AM10" s="40" t="str">
        <f>IF(AND('Riesgos de Gestión'!$AF$42="Muy Alta",'Riesgos de Gestión'!$AH$42="Catastrófico"),CONCATENATE("R5C",'Riesgos de Gestión'!$V$42),"")</f>
        <v/>
      </c>
      <c r="AN10" s="66"/>
      <c r="AO10" s="571"/>
      <c r="AP10" s="572"/>
      <c r="AQ10" s="572"/>
      <c r="AR10" s="572"/>
      <c r="AS10" s="572"/>
      <c r="AT10" s="573"/>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row>
    <row r="11" spans="1:91" ht="15" customHeight="1" x14ac:dyDescent="0.25">
      <c r="A11" s="66"/>
      <c r="B11" s="510"/>
      <c r="C11" s="510"/>
      <c r="D11" s="511"/>
      <c r="E11" s="551"/>
      <c r="F11" s="552"/>
      <c r="G11" s="552"/>
      <c r="H11" s="552"/>
      <c r="I11" s="553"/>
      <c r="J11" s="35" t="str">
        <f>IF(AND('Riesgos de Gestión'!$AF$43="Muy Alta",'Riesgos de Gestión'!$AH$43="Leve"),CONCATENATE("R6C",'Riesgos de Gestión'!$V$43),"")</f>
        <v/>
      </c>
      <c r="K11" s="36" t="str">
        <f>IF(AND('Riesgos de Gestión'!$AF$44="Muy Alta",'Riesgos de Gestión'!$AH$44="Leve"),CONCATENATE("R6C",'Riesgos de Gestión'!$V$44),"")</f>
        <v/>
      </c>
      <c r="L11" s="36" t="str">
        <f>IF(AND('Riesgos de Gestión'!$AF$45="Muy Alta",'Riesgos de Gestión'!$AH$45="Leve"),CONCATENATE("R6C",'Riesgos de Gestión'!$V$45),"")</f>
        <v/>
      </c>
      <c r="M11" s="36" t="str">
        <f>IF(AND('Riesgos de Gestión'!$AF$46="Muy Alta",'Riesgos de Gestión'!$AH$46="Leve"),CONCATENATE("R6C",'Riesgos de Gestión'!$V$46),"")</f>
        <v/>
      </c>
      <c r="N11" s="36" t="str">
        <f>IF(AND('Riesgos de Gestión'!$AF$47="Muy Alta",'Riesgos de Gestión'!$AH$47="Leve"),CONCATENATE("R6C",'Riesgos de Gestión'!$V$47),"")</f>
        <v/>
      </c>
      <c r="O11" s="37" t="str">
        <f>IF(AND('Riesgos de Gestión'!$AF$48="Muy Alta",'Riesgos de Gestión'!$AH$48="Leve"),CONCATENATE("R6C",'Riesgos de Gestión'!$V$48),"")</f>
        <v/>
      </c>
      <c r="P11" s="35" t="str">
        <f>IF(AND('Riesgos de Gestión'!$AF$43="Muy Alta",'Riesgos de Gestión'!$AH$43="Menor"),CONCATENATE("R6C",'Riesgos de Gestión'!$V$43),"")</f>
        <v/>
      </c>
      <c r="Q11" s="36" t="str">
        <f>IF(AND('Riesgos de Gestión'!$AF$44="Muy Alta",'Riesgos de Gestión'!$AH$44="Menor"),CONCATENATE("R6C",'Riesgos de Gestión'!$V$44),"")</f>
        <v/>
      </c>
      <c r="R11" s="36" t="str">
        <f>IF(AND('Riesgos de Gestión'!$AF$45="Muy Alta",'Riesgos de Gestión'!$AH$45="Menor"),CONCATENATE("R6C",'Riesgos de Gestión'!$V$45),"")</f>
        <v/>
      </c>
      <c r="S11" s="36" t="str">
        <f>IF(AND('Riesgos de Gestión'!$AF$46="Muy Alta",'Riesgos de Gestión'!$AH$46="Menor"),CONCATENATE("R6C",'Riesgos de Gestión'!$V$46),"")</f>
        <v/>
      </c>
      <c r="T11" s="36" t="str">
        <f>IF(AND('Riesgos de Gestión'!$AF$47="Muy Alta",'Riesgos de Gestión'!$AH$47="Menor"),CONCATENATE("R6C",'Riesgos de Gestión'!$V$47),"")</f>
        <v/>
      </c>
      <c r="U11" s="37" t="str">
        <f>IF(AND('Riesgos de Gestión'!$AF$48="Muy Alta",'Riesgos de Gestión'!$AH$48="Menor"),CONCATENATE("R6C",'Riesgos de Gestión'!$V$48),"")</f>
        <v/>
      </c>
      <c r="V11" s="35" t="str">
        <f>IF(AND('Riesgos de Gestión'!$AF$43="Muy Alta",'Riesgos de Gestión'!$AH$43="Moderado"),CONCATENATE("R6C",'Riesgos de Gestión'!$V$43),"")</f>
        <v/>
      </c>
      <c r="W11" s="36" t="str">
        <f>IF(AND('Riesgos de Gestión'!$AF$44="Muy Alta",'Riesgos de Gestión'!$AH$44="Moderado"),CONCATENATE("R6C",'Riesgos de Gestión'!$V$44),"")</f>
        <v/>
      </c>
      <c r="X11" s="36" t="str">
        <f>IF(AND('Riesgos de Gestión'!$AF$45="Muy Alta",'Riesgos de Gestión'!$AH$45="Moderado"),CONCATENATE("R6C",'Riesgos de Gestión'!$V$45),"")</f>
        <v/>
      </c>
      <c r="Y11" s="36" t="str">
        <f>IF(AND('Riesgos de Gestión'!$AF$46="Muy Alta",'Riesgos de Gestión'!$AH$46="Moderado"),CONCATENATE("R6C",'Riesgos de Gestión'!$V$46),"")</f>
        <v/>
      </c>
      <c r="Z11" s="36" t="str">
        <f>IF(AND('Riesgos de Gestión'!$AF$47="Muy Alta",'Riesgos de Gestión'!$AH$47="Moderado"),CONCATENATE("R6C",'Riesgos de Gestión'!$V$47),"")</f>
        <v/>
      </c>
      <c r="AA11" s="37" t="str">
        <f>IF(AND('Riesgos de Gestión'!$AF$48="Muy Alta",'Riesgos de Gestión'!$AH$48="Moderado"),CONCATENATE("R6C",'Riesgos de Gestión'!$V$48),"")</f>
        <v/>
      </c>
      <c r="AB11" s="35" t="str">
        <f>IF(AND('Riesgos de Gestión'!$AF$43="Muy Alta",'Riesgos de Gestión'!$AH$43="Mayor"),CONCATENATE("R6C",'Riesgos de Gestión'!$V$43),"")</f>
        <v/>
      </c>
      <c r="AC11" s="36" t="str">
        <f>IF(AND('Riesgos de Gestión'!$AF$44="Muy Alta",'Riesgos de Gestión'!$AH$44="Mayor"),CONCATENATE("R6C",'Riesgos de Gestión'!$V$44),"")</f>
        <v/>
      </c>
      <c r="AD11" s="36" t="str">
        <f>IF(AND('Riesgos de Gestión'!$AF$45="Muy Alta",'Riesgos de Gestión'!$AH$45="Mayor"),CONCATENATE("R6C",'Riesgos de Gestión'!$V$45),"")</f>
        <v/>
      </c>
      <c r="AE11" s="36" t="str">
        <f>IF(AND('Riesgos de Gestión'!$AF$46="Muy Alta",'Riesgos de Gestión'!$AH$46="Mayor"),CONCATENATE("R6C",'Riesgos de Gestión'!$V$46),"")</f>
        <v/>
      </c>
      <c r="AF11" s="36" t="str">
        <f>IF(AND('Riesgos de Gestión'!$AF$47="Muy Alta",'Riesgos de Gestión'!$AH$47="Mayor"),CONCATENATE("R6C",'Riesgos de Gestión'!$V$47),"")</f>
        <v/>
      </c>
      <c r="AG11" s="37" t="str">
        <f>IF(AND('Riesgos de Gestión'!$AF$48="Muy Alta",'Riesgos de Gestión'!$AH$48="Mayor"),CONCATENATE("R6C",'Riesgos de Gestión'!$V$48),"")</f>
        <v/>
      </c>
      <c r="AH11" s="38" t="str">
        <f>IF(AND('Riesgos de Gestión'!$AF$43="Muy Alta",'Riesgos de Gestión'!$AH$43="Catastrófico"),CONCATENATE("R6C",'Riesgos de Gestión'!$V$43),"")</f>
        <v/>
      </c>
      <c r="AI11" s="39" t="str">
        <f>IF(AND('Riesgos de Gestión'!$AF$44="Muy Alta",'Riesgos de Gestión'!$AH$44="Catastrófico"),CONCATENATE("R6C",'Riesgos de Gestión'!$V$44),"")</f>
        <v/>
      </c>
      <c r="AJ11" s="39" t="str">
        <f>IF(AND('Riesgos de Gestión'!$AF$45="Muy Alta",'Riesgos de Gestión'!$AH$45="Catastrófico"),CONCATENATE("R6C",'Riesgos de Gestión'!$V$45),"")</f>
        <v/>
      </c>
      <c r="AK11" s="39" t="str">
        <f>IF(AND('Riesgos de Gestión'!$AF$46="Muy Alta",'Riesgos de Gestión'!$AH$46="Catastrófico"),CONCATENATE("R6C",'Riesgos de Gestión'!$V$46),"")</f>
        <v/>
      </c>
      <c r="AL11" s="39" t="str">
        <f>IF(AND('Riesgos de Gestión'!$AF$47="Muy Alta",'Riesgos de Gestión'!$AH$47="Catastrófico"),CONCATENATE("R6C",'Riesgos de Gestión'!$V$47),"")</f>
        <v/>
      </c>
      <c r="AM11" s="40" t="str">
        <f>IF(AND('Riesgos de Gestión'!$AF$48="Muy Alta",'Riesgos de Gestión'!$AH$48="Catastrófico"),CONCATENATE("R6C",'Riesgos de Gestión'!$V$48),"")</f>
        <v/>
      </c>
      <c r="AN11" s="66"/>
      <c r="AO11" s="571"/>
      <c r="AP11" s="572"/>
      <c r="AQ11" s="572"/>
      <c r="AR11" s="572"/>
      <c r="AS11" s="572"/>
      <c r="AT11" s="573"/>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row>
    <row r="12" spans="1:91" ht="15" customHeight="1" x14ac:dyDescent="0.25">
      <c r="A12" s="66"/>
      <c r="B12" s="510"/>
      <c r="C12" s="510"/>
      <c r="D12" s="511"/>
      <c r="E12" s="551"/>
      <c r="F12" s="552"/>
      <c r="G12" s="552"/>
      <c r="H12" s="552"/>
      <c r="I12" s="553"/>
      <c r="J12" s="35" t="str">
        <f>IF(AND('Riesgos de Gestión'!$AF$49="Muy Alta",'Riesgos de Gestión'!$AH$49="Leve"),CONCATENATE("R7C",'Riesgos de Gestión'!$V$49),"")</f>
        <v/>
      </c>
      <c r="K12" s="36" t="str">
        <f>IF(AND('Riesgos de Gestión'!$AF$50="Muy Alta",'Riesgos de Gestión'!$AH$50="Leve"),CONCATENATE("R7C",'Riesgos de Gestión'!$V$50),"")</f>
        <v/>
      </c>
      <c r="L12" s="36" t="str">
        <f>IF(AND('Riesgos de Gestión'!$AF$51="Muy Alta",'Riesgos de Gestión'!$AH$51="Leve"),CONCATENATE("R7C",'Riesgos de Gestión'!$V$51),"")</f>
        <v/>
      </c>
      <c r="M12" s="36" t="str">
        <f>IF(AND('Riesgos de Gestión'!$AF$52="Muy Alta",'Riesgos de Gestión'!$AH$52="Leve"),CONCATENATE("R7C",'Riesgos de Gestión'!$V$52),"")</f>
        <v/>
      </c>
      <c r="N12" s="36" t="str">
        <f>IF(AND('Riesgos de Gestión'!$AF$53="Muy Alta",'Riesgos de Gestión'!$AH$53="Leve"),CONCATENATE("R7C",'Riesgos de Gestión'!$V$53),"")</f>
        <v/>
      </c>
      <c r="O12" s="37" t="str">
        <f>IF(AND('Riesgos de Gestión'!$AF$54="Muy Alta",'Riesgos de Gestión'!$AH$54="Leve"),CONCATENATE("R7C",'Riesgos de Gestión'!$V$54),"")</f>
        <v/>
      </c>
      <c r="P12" s="35" t="str">
        <f>IF(AND('Riesgos de Gestión'!$AF$49="Muy Alta",'Riesgos de Gestión'!$AH$49="Menor"),CONCATENATE("R7C",'Riesgos de Gestión'!$V$49),"")</f>
        <v/>
      </c>
      <c r="Q12" s="36" t="str">
        <f>IF(AND('Riesgos de Gestión'!$AF$50="Muy Alta",'Riesgos de Gestión'!$AH$50="Menor"),CONCATENATE("R7C",'Riesgos de Gestión'!$V$50),"")</f>
        <v/>
      </c>
      <c r="R12" s="36" t="str">
        <f>IF(AND('Riesgos de Gestión'!$AF$51="Muy Alta",'Riesgos de Gestión'!$AH$51="Menor"),CONCATENATE("R7C",'Riesgos de Gestión'!$V$51),"")</f>
        <v/>
      </c>
      <c r="S12" s="36" t="str">
        <f>IF(AND('Riesgos de Gestión'!$AF$52="Muy Alta",'Riesgos de Gestión'!$AH$52="Menor"),CONCATENATE("R7C",'Riesgos de Gestión'!$V$52),"")</f>
        <v/>
      </c>
      <c r="T12" s="36" t="str">
        <f>IF(AND('Riesgos de Gestión'!$AF$53="Muy Alta",'Riesgos de Gestión'!$AH$53="Menor"),CONCATENATE("R7C",'Riesgos de Gestión'!$V$53),"")</f>
        <v/>
      </c>
      <c r="U12" s="37" t="str">
        <f>IF(AND('Riesgos de Gestión'!$AF$54="Muy Alta",'Riesgos de Gestión'!$AH$54="Menor"),CONCATENATE("R7C",'Riesgos de Gestión'!$V$54),"")</f>
        <v/>
      </c>
      <c r="V12" s="35" t="str">
        <f>IF(AND('Riesgos de Gestión'!$AF$49="Muy Alta",'Riesgos de Gestión'!$AH$49="Moderado"),CONCATENATE("R7C",'Riesgos de Gestión'!$V$49),"")</f>
        <v/>
      </c>
      <c r="W12" s="36" t="str">
        <f>IF(AND('Riesgos de Gestión'!$AF$50="Muy Alta",'Riesgos de Gestión'!$AH$50="Moderado"),CONCATENATE("R7C",'Riesgos de Gestión'!$V$50),"")</f>
        <v/>
      </c>
      <c r="X12" s="36" t="str">
        <f>IF(AND('Riesgos de Gestión'!$AF$51="Muy Alta",'Riesgos de Gestión'!$AH$51="Moderado"),CONCATENATE("R7C",'Riesgos de Gestión'!$V$51),"")</f>
        <v/>
      </c>
      <c r="Y12" s="36" t="str">
        <f>IF(AND('Riesgos de Gestión'!$AF$52="Muy Alta",'Riesgos de Gestión'!$AH$52="Moderado"),CONCATENATE("R7C",'Riesgos de Gestión'!$V$52),"")</f>
        <v/>
      </c>
      <c r="Z12" s="36" t="str">
        <f>IF(AND('Riesgos de Gestión'!$AF$53="Muy Alta",'Riesgos de Gestión'!$AH$53="Moderado"),CONCATENATE("R7C",'Riesgos de Gestión'!$V$53),"")</f>
        <v/>
      </c>
      <c r="AA12" s="37" t="str">
        <f>IF(AND('Riesgos de Gestión'!$AF$54="Muy Alta",'Riesgos de Gestión'!$AH$54="Moderado"),CONCATENATE("R7C",'Riesgos de Gestión'!$V$54),"")</f>
        <v/>
      </c>
      <c r="AB12" s="35" t="str">
        <f>IF(AND('Riesgos de Gestión'!$AF$49="Muy Alta",'Riesgos de Gestión'!$AH$49="Mayor"),CONCATENATE("R7C",'Riesgos de Gestión'!$V$49),"")</f>
        <v/>
      </c>
      <c r="AC12" s="36" t="str">
        <f>IF(AND('Riesgos de Gestión'!$AF$50="Muy Alta",'Riesgos de Gestión'!$AH$50="Mayor"),CONCATENATE("R7C",'Riesgos de Gestión'!$V$50),"")</f>
        <v/>
      </c>
      <c r="AD12" s="36" t="str">
        <f>IF(AND('Riesgos de Gestión'!$AF$51="Muy Alta",'Riesgos de Gestión'!$AH$51="Mayor"),CONCATENATE("R7C",'Riesgos de Gestión'!$V$51),"")</f>
        <v/>
      </c>
      <c r="AE12" s="36" t="str">
        <f>IF(AND('Riesgos de Gestión'!$AF$52="Muy Alta",'Riesgos de Gestión'!$AH$52="Mayor"),CONCATENATE("R7C",'Riesgos de Gestión'!$V$52),"")</f>
        <v/>
      </c>
      <c r="AF12" s="36" t="str">
        <f>IF(AND('Riesgos de Gestión'!$AF$53="Muy Alta",'Riesgos de Gestión'!$AH$53="Mayor"),CONCATENATE("R7C",'Riesgos de Gestión'!$V$53),"")</f>
        <v/>
      </c>
      <c r="AG12" s="37" t="str">
        <f>IF(AND('Riesgos de Gestión'!$AF$54="Muy Alta",'Riesgos de Gestión'!$AH$54="Mayor"),CONCATENATE("R7C",'Riesgos de Gestión'!$V$54),"")</f>
        <v/>
      </c>
      <c r="AH12" s="38" t="str">
        <f>IF(AND('Riesgos de Gestión'!$AF$49="Muy Alta",'Riesgos de Gestión'!$AH$49="Catastrófico"),CONCATENATE("R7C",'Riesgos de Gestión'!$V$49),"")</f>
        <v/>
      </c>
      <c r="AI12" s="39" t="str">
        <f>IF(AND('Riesgos de Gestión'!$AF$50="Muy Alta",'Riesgos de Gestión'!$AH$50="Catastrófico"),CONCATENATE("R7C",'Riesgos de Gestión'!$V$50),"")</f>
        <v/>
      </c>
      <c r="AJ12" s="39" t="str">
        <f>IF(AND('Riesgos de Gestión'!$AF$51="Muy Alta",'Riesgos de Gestión'!$AH$51="Catastrófico"),CONCATENATE("R7C",'Riesgos de Gestión'!$V$51),"")</f>
        <v/>
      </c>
      <c r="AK12" s="39" t="str">
        <f>IF(AND('Riesgos de Gestión'!$AF$52="Muy Alta",'Riesgos de Gestión'!$AH$52="Catastrófico"),CONCATENATE("R7C",'Riesgos de Gestión'!$V$52),"")</f>
        <v/>
      </c>
      <c r="AL12" s="39" t="str">
        <f>IF(AND('Riesgos de Gestión'!$AF$53="Muy Alta",'Riesgos de Gestión'!$AH$53="Catastrófico"),CONCATENATE("R7C",'Riesgos de Gestión'!$V$53),"")</f>
        <v/>
      </c>
      <c r="AM12" s="40" t="str">
        <f>IF(AND('Riesgos de Gestión'!$AF$54="Muy Alta",'Riesgos de Gestión'!$AH$54="Catastrófico"),CONCATENATE("R7C",'Riesgos de Gestión'!$V$54),"")</f>
        <v/>
      </c>
      <c r="AN12" s="66"/>
      <c r="AO12" s="571"/>
      <c r="AP12" s="572"/>
      <c r="AQ12" s="572"/>
      <c r="AR12" s="572"/>
      <c r="AS12" s="572"/>
      <c r="AT12" s="573"/>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91" ht="15" customHeight="1" x14ac:dyDescent="0.25">
      <c r="A13" s="66"/>
      <c r="B13" s="510"/>
      <c r="C13" s="510"/>
      <c r="D13" s="511"/>
      <c r="E13" s="551"/>
      <c r="F13" s="552"/>
      <c r="G13" s="552"/>
      <c r="H13" s="552"/>
      <c r="I13" s="553"/>
      <c r="J13" s="35" t="str">
        <f>IF(AND('Riesgos de Gestión'!$AF$55="Muy Alta",'Riesgos de Gestión'!$AH$55="Leve"),CONCATENATE("R8C",'Riesgos de Gestión'!$V$55),"")</f>
        <v/>
      </c>
      <c r="K13" s="36" t="str">
        <f>IF(AND('Riesgos de Gestión'!$AF$56="Muy Alta",'Riesgos de Gestión'!$AH$56="Leve"),CONCATENATE("R8C",'Riesgos de Gestión'!$V$56),"")</f>
        <v/>
      </c>
      <c r="L13" s="36" t="str">
        <f>IF(AND('Riesgos de Gestión'!$AF$57="Muy Alta",'Riesgos de Gestión'!$AH$57="Leve"),CONCATENATE("R8C",'Riesgos de Gestión'!$V$57),"")</f>
        <v/>
      </c>
      <c r="M13" s="36" t="str">
        <f>IF(AND('Riesgos de Gestión'!$AF$58="Muy Alta",'Riesgos de Gestión'!$AH$58="Leve"),CONCATENATE("R8C",'Riesgos de Gestión'!$V$58),"")</f>
        <v/>
      </c>
      <c r="N13" s="36" t="str">
        <f>IF(AND('Riesgos de Gestión'!$AF$59="Muy Alta",'Riesgos de Gestión'!$AH$59="Leve"),CONCATENATE("R8C",'Riesgos de Gestión'!$V$59),"")</f>
        <v/>
      </c>
      <c r="O13" s="37" t="str">
        <f>IF(AND('Riesgos de Gestión'!$AF$60="Muy Alta",'Riesgos de Gestión'!$AH$60="Leve"),CONCATENATE("R8C",'Riesgos de Gestión'!$V$60),"")</f>
        <v/>
      </c>
      <c r="P13" s="35" t="str">
        <f>IF(AND('Riesgos de Gestión'!$AF$55="Muy Alta",'Riesgos de Gestión'!$AH$55="Menor"),CONCATENATE("R8C",'Riesgos de Gestión'!$V$55),"")</f>
        <v/>
      </c>
      <c r="Q13" s="36" t="str">
        <f>IF(AND('Riesgos de Gestión'!$AF$56="Muy Alta",'Riesgos de Gestión'!$AH$56="Menor"),CONCATENATE("R8C",'Riesgos de Gestión'!$V$56),"")</f>
        <v/>
      </c>
      <c r="R13" s="36" t="str">
        <f>IF(AND('Riesgos de Gestión'!$AF$57="Muy Alta",'Riesgos de Gestión'!$AH$57="Menor"),CONCATENATE("R8C",'Riesgos de Gestión'!$V$57),"")</f>
        <v/>
      </c>
      <c r="S13" s="36" t="str">
        <f>IF(AND('Riesgos de Gestión'!$AF$58="Muy Alta",'Riesgos de Gestión'!$AH$58="Menor"),CONCATENATE("R8C",'Riesgos de Gestión'!$V$58),"")</f>
        <v/>
      </c>
      <c r="T13" s="36" t="str">
        <f>IF(AND('Riesgos de Gestión'!$AF$59="Muy Alta",'Riesgos de Gestión'!$AH$59="Menor"),CONCATENATE("R8C",'Riesgos de Gestión'!$V$59),"")</f>
        <v/>
      </c>
      <c r="U13" s="37" t="str">
        <f>IF(AND('Riesgos de Gestión'!$AF$60="Muy Alta",'Riesgos de Gestión'!$AH$60="Menor"),CONCATENATE("R8C",'Riesgos de Gestión'!$V$60),"")</f>
        <v/>
      </c>
      <c r="V13" s="35" t="str">
        <f>IF(AND('Riesgos de Gestión'!$AF$55="Muy Alta",'Riesgos de Gestión'!$AH$55="Moderado"),CONCATENATE("R8C",'Riesgos de Gestión'!$V$55),"")</f>
        <v/>
      </c>
      <c r="W13" s="36" t="str">
        <f>IF(AND('Riesgos de Gestión'!$AF$56="Muy Alta",'Riesgos de Gestión'!$AH$56="Moderado"),CONCATENATE("R8C",'Riesgos de Gestión'!$V$56),"")</f>
        <v/>
      </c>
      <c r="X13" s="36" t="str">
        <f>IF(AND('Riesgos de Gestión'!$AF$57="Muy Alta",'Riesgos de Gestión'!$AH$57="Moderado"),CONCATENATE("R8C",'Riesgos de Gestión'!$V$57),"")</f>
        <v/>
      </c>
      <c r="Y13" s="36" t="str">
        <f>IF(AND('Riesgos de Gestión'!$AF$58="Muy Alta",'Riesgos de Gestión'!$AH$58="Moderado"),CONCATENATE("R8C",'Riesgos de Gestión'!$V$58),"")</f>
        <v/>
      </c>
      <c r="Z13" s="36" t="str">
        <f>IF(AND('Riesgos de Gestión'!$AF$59="Muy Alta",'Riesgos de Gestión'!$AH$59="Moderado"),CONCATENATE("R8C",'Riesgos de Gestión'!$V$59),"")</f>
        <v/>
      </c>
      <c r="AA13" s="37" t="str">
        <f>IF(AND('Riesgos de Gestión'!$AF$60="Muy Alta",'Riesgos de Gestión'!$AH$60="Moderado"),CONCATENATE("R8C",'Riesgos de Gestión'!$V$60),"")</f>
        <v/>
      </c>
      <c r="AB13" s="35" t="str">
        <f>IF(AND('Riesgos de Gestión'!$AF$55="Muy Alta",'Riesgos de Gestión'!$AH$55="Mayor"),CONCATENATE("R8C",'Riesgos de Gestión'!$V$55),"")</f>
        <v/>
      </c>
      <c r="AC13" s="36" t="str">
        <f>IF(AND('Riesgos de Gestión'!$AF$56="Muy Alta",'Riesgos de Gestión'!$AH$56="Mayor"),CONCATENATE("R8C",'Riesgos de Gestión'!$V$56),"")</f>
        <v/>
      </c>
      <c r="AD13" s="36" t="str">
        <f>IF(AND('Riesgos de Gestión'!$AF$57="Muy Alta",'Riesgos de Gestión'!$AH$57="Mayor"),CONCATENATE("R8C",'Riesgos de Gestión'!$V$57),"")</f>
        <v/>
      </c>
      <c r="AE13" s="36" t="str">
        <f>IF(AND('Riesgos de Gestión'!$AF$58="Muy Alta",'Riesgos de Gestión'!$AH$58="Mayor"),CONCATENATE("R8C",'Riesgos de Gestión'!$V$58),"")</f>
        <v/>
      </c>
      <c r="AF13" s="36" t="str">
        <f>IF(AND('Riesgos de Gestión'!$AF$59="Muy Alta",'Riesgos de Gestión'!$AH$59="Mayor"),CONCATENATE("R8C",'Riesgos de Gestión'!$V$59),"")</f>
        <v/>
      </c>
      <c r="AG13" s="37" t="str">
        <f>IF(AND('Riesgos de Gestión'!$AF$60="Muy Alta",'Riesgos de Gestión'!$AH$60="Mayor"),CONCATENATE("R8C",'Riesgos de Gestión'!$V$60),"")</f>
        <v/>
      </c>
      <c r="AH13" s="38" t="str">
        <f>IF(AND('Riesgos de Gestión'!$AF$55="Muy Alta",'Riesgos de Gestión'!$AH$55="Catastrófico"),CONCATENATE("R8C",'Riesgos de Gestión'!$V$55),"")</f>
        <v/>
      </c>
      <c r="AI13" s="39" t="str">
        <f>IF(AND('Riesgos de Gestión'!$AF$56="Muy Alta",'Riesgos de Gestión'!$AH$56="Catastrófico"),CONCATENATE("R8C",'Riesgos de Gestión'!$V$56),"")</f>
        <v/>
      </c>
      <c r="AJ13" s="39" t="str">
        <f>IF(AND('Riesgos de Gestión'!$AF$57="Muy Alta",'Riesgos de Gestión'!$AH$57="Catastrófico"),CONCATENATE("R8C",'Riesgos de Gestión'!$V$57),"")</f>
        <v/>
      </c>
      <c r="AK13" s="39" t="str">
        <f>IF(AND('Riesgos de Gestión'!$AF$58="Muy Alta",'Riesgos de Gestión'!$AH$58="Catastrófico"),CONCATENATE("R8C",'Riesgos de Gestión'!$V$58),"")</f>
        <v/>
      </c>
      <c r="AL13" s="39" t="str">
        <f>IF(AND('Riesgos de Gestión'!$AF$59="Muy Alta",'Riesgos de Gestión'!$AH$59="Catastrófico"),CONCATENATE("R8C",'Riesgos de Gestión'!$V$59),"")</f>
        <v/>
      </c>
      <c r="AM13" s="40" t="str">
        <f>IF(AND('Riesgos de Gestión'!$AF$60="Muy Alta",'Riesgos de Gestión'!$AH$60="Catastrófico"),CONCATENATE("R8C",'Riesgos de Gestión'!$V$60),"")</f>
        <v/>
      </c>
      <c r="AN13" s="66"/>
      <c r="AO13" s="571"/>
      <c r="AP13" s="572"/>
      <c r="AQ13" s="572"/>
      <c r="AR13" s="572"/>
      <c r="AS13" s="572"/>
      <c r="AT13" s="573"/>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row>
    <row r="14" spans="1:91" ht="15" customHeight="1" x14ac:dyDescent="0.25">
      <c r="A14" s="66"/>
      <c r="B14" s="510"/>
      <c r="C14" s="510"/>
      <c r="D14" s="511"/>
      <c r="E14" s="551"/>
      <c r="F14" s="552"/>
      <c r="G14" s="552"/>
      <c r="H14" s="552"/>
      <c r="I14" s="553"/>
      <c r="J14" s="35" t="str">
        <f>IF(AND('Riesgos de Gestión'!$AF$61="Muy Alta",'Riesgos de Gestión'!$AH$61="Leve"),CONCATENATE("R9C",'Riesgos de Gestión'!$V$61),"")</f>
        <v/>
      </c>
      <c r="K14" s="36" t="str">
        <f>IF(AND('Riesgos de Gestión'!$AF$62="Muy Alta",'Riesgos de Gestión'!$AH$62="Leve"),CONCATENATE("R9C",'Riesgos de Gestión'!$V$62),"")</f>
        <v/>
      </c>
      <c r="L14" s="36" t="str">
        <f>IF(AND('Riesgos de Gestión'!$AF$63="Muy Alta",'Riesgos de Gestión'!$AH$63="Leve"),CONCATENATE("R9C",'Riesgos de Gestión'!$V$63),"")</f>
        <v/>
      </c>
      <c r="M14" s="36" t="str">
        <f>IF(AND('Riesgos de Gestión'!$AF$64="Muy Alta",'Riesgos de Gestión'!$AH$64="Leve"),CONCATENATE("R9C",'Riesgos de Gestión'!$V$64),"")</f>
        <v/>
      </c>
      <c r="N14" s="36" t="str">
        <f>IF(AND('Riesgos de Gestión'!$AF$65="Muy Alta",'Riesgos de Gestión'!$AH$65="Leve"),CONCATENATE("R9C",'Riesgos de Gestión'!$V$65),"")</f>
        <v/>
      </c>
      <c r="O14" s="37" t="str">
        <f>IF(AND('Riesgos de Gestión'!$AF$66="Muy Alta",'Riesgos de Gestión'!$AH$66="Leve"),CONCATENATE("R9C",'Riesgos de Gestión'!$V$66),"")</f>
        <v/>
      </c>
      <c r="P14" s="35" t="str">
        <f>IF(AND('Riesgos de Gestión'!$AF$61="Muy Alta",'Riesgos de Gestión'!$AH$61="Menor"),CONCATENATE("R9C",'Riesgos de Gestión'!$V$61),"")</f>
        <v/>
      </c>
      <c r="Q14" s="36" t="str">
        <f>IF(AND('Riesgos de Gestión'!$AF$62="Muy Alta",'Riesgos de Gestión'!$AH$62="Menor"),CONCATENATE("R9C",'Riesgos de Gestión'!$V$62),"")</f>
        <v/>
      </c>
      <c r="R14" s="36" t="str">
        <f>IF(AND('Riesgos de Gestión'!$AF$63="Muy Alta",'Riesgos de Gestión'!$AH$63="Menor"),CONCATENATE("R9C",'Riesgos de Gestión'!$V$63),"")</f>
        <v/>
      </c>
      <c r="S14" s="36" t="str">
        <f>IF(AND('Riesgos de Gestión'!$AF$64="Muy Alta",'Riesgos de Gestión'!$AH$64="Menor"),CONCATENATE("R9C",'Riesgos de Gestión'!$V$64),"")</f>
        <v/>
      </c>
      <c r="T14" s="36" t="str">
        <f>IF(AND('Riesgos de Gestión'!$AF$65="Muy Alta",'Riesgos de Gestión'!$AH$65="Menor"),CONCATENATE("R9C",'Riesgos de Gestión'!$V$65),"")</f>
        <v/>
      </c>
      <c r="U14" s="37" t="str">
        <f>IF(AND('Riesgos de Gestión'!$AF$66="Muy Alta",'Riesgos de Gestión'!$AH$66="Menor"),CONCATENATE("R9C",'Riesgos de Gestión'!$V$66),"")</f>
        <v/>
      </c>
      <c r="V14" s="35" t="str">
        <f>IF(AND('Riesgos de Gestión'!$AF$61="Muy Alta",'Riesgos de Gestión'!$AH$61="Moderado"),CONCATENATE("R9C",'Riesgos de Gestión'!$V$61),"")</f>
        <v/>
      </c>
      <c r="W14" s="36" t="str">
        <f>IF(AND('Riesgos de Gestión'!$AF$62="Muy Alta",'Riesgos de Gestión'!$AH$62="Moderado"),CONCATENATE("R9C",'Riesgos de Gestión'!$V$62),"")</f>
        <v/>
      </c>
      <c r="X14" s="36" t="str">
        <f>IF(AND('Riesgos de Gestión'!$AF$63="Muy Alta",'Riesgos de Gestión'!$AH$63="Moderado"),CONCATENATE("R9C",'Riesgos de Gestión'!$V$63),"")</f>
        <v/>
      </c>
      <c r="Y14" s="36" t="str">
        <f>IF(AND('Riesgos de Gestión'!$AF$64="Muy Alta",'Riesgos de Gestión'!$AH$64="Moderado"),CONCATENATE("R9C",'Riesgos de Gestión'!$V$64),"")</f>
        <v/>
      </c>
      <c r="Z14" s="36" t="str">
        <f>IF(AND('Riesgos de Gestión'!$AF$65="Muy Alta",'Riesgos de Gestión'!$AH$65="Moderado"),CONCATENATE("R9C",'Riesgos de Gestión'!$V$65),"")</f>
        <v/>
      </c>
      <c r="AA14" s="37" t="str">
        <f>IF(AND('Riesgos de Gestión'!$AF$66="Muy Alta",'Riesgos de Gestión'!$AH$66="Moderado"),CONCATENATE("R9C",'Riesgos de Gestión'!$V$66),"")</f>
        <v/>
      </c>
      <c r="AB14" s="35" t="str">
        <f>IF(AND('Riesgos de Gestión'!$AF$61="Muy Alta",'Riesgos de Gestión'!$AH$61="Mayor"),CONCATENATE("R9C",'Riesgos de Gestión'!$V$61),"")</f>
        <v/>
      </c>
      <c r="AC14" s="36" t="str">
        <f>IF(AND('Riesgos de Gestión'!$AF$62="Muy Alta",'Riesgos de Gestión'!$AH$62="Mayor"),CONCATENATE("R9C",'Riesgos de Gestión'!$V$62),"")</f>
        <v/>
      </c>
      <c r="AD14" s="36" t="str">
        <f>IF(AND('Riesgos de Gestión'!$AF$63="Muy Alta",'Riesgos de Gestión'!$AH$63="Mayor"),CONCATENATE("R9C",'Riesgos de Gestión'!$V$63),"")</f>
        <v/>
      </c>
      <c r="AE14" s="36" t="str">
        <f>IF(AND('Riesgos de Gestión'!$AF$64="Muy Alta",'Riesgos de Gestión'!$AH$64="Mayor"),CONCATENATE("R9C",'Riesgos de Gestión'!$V$64),"")</f>
        <v/>
      </c>
      <c r="AF14" s="36" t="str">
        <f>IF(AND('Riesgos de Gestión'!$AF$65="Muy Alta",'Riesgos de Gestión'!$AH$65="Mayor"),CONCATENATE("R9C",'Riesgos de Gestión'!$V$65),"")</f>
        <v/>
      </c>
      <c r="AG14" s="37" t="str">
        <f>IF(AND('Riesgos de Gestión'!$AF$66="Muy Alta",'Riesgos de Gestión'!$AH$66="Mayor"),CONCATENATE("R9C",'Riesgos de Gestión'!$V$66),"")</f>
        <v/>
      </c>
      <c r="AH14" s="38" t="str">
        <f>IF(AND('Riesgos de Gestión'!$AF$61="Muy Alta",'Riesgos de Gestión'!$AH$61="Catastrófico"),CONCATENATE("R9C",'Riesgos de Gestión'!$V$61),"")</f>
        <v/>
      </c>
      <c r="AI14" s="39" t="str">
        <f>IF(AND('Riesgos de Gestión'!$AF$62="Muy Alta",'Riesgos de Gestión'!$AH$62="Catastrófico"),CONCATENATE("R9C",'Riesgos de Gestión'!$V$62),"")</f>
        <v/>
      </c>
      <c r="AJ14" s="39" t="str">
        <f>IF(AND('Riesgos de Gestión'!$AF$63="Muy Alta",'Riesgos de Gestión'!$AH$63="Catastrófico"),CONCATENATE("R9C",'Riesgos de Gestión'!$V$63),"")</f>
        <v/>
      </c>
      <c r="AK14" s="39" t="str">
        <f>IF(AND('Riesgos de Gestión'!$AF$64="Muy Alta",'Riesgos de Gestión'!$AH$64="Catastrófico"),CONCATENATE("R9C",'Riesgos de Gestión'!$V$64),"")</f>
        <v/>
      </c>
      <c r="AL14" s="39" t="str">
        <f>IF(AND('Riesgos de Gestión'!$AF$65="Muy Alta",'Riesgos de Gestión'!$AH$65="Catastrófico"),CONCATENATE("R9C",'Riesgos de Gestión'!$V$65),"")</f>
        <v/>
      </c>
      <c r="AM14" s="40" t="str">
        <f>IF(AND('Riesgos de Gestión'!$AF$66="Muy Alta",'Riesgos de Gestión'!$AH$66="Catastrófico"),CONCATENATE("R9C",'Riesgos de Gestión'!$V$66),"")</f>
        <v/>
      </c>
      <c r="AN14" s="66"/>
      <c r="AO14" s="571"/>
      <c r="AP14" s="572"/>
      <c r="AQ14" s="572"/>
      <c r="AR14" s="572"/>
      <c r="AS14" s="572"/>
      <c r="AT14" s="573"/>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row>
    <row r="15" spans="1:91" ht="15.75" customHeight="1" thickBot="1" x14ac:dyDescent="0.3">
      <c r="A15" s="66"/>
      <c r="B15" s="510"/>
      <c r="C15" s="510"/>
      <c r="D15" s="511"/>
      <c r="E15" s="554"/>
      <c r="F15" s="555"/>
      <c r="G15" s="555"/>
      <c r="H15" s="555"/>
      <c r="I15" s="556"/>
      <c r="J15" s="41" t="str">
        <f>IF(AND('Riesgos de Gestión'!$AF$67="Muy Alta",'Riesgos de Gestión'!$AH$67="Leve"),CONCATENATE("R10C",'Riesgos de Gestión'!$V$67),"")</f>
        <v/>
      </c>
      <c r="K15" s="42" t="str">
        <f>IF(AND('Riesgos de Gestión'!$AF$68="Muy Alta",'Riesgos de Gestión'!$AH$68="Leve"),CONCATENATE("R10C",'Riesgos de Gestión'!$V$68),"")</f>
        <v/>
      </c>
      <c r="L15" s="42" t="str">
        <f>IF(AND('Riesgos de Gestión'!$AF$69="Muy Alta",'Riesgos de Gestión'!$AH$69="Leve"),CONCATENATE("R10C",'Riesgos de Gestión'!$V$69),"")</f>
        <v/>
      </c>
      <c r="M15" s="42" t="str">
        <f>IF(AND('Riesgos de Gestión'!$AF$70="Muy Alta",'Riesgos de Gestión'!$AH$70="Leve"),CONCATENATE("R10C",'Riesgos de Gestión'!$V$70),"")</f>
        <v/>
      </c>
      <c r="N15" s="42" t="str">
        <f>IF(AND('Riesgos de Gestión'!$AF$71="Muy Alta",'Riesgos de Gestión'!$AH$71="Leve"),CONCATENATE("R10C",'Riesgos de Gestión'!$V$71),"")</f>
        <v/>
      </c>
      <c r="O15" s="43" t="str">
        <f>IF(AND('Riesgos de Gestión'!$AF$72="Muy Alta",'Riesgos de Gestión'!$AH$72="Leve"),CONCATENATE("R10C",'Riesgos de Gestión'!$V$72),"")</f>
        <v/>
      </c>
      <c r="P15" s="35" t="str">
        <f>IF(AND('Riesgos de Gestión'!$AF$67="Muy Alta",'Riesgos de Gestión'!$AH$67="Menor"),CONCATENATE("R10C",'Riesgos de Gestión'!$V$67),"")</f>
        <v/>
      </c>
      <c r="Q15" s="36" t="str">
        <f>IF(AND('Riesgos de Gestión'!$AF$68="Muy Alta",'Riesgos de Gestión'!$AH$68="Menor"),CONCATENATE("R10C",'Riesgos de Gestión'!$V$68),"")</f>
        <v/>
      </c>
      <c r="R15" s="36" t="str">
        <f>IF(AND('Riesgos de Gestión'!$AF$69="Muy Alta",'Riesgos de Gestión'!$AH$69="Menor"),CONCATENATE("R10C",'Riesgos de Gestión'!$V$69),"")</f>
        <v/>
      </c>
      <c r="S15" s="36" t="str">
        <f>IF(AND('Riesgos de Gestión'!$AF$70="Muy Alta",'Riesgos de Gestión'!$AH$70="Menor"),CONCATENATE("R10C",'Riesgos de Gestión'!$V$70),"")</f>
        <v/>
      </c>
      <c r="T15" s="36" t="str">
        <f>IF(AND('Riesgos de Gestión'!$AF$71="Muy Alta",'Riesgos de Gestión'!$AH$71="Menor"),CONCATENATE("R10C",'Riesgos de Gestión'!$V$71),"")</f>
        <v/>
      </c>
      <c r="U15" s="37" t="str">
        <f>IF(AND('Riesgos de Gestión'!$AF$72="Muy Alta",'Riesgos de Gestión'!$AH$72="Menor"),CONCATENATE("R10C",'Riesgos de Gestión'!$V$72),"")</f>
        <v/>
      </c>
      <c r="V15" s="41" t="str">
        <f>IF(AND('Riesgos de Gestión'!$AF$67="Muy Alta",'Riesgos de Gestión'!$AH$67="Moderado"),CONCATENATE("R10C",'Riesgos de Gestión'!$V$67),"")</f>
        <v/>
      </c>
      <c r="W15" s="42" t="str">
        <f>IF(AND('Riesgos de Gestión'!$AF$68="Muy Alta",'Riesgos de Gestión'!$AH$68="Moderado"),CONCATENATE("R10C",'Riesgos de Gestión'!$V$68),"")</f>
        <v/>
      </c>
      <c r="X15" s="42" t="str">
        <f>IF(AND('Riesgos de Gestión'!$AF$69="Muy Alta",'Riesgos de Gestión'!$AH$69="Moderado"),CONCATENATE("R10C",'Riesgos de Gestión'!$V$69),"")</f>
        <v/>
      </c>
      <c r="Y15" s="42" t="str">
        <f>IF(AND('Riesgos de Gestión'!$AF$70="Muy Alta",'Riesgos de Gestión'!$AH$70="Moderado"),CONCATENATE("R10C",'Riesgos de Gestión'!$V$70),"")</f>
        <v/>
      </c>
      <c r="Z15" s="42" t="str">
        <f>IF(AND('Riesgos de Gestión'!$AF$71="Muy Alta",'Riesgos de Gestión'!$AH$71="Moderado"),CONCATENATE("R10C",'Riesgos de Gestión'!$V$71),"")</f>
        <v/>
      </c>
      <c r="AA15" s="43" t="str">
        <f>IF(AND('Riesgos de Gestión'!$AF$72="Muy Alta",'Riesgos de Gestión'!$AH$72="Moderado"),CONCATENATE("R10C",'Riesgos de Gestión'!$V$72),"")</f>
        <v/>
      </c>
      <c r="AB15" s="35" t="str">
        <f>IF(AND('Riesgos de Gestión'!$AF$67="Muy Alta",'Riesgos de Gestión'!$AH$67="Mayor"),CONCATENATE("R10C",'Riesgos de Gestión'!$V$67),"")</f>
        <v/>
      </c>
      <c r="AC15" s="36" t="str">
        <f>IF(AND('Riesgos de Gestión'!$AF$68="Muy Alta",'Riesgos de Gestión'!$AH$68="Mayor"),CONCATENATE("R10C",'Riesgos de Gestión'!$V$68),"")</f>
        <v/>
      </c>
      <c r="AD15" s="36" t="str">
        <f>IF(AND('Riesgos de Gestión'!$AF$69="Muy Alta",'Riesgos de Gestión'!$AH$69="Mayor"),CONCATENATE("R10C",'Riesgos de Gestión'!$V$69),"")</f>
        <v/>
      </c>
      <c r="AE15" s="36" t="str">
        <f>IF(AND('Riesgos de Gestión'!$AF$70="Muy Alta",'Riesgos de Gestión'!$AH$70="Mayor"),CONCATENATE("R10C",'Riesgos de Gestión'!$V$70),"")</f>
        <v/>
      </c>
      <c r="AF15" s="36" t="str">
        <f>IF(AND('Riesgos de Gestión'!$AF$71="Muy Alta",'Riesgos de Gestión'!$AH$71="Mayor"),CONCATENATE("R10C",'Riesgos de Gestión'!$V$71),"")</f>
        <v/>
      </c>
      <c r="AG15" s="37" t="str">
        <f>IF(AND('Riesgos de Gestión'!$AF$72="Muy Alta",'Riesgos de Gestión'!$AH$72="Mayor"),CONCATENATE("R10C",'Riesgos de Gestión'!$V$72),"")</f>
        <v/>
      </c>
      <c r="AH15" s="44" t="str">
        <f>IF(AND('Riesgos de Gestión'!$AF$67="Muy Alta",'Riesgos de Gestión'!$AH$67="Catastrófico"),CONCATENATE("R10C",'Riesgos de Gestión'!$V$67),"")</f>
        <v/>
      </c>
      <c r="AI15" s="45" t="str">
        <f>IF(AND('Riesgos de Gestión'!$AF$68="Muy Alta",'Riesgos de Gestión'!$AH$68="Catastrófico"),CONCATENATE("R10C",'Riesgos de Gestión'!$V$68),"")</f>
        <v/>
      </c>
      <c r="AJ15" s="45" t="str">
        <f>IF(AND('Riesgos de Gestión'!$AF$69="Muy Alta",'Riesgos de Gestión'!$AH$69="Catastrófico"),CONCATENATE("R10C",'Riesgos de Gestión'!$V$69),"")</f>
        <v/>
      </c>
      <c r="AK15" s="45" t="str">
        <f>IF(AND('Riesgos de Gestión'!$AF$70="Muy Alta",'Riesgos de Gestión'!$AH$70="Catastrófico"),CONCATENATE("R10C",'Riesgos de Gestión'!$V$70),"")</f>
        <v/>
      </c>
      <c r="AL15" s="45" t="str">
        <f>IF(AND('Riesgos de Gestión'!$AF$71="Muy Alta",'Riesgos de Gestión'!$AH$71="Catastrófico"),CONCATENATE("R10C",'Riesgos de Gestión'!$V$71),"")</f>
        <v/>
      </c>
      <c r="AM15" s="46" t="str">
        <f>IF(AND('Riesgos de Gestión'!$AF$72="Muy Alta",'Riesgos de Gestión'!$AH$72="Catastrófico"),CONCATENATE("R10C",'Riesgos de Gestión'!$V$72),"")</f>
        <v/>
      </c>
      <c r="AN15" s="66"/>
      <c r="AO15" s="574"/>
      <c r="AP15" s="575"/>
      <c r="AQ15" s="575"/>
      <c r="AR15" s="575"/>
      <c r="AS15" s="575"/>
      <c r="AT15" s="57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row>
    <row r="16" spans="1:91" ht="15" customHeight="1" x14ac:dyDescent="0.25">
      <c r="A16" s="66"/>
      <c r="B16" s="510"/>
      <c r="C16" s="510"/>
      <c r="D16" s="511"/>
      <c r="E16" s="548" t="s">
        <v>267</v>
      </c>
      <c r="F16" s="549"/>
      <c r="G16" s="549"/>
      <c r="H16" s="549"/>
      <c r="I16" s="549"/>
      <c r="J16" s="47" t="str">
        <f>IF(AND('Riesgos de Gestión'!$AF$13="Alta",'Riesgos de Gestión'!$AH$13="Leve"),CONCATENATE("R1C",'Riesgos de Gestión'!$V$13),"")</f>
        <v/>
      </c>
      <c r="K16" s="48" t="str">
        <f>IF(AND('Riesgos de Gestión'!$AF$14="Alta",'Riesgos de Gestión'!$AH$14="Leve"),CONCATENATE("R1C",'Riesgos de Gestión'!$V$14),"")</f>
        <v/>
      </c>
      <c r="L16" s="48" t="str">
        <f>IF(AND('Riesgos de Gestión'!$AF$15="Alta",'Riesgos de Gestión'!$AH$15="Leve"),CONCATENATE("R1C",'Riesgos de Gestión'!$V$15),"")</f>
        <v/>
      </c>
      <c r="M16" s="48" t="str">
        <f>IF(AND('Riesgos de Gestión'!$AF$16="Alta",'Riesgos de Gestión'!$AH$16="Leve"),CONCATENATE("R1C",'Riesgos de Gestión'!$V$16),"")</f>
        <v/>
      </c>
      <c r="N16" s="48" t="str">
        <f>IF(AND('Riesgos de Gestión'!$AF$17="Alta",'Riesgos de Gestión'!$AH$17="Leve"),CONCATENATE("R1C",'Riesgos de Gestión'!$V$17),"")</f>
        <v/>
      </c>
      <c r="O16" s="49" t="str">
        <f>IF(AND('Riesgos de Gestión'!$AF$18="Alta",'Riesgos de Gestión'!$AH$18="Leve"),CONCATENATE("R1C",'Riesgos de Gestión'!$V$18),"")</f>
        <v/>
      </c>
      <c r="P16" s="47" t="str">
        <f>IF(AND('Riesgos de Gestión'!$AF$13="Alta",'Riesgos de Gestión'!$AH$13="Menor"),CONCATENATE("R1C",'Riesgos de Gestión'!$V$13),"")</f>
        <v/>
      </c>
      <c r="Q16" s="48" t="str">
        <f>IF(AND('Riesgos de Gestión'!$AF$14="Alta",'Riesgos de Gestión'!$AH$14="Menor"),CONCATENATE("R1C",'Riesgos de Gestión'!$V$14),"")</f>
        <v/>
      </c>
      <c r="R16" s="48" t="str">
        <f>IF(AND('Riesgos de Gestión'!$AF$15="Alta",'Riesgos de Gestión'!$AH$15="Menor"),CONCATENATE("R1C",'Riesgos de Gestión'!$V$15),"")</f>
        <v/>
      </c>
      <c r="S16" s="48" t="str">
        <f>IF(AND('Riesgos de Gestión'!$AF$16="Alta",'Riesgos de Gestión'!$AH$16="Menor"),CONCATENATE("R1C",'Riesgos de Gestión'!$V$16),"")</f>
        <v/>
      </c>
      <c r="T16" s="48" t="str">
        <f>IF(AND('Riesgos de Gestión'!$AF$17="Alta",'Riesgos de Gestión'!$AH$17="Menor"),CONCATENATE("R1C",'Riesgos de Gestión'!$V$17),"")</f>
        <v/>
      </c>
      <c r="U16" s="49" t="str">
        <f>IF(AND('Riesgos de Gestión'!$AF$18="Alta",'Riesgos de Gestión'!$AH$18="Menor"),CONCATENATE("R1C",'Riesgos de Gestión'!$V$18),"")</f>
        <v/>
      </c>
      <c r="V16" s="29" t="str">
        <f>IF(AND('Riesgos de Gestión'!$AF$13="Alta",'Riesgos de Gestión'!$AH$13="Moderado"),CONCATENATE("R1C",'Riesgos de Gestión'!$V$13),"")</f>
        <v/>
      </c>
      <c r="W16" s="30" t="str">
        <f>IF(AND('Riesgos de Gestión'!$AF$14="Alta",'Riesgos de Gestión'!$AH$14="Moderado"),CONCATENATE("R1C",'Riesgos de Gestión'!$V$14),"")</f>
        <v/>
      </c>
      <c r="X16" s="30" t="str">
        <f>IF(AND('Riesgos de Gestión'!$AF$15="Alta",'Riesgos de Gestión'!$AH$15="Moderado"),CONCATENATE("R1C",'Riesgos de Gestión'!$V$15),"")</f>
        <v/>
      </c>
      <c r="Y16" s="30" t="str">
        <f>IF(AND('Riesgos de Gestión'!$AF$16="Alta",'Riesgos de Gestión'!$AH$16="Moderado"),CONCATENATE("R1C",'Riesgos de Gestión'!$V$16),"")</f>
        <v/>
      </c>
      <c r="Z16" s="30" t="str">
        <f>IF(AND('Riesgos de Gestión'!$AF$17="Alta",'Riesgos de Gestión'!$AH$17="Moderado"),CONCATENATE("R1C",'Riesgos de Gestión'!$V$17),"")</f>
        <v/>
      </c>
      <c r="AA16" s="31" t="str">
        <f>IF(AND('Riesgos de Gestión'!$AF$18="Alta",'Riesgos de Gestión'!$AH$18="Moderado"),CONCATENATE("R1C",'Riesgos de Gestión'!$V$18),"")</f>
        <v/>
      </c>
      <c r="AB16" s="29" t="str">
        <f>IF(AND('Riesgos de Gestión'!$AF$13="Alta",'Riesgos de Gestión'!$AH$13="Mayor"),CONCATENATE("R1C",'Riesgos de Gestión'!$V$13),"")</f>
        <v/>
      </c>
      <c r="AC16" s="30" t="str">
        <f>IF(AND('Riesgos de Gestión'!$AF$14="Alta",'Riesgos de Gestión'!$AH$14="Mayor"),CONCATENATE("R1C",'Riesgos de Gestión'!$V$14),"")</f>
        <v/>
      </c>
      <c r="AD16" s="30" t="str">
        <f>IF(AND('Riesgos de Gestión'!$AF$15="Alta",'Riesgos de Gestión'!$AH$15="Mayor"),CONCATENATE("R1C",'Riesgos de Gestión'!$V$15),"")</f>
        <v/>
      </c>
      <c r="AE16" s="30" t="str">
        <f>IF(AND('Riesgos de Gestión'!$AF$16="Alta",'Riesgos de Gestión'!$AH$16="Mayor"),CONCATENATE("R1C",'Riesgos de Gestión'!$V$16),"")</f>
        <v/>
      </c>
      <c r="AF16" s="30" t="str">
        <f>IF(AND('Riesgos de Gestión'!$AF$17="Alta",'Riesgos de Gestión'!$AH$17="Mayor"),CONCATENATE("R1C",'Riesgos de Gestión'!$V$17),"")</f>
        <v/>
      </c>
      <c r="AG16" s="31" t="str">
        <f>IF(AND('Riesgos de Gestión'!$AF$18="Alta",'Riesgos de Gestión'!$AH$18="Mayor"),CONCATENATE("R1C",'Riesgos de Gestión'!$V$18),"")</f>
        <v/>
      </c>
      <c r="AH16" s="32" t="str">
        <f>IF(AND('Riesgos de Gestión'!$AF$13="Alta",'Riesgos de Gestión'!$AH$13="Catastrófico"),CONCATENATE("R1C",'Riesgos de Gestión'!$V$13),"")</f>
        <v/>
      </c>
      <c r="AI16" s="33" t="str">
        <f>IF(AND('Riesgos de Gestión'!$AF$14="Alta",'Riesgos de Gestión'!$AH$14="Catastrófico"),CONCATENATE("R1C",'Riesgos de Gestión'!$V$14),"")</f>
        <v/>
      </c>
      <c r="AJ16" s="33" t="str">
        <f>IF(AND('Riesgos de Gestión'!$AF$15="Alta",'Riesgos de Gestión'!$AH$15="Catastrófico"),CONCATENATE("R1C",'Riesgos de Gestión'!$V$15),"")</f>
        <v/>
      </c>
      <c r="AK16" s="33" t="str">
        <f>IF(AND('Riesgos de Gestión'!$AF$16="Alta",'Riesgos de Gestión'!$AH$16="Catastrófico"),CONCATENATE("R1C",'Riesgos de Gestión'!$V$16),"")</f>
        <v/>
      </c>
      <c r="AL16" s="33" t="str">
        <f>IF(AND('Riesgos de Gestión'!$AF$17="Alta",'Riesgos de Gestión'!$AH$17="Catastrófico"),CONCATENATE("R1C",'Riesgos de Gestión'!$V$17),"")</f>
        <v/>
      </c>
      <c r="AM16" s="34" t="str">
        <f>IF(AND('Riesgos de Gestión'!$AF$18="Alta",'Riesgos de Gestión'!$AH$18="Catastrófico"),CONCATENATE("R1C",'Riesgos de Gestión'!$V$18),"")</f>
        <v/>
      </c>
      <c r="AN16" s="66"/>
      <c r="AO16" s="558" t="s">
        <v>268</v>
      </c>
      <c r="AP16" s="559"/>
      <c r="AQ16" s="559"/>
      <c r="AR16" s="559"/>
      <c r="AS16" s="559"/>
      <c r="AT16" s="560"/>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row>
    <row r="17" spans="1:76" ht="15" customHeight="1" x14ac:dyDescent="0.25">
      <c r="A17" s="66"/>
      <c r="B17" s="510"/>
      <c r="C17" s="510"/>
      <c r="D17" s="511"/>
      <c r="E17" s="567"/>
      <c r="F17" s="552"/>
      <c r="G17" s="552"/>
      <c r="H17" s="552"/>
      <c r="I17" s="552"/>
      <c r="J17" s="50" t="str">
        <f>IF(AND('Riesgos de Gestión'!$AF$19="Alta",'Riesgos de Gestión'!$AH$19="Leve"),CONCATENATE("R2C",'Riesgos de Gestión'!$V$19),"")</f>
        <v/>
      </c>
      <c r="K17" s="51" t="str">
        <f>IF(AND('Riesgos de Gestión'!$AF$20="Alta",'Riesgos de Gestión'!$AH$20="Leve"),CONCATENATE("R2C",'Riesgos de Gestión'!$V$20),"")</f>
        <v/>
      </c>
      <c r="L17" s="51" t="str">
        <f>IF(AND('Riesgos de Gestión'!$AF$21="Alta",'Riesgos de Gestión'!$AH$21="Leve"),CONCATENATE("R2C",'Riesgos de Gestión'!$V$21),"")</f>
        <v/>
      </c>
      <c r="M17" s="51" t="str">
        <f>IF(AND('Riesgos de Gestión'!$AF$22="Alta",'Riesgos de Gestión'!$AH$22="Leve"),CONCATENATE("R2C",'Riesgos de Gestión'!$V$22),"")</f>
        <v/>
      </c>
      <c r="N17" s="51" t="str">
        <f>IF(AND('Riesgos de Gestión'!$AF$23="Alta",'Riesgos de Gestión'!$AH$23="Leve"),CONCATENATE("R2C",'Riesgos de Gestión'!$V$23),"")</f>
        <v/>
      </c>
      <c r="O17" s="52" t="str">
        <f>IF(AND('Riesgos de Gestión'!$AF$24="Alta",'Riesgos de Gestión'!$AH$24="Leve"),CONCATENATE("R2C",'Riesgos de Gestión'!$V$24),"")</f>
        <v/>
      </c>
      <c r="P17" s="50" t="str">
        <f>IF(AND('Riesgos de Gestión'!$AF$19="Alta",'Riesgos de Gestión'!$AH$19="Menor"),CONCATENATE("R2C",'Riesgos de Gestión'!$V$19),"")</f>
        <v/>
      </c>
      <c r="Q17" s="51" t="str">
        <f>IF(AND('Riesgos de Gestión'!$AF$20="Alta",'Riesgos de Gestión'!$AH$20="Menor"),CONCATENATE("R2C",'Riesgos de Gestión'!$V$20),"")</f>
        <v/>
      </c>
      <c r="R17" s="51" t="str">
        <f>IF(AND('Riesgos de Gestión'!$AF$21="Alta",'Riesgos de Gestión'!$AH$21="Menor"),CONCATENATE("R2C",'Riesgos de Gestión'!$V$21),"")</f>
        <v/>
      </c>
      <c r="S17" s="51" t="str">
        <f>IF(AND('Riesgos de Gestión'!$AF$22="Alta",'Riesgos de Gestión'!$AH$22="Menor"),CONCATENATE("R2C",'Riesgos de Gestión'!$V$22),"")</f>
        <v/>
      </c>
      <c r="T17" s="51" t="str">
        <f>IF(AND('Riesgos de Gestión'!$AF$23="Alta",'Riesgos de Gestión'!$AH$23="Menor"),CONCATENATE("R2C",'Riesgos de Gestión'!$V$23),"")</f>
        <v/>
      </c>
      <c r="U17" s="52" t="str">
        <f>IF(AND('Riesgos de Gestión'!$AF$24="Alta",'Riesgos de Gestión'!$AH$24="Menor"),CONCATENATE("R2C",'Riesgos de Gestión'!$V$24),"")</f>
        <v/>
      </c>
      <c r="V17" s="35" t="str">
        <f>IF(AND('Riesgos de Gestión'!$AF$19="Alta",'Riesgos de Gestión'!$AH$19="Moderado"),CONCATENATE("R2C",'Riesgos de Gestión'!$V$19),"")</f>
        <v/>
      </c>
      <c r="W17" s="36" t="str">
        <f>IF(AND('Riesgos de Gestión'!$AF$20="Alta",'Riesgos de Gestión'!$AH$20="Moderado"),CONCATENATE("R2C",'Riesgos de Gestión'!$V$20),"")</f>
        <v/>
      </c>
      <c r="X17" s="36" t="str">
        <f>IF(AND('Riesgos de Gestión'!$AF$21="Alta",'Riesgos de Gestión'!$AH$21="Moderado"),CONCATENATE("R2C",'Riesgos de Gestión'!$V$21),"")</f>
        <v/>
      </c>
      <c r="Y17" s="36" t="str">
        <f>IF(AND('Riesgos de Gestión'!$AF$22="Alta",'Riesgos de Gestión'!$AH$22="Moderado"),CONCATENATE("R2C",'Riesgos de Gestión'!$V$22),"")</f>
        <v/>
      </c>
      <c r="Z17" s="36" t="str">
        <f>IF(AND('Riesgos de Gestión'!$AF$23="Alta",'Riesgos de Gestión'!$AH$23="Moderado"),CONCATENATE("R2C",'Riesgos de Gestión'!$V$23),"")</f>
        <v/>
      </c>
      <c r="AA17" s="37" t="str">
        <f>IF(AND('Riesgos de Gestión'!$AF$24="Alta",'Riesgos de Gestión'!$AH$24="Moderado"),CONCATENATE("R2C",'Riesgos de Gestión'!$V$24),"")</f>
        <v/>
      </c>
      <c r="AB17" s="35" t="str">
        <f>IF(AND('Riesgos de Gestión'!$AF$19="Alta",'Riesgos de Gestión'!$AH$19="Mayor"),CONCATENATE("R2C",'Riesgos de Gestión'!$V$19),"")</f>
        <v/>
      </c>
      <c r="AC17" s="36" t="str">
        <f>IF(AND('Riesgos de Gestión'!$AF$20="Alta",'Riesgos de Gestión'!$AH$20="Mayor"),CONCATENATE("R2C",'Riesgos de Gestión'!$V$20),"")</f>
        <v/>
      </c>
      <c r="AD17" s="36" t="str">
        <f>IF(AND('Riesgos de Gestión'!$AF$21="Alta",'Riesgos de Gestión'!$AH$21="Mayor"),CONCATENATE("R2C",'Riesgos de Gestión'!$V$21),"")</f>
        <v/>
      </c>
      <c r="AE17" s="36" t="str">
        <f>IF(AND('Riesgos de Gestión'!$AF$22="Alta",'Riesgos de Gestión'!$AH$22="Mayor"),CONCATENATE("R2C",'Riesgos de Gestión'!$V$22),"")</f>
        <v/>
      </c>
      <c r="AF17" s="36" t="str">
        <f>IF(AND('Riesgos de Gestión'!$AF$23="Alta",'Riesgos de Gestión'!$AH$23="Mayor"),CONCATENATE("R2C",'Riesgos de Gestión'!$V$23),"")</f>
        <v/>
      </c>
      <c r="AG17" s="37" t="str">
        <f>IF(AND('Riesgos de Gestión'!$AF$24="Alta",'Riesgos de Gestión'!$AH$24="Mayor"),CONCATENATE("R2C",'Riesgos de Gestión'!$V$24),"")</f>
        <v/>
      </c>
      <c r="AH17" s="38" t="str">
        <f>IF(AND('Riesgos de Gestión'!$AF$19="Alta",'Riesgos de Gestión'!$AH$19="Catastrófico"),CONCATENATE("R2C",'Riesgos de Gestión'!$V$19),"")</f>
        <v/>
      </c>
      <c r="AI17" s="39" t="str">
        <f>IF(AND('Riesgos de Gestión'!$AF$20="Alta",'Riesgos de Gestión'!$AH$20="Catastrófico"),CONCATENATE("R2C",'Riesgos de Gestión'!$V$20),"")</f>
        <v/>
      </c>
      <c r="AJ17" s="39" t="str">
        <f>IF(AND('Riesgos de Gestión'!$AF$21="Alta",'Riesgos de Gestión'!$AH$21="Catastrófico"),CONCATENATE("R2C",'Riesgos de Gestión'!$V$21),"")</f>
        <v/>
      </c>
      <c r="AK17" s="39" t="str">
        <f>IF(AND('Riesgos de Gestión'!$AF$22="Alta",'Riesgos de Gestión'!$AH$22="Catastrófico"),CONCATENATE("R2C",'Riesgos de Gestión'!$V$22),"")</f>
        <v/>
      </c>
      <c r="AL17" s="39" t="str">
        <f>IF(AND('Riesgos de Gestión'!$AF$23="Alta",'Riesgos de Gestión'!$AH$23="Catastrófico"),CONCATENATE("R2C",'Riesgos de Gestión'!$V$23),"")</f>
        <v/>
      </c>
      <c r="AM17" s="40" t="str">
        <f>IF(AND('Riesgos de Gestión'!$AF$24="Alta",'Riesgos de Gestión'!$AH$24="Catastrófico"),CONCATENATE("R2C",'Riesgos de Gestión'!$V$24),"")</f>
        <v/>
      </c>
      <c r="AN17" s="66"/>
      <c r="AO17" s="561"/>
      <c r="AP17" s="562"/>
      <c r="AQ17" s="562"/>
      <c r="AR17" s="562"/>
      <c r="AS17" s="562"/>
      <c r="AT17" s="563"/>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1:76" ht="15" customHeight="1" x14ac:dyDescent="0.25">
      <c r="A18" s="66"/>
      <c r="B18" s="510"/>
      <c r="C18" s="510"/>
      <c r="D18" s="511"/>
      <c r="E18" s="551"/>
      <c r="F18" s="552"/>
      <c r="G18" s="552"/>
      <c r="H18" s="552"/>
      <c r="I18" s="552"/>
      <c r="J18" s="50" t="str">
        <f>IF(AND('Riesgos de Gestión'!$AF$25="Alta",'Riesgos de Gestión'!$AH$25="Leve"),CONCATENATE("R3C",'Riesgos de Gestión'!$V$25),"")</f>
        <v/>
      </c>
      <c r="K18" s="51" t="str">
        <f>IF(AND('Riesgos de Gestión'!$AF$26="Alta",'Riesgos de Gestión'!$AH$26="Leve"),CONCATENATE("R3C",'Riesgos de Gestión'!$V$26),"")</f>
        <v/>
      </c>
      <c r="L18" s="51" t="str">
        <f>IF(AND('Riesgos de Gestión'!$AF$27="Alta",'Riesgos de Gestión'!$AH$27="Leve"),CONCATENATE("R3C",'Riesgos de Gestión'!$V$27),"")</f>
        <v/>
      </c>
      <c r="M18" s="51" t="str">
        <f>IF(AND('Riesgos de Gestión'!$AF$28="Alta",'Riesgos de Gestión'!$AH$28="Leve"),CONCATENATE("R3C",'Riesgos de Gestión'!$V$28),"")</f>
        <v/>
      </c>
      <c r="N18" s="51" t="str">
        <f>IF(AND('Riesgos de Gestión'!$AF$29="Alta",'Riesgos de Gestión'!$AH$29="Leve"),CONCATENATE("R3C",'Riesgos de Gestión'!$V$29),"")</f>
        <v/>
      </c>
      <c r="O18" s="52" t="str">
        <f>IF(AND('Riesgos de Gestión'!$AF$30="Alta",'Riesgos de Gestión'!$AH$30="Leve"),CONCATENATE("R3C",'Riesgos de Gestión'!$V$30),"")</f>
        <v/>
      </c>
      <c r="P18" s="50" t="str">
        <f>IF(AND('Riesgos de Gestión'!$AF$25="Alta",'Riesgos de Gestión'!$AH$25="Menor"),CONCATENATE("R3C",'Riesgos de Gestión'!$V$25),"")</f>
        <v/>
      </c>
      <c r="Q18" s="51" t="str">
        <f>IF(AND('Riesgos de Gestión'!$AF$26="Alta",'Riesgos de Gestión'!$AH$26="Menor"),CONCATENATE("R3C",'Riesgos de Gestión'!$V$26),"")</f>
        <v/>
      </c>
      <c r="R18" s="51" t="str">
        <f>IF(AND('Riesgos de Gestión'!$AF$27="Alta",'Riesgos de Gestión'!$AH$27="Menor"),CONCATENATE("R3C",'Riesgos de Gestión'!$V$27),"")</f>
        <v/>
      </c>
      <c r="S18" s="51" t="str">
        <f>IF(AND('Riesgos de Gestión'!$AF$28="Alta",'Riesgos de Gestión'!$AH$28="Menor"),CONCATENATE("R3C",'Riesgos de Gestión'!$V$28),"")</f>
        <v/>
      </c>
      <c r="T18" s="51" t="str">
        <f>IF(AND('Riesgos de Gestión'!$AF$29="Alta",'Riesgos de Gestión'!$AH$29="Menor"),CONCATENATE("R3C",'Riesgos de Gestión'!$V$29),"")</f>
        <v/>
      </c>
      <c r="U18" s="52" t="str">
        <f>IF(AND('Riesgos de Gestión'!$AF$30="Alta",'Riesgos de Gestión'!$AH$30="Menor"),CONCATENATE("R3C",'Riesgos de Gestión'!$V$30),"")</f>
        <v/>
      </c>
      <c r="V18" s="35" t="str">
        <f>IF(AND('Riesgos de Gestión'!$AF$25="Alta",'Riesgos de Gestión'!$AH$25="Moderado"),CONCATENATE("R3C",'Riesgos de Gestión'!$V$25),"")</f>
        <v/>
      </c>
      <c r="W18" s="36" t="str">
        <f>IF(AND('Riesgos de Gestión'!$AF$26="Alta",'Riesgos de Gestión'!$AH$26="Moderado"),CONCATENATE("R3C",'Riesgos de Gestión'!$V$26),"")</f>
        <v/>
      </c>
      <c r="X18" s="36" t="str">
        <f>IF(AND('Riesgos de Gestión'!$AF$27="Alta",'Riesgos de Gestión'!$AH$27="Moderado"),CONCATENATE("R3C",'Riesgos de Gestión'!$V$27),"")</f>
        <v/>
      </c>
      <c r="Y18" s="36" t="str">
        <f>IF(AND('Riesgos de Gestión'!$AF$28="Alta",'Riesgos de Gestión'!$AH$28="Moderado"),CONCATENATE("R3C",'Riesgos de Gestión'!$V$28),"")</f>
        <v/>
      </c>
      <c r="Z18" s="36" t="str">
        <f>IF(AND('Riesgos de Gestión'!$AF$29="Alta",'Riesgos de Gestión'!$AH$29="Moderado"),CONCATENATE("R3C",'Riesgos de Gestión'!$V$29),"")</f>
        <v/>
      </c>
      <c r="AA18" s="37" t="str">
        <f>IF(AND('Riesgos de Gestión'!$AF$30="Alta",'Riesgos de Gestión'!$AH$30="Moderado"),CONCATENATE("R3C",'Riesgos de Gestión'!$V$30),"")</f>
        <v/>
      </c>
      <c r="AB18" s="35" t="str">
        <f>IF(AND('Riesgos de Gestión'!$AF$25="Alta",'Riesgos de Gestión'!$AH$25="Mayor"),CONCATENATE("R3C",'Riesgos de Gestión'!$V$25),"")</f>
        <v/>
      </c>
      <c r="AC18" s="36" t="str">
        <f>IF(AND('Riesgos de Gestión'!$AF$26="Alta",'Riesgos de Gestión'!$AH$26="Mayor"),CONCATENATE("R3C",'Riesgos de Gestión'!$V$26),"")</f>
        <v/>
      </c>
      <c r="AD18" s="36" t="str">
        <f>IF(AND('Riesgos de Gestión'!$AF$27="Alta",'Riesgos de Gestión'!$AH$27="Mayor"),CONCATENATE("R3C",'Riesgos de Gestión'!$V$27),"")</f>
        <v/>
      </c>
      <c r="AE18" s="36" t="str">
        <f>IF(AND('Riesgos de Gestión'!$AF$28="Alta",'Riesgos de Gestión'!$AH$28="Mayor"),CONCATENATE("R3C",'Riesgos de Gestión'!$V$28),"")</f>
        <v/>
      </c>
      <c r="AF18" s="36" t="str">
        <f>IF(AND('Riesgos de Gestión'!$AF$29="Alta",'Riesgos de Gestión'!$AH$29="Mayor"),CONCATENATE("R3C",'Riesgos de Gestión'!$V$29),"")</f>
        <v/>
      </c>
      <c r="AG18" s="37" t="str">
        <f>IF(AND('Riesgos de Gestión'!$AF$30="Alta",'Riesgos de Gestión'!$AH$30="Mayor"),CONCATENATE("R3C",'Riesgos de Gestión'!$V$30),"")</f>
        <v/>
      </c>
      <c r="AH18" s="38" t="str">
        <f>IF(AND('Riesgos de Gestión'!$AF$25="Alta",'Riesgos de Gestión'!$AH$25="Catastrófico"),CONCATENATE("R3C",'Riesgos de Gestión'!$V$25),"")</f>
        <v/>
      </c>
      <c r="AI18" s="39" t="str">
        <f>IF(AND('Riesgos de Gestión'!$AF$26="Alta",'Riesgos de Gestión'!$AH$26="Catastrófico"),CONCATENATE("R3C",'Riesgos de Gestión'!$V$26),"")</f>
        <v/>
      </c>
      <c r="AJ18" s="39" t="str">
        <f>IF(AND('Riesgos de Gestión'!$AF$27="Alta",'Riesgos de Gestión'!$AH$27="Catastrófico"),CONCATENATE("R3C",'Riesgos de Gestión'!$V$27),"")</f>
        <v/>
      </c>
      <c r="AK18" s="39" t="str">
        <f>IF(AND('Riesgos de Gestión'!$AF$28="Alta",'Riesgos de Gestión'!$AH$28="Catastrófico"),CONCATENATE("R3C",'Riesgos de Gestión'!$V$28),"")</f>
        <v/>
      </c>
      <c r="AL18" s="39" t="str">
        <f>IF(AND('Riesgos de Gestión'!$AF$29="Alta",'Riesgos de Gestión'!$AH$29="Catastrófico"),CONCATENATE("R3C",'Riesgos de Gestión'!$V$29),"")</f>
        <v/>
      </c>
      <c r="AM18" s="40" t="str">
        <f>IF(AND('Riesgos de Gestión'!$AF$30="Alta",'Riesgos de Gestión'!$AH$30="Catastrófico"),CONCATENATE("R3C",'Riesgos de Gestión'!$V$30),"")</f>
        <v/>
      </c>
      <c r="AN18" s="66"/>
      <c r="AO18" s="561"/>
      <c r="AP18" s="562"/>
      <c r="AQ18" s="562"/>
      <c r="AR18" s="562"/>
      <c r="AS18" s="562"/>
      <c r="AT18" s="563"/>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row>
    <row r="19" spans="1:76" ht="15" customHeight="1" x14ac:dyDescent="0.25">
      <c r="A19" s="66"/>
      <c r="B19" s="510"/>
      <c r="C19" s="510"/>
      <c r="D19" s="511"/>
      <c r="E19" s="551"/>
      <c r="F19" s="552"/>
      <c r="G19" s="552"/>
      <c r="H19" s="552"/>
      <c r="I19" s="552"/>
      <c r="J19" s="50" t="str">
        <f>IF(AND('Riesgos de Gestión'!$AF$31="Alta",'Riesgos de Gestión'!$AH$31="Leve"),CONCATENATE("R4C",'Riesgos de Gestión'!$V$31),"")</f>
        <v/>
      </c>
      <c r="K19" s="51" t="str">
        <f>IF(AND('Riesgos de Gestión'!$AF$32="Alta",'Riesgos de Gestión'!$AH$32="Leve"),CONCATENATE("R4C",'Riesgos de Gestión'!$V$32),"")</f>
        <v/>
      </c>
      <c r="L19" s="51" t="str">
        <f>IF(AND('Riesgos de Gestión'!$AF$33="Alta",'Riesgos de Gestión'!$AH$33="Leve"),CONCATENATE("R4C",'Riesgos de Gestión'!$V$33),"")</f>
        <v/>
      </c>
      <c r="M19" s="51" t="str">
        <f>IF(AND('Riesgos de Gestión'!$AF$34="Alta",'Riesgos de Gestión'!$AH$34="Leve"),CONCATENATE("R4C",'Riesgos de Gestión'!$V$34),"")</f>
        <v/>
      </c>
      <c r="N19" s="51" t="str">
        <f>IF(AND('Riesgos de Gestión'!$AF$35="Alta",'Riesgos de Gestión'!$AH$35="Leve"),CONCATENATE("R4C",'Riesgos de Gestión'!$V$35),"")</f>
        <v/>
      </c>
      <c r="O19" s="52" t="str">
        <f>IF(AND('Riesgos de Gestión'!$AF$36="Alta",'Riesgos de Gestión'!$AH$36="Leve"),CONCATENATE("R4C",'Riesgos de Gestión'!$V$36),"")</f>
        <v/>
      </c>
      <c r="P19" s="50" t="str">
        <f>IF(AND('Riesgos de Gestión'!$AF$31="Alta",'Riesgos de Gestión'!$AH$31="Menor"),CONCATENATE("R4C",'Riesgos de Gestión'!$V$31),"")</f>
        <v/>
      </c>
      <c r="Q19" s="51" t="str">
        <f>IF(AND('Riesgos de Gestión'!$AF$32="Alta",'Riesgos de Gestión'!$AH$32="Menor"),CONCATENATE("R4C",'Riesgos de Gestión'!$V$32),"")</f>
        <v/>
      </c>
      <c r="R19" s="51" t="str">
        <f>IF(AND('Riesgos de Gestión'!$AF$33="Alta",'Riesgos de Gestión'!$AH$33="Menor"),CONCATENATE("R4C",'Riesgos de Gestión'!$V$33),"")</f>
        <v/>
      </c>
      <c r="S19" s="51" t="str">
        <f>IF(AND('Riesgos de Gestión'!$AF$34="Alta",'Riesgos de Gestión'!$AH$34="Menor"),CONCATENATE("R4C",'Riesgos de Gestión'!$V$34),"")</f>
        <v/>
      </c>
      <c r="T19" s="51" t="str">
        <f>IF(AND('Riesgos de Gestión'!$AF$35="Alta",'Riesgos de Gestión'!$AH$35="Menor"),CONCATENATE("R4C",'Riesgos de Gestión'!$V$35),"")</f>
        <v/>
      </c>
      <c r="U19" s="52" t="str">
        <f>IF(AND('Riesgos de Gestión'!$AF$36="Alta",'Riesgos de Gestión'!$AH$36="Menor"),CONCATENATE("R4C",'Riesgos de Gestión'!$V$36),"")</f>
        <v/>
      </c>
      <c r="V19" s="35" t="str">
        <f>IF(AND('Riesgos de Gestión'!$AF$31="Alta",'Riesgos de Gestión'!$AH$31="Moderado"),CONCATENATE("R4C",'Riesgos de Gestión'!$V$31),"")</f>
        <v/>
      </c>
      <c r="W19" s="36" t="str">
        <f>IF(AND('Riesgos de Gestión'!$AF$32="Alta",'Riesgos de Gestión'!$AH$32="Moderado"),CONCATENATE("R4C",'Riesgos de Gestión'!$V$32),"")</f>
        <v/>
      </c>
      <c r="X19" s="36" t="str">
        <f>IF(AND('Riesgos de Gestión'!$AF$33="Alta",'Riesgos de Gestión'!$AH$33="Moderado"),CONCATENATE("R4C",'Riesgos de Gestión'!$V$33),"")</f>
        <v/>
      </c>
      <c r="Y19" s="36" t="str">
        <f>IF(AND('Riesgos de Gestión'!$AF$34="Alta",'Riesgos de Gestión'!$AH$34="Moderado"),CONCATENATE("R4C",'Riesgos de Gestión'!$V$34),"")</f>
        <v/>
      </c>
      <c r="Z19" s="36" t="str">
        <f>IF(AND('Riesgos de Gestión'!$AF$35="Alta",'Riesgos de Gestión'!$AH$35="Moderado"),CONCATENATE("R4C",'Riesgos de Gestión'!$V$35),"")</f>
        <v/>
      </c>
      <c r="AA19" s="37" t="str">
        <f>IF(AND('Riesgos de Gestión'!$AF$36="Alta",'Riesgos de Gestión'!$AH$36="Moderado"),CONCATENATE("R4C",'Riesgos de Gestión'!$V$36),"")</f>
        <v/>
      </c>
      <c r="AB19" s="35" t="str">
        <f>IF(AND('Riesgos de Gestión'!$AF$31="Alta",'Riesgos de Gestión'!$AH$31="Mayor"),CONCATENATE("R4C",'Riesgos de Gestión'!$V$31),"")</f>
        <v/>
      </c>
      <c r="AC19" s="36" t="str">
        <f>IF(AND('Riesgos de Gestión'!$AF$32="Alta",'Riesgos de Gestión'!$AH$32="Mayor"),CONCATENATE("R4C",'Riesgos de Gestión'!$V$32),"")</f>
        <v/>
      </c>
      <c r="AD19" s="36" t="str">
        <f>IF(AND('Riesgos de Gestión'!$AF$33="Alta",'Riesgos de Gestión'!$AH$33="Mayor"),CONCATENATE("R4C",'Riesgos de Gestión'!$V$33),"")</f>
        <v/>
      </c>
      <c r="AE19" s="36" t="str">
        <f>IF(AND('Riesgos de Gestión'!$AF$34="Alta",'Riesgos de Gestión'!$AH$34="Mayor"),CONCATENATE("R4C",'Riesgos de Gestión'!$V$34),"")</f>
        <v/>
      </c>
      <c r="AF19" s="36" t="str">
        <f>IF(AND('Riesgos de Gestión'!$AF$35="Alta",'Riesgos de Gestión'!$AH$35="Mayor"),CONCATENATE("R4C",'Riesgos de Gestión'!$V$35),"")</f>
        <v/>
      </c>
      <c r="AG19" s="37" t="str">
        <f>IF(AND('Riesgos de Gestión'!$AF$36="Alta",'Riesgos de Gestión'!$AH$36="Mayor"),CONCATENATE("R4C",'Riesgos de Gestión'!$V$36),"")</f>
        <v/>
      </c>
      <c r="AH19" s="38" t="str">
        <f>IF(AND('Riesgos de Gestión'!$AF$31="Alta",'Riesgos de Gestión'!$AH$31="Catastrófico"),CONCATENATE("R4C",'Riesgos de Gestión'!$V$31),"")</f>
        <v/>
      </c>
      <c r="AI19" s="39" t="str">
        <f>IF(AND('Riesgos de Gestión'!$AF$32="Alta",'Riesgos de Gestión'!$AH$32="Catastrófico"),CONCATENATE("R4C",'Riesgos de Gestión'!$V$32),"")</f>
        <v/>
      </c>
      <c r="AJ19" s="39" t="str">
        <f>IF(AND('Riesgos de Gestión'!$AF$33="Alta",'Riesgos de Gestión'!$AH$33="Catastrófico"),CONCATENATE("R4C",'Riesgos de Gestión'!$V$33),"")</f>
        <v/>
      </c>
      <c r="AK19" s="39" t="str">
        <f>IF(AND('Riesgos de Gestión'!$AF$34="Alta",'Riesgos de Gestión'!$AH$34="Catastrófico"),CONCATENATE("R4C",'Riesgos de Gestión'!$V$34),"")</f>
        <v/>
      </c>
      <c r="AL19" s="39" t="str">
        <f>IF(AND('Riesgos de Gestión'!$AF$35="Alta",'Riesgos de Gestión'!$AH$35="Catastrófico"),CONCATENATE("R4C",'Riesgos de Gestión'!$V$35),"")</f>
        <v/>
      </c>
      <c r="AM19" s="40" t="str">
        <f>IF(AND('Riesgos de Gestión'!$AF$36="Alta",'Riesgos de Gestión'!$AH$36="Catastrófico"),CONCATENATE("R4C",'Riesgos de Gestión'!$V$36),"")</f>
        <v/>
      </c>
      <c r="AN19" s="66"/>
      <c r="AO19" s="561"/>
      <c r="AP19" s="562"/>
      <c r="AQ19" s="562"/>
      <c r="AR19" s="562"/>
      <c r="AS19" s="562"/>
      <c r="AT19" s="563"/>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row>
    <row r="20" spans="1:76" ht="15" customHeight="1" x14ac:dyDescent="0.25">
      <c r="A20" s="66"/>
      <c r="B20" s="510"/>
      <c r="C20" s="510"/>
      <c r="D20" s="511"/>
      <c r="E20" s="551"/>
      <c r="F20" s="552"/>
      <c r="G20" s="552"/>
      <c r="H20" s="552"/>
      <c r="I20" s="552"/>
      <c r="J20" s="50" t="str">
        <f>IF(AND('Riesgos de Gestión'!$AF$37="Alta",'Riesgos de Gestión'!$AH$37="Leve"),CONCATENATE("R5C",'Riesgos de Gestión'!$V$37),"")</f>
        <v/>
      </c>
      <c r="K20" s="51" t="str">
        <f>IF(AND('Riesgos de Gestión'!$AF$38="Alta",'Riesgos de Gestión'!$AH$38="Leve"),CONCATENATE("R5C",'Riesgos de Gestión'!$V$38),"")</f>
        <v/>
      </c>
      <c r="L20" s="51" t="str">
        <f>IF(AND('Riesgos de Gestión'!$AF$39="Alta",'Riesgos de Gestión'!$AH$39="Leve"),CONCATENATE("R5C",'Riesgos de Gestión'!$V$39),"")</f>
        <v/>
      </c>
      <c r="M20" s="51" t="str">
        <f>IF(AND('Riesgos de Gestión'!$AF$40="Alta",'Riesgos de Gestión'!$AH$40="Leve"),CONCATENATE("R5C",'Riesgos de Gestión'!$V$40),"")</f>
        <v/>
      </c>
      <c r="N20" s="51" t="str">
        <f>IF(AND('Riesgos de Gestión'!$AF$41="Alta",'Riesgos de Gestión'!$AH$41="Leve"),CONCATENATE("R5C",'Riesgos de Gestión'!$V$41),"")</f>
        <v/>
      </c>
      <c r="O20" s="52" t="str">
        <f>IF(AND('Riesgos de Gestión'!$AF$42="Alta",'Riesgos de Gestión'!$AH$42="Leve"),CONCATENATE("R5C",'Riesgos de Gestión'!$V$42),"")</f>
        <v/>
      </c>
      <c r="P20" s="50" t="str">
        <f>IF(AND('Riesgos de Gestión'!$AF$37="Alta",'Riesgos de Gestión'!$AH$37="Menor"),CONCATENATE("R5C",'Riesgos de Gestión'!$V$37),"")</f>
        <v/>
      </c>
      <c r="Q20" s="51" t="str">
        <f>IF(AND('Riesgos de Gestión'!$AF$38="Alta",'Riesgos de Gestión'!$AH$38="Menor"),CONCATENATE("R5C",'Riesgos de Gestión'!$V$38),"")</f>
        <v/>
      </c>
      <c r="R20" s="51" t="str">
        <f>IF(AND('Riesgos de Gestión'!$AF$39="Alta",'Riesgos de Gestión'!$AH$39="Menor"),CONCATENATE("R5C",'Riesgos de Gestión'!$V$39),"")</f>
        <v/>
      </c>
      <c r="S20" s="51" t="str">
        <f>IF(AND('Riesgos de Gestión'!$AF$40="Alta",'Riesgos de Gestión'!$AH$40="Menor"),CONCATENATE("R5C",'Riesgos de Gestión'!$V$40),"")</f>
        <v/>
      </c>
      <c r="T20" s="51" t="str">
        <f>IF(AND('Riesgos de Gestión'!$AF$41="Alta",'Riesgos de Gestión'!$AH$41="Menor"),CONCATENATE("R5C",'Riesgos de Gestión'!$V$41),"")</f>
        <v/>
      </c>
      <c r="U20" s="52" t="str">
        <f>IF(AND('Riesgos de Gestión'!$AF$42="Alta",'Riesgos de Gestión'!$AH$42="Menor"),CONCATENATE("R5C",'Riesgos de Gestión'!$V$42),"")</f>
        <v/>
      </c>
      <c r="V20" s="35" t="str">
        <f>IF(AND('Riesgos de Gestión'!$AF$37="Alta",'Riesgos de Gestión'!$AH$37="Moderado"),CONCATENATE("R5C",'Riesgos de Gestión'!$V$37),"")</f>
        <v/>
      </c>
      <c r="W20" s="36" t="str">
        <f>IF(AND('Riesgos de Gestión'!$AF$38="Alta",'Riesgos de Gestión'!$AH$38="Moderado"),CONCATENATE("R5C",'Riesgos de Gestión'!$V$38),"")</f>
        <v/>
      </c>
      <c r="X20" s="36" t="str">
        <f>IF(AND('Riesgos de Gestión'!$AF$39="Alta",'Riesgos de Gestión'!$AH$39="Moderado"),CONCATENATE("R5C",'Riesgos de Gestión'!$V$39),"")</f>
        <v/>
      </c>
      <c r="Y20" s="36" t="str">
        <f>IF(AND('Riesgos de Gestión'!$AF$40="Alta",'Riesgos de Gestión'!$AH$40="Moderado"),CONCATENATE("R5C",'Riesgos de Gestión'!$V$40),"")</f>
        <v/>
      </c>
      <c r="Z20" s="36" t="str">
        <f>IF(AND('Riesgos de Gestión'!$AF$41="Alta",'Riesgos de Gestión'!$AH$41="Moderado"),CONCATENATE("R5C",'Riesgos de Gestión'!$V$41),"")</f>
        <v/>
      </c>
      <c r="AA20" s="37" t="str">
        <f>IF(AND('Riesgos de Gestión'!$AF$42="Alta",'Riesgos de Gestión'!$AH$42="Moderado"),CONCATENATE("R5C",'Riesgos de Gestión'!$V$42),"")</f>
        <v/>
      </c>
      <c r="AB20" s="35" t="str">
        <f>IF(AND('Riesgos de Gestión'!$AF$37="Alta",'Riesgos de Gestión'!$AH$37="Mayor"),CONCATENATE("R5C",'Riesgos de Gestión'!$V$37),"")</f>
        <v/>
      </c>
      <c r="AC20" s="36" t="str">
        <f>IF(AND('Riesgos de Gestión'!$AF$38="Alta",'Riesgos de Gestión'!$AH$38="Mayor"),CONCATENATE("R5C",'Riesgos de Gestión'!$V$38),"")</f>
        <v/>
      </c>
      <c r="AD20" s="36" t="str">
        <f>IF(AND('Riesgos de Gestión'!$AF$39="Alta",'Riesgos de Gestión'!$AH$39="Mayor"),CONCATENATE("R5C",'Riesgos de Gestión'!$V$39),"")</f>
        <v/>
      </c>
      <c r="AE20" s="36" t="str">
        <f>IF(AND('Riesgos de Gestión'!$AF$40="Alta",'Riesgos de Gestión'!$AH$40="Mayor"),CONCATENATE("R5C",'Riesgos de Gestión'!$V$40),"")</f>
        <v/>
      </c>
      <c r="AF20" s="36" t="str">
        <f>IF(AND('Riesgos de Gestión'!$AF$41="Alta",'Riesgos de Gestión'!$AH$41="Mayor"),CONCATENATE("R5C",'Riesgos de Gestión'!$V$41),"")</f>
        <v/>
      </c>
      <c r="AG20" s="37" t="str">
        <f>IF(AND('Riesgos de Gestión'!$AF$42="Alta",'Riesgos de Gestión'!$AH$42="Mayor"),CONCATENATE("R5C",'Riesgos de Gestión'!$V$42),"")</f>
        <v/>
      </c>
      <c r="AH20" s="38" t="str">
        <f>IF(AND('Riesgos de Gestión'!$AF$37="Alta",'Riesgos de Gestión'!$AH$37="Catastrófico"),CONCATENATE("R5C",'Riesgos de Gestión'!$V$37),"")</f>
        <v/>
      </c>
      <c r="AI20" s="39" t="str">
        <f>IF(AND('Riesgos de Gestión'!$AF$38="Alta",'Riesgos de Gestión'!$AH$38="Catastrófico"),CONCATENATE("R5C",'Riesgos de Gestión'!$V$38),"")</f>
        <v/>
      </c>
      <c r="AJ20" s="39" t="str">
        <f>IF(AND('Riesgos de Gestión'!$AF$39="Alta",'Riesgos de Gestión'!$AH$39="Catastrófico"),CONCATENATE("R5C",'Riesgos de Gestión'!$V$39),"")</f>
        <v/>
      </c>
      <c r="AK20" s="39" t="str">
        <f>IF(AND('Riesgos de Gestión'!$AF$40="Alta",'Riesgos de Gestión'!$AH$40="Catastrófico"),CONCATENATE("R5C",'Riesgos de Gestión'!$V$40),"")</f>
        <v/>
      </c>
      <c r="AL20" s="39" t="str">
        <f>IF(AND('Riesgos de Gestión'!$AF$41="Alta",'Riesgos de Gestión'!$AH$41="Catastrófico"),CONCATENATE("R5C",'Riesgos de Gestión'!$V$41),"")</f>
        <v/>
      </c>
      <c r="AM20" s="40" t="str">
        <f>IF(AND('Riesgos de Gestión'!$AF$42="Alta",'Riesgos de Gestión'!$AH$42="Catastrófico"),CONCATENATE("R5C",'Riesgos de Gestión'!$V$42),"")</f>
        <v/>
      </c>
      <c r="AN20" s="66"/>
      <c r="AO20" s="561"/>
      <c r="AP20" s="562"/>
      <c r="AQ20" s="562"/>
      <c r="AR20" s="562"/>
      <c r="AS20" s="562"/>
      <c r="AT20" s="563"/>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row>
    <row r="21" spans="1:76" ht="15" customHeight="1" x14ac:dyDescent="0.25">
      <c r="A21" s="66"/>
      <c r="B21" s="510"/>
      <c r="C21" s="510"/>
      <c r="D21" s="511"/>
      <c r="E21" s="551"/>
      <c r="F21" s="552"/>
      <c r="G21" s="552"/>
      <c r="H21" s="552"/>
      <c r="I21" s="552"/>
      <c r="J21" s="50" t="str">
        <f>IF(AND('Riesgos de Gestión'!$AF$43="Alta",'Riesgos de Gestión'!$AH$43="Leve"),CONCATENATE("R6C",'Riesgos de Gestión'!$V$43),"")</f>
        <v/>
      </c>
      <c r="K21" s="51" t="str">
        <f>IF(AND('Riesgos de Gestión'!$AF$44="Alta",'Riesgos de Gestión'!$AH$44="Leve"),CONCATENATE("R6C",'Riesgos de Gestión'!$V$44),"")</f>
        <v/>
      </c>
      <c r="L21" s="51" t="str">
        <f>IF(AND('Riesgos de Gestión'!$AF$45="Alta",'Riesgos de Gestión'!$AH$45="Leve"),CONCATENATE("R6C",'Riesgos de Gestión'!$V$45),"")</f>
        <v/>
      </c>
      <c r="M21" s="51" t="str">
        <f>IF(AND('Riesgos de Gestión'!$AF$46="Alta",'Riesgos de Gestión'!$AH$46="Leve"),CONCATENATE("R6C",'Riesgos de Gestión'!$V$46),"")</f>
        <v/>
      </c>
      <c r="N21" s="51" t="str">
        <f>IF(AND('Riesgos de Gestión'!$AF$47="Alta",'Riesgos de Gestión'!$AH$47="Leve"),CONCATENATE("R6C",'Riesgos de Gestión'!$V$47),"")</f>
        <v/>
      </c>
      <c r="O21" s="52" t="str">
        <f>IF(AND('Riesgos de Gestión'!$AF$48="Alta",'Riesgos de Gestión'!$AH$48="Leve"),CONCATENATE("R6C",'Riesgos de Gestión'!$V$48),"")</f>
        <v/>
      </c>
      <c r="P21" s="50" t="str">
        <f>IF(AND('Riesgos de Gestión'!$AF$43="Alta",'Riesgos de Gestión'!$AH$43="Menor"),CONCATENATE("R6C",'Riesgos de Gestión'!$V$43),"")</f>
        <v/>
      </c>
      <c r="Q21" s="51" t="str">
        <f>IF(AND('Riesgos de Gestión'!$AF$44="Alta",'Riesgos de Gestión'!$AH$44="Menor"),CONCATENATE("R6C",'Riesgos de Gestión'!$V$44),"")</f>
        <v/>
      </c>
      <c r="R21" s="51" t="str">
        <f>IF(AND('Riesgos de Gestión'!$AF$45="Alta",'Riesgos de Gestión'!$AH$45="Menor"),CONCATENATE("R6C",'Riesgos de Gestión'!$V$45),"")</f>
        <v/>
      </c>
      <c r="S21" s="51" t="str">
        <f>IF(AND('Riesgos de Gestión'!$AF$46="Alta",'Riesgos de Gestión'!$AH$46="Menor"),CONCATENATE("R6C",'Riesgos de Gestión'!$V$46),"")</f>
        <v/>
      </c>
      <c r="T21" s="51" t="str">
        <f>IF(AND('Riesgos de Gestión'!$AF$47="Alta",'Riesgos de Gestión'!$AH$47="Menor"),CONCATENATE("R6C",'Riesgos de Gestión'!$V$47),"")</f>
        <v/>
      </c>
      <c r="U21" s="52" t="str">
        <f>IF(AND('Riesgos de Gestión'!$AF$48="Alta",'Riesgos de Gestión'!$AH$48="Menor"),CONCATENATE("R6C",'Riesgos de Gestión'!$V$48),"")</f>
        <v/>
      </c>
      <c r="V21" s="35" t="str">
        <f>IF(AND('Riesgos de Gestión'!$AF$43="Alta",'Riesgos de Gestión'!$AH$43="Moderado"),CONCATENATE("R6C",'Riesgos de Gestión'!$V$43),"")</f>
        <v/>
      </c>
      <c r="W21" s="36" t="str">
        <f>IF(AND('Riesgos de Gestión'!$AF$44="Alta",'Riesgos de Gestión'!$AH$44="Moderado"),CONCATENATE("R6C",'Riesgos de Gestión'!$V$44),"")</f>
        <v/>
      </c>
      <c r="X21" s="36" t="str">
        <f>IF(AND('Riesgos de Gestión'!$AF$45="Alta",'Riesgos de Gestión'!$AH$45="Moderado"),CONCATENATE("R6C",'Riesgos de Gestión'!$V$45),"")</f>
        <v/>
      </c>
      <c r="Y21" s="36" t="str">
        <f>IF(AND('Riesgos de Gestión'!$AF$46="Alta",'Riesgos de Gestión'!$AH$46="Moderado"),CONCATENATE("R6C",'Riesgos de Gestión'!$V$46),"")</f>
        <v/>
      </c>
      <c r="Z21" s="36" t="str">
        <f>IF(AND('Riesgos de Gestión'!$AF$47="Alta",'Riesgos de Gestión'!$AH$47="Moderado"),CONCATENATE("R6C",'Riesgos de Gestión'!$V$47),"")</f>
        <v/>
      </c>
      <c r="AA21" s="37" t="str">
        <f>IF(AND('Riesgos de Gestión'!$AF$48="Alta",'Riesgos de Gestión'!$AH$48="Moderado"),CONCATENATE("R6C",'Riesgos de Gestión'!$V$48),"")</f>
        <v/>
      </c>
      <c r="AB21" s="35" t="str">
        <f>IF(AND('Riesgos de Gestión'!$AF$43="Alta",'Riesgos de Gestión'!$AH$43="Mayor"),CONCATENATE("R6C",'Riesgos de Gestión'!$V$43),"")</f>
        <v/>
      </c>
      <c r="AC21" s="36" t="str">
        <f>IF(AND('Riesgos de Gestión'!$AF$44="Alta",'Riesgos de Gestión'!$AH$44="Mayor"),CONCATENATE("R6C",'Riesgos de Gestión'!$V$44),"")</f>
        <v/>
      </c>
      <c r="AD21" s="36" t="str">
        <f>IF(AND('Riesgos de Gestión'!$AF$45="Alta",'Riesgos de Gestión'!$AH$45="Mayor"),CONCATENATE("R6C",'Riesgos de Gestión'!$V$45),"")</f>
        <v/>
      </c>
      <c r="AE21" s="36" t="str">
        <f>IF(AND('Riesgos de Gestión'!$AF$46="Alta",'Riesgos de Gestión'!$AH$46="Mayor"),CONCATENATE("R6C",'Riesgos de Gestión'!$V$46),"")</f>
        <v/>
      </c>
      <c r="AF21" s="36" t="str">
        <f>IF(AND('Riesgos de Gestión'!$AF$47="Alta",'Riesgos de Gestión'!$AH$47="Mayor"),CONCATENATE("R6C",'Riesgos de Gestión'!$V$47),"")</f>
        <v/>
      </c>
      <c r="AG21" s="37" t="str">
        <f>IF(AND('Riesgos de Gestión'!$AF$48="Alta",'Riesgos de Gestión'!$AH$48="Mayor"),CONCATENATE("R6C",'Riesgos de Gestión'!$V$48),"")</f>
        <v/>
      </c>
      <c r="AH21" s="38" t="str">
        <f>IF(AND('Riesgos de Gestión'!$AF$43="Alta",'Riesgos de Gestión'!$AH$43="Catastrófico"),CONCATENATE("R6C",'Riesgos de Gestión'!$V$43),"")</f>
        <v/>
      </c>
      <c r="AI21" s="39" t="str">
        <f>IF(AND('Riesgos de Gestión'!$AF$44="Alta",'Riesgos de Gestión'!$AH$44="Catastrófico"),CONCATENATE("R6C",'Riesgos de Gestión'!$V$44),"")</f>
        <v/>
      </c>
      <c r="AJ21" s="39" t="str">
        <f>IF(AND('Riesgos de Gestión'!$AF$45="Alta",'Riesgos de Gestión'!$AH$45="Catastrófico"),CONCATENATE("R6C",'Riesgos de Gestión'!$V$45),"")</f>
        <v/>
      </c>
      <c r="AK21" s="39" t="str">
        <f>IF(AND('Riesgos de Gestión'!$AF$46="Alta",'Riesgos de Gestión'!$AH$46="Catastrófico"),CONCATENATE("R6C",'Riesgos de Gestión'!$V$46),"")</f>
        <v/>
      </c>
      <c r="AL21" s="39" t="str">
        <f>IF(AND('Riesgos de Gestión'!$AF$47="Alta",'Riesgos de Gestión'!$AH$47="Catastrófico"),CONCATENATE("R6C",'Riesgos de Gestión'!$V$47),"")</f>
        <v/>
      </c>
      <c r="AM21" s="40" t="str">
        <f>IF(AND('Riesgos de Gestión'!$AF$48="Alta",'Riesgos de Gestión'!$AH$48="Catastrófico"),CONCATENATE("R6C",'Riesgos de Gestión'!$V$48),"")</f>
        <v/>
      </c>
      <c r="AN21" s="66"/>
      <c r="AO21" s="561"/>
      <c r="AP21" s="562"/>
      <c r="AQ21" s="562"/>
      <c r="AR21" s="562"/>
      <c r="AS21" s="562"/>
      <c r="AT21" s="563"/>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row>
    <row r="22" spans="1:76" ht="15" customHeight="1" x14ac:dyDescent="0.25">
      <c r="A22" s="66"/>
      <c r="B22" s="510"/>
      <c r="C22" s="510"/>
      <c r="D22" s="511"/>
      <c r="E22" s="551"/>
      <c r="F22" s="552"/>
      <c r="G22" s="552"/>
      <c r="H22" s="552"/>
      <c r="I22" s="552"/>
      <c r="J22" s="50" t="str">
        <f>IF(AND('Riesgos de Gestión'!$AF$49="Alta",'Riesgos de Gestión'!$AH$49="Leve"),CONCATENATE("R7C",'Riesgos de Gestión'!$V$49),"")</f>
        <v/>
      </c>
      <c r="K22" s="51" t="str">
        <f>IF(AND('Riesgos de Gestión'!$AF$50="Alta",'Riesgos de Gestión'!$AH$50="Leve"),CONCATENATE("R7C",'Riesgos de Gestión'!$V$50),"")</f>
        <v/>
      </c>
      <c r="L22" s="51" t="str">
        <f>IF(AND('Riesgos de Gestión'!$AF$51="Alta",'Riesgos de Gestión'!$AH$51="Leve"),CONCATENATE("R7C",'Riesgos de Gestión'!$V$51),"")</f>
        <v/>
      </c>
      <c r="M22" s="51" t="str">
        <f>IF(AND('Riesgos de Gestión'!$AF$52="Alta",'Riesgos de Gestión'!$AH$52="Leve"),CONCATENATE("R7C",'Riesgos de Gestión'!$V$52),"")</f>
        <v/>
      </c>
      <c r="N22" s="51" t="str">
        <f>IF(AND('Riesgos de Gestión'!$AF$53="Alta",'Riesgos de Gestión'!$AH$53="Leve"),CONCATENATE("R7C",'Riesgos de Gestión'!$V$53),"")</f>
        <v/>
      </c>
      <c r="O22" s="52" t="str">
        <f>IF(AND('Riesgos de Gestión'!$AF$54="Alta",'Riesgos de Gestión'!$AH$54="Leve"),CONCATENATE("R7C",'Riesgos de Gestión'!$V$54),"")</f>
        <v/>
      </c>
      <c r="P22" s="50" t="str">
        <f>IF(AND('Riesgos de Gestión'!$AF$49="Alta",'Riesgos de Gestión'!$AH$49="Menor"),CONCATENATE("R7C",'Riesgos de Gestión'!$V$49),"")</f>
        <v/>
      </c>
      <c r="Q22" s="51" t="str">
        <f>IF(AND('Riesgos de Gestión'!$AF$50="Alta",'Riesgos de Gestión'!$AH$50="Menor"),CONCATENATE("R7C",'Riesgos de Gestión'!$V$50),"")</f>
        <v/>
      </c>
      <c r="R22" s="51" t="str">
        <f>IF(AND('Riesgos de Gestión'!$AF$51="Alta",'Riesgos de Gestión'!$AH$51="Menor"),CONCATENATE("R7C",'Riesgos de Gestión'!$V$51),"")</f>
        <v/>
      </c>
      <c r="S22" s="51" t="str">
        <f>IF(AND('Riesgos de Gestión'!$AF$52="Alta",'Riesgos de Gestión'!$AH$52="Menor"),CONCATENATE("R7C",'Riesgos de Gestión'!$V$52),"")</f>
        <v/>
      </c>
      <c r="T22" s="51" t="str">
        <f>IF(AND('Riesgos de Gestión'!$AF$53="Alta",'Riesgos de Gestión'!$AH$53="Menor"),CONCATENATE("R7C",'Riesgos de Gestión'!$V$53),"")</f>
        <v/>
      </c>
      <c r="U22" s="52" t="str">
        <f>IF(AND('Riesgos de Gestión'!$AF$54="Alta",'Riesgos de Gestión'!$AH$54="Menor"),CONCATENATE("R7C",'Riesgos de Gestión'!$V$54),"")</f>
        <v/>
      </c>
      <c r="V22" s="35" t="str">
        <f>IF(AND('Riesgos de Gestión'!$AF$49="Alta",'Riesgos de Gestión'!$AH$49="Moderado"),CONCATENATE("R7C",'Riesgos de Gestión'!$V$49),"")</f>
        <v/>
      </c>
      <c r="W22" s="36" t="str">
        <f>IF(AND('Riesgos de Gestión'!$AF$50="Alta",'Riesgos de Gestión'!$AH$50="Moderado"),CONCATENATE("R7C",'Riesgos de Gestión'!$V$50),"")</f>
        <v/>
      </c>
      <c r="X22" s="36" t="str">
        <f>IF(AND('Riesgos de Gestión'!$AF$51="Alta",'Riesgos de Gestión'!$AH$51="Moderado"),CONCATENATE("R7C",'Riesgos de Gestión'!$V$51),"")</f>
        <v/>
      </c>
      <c r="Y22" s="36" t="str">
        <f>IF(AND('Riesgos de Gestión'!$AF$52="Alta",'Riesgos de Gestión'!$AH$52="Moderado"),CONCATENATE("R7C",'Riesgos de Gestión'!$V$52),"")</f>
        <v/>
      </c>
      <c r="Z22" s="36" t="str">
        <f>IF(AND('Riesgos de Gestión'!$AF$53="Alta",'Riesgos de Gestión'!$AH$53="Moderado"),CONCATENATE("R7C",'Riesgos de Gestión'!$V$53),"")</f>
        <v/>
      </c>
      <c r="AA22" s="37" t="str">
        <f>IF(AND('Riesgos de Gestión'!$AF$54="Alta",'Riesgos de Gestión'!$AH$54="Moderado"),CONCATENATE("R7C",'Riesgos de Gestión'!$V$54),"")</f>
        <v/>
      </c>
      <c r="AB22" s="35" t="str">
        <f>IF(AND('Riesgos de Gestión'!$AF$49="Alta",'Riesgos de Gestión'!$AH$49="Mayor"),CONCATENATE("R7C",'Riesgos de Gestión'!$V$49),"")</f>
        <v/>
      </c>
      <c r="AC22" s="36" t="str">
        <f>IF(AND('Riesgos de Gestión'!$AF$50="Alta",'Riesgos de Gestión'!$AH$50="Mayor"),CONCATENATE("R7C",'Riesgos de Gestión'!$V$50),"")</f>
        <v/>
      </c>
      <c r="AD22" s="36" t="str">
        <f>IF(AND('Riesgos de Gestión'!$AF$51="Alta",'Riesgos de Gestión'!$AH$51="Mayor"),CONCATENATE("R7C",'Riesgos de Gestión'!$V$51),"")</f>
        <v/>
      </c>
      <c r="AE22" s="36" t="str">
        <f>IF(AND('Riesgos de Gestión'!$AF$52="Alta",'Riesgos de Gestión'!$AH$52="Mayor"),CONCATENATE("R7C",'Riesgos de Gestión'!$V$52),"")</f>
        <v/>
      </c>
      <c r="AF22" s="36" t="str">
        <f>IF(AND('Riesgos de Gestión'!$AF$53="Alta",'Riesgos de Gestión'!$AH$53="Mayor"),CONCATENATE("R7C",'Riesgos de Gestión'!$V$53),"")</f>
        <v/>
      </c>
      <c r="AG22" s="37" t="str">
        <f>IF(AND('Riesgos de Gestión'!$AF$54="Alta",'Riesgos de Gestión'!$AH$54="Mayor"),CONCATENATE("R7C",'Riesgos de Gestión'!$V$54),"")</f>
        <v/>
      </c>
      <c r="AH22" s="38" t="str">
        <f>IF(AND('Riesgos de Gestión'!$AF$49="Alta",'Riesgos de Gestión'!$AH$49="Catastrófico"),CONCATENATE("R7C",'Riesgos de Gestión'!$V$49),"")</f>
        <v/>
      </c>
      <c r="AI22" s="39" t="str">
        <f>IF(AND('Riesgos de Gestión'!$AF$50="Alta",'Riesgos de Gestión'!$AH$50="Catastrófico"),CONCATENATE("R7C",'Riesgos de Gestión'!$V$50),"")</f>
        <v/>
      </c>
      <c r="AJ22" s="39" t="str">
        <f>IF(AND('Riesgos de Gestión'!$AF$51="Alta",'Riesgos de Gestión'!$AH$51="Catastrófico"),CONCATENATE("R7C",'Riesgos de Gestión'!$V$51),"")</f>
        <v/>
      </c>
      <c r="AK22" s="39" t="str">
        <f>IF(AND('Riesgos de Gestión'!$AF$52="Alta",'Riesgos de Gestión'!$AH$52="Catastrófico"),CONCATENATE("R7C",'Riesgos de Gestión'!$V$52),"")</f>
        <v/>
      </c>
      <c r="AL22" s="39" t="str">
        <f>IF(AND('Riesgos de Gestión'!$AF$53="Alta",'Riesgos de Gestión'!$AH$53="Catastrófico"),CONCATENATE("R7C",'Riesgos de Gestión'!$V$53),"")</f>
        <v/>
      </c>
      <c r="AM22" s="40" t="str">
        <f>IF(AND('Riesgos de Gestión'!$AF$54="Alta",'Riesgos de Gestión'!$AH$54="Catastrófico"),CONCATENATE("R7C",'Riesgos de Gestión'!$V$54),"")</f>
        <v/>
      </c>
      <c r="AN22" s="66"/>
      <c r="AO22" s="561"/>
      <c r="AP22" s="562"/>
      <c r="AQ22" s="562"/>
      <c r="AR22" s="562"/>
      <c r="AS22" s="562"/>
      <c r="AT22" s="563"/>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row>
    <row r="23" spans="1:76" ht="15" customHeight="1" x14ac:dyDescent="0.25">
      <c r="A23" s="66"/>
      <c r="B23" s="510"/>
      <c r="C23" s="510"/>
      <c r="D23" s="511"/>
      <c r="E23" s="551"/>
      <c r="F23" s="552"/>
      <c r="G23" s="552"/>
      <c r="H23" s="552"/>
      <c r="I23" s="552"/>
      <c r="J23" s="50" t="str">
        <f>IF(AND('Riesgos de Gestión'!$AF$55="Alta",'Riesgos de Gestión'!$AH$55="Leve"),CONCATENATE("R8C",'Riesgos de Gestión'!$V$55),"")</f>
        <v/>
      </c>
      <c r="K23" s="51" t="str">
        <f>IF(AND('Riesgos de Gestión'!$AF$56="Alta",'Riesgos de Gestión'!$AH$56="Leve"),CONCATENATE("R8C",'Riesgos de Gestión'!$V$56),"")</f>
        <v/>
      </c>
      <c r="L23" s="51" t="str">
        <f>IF(AND('Riesgos de Gestión'!$AF$57="Alta",'Riesgos de Gestión'!$AH$57="Leve"),CONCATENATE("R8C",'Riesgos de Gestión'!$V$57),"")</f>
        <v/>
      </c>
      <c r="M23" s="51" t="str">
        <f>IF(AND('Riesgos de Gestión'!$AF$58="Alta",'Riesgos de Gestión'!$AH$58="Leve"),CONCATENATE("R8C",'Riesgos de Gestión'!$V$58),"")</f>
        <v/>
      </c>
      <c r="N23" s="51" t="str">
        <f>IF(AND('Riesgos de Gestión'!$AF$59="Alta",'Riesgos de Gestión'!$AH$59="Leve"),CONCATENATE("R8C",'Riesgos de Gestión'!$V$59),"")</f>
        <v/>
      </c>
      <c r="O23" s="52" t="str">
        <f>IF(AND('Riesgos de Gestión'!$AF$60="Alta",'Riesgos de Gestión'!$AH$60="Leve"),CONCATENATE("R8C",'Riesgos de Gestión'!$V$60),"")</f>
        <v/>
      </c>
      <c r="P23" s="50" t="str">
        <f>IF(AND('Riesgos de Gestión'!$AF$55="Alta",'Riesgos de Gestión'!$AH$55="Menor"),CONCATENATE("R8C",'Riesgos de Gestión'!$V$55),"")</f>
        <v/>
      </c>
      <c r="Q23" s="51" t="str">
        <f>IF(AND('Riesgos de Gestión'!$AF$56="Alta",'Riesgos de Gestión'!$AH$56="Menor"),CONCATENATE("R8C",'Riesgos de Gestión'!$V$56),"")</f>
        <v/>
      </c>
      <c r="R23" s="51" t="str">
        <f>IF(AND('Riesgos de Gestión'!$AF$57="Alta",'Riesgos de Gestión'!$AH$57="Menor"),CONCATENATE("R8C",'Riesgos de Gestión'!$V$57),"")</f>
        <v/>
      </c>
      <c r="S23" s="51" t="str">
        <f>IF(AND('Riesgos de Gestión'!$AF$58="Alta",'Riesgos de Gestión'!$AH$58="Menor"),CONCATENATE("R8C",'Riesgos de Gestión'!$V$58),"")</f>
        <v/>
      </c>
      <c r="T23" s="51" t="str">
        <f>IF(AND('Riesgos de Gestión'!$AF$59="Alta",'Riesgos de Gestión'!$AH$59="Menor"),CONCATENATE("R8C",'Riesgos de Gestión'!$V$59),"")</f>
        <v/>
      </c>
      <c r="U23" s="52" t="str">
        <f>IF(AND('Riesgos de Gestión'!$AF$60="Alta",'Riesgos de Gestión'!$AH$60="Menor"),CONCATENATE("R8C",'Riesgos de Gestión'!$V$60),"")</f>
        <v/>
      </c>
      <c r="V23" s="35" t="str">
        <f>IF(AND('Riesgos de Gestión'!$AF$55="Alta",'Riesgos de Gestión'!$AH$55="Moderado"),CONCATENATE("R8C",'Riesgos de Gestión'!$V$55),"")</f>
        <v/>
      </c>
      <c r="W23" s="36" t="str">
        <f>IF(AND('Riesgos de Gestión'!$AF$56="Alta",'Riesgos de Gestión'!$AH$56="Moderado"),CONCATENATE("R8C",'Riesgos de Gestión'!$V$56),"")</f>
        <v/>
      </c>
      <c r="X23" s="36" t="str">
        <f>IF(AND('Riesgos de Gestión'!$AF$57="Alta",'Riesgos de Gestión'!$AH$57="Moderado"),CONCATENATE("R8C",'Riesgos de Gestión'!$V$57),"")</f>
        <v/>
      </c>
      <c r="Y23" s="36" t="str">
        <f>IF(AND('Riesgos de Gestión'!$AF$58="Alta",'Riesgos de Gestión'!$AH$58="Moderado"),CONCATENATE("R8C",'Riesgos de Gestión'!$V$58),"")</f>
        <v/>
      </c>
      <c r="Z23" s="36" t="str">
        <f>IF(AND('Riesgos de Gestión'!$AF$59="Alta",'Riesgos de Gestión'!$AH$59="Moderado"),CONCATENATE("R8C",'Riesgos de Gestión'!$V$59),"")</f>
        <v/>
      </c>
      <c r="AA23" s="37" t="str">
        <f>IF(AND('Riesgos de Gestión'!$AF$60="Alta",'Riesgos de Gestión'!$AH$60="Moderado"),CONCATENATE("R8C",'Riesgos de Gestión'!$V$60),"")</f>
        <v/>
      </c>
      <c r="AB23" s="35" t="str">
        <f>IF(AND('Riesgos de Gestión'!$AF$55="Alta",'Riesgos de Gestión'!$AH$55="Mayor"),CONCATENATE("R8C",'Riesgos de Gestión'!$V$55),"")</f>
        <v/>
      </c>
      <c r="AC23" s="36" t="str">
        <f>IF(AND('Riesgos de Gestión'!$AF$56="Alta",'Riesgos de Gestión'!$AH$56="Mayor"),CONCATENATE("R8C",'Riesgos de Gestión'!$V$56),"")</f>
        <v/>
      </c>
      <c r="AD23" s="36" t="str">
        <f>IF(AND('Riesgos de Gestión'!$AF$57="Alta",'Riesgos de Gestión'!$AH$57="Mayor"),CONCATENATE("R8C",'Riesgos de Gestión'!$V$57),"")</f>
        <v/>
      </c>
      <c r="AE23" s="36" t="str">
        <f>IF(AND('Riesgos de Gestión'!$AF$58="Alta",'Riesgos de Gestión'!$AH$58="Mayor"),CONCATENATE("R8C",'Riesgos de Gestión'!$V$58),"")</f>
        <v/>
      </c>
      <c r="AF23" s="36" t="str">
        <f>IF(AND('Riesgos de Gestión'!$AF$59="Alta",'Riesgos de Gestión'!$AH$59="Mayor"),CONCATENATE("R8C",'Riesgos de Gestión'!$V$59),"")</f>
        <v/>
      </c>
      <c r="AG23" s="37" t="str">
        <f>IF(AND('Riesgos de Gestión'!$AF$60="Alta",'Riesgos de Gestión'!$AH$60="Mayor"),CONCATENATE("R8C",'Riesgos de Gestión'!$V$60),"")</f>
        <v/>
      </c>
      <c r="AH23" s="38" t="str">
        <f>IF(AND('Riesgos de Gestión'!$AF$55="Alta",'Riesgos de Gestión'!$AH$55="Catastrófico"),CONCATENATE("R8C",'Riesgos de Gestión'!$V$55),"")</f>
        <v/>
      </c>
      <c r="AI23" s="39" t="str">
        <f>IF(AND('Riesgos de Gestión'!$AF$56="Alta",'Riesgos de Gestión'!$AH$56="Catastrófico"),CONCATENATE("R8C",'Riesgos de Gestión'!$V$56),"")</f>
        <v/>
      </c>
      <c r="AJ23" s="39" t="str">
        <f>IF(AND('Riesgos de Gestión'!$AF$57="Alta",'Riesgos de Gestión'!$AH$57="Catastrófico"),CONCATENATE("R8C",'Riesgos de Gestión'!$V$57),"")</f>
        <v/>
      </c>
      <c r="AK23" s="39" t="str">
        <f>IF(AND('Riesgos de Gestión'!$AF$58="Alta",'Riesgos de Gestión'!$AH$58="Catastrófico"),CONCATENATE("R8C",'Riesgos de Gestión'!$V$58),"")</f>
        <v/>
      </c>
      <c r="AL23" s="39" t="str">
        <f>IF(AND('Riesgos de Gestión'!$AF$59="Alta",'Riesgos de Gestión'!$AH$59="Catastrófico"),CONCATENATE("R8C",'Riesgos de Gestión'!$V$59),"")</f>
        <v/>
      </c>
      <c r="AM23" s="40" t="str">
        <f>IF(AND('Riesgos de Gestión'!$AF$60="Alta",'Riesgos de Gestión'!$AH$60="Catastrófico"),CONCATENATE("R8C",'Riesgos de Gestión'!$V$60),"")</f>
        <v/>
      </c>
      <c r="AN23" s="66"/>
      <c r="AO23" s="561"/>
      <c r="AP23" s="562"/>
      <c r="AQ23" s="562"/>
      <c r="AR23" s="562"/>
      <c r="AS23" s="562"/>
      <c r="AT23" s="563"/>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row>
    <row r="24" spans="1:76" ht="15" customHeight="1" x14ac:dyDescent="0.25">
      <c r="A24" s="66"/>
      <c r="B24" s="510"/>
      <c r="C24" s="510"/>
      <c r="D24" s="511"/>
      <c r="E24" s="551"/>
      <c r="F24" s="552"/>
      <c r="G24" s="552"/>
      <c r="H24" s="552"/>
      <c r="I24" s="552"/>
      <c r="J24" s="50" t="str">
        <f>IF(AND('Riesgos de Gestión'!$AF$61="Alta",'Riesgos de Gestión'!$AH$61="Leve"),CONCATENATE("R9C",'Riesgos de Gestión'!$V$61),"")</f>
        <v/>
      </c>
      <c r="K24" s="51" t="str">
        <f>IF(AND('Riesgos de Gestión'!$AF$62="Alta",'Riesgos de Gestión'!$AH$62="Leve"),CONCATENATE("R9C",'Riesgos de Gestión'!$V$62),"")</f>
        <v/>
      </c>
      <c r="L24" s="51" t="str">
        <f>IF(AND('Riesgos de Gestión'!$AF$63="Alta",'Riesgos de Gestión'!$AH$63="Leve"),CONCATENATE("R9C",'Riesgos de Gestión'!$V$63),"")</f>
        <v/>
      </c>
      <c r="M24" s="51" t="str">
        <f>IF(AND('Riesgos de Gestión'!$AF$64="Alta",'Riesgos de Gestión'!$AH$64="Leve"),CONCATENATE("R9C",'Riesgos de Gestión'!$V$64),"")</f>
        <v/>
      </c>
      <c r="N24" s="51" t="str">
        <f>IF(AND('Riesgos de Gestión'!$AF$65="Alta",'Riesgos de Gestión'!$AH$65="Leve"),CONCATENATE("R9C",'Riesgos de Gestión'!$V$65),"")</f>
        <v/>
      </c>
      <c r="O24" s="52" t="str">
        <f>IF(AND('Riesgos de Gestión'!$AF$66="Alta",'Riesgos de Gestión'!$AH$66="Leve"),CONCATENATE("R9C",'Riesgos de Gestión'!$V$66),"")</f>
        <v/>
      </c>
      <c r="P24" s="50" t="str">
        <f>IF(AND('Riesgos de Gestión'!$AF$61="Alta",'Riesgos de Gestión'!$AH$61="Menor"),CONCATENATE("R9C",'Riesgos de Gestión'!$V$61),"")</f>
        <v/>
      </c>
      <c r="Q24" s="51" t="str">
        <f>IF(AND('Riesgos de Gestión'!$AF$62="Alta",'Riesgos de Gestión'!$AH$62="Menor"),CONCATENATE("R9C",'Riesgos de Gestión'!$V$62),"")</f>
        <v/>
      </c>
      <c r="R24" s="51" t="str">
        <f>IF(AND('Riesgos de Gestión'!$AF$63="Alta",'Riesgos de Gestión'!$AH$63="Menor"),CONCATENATE("R9C",'Riesgos de Gestión'!$V$63),"")</f>
        <v/>
      </c>
      <c r="S24" s="51" t="str">
        <f>IF(AND('Riesgos de Gestión'!$AF$64="Alta",'Riesgos de Gestión'!$AH$64="Menor"),CONCATENATE("R9C",'Riesgos de Gestión'!$V$64),"")</f>
        <v/>
      </c>
      <c r="T24" s="51" t="str">
        <f>IF(AND('Riesgos de Gestión'!$AF$65="Alta",'Riesgos de Gestión'!$AH$65="Menor"),CONCATENATE("R9C",'Riesgos de Gestión'!$V$65),"")</f>
        <v/>
      </c>
      <c r="U24" s="52" t="str">
        <f>IF(AND('Riesgos de Gestión'!$AF$66="Alta",'Riesgos de Gestión'!$AH$66="Menor"),CONCATENATE("R9C",'Riesgos de Gestión'!$V$66),"")</f>
        <v/>
      </c>
      <c r="V24" s="35" t="str">
        <f>IF(AND('Riesgos de Gestión'!$AF$61="Alta",'Riesgos de Gestión'!$AH$61="Moderado"),CONCATENATE("R9C",'Riesgos de Gestión'!$V$61),"")</f>
        <v/>
      </c>
      <c r="W24" s="36" t="str">
        <f>IF(AND('Riesgos de Gestión'!$AF$62="Alta",'Riesgos de Gestión'!$AH$62="Moderado"),CONCATENATE("R9C",'Riesgos de Gestión'!$V$62),"")</f>
        <v/>
      </c>
      <c r="X24" s="36" t="str">
        <f>IF(AND('Riesgos de Gestión'!$AF$63="Alta",'Riesgos de Gestión'!$AH$63="Moderado"),CONCATENATE("R9C",'Riesgos de Gestión'!$V$63),"")</f>
        <v/>
      </c>
      <c r="Y24" s="36" t="str">
        <f>IF(AND('Riesgos de Gestión'!$AF$64="Alta",'Riesgos de Gestión'!$AH$64="Moderado"),CONCATENATE("R9C",'Riesgos de Gestión'!$V$64),"")</f>
        <v/>
      </c>
      <c r="Z24" s="36" t="str">
        <f>IF(AND('Riesgos de Gestión'!$AF$65="Alta",'Riesgos de Gestión'!$AH$65="Moderado"),CONCATENATE("R9C",'Riesgos de Gestión'!$V$65),"")</f>
        <v/>
      </c>
      <c r="AA24" s="37" t="str">
        <f>IF(AND('Riesgos de Gestión'!$AF$66="Alta",'Riesgos de Gestión'!$AH$66="Moderado"),CONCATENATE("R9C",'Riesgos de Gestión'!$V$66),"")</f>
        <v/>
      </c>
      <c r="AB24" s="35" t="str">
        <f>IF(AND('Riesgos de Gestión'!$AF$61="Alta",'Riesgos de Gestión'!$AH$61="Mayor"),CONCATENATE("R9C",'Riesgos de Gestión'!$V$61),"")</f>
        <v/>
      </c>
      <c r="AC24" s="36" t="str">
        <f>IF(AND('Riesgos de Gestión'!$AF$62="Alta",'Riesgos de Gestión'!$AH$62="Mayor"),CONCATENATE("R9C",'Riesgos de Gestión'!$V$62),"")</f>
        <v/>
      </c>
      <c r="AD24" s="36" t="str">
        <f>IF(AND('Riesgos de Gestión'!$AF$63="Alta",'Riesgos de Gestión'!$AH$63="Mayor"),CONCATENATE("R9C",'Riesgos de Gestión'!$V$63),"")</f>
        <v/>
      </c>
      <c r="AE24" s="36" t="str">
        <f>IF(AND('Riesgos de Gestión'!$AF$64="Alta",'Riesgos de Gestión'!$AH$64="Mayor"),CONCATENATE("R9C",'Riesgos de Gestión'!$V$64),"")</f>
        <v/>
      </c>
      <c r="AF24" s="36" t="str">
        <f>IF(AND('Riesgos de Gestión'!$AF$65="Alta",'Riesgos de Gestión'!$AH$65="Mayor"),CONCATENATE("R9C",'Riesgos de Gestión'!$V$65),"")</f>
        <v/>
      </c>
      <c r="AG24" s="37" t="str">
        <f>IF(AND('Riesgos de Gestión'!$AF$66="Alta",'Riesgos de Gestión'!$AH$66="Mayor"),CONCATENATE("R9C",'Riesgos de Gestión'!$V$66),"")</f>
        <v/>
      </c>
      <c r="AH24" s="38" t="str">
        <f>IF(AND('Riesgos de Gestión'!$AF$61="Alta",'Riesgos de Gestión'!$AH$61="Catastrófico"),CONCATENATE("R9C",'Riesgos de Gestión'!$V$61),"")</f>
        <v/>
      </c>
      <c r="AI24" s="39" t="str">
        <f>IF(AND('Riesgos de Gestión'!$AF$62="Alta",'Riesgos de Gestión'!$AH$62="Catastrófico"),CONCATENATE("R9C",'Riesgos de Gestión'!$V$62),"")</f>
        <v/>
      </c>
      <c r="AJ24" s="39" t="str">
        <f>IF(AND('Riesgos de Gestión'!$AF$63="Alta",'Riesgos de Gestión'!$AH$63="Catastrófico"),CONCATENATE("R9C",'Riesgos de Gestión'!$V$63),"")</f>
        <v/>
      </c>
      <c r="AK24" s="39" t="str">
        <f>IF(AND('Riesgos de Gestión'!$AF$64="Alta",'Riesgos de Gestión'!$AH$64="Catastrófico"),CONCATENATE("R9C",'Riesgos de Gestión'!$V$64),"")</f>
        <v/>
      </c>
      <c r="AL24" s="39" t="str">
        <f>IF(AND('Riesgos de Gestión'!$AF$65="Alta",'Riesgos de Gestión'!$AH$65="Catastrófico"),CONCATENATE("R9C",'Riesgos de Gestión'!$V$65),"")</f>
        <v/>
      </c>
      <c r="AM24" s="40" t="str">
        <f>IF(AND('Riesgos de Gestión'!$AF$66="Alta",'Riesgos de Gestión'!$AH$66="Catastrófico"),CONCATENATE("R9C",'Riesgos de Gestión'!$V$66),"")</f>
        <v/>
      </c>
      <c r="AN24" s="66"/>
      <c r="AO24" s="561"/>
      <c r="AP24" s="562"/>
      <c r="AQ24" s="562"/>
      <c r="AR24" s="562"/>
      <c r="AS24" s="562"/>
      <c r="AT24" s="563"/>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row>
    <row r="25" spans="1:76" ht="15.75" customHeight="1" thickBot="1" x14ac:dyDescent="0.3">
      <c r="A25" s="66"/>
      <c r="B25" s="510"/>
      <c r="C25" s="510"/>
      <c r="D25" s="511"/>
      <c r="E25" s="554"/>
      <c r="F25" s="555"/>
      <c r="G25" s="555"/>
      <c r="H25" s="555"/>
      <c r="I25" s="555"/>
      <c r="J25" s="53" t="str">
        <f>IF(AND('Riesgos de Gestión'!$AF$67="Alta",'Riesgos de Gestión'!$AH$67="Leve"),CONCATENATE("R10C",'Riesgos de Gestión'!$V$67),"")</f>
        <v/>
      </c>
      <c r="K25" s="54" t="str">
        <f>IF(AND('Riesgos de Gestión'!$AF$68="Alta",'Riesgos de Gestión'!$AH$68="Leve"),CONCATENATE("R10C",'Riesgos de Gestión'!$V$68),"")</f>
        <v/>
      </c>
      <c r="L25" s="54" t="str">
        <f>IF(AND('Riesgos de Gestión'!$AF$69="Alta",'Riesgos de Gestión'!$AH$69="Leve"),CONCATENATE("R10C",'Riesgos de Gestión'!$V$69),"")</f>
        <v/>
      </c>
      <c r="M25" s="54" t="str">
        <f>IF(AND('Riesgos de Gestión'!$AF$70="Alta",'Riesgos de Gestión'!$AH$70="Leve"),CONCATENATE("R10C",'Riesgos de Gestión'!$V$70),"")</f>
        <v/>
      </c>
      <c r="N25" s="54" t="str">
        <f>IF(AND('Riesgos de Gestión'!$AF$71="Alta",'Riesgos de Gestión'!$AH$71="Leve"),CONCATENATE("R10C",'Riesgos de Gestión'!$V$71),"")</f>
        <v/>
      </c>
      <c r="O25" s="55" t="str">
        <f>IF(AND('Riesgos de Gestión'!$AF$72="Alta",'Riesgos de Gestión'!$AH$72="Leve"),CONCATENATE("R10C",'Riesgos de Gestión'!$V$72),"")</f>
        <v/>
      </c>
      <c r="P25" s="53" t="str">
        <f>IF(AND('Riesgos de Gestión'!$AF$67="Alta",'Riesgos de Gestión'!$AH$67="Menor"),CONCATENATE("R10C",'Riesgos de Gestión'!$V$67),"")</f>
        <v/>
      </c>
      <c r="Q25" s="54" t="str">
        <f>IF(AND('Riesgos de Gestión'!$AF$68="Alta",'Riesgos de Gestión'!$AH$68="Menor"),CONCATENATE("R10C",'Riesgos de Gestión'!$V$68),"")</f>
        <v/>
      </c>
      <c r="R25" s="54" t="str">
        <f>IF(AND('Riesgos de Gestión'!$AF$69="Alta",'Riesgos de Gestión'!$AH$69="Menor"),CONCATENATE("R10C",'Riesgos de Gestión'!$V$69),"")</f>
        <v/>
      </c>
      <c r="S25" s="54" t="str">
        <f>IF(AND('Riesgos de Gestión'!$AF$70="Alta",'Riesgos de Gestión'!$AH$70="Menor"),CONCATENATE("R10C",'Riesgos de Gestión'!$V$70),"")</f>
        <v/>
      </c>
      <c r="T25" s="54" t="str">
        <f>IF(AND('Riesgos de Gestión'!$AF$71="Alta",'Riesgos de Gestión'!$AH$71="Menor"),CONCATENATE("R10C",'Riesgos de Gestión'!$V$71),"")</f>
        <v/>
      </c>
      <c r="U25" s="55" t="str">
        <f>IF(AND('Riesgos de Gestión'!$AF$72="Alta",'Riesgos de Gestión'!$AH$72="Menor"),CONCATENATE("R10C",'Riesgos de Gestión'!$V$72),"")</f>
        <v/>
      </c>
      <c r="V25" s="41" t="str">
        <f>IF(AND('Riesgos de Gestión'!$AF$67="Alta",'Riesgos de Gestión'!$AH$67="Moderado"),CONCATENATE("R10C",'Riesgos de Gestión'!$V$67),"")</f>
        <v/>
      </c>
      <c r="W25" s="42" t="str">
        <f>IF(AND('Riesgos de Gestión'!$AF$68="Alta",'Riesgos de Gestión'!$AH$68="Moderado"),CONCATENATE("R10C",'Riesgos de Gestión'!$V$68),"")</f>
        <v/>
      </c>
      <c r="X25" s="42" t="str">
        <f>IF(AND('Riesgos de Gestión'!$AF$69="Alta",'Riesgos de Gestión'!$AH$69="Moderado"),CONCATENATE("R10C",'Riesgos de Gestión'!$V$69),"")</f>
        <v/>
      </c>
      <c r="Y25" s="42" t="str">
        <f>IF(AND('Riesgos de Gestión'!$AF$70="Alta",'Riesgos de Gestión'!$AH$70="Moderado"),CONCATENATE("R10C",'Riesgos de Gestión'!$V$70),"")</f>
        <v/>
      </c>
      <c r="Z25" s="42" t="str">
        <f>IF(AND('Riesgos de Gestión'!$AF$71="Alta",'Riesgos de Gestión'!$AH$71="Moderado"),CONCATENATE("R10C",'Riesgos de Gestión'!$V$71),"")</f>
        <v/>
      </c>
      <c r="AA25" s="43" t="str">
        <f>IF(AND('Riesgos de Gestión'!$AF$72="Alta",'Riesgos de Gestión'!$AH$72="Moderado"),CONCATENATE("R10C",'Riesgos de Gestión'!$V$72),"")</f>
        <v/>
      </c>
      <c r="AB25" s="41" t="str">
        <f>IF(AND('Riesgos de Gestión'!$AF$67="Alta",'Riesgos de Gestión'!$AH$67="Mayor"),CONCATENATE("R10C",'Riesgos de Gestión'!$V$67),"")</f>
        <v/>
      </c>
      <c r="AC25" s="42" t="str">
        <f>IF(AND('Riesgos de Gestión'!$AF$68="Alta",'Riesgos de Gestión'!$AH$68="Mayor"),CONCATENATE("R10C",'Riesgos de Gestión'!$V$68),"")</f>
        <v/>
      </c>
      <c r="AD25" s="42" t="str">
        <f>IF(AND('Riesgos de Gestión'!$AF$69="Alta",'Riesgos de Gestión'!$AH$69="Mayor"),CONCATENATE("R10C",'Riesgos de Gestión'!$V$69),"")</f>
        <v/>
      </c>
      <c r="AE25" s="42" t="str">
        <f>IF(AND('Riesgos de Gestión'!$AF$70="Alta",'Riesgos de Gestión'!$AH$70="Mayor"),CONCATENATE("R10C",'Riesgos de Gestión'!$V$70),"")</f>
        <v/>
      </c>
      <c r="AF25" s="42" t="str">
        <f>IF(AND('Riesgos de Gestión'!$AF$71="Alta",'Riesgos de Gestión'!$AH$71="Mayor"),CONCATENATE("R10C",'Riesgos de Gestión'!$V$71),"")</f>
        <v/>
      </c>
      <c r="AG25" s="43" t="str">
        <f>IF(AND('Riesgos de Gestión'!$AF$72="Alta",'Riesgos de Gestión'!$AH$72="Mayor"),CONCATENATE("R10C",'Riesgos de Gestión'!$V$72),"")</f>
        <v/>
      </c>
      <c r="AH25" s="44" t="str">
        <f>IF(AND('Riesgos de Gestión'!$AF$67="Alta",'Riesgos de Gestión'!$AH$67="Catastrófico"),CONCATENATE("R10C",'Riesgos de Gestión'!$V$67),"")</f>
        <v/>
      </c>
      <c r="AI25" s="45" t="str">
        <f>IF(AND('Riesgos de Gestión'!$AF$68="Alta",'Riesgos de Gestión'!$AH$68="Catastrófico"),CONCATENATE("R10C",'Riesgos de Gestión'!$V$68),"")</f>
        <v/>
      </c>
      <c r="AJ25" s="45" t="str">
        <f>IF(AND('Riesgos de Gestión'!$AF$69="Alta",'Riesgos de Gestión'!$AH$69="Catastrófico"),CONCATENATE("R10C",'Riesgos de Gestión'!$V$69),"")</f>
        <v/>
      </c>
      <c r="AK25" s="45" t="str">
        <f>IF(AND('Riesgos de Gestión'!$AF$70="Alta",'Riesgos de Gestión'!$AH$70="Catastrófico"),CONCATENATE("R10C",'Riesgos de Gestión'!$V$70),"")</f>
        <v/>
      </c>
      <c r="AL25" s="45" t="str">
        <f>IF(AND('Riesgos de Gestión'!$AF$71="Alta",'Riesgos de Gestión'!$AH$71="Catastrófico"),CONCATENATE("R10C",'Riesgos de Gestión'!$V$71),"")</f>
        <v/>
      </c>
      <c r="AM25" s="46" t="str">
        <f>IF(AND('Riesgos de Gestión'!$AF$72="Alta",'Riesgos de Gestión'!$AH$72="Catastrófico"),CONCATENATE("R10C",'Riesgos de Gestión'!$V$72),"")</f>
        <v/>
      </c>
      <c r="AN25" s="66"/>
      <c r="AO25" s="564"/>
      <c r="AP25" s="565"/>
      <c r="AQ25" s="565"/>
      <c r="AR25" s="565"/>
      <c r="AS25" s="565"/>
      <c r="AT25" s="5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row>
    <row r="26" spans="1:76" ht="15" customHeight="1" x14ac:dyDescent="0.25">
      <c r="A26" s="66"/>
      <c r="B26" s="510"/>
      <c r="C26" s="510"/>
      <c r="D26" s="511"/>
      <c r="E26" s="548" t="s">
        <v>269</v>
      </c>
      <c r="F26" s="549"/>
      <c r="G26" s="549"/>
      <c r="H26" s="549"/>
      <c r="I26" s="550"/>
      <c r="J26" s="47" t="str">
        <f>IF(AND('Riesgos de Gestión'!$AF$13="Media",'Riesgos de Gestión'!$AH$13="Leve"),CONCATENATE("R1C",'Riesgos de Gestión'!$V$13),"")</f>
        <v/>
      </c>
      <c r="K26" s="48" t="str">
        <f>IF(AND('Riesgos de Gestión'!$AF$14="Media",'Riesgos de Gestión'!$AH$14="Leve"),CONCATENATE("R1C",'Riesgos de Gestión'!$V$14),"")</f>
        <v/>
      </c>
      <c r="L26" s="48" t="str">
        <f>IF(AND('Riesgos de Gestión'!$AF$15="Media",'Riesgos de Gestión'!$AH$15="Leve"),CONCATENATE("R1C",'Riesgos de Gestión'!$V$15),"")</f>
        <v/>
      </c>
      <c r="M26" s="48" t="str">
        <f>IF(AND('Riesgos de Gestión'!$AF$16="Media",'Riesgos de Gestión'!$AH$16="Leve"),CONCATENATE("R1C",'Riesgos de Gestión'!$V$16),"")</f>
        <v/>
      </c>
      <c r="N26" s="48" t="str">
        <f>IF(AND('Riesgos de Gestión'!$AF$17="Media",'Riesgos de Gestión'!$AH$17="Leve"),CONCATENATE("R1C",'Riesgos de Gestión'!$V$17),"")</f>
        <v/>
      </c>
      <c r="O26" s="49" t="str">
        <f>IF(AND('Riesgos de Gestión'!$AF$18="Media",'Riesgos de Gestión'!$AH$18="Leve"),CONCATENATE("R1C",'Riesgos de Gestión'!$V$18),"")</f>
        <v/>
      </c>
      <c r="P26" s="47" t="str">
        <f>IF(AND('Riesgos de Gestión'!$AF$13="Media",'Riesgos de Gestión'!$AH$13="Menor"),CONCATENATE("R1C",'Riesgos de Gestión'!$V$13),"")</f>
        <v/>
      </c>
      <c r="Q26" s="48" t="str">
        <f>IF(AND('Riesgos de Gestión'!$AF$14="Media",'Riesgos de Gestión'!$AH$14="Menor"),CONCATENATE("R1C",'Riesgos de Gestión'!$V$14),"")</f>
        <v/>
      </c>
      <c r="R26" s="48" t="str">
        <f>IF(AND('Riesgos de Gestión'!$AF$15="Media",'Riesgos de Gestión'!$AH$15="Menor"),CONCATENATE("R1C",'Riesgos de Gestión'!$V$15),"")</f>
        <v/>
      </c>
      <c r="S26" s="48" t="str">
        <f>IF(AND('Riesgos de Gestión'!$AF$16="Media",'Riesgos de Gestión'!$AH$16="Menor"),CONCATENATE("R1C",'Riesgos de Gestión'!$V$16),"")</f>
        <v/>
      </c>
      <c r="T26" s="48" t="str">
        <f>IF(AND('Riesgos de Gestión'!$AF$17="Media",'Riesgos de Gestión'!$AH$17="Menor"),CONCATENATE("R1C",'Riesgos de Gestión'!$V$17),"")</f>
        <v/>
      </c>
      <c r="U26" s="49" t="str">
        <f>IF(AND('Riesgos de Gestión'!$AF$18="Media",'Riesgos de Gestión'!$AH$18="Menor"),CONCATENATE("R1C",'Riesgos de Gestión'!$V$18),"")</f>
        <v/>
      </c>
      <c r="V26" s="47" t="str">
        <f>IF(AND('Riesgos de Gestión'!$AF$13="Media",'Riesgos de Gestión'!$AH$13="Moderado"),CONCATENATE("R1C",'Riesgos de Gestión'!$V$13),"")</f>
        <v/>
      </c>
      <c r="W26" s="48" t="str">
        <f>IF(AND('Riesgos de Gestión'!$AF$14="Media",'Riesgos de Gestión'!$AH$14="Moderado"),CONCATENATE("R1C",'Riesgos de Gestión'!$V$14),"")</f>
        <v/>
      </c>
      <c r="X26" s="48" t="str">
        <f>IF(AND('Riesgos de Gestión'!$AF$15="Media",'Riesgos de Gestión'!$AH$15="Moderado"),CONCATENATE("R1C",'Riesgos de Gestión'!$V$15),"")</f>
        <v/>
      </c>
      <c r="Y26" s="48" t="str">
        <f>IF(AND('Riesgos de Gestión'!$AF$16="Media",'Riesgos de Gestión'!$AH$16="Moderado"),CONCATENATE("R1C",'Riesgos de Gestión'!$V$16),"")</f>
        <v/>
      </c>
      <c r="Z26" s="48" t="str">
        <f>IF(AND('Riesgos de Gestión'!$AF$17="Media",'Riesgos de Gestión'!$AH$17="Moderado"),CONCATENATE("R1C",'Riesgos de Gestión'!$V$17),"")</f>
        <v/>
      </c>
      <c r="AA26" s="49" t="str">
        <f>IF(AND('Riesgos de Gestión'!$AF$18="Media",'Riesgos de Gestión'!$AH$18="Moderado"),CONCATENATE("R1C",'Riesgos de Gestión'!$V$18),"")</f>
        <v/>
      </c>
      <c r="AB26" s="29" t="str">
        <f>IF(AND('Riesgos de Gestión'!$AF$13="Media",'Riesgos de Gestión'!$AH$13="Mayor"),CONCATENATE("R1C",'Riesgos de Gestión'!$V$13),"")</f>
        <v/>
      </c>
      <c r="AC26" s="30" t="str">
        <f>IF(AND('Riesgos de Gestión'!$AF$14="Media",'Riesgos de Gestión'!$AH$14="Mayor"),CONCATENATE("R1C",'Riesgos de Gestión'!$V$14),"")</f>
        <v/>
      </c>
      <c r="AD26" s="30" t="str">
        <f>IF(AND('Riesgos de Gestión'!$AF$15="Media",'Riesgos de Gestión'!$AH$15="Mayor"),CONCATENATE("R1C",'Riesgos de Gestión'!$V$15),"")</f>
        <v/>
      </c>
      <c r="AE26" s="30" t="str">
        <f>IF(AND('Riesgos de Gestión'!$AF$16="Media",'Riesgos de Gestión'!$AH$16="Mayor"),CONCATENATE("R1C",'Riesgos de Gestión'!$V$16),"")</f>
        <v/>
      </c>
      <c r="AF26" s="30" t="str">
        <f>IF(AND('Riesgos de Gestión'!$AF$17="Media",'Riesgos de Gestión'!$AH$17="Mayor"),CONCATENATE("R1C",'Riesgos de Gestión'!$V$17),"")</f>
        <v/>
      </c>
      <c r="AG26" s="31" t="str">
        <f>IF(AND('Riesgos de Gestión'!$AF$18="Media",'Riesgos de Gestión'!$AH$18="Mayor"),CONCATENATE("R1C",'Riesgos de Gestión'!$V$18),"")</f>
        <v/>
      </c>
      <c r="AH26" s="32" t="str">
        <f>IF(AND('Riesgos de Gestión'!$AF$13="Media",'Riesgos de Gestión'!$AH$13="Catastrófico"),CONCATENATE("R1C",'Riesgos de Gestión'!$V$13),"")</f>
        <v/>
      </c>
      <c r="AI26" s="33" t="str">
        <f>IF(AND('Riesgos de Gestión'!$AF$14="Media",'Riesgos de Gestión'!$AH$14="Catastrófico"),CONCATENATE("R1C",'Riesgos de Gestión'!$V$14),"")</f>
        <v/>
      </c>
      <c r="AJ26" s="33" t="str">
        <f>IF(AND('Riesgos de Gestión'!$AF$15="Media",'Riesgos de Gestión'!$AH$15="Catastrófico"),CONCATENATE("R1C",'Riesgos de Gestión'!$V$15),"")</f>
        <v/>
      </c>
      <c r="AK26" s="33" t="str">
        <f>IF(AND('Riesgos de Gestión'!$AF$16="Media",'Riesgos de Gestión'!$AH$16="Catastrófico"),CONCATENATE("R1C",'Riesgos de Gestión'!$V$16),"")</f>
        <v/>
      </c>
      <c r="AL26" s="33" t="str">
        <f>IF(AND('Riesgos de Gestión'!$AF$17="Media",'Riesgos de Gestión'!$AH$17="Catastrófico"),CONCATENATE("R1C",'Riesgos de Gestión'!$V$17),"")</f>
        <v/>
      </c>
      <c r="AM26" s="34" t="str">
        <f>IF(AND('Riesgos de Gestión'!$AF$18="Media",'Riesgos de Gestión'!$AH$18="Catastrófico"),CONCATENATE("R1C",'Riesgos de Gestión'!$V$18),"")</f>
        <v/>
      </c>
      <c r="AN26" s="66"/>
      <c r="AO26" s="588" t="s">
        <v>270</v>
      </c>
      <c r="AP26" s="589"/>
      <c r="AQ26" s="589"/>
      <c r="AR26" s="589"/>
      <c r="AS26" s="589"/>
      <c r="AT26" s="590"/>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row>
    <row r="27" spans="1:76" ht="15" customHeight="1" x14ac:dyDescent="0.25">
      <c r="A27" s="66"/>
      <c r="B27" s="510"/>
      <c r="C27" s="510"/>
      <c r="D27" s="511"/>
      <c r="E27" s="567"/>
      <c r="F27" s="552"/>
      <c r="G27" s="552"/>
      <c r="H27" s="552"/>
      <c r="I27" s="553"/>
      <c r="J27" s="50" t="str">
        <f>IF(AND('Riesgos de Gestión'!$AF$19="Media",'Riesgos de Gestión'!$AH$19="Leve"),CONCATENATE("R2C",'Riesgos de Gestión'!$V$19),"")</f>
        <v/>
      </c>
      <c r="K27" s="51" t="str">
        <f>IF(AND('Riesgos de Gestión'!$AF$20="Media",'Riesgos de Gestión'!$AH$20="Leve"),CONCATENATE("R2C",'Riesgos de Gestión'!$V$20),"")</f>
        <v/>
      </c>
      <c r="L27" s="51" t="str">
        <f>IF(AND('Riesgos de Gestión'!$AF$21="Media",'Riesgos de Gestión'!$AH$21="Leve"),CONCATENATE("R2C",'Riesgos de Gestión'!$V$21),"")</f>
        <v/>
      </c>
      <c r="M27" s="51" t="str">
        <f>IF(AND('Riesgos de Gestión'!$AF$22="Media",'Riesgos de Gestión'!$AH$22="Leve"),CONCATENATE("R2C",'Riesgos de Gestión'!$V$22),"")</f>
        <v/>
      </c>
      <c r="N27" s="51" t="str">
        <f>IF(AND('Riesgos de Gestión'!$AF$23="Media",'Riesgos de Gestión'!$AH$23="Leve"),CONCATENATE("R2C",'Riesgos de Gestión'!$V$23),"")</f>
        <v/>
      </c>
      <c r="O27" s="52" t="str">
        <f>IF(AND('Riesgos de Gestión'!$AF$24="Media",'Riesgos de Gestión'!$AH$24="Leve"),CONCATENATE("R2C",'Riesgos de Gestión'!$V$24),"")</f>
        <v/>
      </c>
      <c r="P27" s="50" t="str">
        <f>IF(AND('Riesgos de Gestión'!$AF$19="Media",'Riesgos de Gestión'!$AH$19="Menor"),CONCATENATE("R2C",'Riesgos de Gestión'!$V$19),"")</f>
        <v/>
      </c>
      <c r="Q27" s="51" t="str">
        <f>IF(AND('Riesgos de Gestión'!$AF$20="Media",'Riesgos de Gestión'!$AH$20="Menor"),CONCATENATE("R2C",'Riesgos de Gestión'!$V$20),"")</f>
        <v/>
      </c>
      <c r="R27" s="51" t="str">
        <f>IF(AND('Riesgos de Gestión'!$AF$21="Media",'Riesgos de Gestión'!$AH$21="Menor"),CONCATENATE("R2C",'Riesgos de Gestión'!$V$21),"")</f>
        <v/>
      </c>
      <c r="S27" s="51" t="str">
        <f>IF(AND('Riesgos de Gestión'!$AF$22="Media",'Riesgos de Gestión'!$AH$22="Menor"),CONCATENATE("R2C",'Riesgos de Gestión'!$V$22),"")</f>
        <v/>
      </c>
      <c r="T27" s="51" t="str">
        <f>IF(AND('Riesgos de Gestión'!$AF$23="Media",'Riesgos de Gestión'!$AH$23="Menor"),CONCATENATE("R2C",'Riesgos de Gestión'!$V$23),"")</f>
        <v/>
      </c>
      <c r="U27" s="52" t="str">
        <f>IF(AND('Riesgos de Gestión'!$AF$24="Media",'Riesgos de Gestión'!$AH$24="Menor"),CONCATENATE("R2C",'Riesgos de Gestión'!$V$24),"")</f>
        <v/>
      </c>
      <c r="V27" s="50" t="str">
        <f>IF(AND('Riesgos de Gestión'!$AF$19="Media",'Riesgos de Gestión'!$AH$19="Moderado"),CONCATENATE("R2C",'Riesgos de Gestión'!$V$19),"")</f>
        <v/>
      </c>
      <c r="W27" s="51" t="str">
        <f>IF(AND('Riesgos de Gestión'!$AF$20="Media",'Riesgos de Gestión'!$AH$20="Moderado"),CONCATENATE("R2C",'Riesgos de Gestión'!$V$20),"")</f>
        <v/>
      </c>
      <c r="X27" s="51" t="str">
        <f>IF(AND('Riesgos de Gestión'!$AF$21="Media",'Riesgos de Gestión'!$AH$21="Moderado"),CONCATENATE("R2C",'Riesgos de Gestión'!$V$21),"")</f>
        <v/>
      </c>
      <c r="Y27" s="51" t="str">
        <f>IF(AND('Riesgos de Gestión'!$AF$22="Media",'Riesgos de Gestión'!$AH$22="Moderado"),CONCATENATE("R2C",'Riesgos de Gestión'!$V$22),"")</f>
        <v/>
      </c>
      <c r="Z27" s="51" t="str">
        <f>IF(AND('Riesgos de Gestión'!$AF$23="Media",'Riesgos de Gestión'!$AH$23="Moderado"),CONCATENATE("R2C",'Riesgos de Gestión'!$V$23),"")</f>
        <v/>
      </c>
      <c r="AA27" s="52" t="str">
        <f>IF(AND('Riesgos de Gestión'!$AF$24="Media",'Riesgos de Gestión'!$AH$24="Moderado"),CONCATENATE("R2C",'Riesgos de Gestión'!$V$24),"")</f>
        <v/>
      </c>
      <c r="AB27" s="35" t="str">
        <f>IF(AND('Riesgos de Gestión'!$AF$19="Media",'Riesgos de Gestión'!$AH$19="Mayor"),CONCATENATE("R2C",'Riesgos de Gestión'!$V$19),"")</f>
        <v/>
      </c>
      <c r="AC27" s="36" t="str">
        <f>IF(AND('Riesgos de Gestión'!$AF$20="Media",'Riesgos de Gestión'!$AH$20="Mayor"),CONCATENATE("R2C",'Riesgos de Gestión'!$V$20),"")</f>
        <v/>
      </c>
      <c r="AD27" s="36" t="str">
        <f>IF(AND('Riesgos de Gestión'!$AF$21="Media",'Riesgos de Gestión'!$AH$21="Mayor"),CONCATENATE("R2C",'Riesgos de Gestión'!$V$21),"")</f>
        <v/>
      </c>
      <c r="AE27" s="36" t="str">
        <f>IF(AND('Riesgos de Gestión'!$AF$22="Media",'Riesgos de Gestión'!$AH$22="Mayor"),CONCATENATE("R2C",'Riesgos de Gestión'!$V$22),"")</f>
        <v/>
      </c>
      <c r="AF27" s="36" t="str">
        <f>IF(AND('Riesgos de Gestión'!$AF$23="Media",'Riesgos de Gestión'!$AH$23="Mayor"),CONCATENATE("R2C",'Riesgos de Gestión'!$V$23),"")</f>
        <v/>
      </c>
      <c r="AG27" s="37" t="str">
        <f>IF(AND('Riesgos de Gestión'!$AF$24="Media",'Riesgos de Gestión'!$AH$24="Mayor"),CONCATENATE("R2C",'Riesgos de Gestión'!$V$24),"")</f>
        <v/>
      </c>
      <c r="AH27" s="38" t="str">
        <f>IF(AND('Riesgos de Gestión'!$AF$19="Media",'Riesgos de Gestión'!$AH$19="Catastrófico"),CONCATENATE("R2C",'Riesgos de Gestión'!$V$19),"")</f>
        <v/>
      </c>
      <c r="AI27" s="39" t="str">
        <f>IF(AND('Riesgos de Gestión'!$AF$20="Media",'Riesgos de Gestión'!$AH$20="Catastrófico"),CONCATENATE("R2C",'Riesgos de Gestión'!$V$20),"")</f>
        <v/>
      </c>
      <c r="AJ27" s="39" t="str">
        <f>IF(AND('Riesgos de Gestión'!$AF$21="Media",'Riesgos de Gestión'!$AH$21="Catastrófico"),CONCATENATE("R2C",'Riesgos de Gestión'!$V$21),"")</f>
        <v/>
      </c>
      <c r="AK27" s="39" t="str">
        <f>IF(AND('Riesgos de Gestión'!$AF$22="Media",'Riesgos de Gestión'!$AH$22="Catastrófico"),CONCATENATE("R2C",'Riesgos de Gestión'!$V$22),"")</f>
        <v/>
      </c>
      <c r="AL27" s="39" t="str">
        <f>IF(AND('Riesgos de Gestión'!$AF$23="Media",'Riesgos de Gestión'!$AH$23="Catastrófico"),CONCATENATE("R2C",'Riesgos de Gestión'!$V$23),"")</f>
        <v/>
      </c>
      <c r="AM27" s="40" t="str">
        <f>IF(AND('Riesgos de Gestión'!$AF$24="Media",'Riesgos de Gestión'!$AH$24="Catastrófico"),CONCATENATE("R2C",'Riesgos de Gestión'!$V$24),"")</f>
        <v/>
      </c>
      <c r="AN27" s="66"/>
      <c r="AO27" s="591"/>
      <c r="AP27" s="592"/>
      <c r="AQ27" s="592"/>
      <c r="AR27" s="592"/>
      <c r="AS27" s="592"/>
      <c r="AT27" s="593"/>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row>
    <row r="28" spans="1:76" ht="15" customHeight="1" x14ac:dyDescent="0.25">
      <c r="A28" s="66"/>
      <c r="B28" s="510"/>
      <c r="C28" s="510"/>
      <c r="D28" s="511"/>
      <c r="E28" s="551"/>
      <c r="F28" s="552"/>
      <c r="G28" s="552"/>
      <c r="H28" s="552"/>
      <c r="I28" s="553"/>
      <c r="J28" s="50" t="str">
        <f>IF(AND('Riesgos de Gestión'!$AF$25="Media",'Riesgos de Gestión'!$AH$25="Leve"),CONCATENATE("R3C",'Riesgos de Gestión'!$V$25),"")</f>
        <v/>
      </c>
      <c r="K28" s="51" t="str">
        <f>IF(AND('Riesgos de Gestión'!$AF$26="Media",'Riesgos de Gestión'!$AH$26="Leve"),CONCATENATE("R3C",'Riesgos de Gestión'!$V$26),"")</f>
        <v/>
      </c>
      <c r="L28" s="51" t="str">
        <f>IF(AND('Riesgos de Gestión'!$AF$27="Media",'Riesgos de Gestión'!$AH$27="Leve"),CONCATENATE("R3C",'Riesgos de Gestión'!$V$27),"")</f>
        <v/>
      </c>
      <c r="M28" s="51" t="str">
        <f>IF(AND('Riesgos de Gestión'!$AF$28="Media",'Riesgos de Gestión'!$AH$28="Leve"),CONCATENATE("R3C",'Riesgos de Gestión'!$V$28),"")</f>
        <v/>
      </c>
      <c r="N28" s="51" t="str">
        <f>IF(AND('Riesgos de Gestión'!$AF$29="Media",'Riesgos de Gestión'!$AH$29="Leve"),CONCATENATE("R3C",'Riesgos de Gestión'!$V$29),"")</f>
        <v/>
      </c>
      <c r="O28" s="52" t="str">
        <f>IF(AND('Riesgos de Gestión'!$AF$30="Media",'Riesgos de Gestión'!$AH$30="Leve"),CONCATENATE("R3C",'Riesgos de Gestión'!$V$30),"")</f>
        <v/>
      </c>
      <c r="P28" s="50" t="str">
        <f>IF(AND('Riesgos de Gestión'!$AF$25="Media",'Riesgos de Gestión'!$AH$25="Menor"),CONCATENATE("R3C",'Riesgos de Gestión'!$V$25),"")</f>
        <v/>
      </c>
      <c r="Q28" s="51" t="str">
        <f>IF(AND('Riesgos de Gestión'!$AF$26="Media",'Riesgos de Gestión'!$AH$26="Menor"),CONCATENATE("R3C",'Riesgos de Gestión'!$V$26),"")</f>
        <v/>
      </c>
      <c r="R28" s="51" t="str">
        <f>IF(AND('Riesgos de Gestión'!$AF$27="Media",'Riesgos de Gestión'!$AH$27="Menor"),CONCATENATE("R3C",'Riesgos de Gestión'!$V$27),"")</f>
        <v/>
      </c>
      <c r="S28" s="51" t="str">
        <f>IF(AND('Riesgos de Gestión'!$AF$28="Media",'Riesgos de Gestión'!$AH$28="Menor"),CONCATENATE("R3C",'Riesgos de Gestión'!$V$28),"")</f>
        <v/>
      </c>
      <c r="T28" s="51" t="str">
        <f>IF(AND('Riesgos de Gestión'!$AF$29="Media",'Riesgos de Gestión'!$AH$29="Menor"),CONCATENATE("R3C",'Riesgos de Gestión'!$V$29),"")</f>
        <v/>
      </c>
      <c r="U28" s="52" t="str">
        <f>IF(AND('Riesgos de Gestión'!$AF$30="Media",'Riesgos de Gestión'!$AH$30="Menor"),CONCATENATE("R3C",'Riesgos de Gestión'!$V$30),"")</f>
        <v/>
      </c>
      <c r="V28" s="50" t="str">
        <f>IF(AND('Riesgos de Gestión'!$AF$25="Media",'Riesgos de Gestión'!$AH$25="Moderado"),CONCATENATE("R3C",'Riesgos de Gestión'!$V$25),"")</f>
        <v/>
      </c>
      <c r="W28" s="51" t="str">
        <f>IF(AND('Riesgos de Gestión'!$AF$26="Media",'Riesgos de Gestión'!$AH$26="Moderado"),CONCATENATE("R3C",'Riesgos de Gestión'!$V$26),"")</f>
        <v/>
      </c>
      <c r="X28" s="51" t="str">
        <f>IF(AND('Riesgos de Gestión'!$AF$27="Media",'Riesgos de Gestión'!$AH$27="Moderado"),CONCATENATE("R3C",'Riesgos de Gestión'!$V$27),"")</f>
        <v/>
      </c>
      <c r="Y28" s="51" t="str">
        <f>IF(AND('Riesgos de Gestión'!$AF$28="Media",'Riesgos de Gestión'!$AH$28="Moderado"),CONCATENATE("R3C",'Riesgos de Gestión'!$V$28),"")</f>
        <v/>
      </c>
      <c r="Z28" s="51" t="str">
        <f>IF(AND('Riesgos de Gestión'!$AF$29="Media",'Riesgos de Gestión'!$AH$29="Moderado"),CONCATENATE("R3C",'Riesgos de Gestión'!$V$29),"")</f>
        <v/>
      </c>
      <c r="AA28" s="52" t="str">
        <f>IF(AND('Riesgos de Gestión'!$AF$30="Media",'Riesgos de Gestión'!$AH$30="Moderado"),CONCATENATE("R3C",'Riesgos de Gestión'!$V$30),"")</f>
        <v/>
      </c>
      <c r="AB28" s="35" t="str">
        <f>IF(AND('Riesgos de Gestión'!$AF$25="Media",'Riesgos de Gestión'!$AH$25="Mayor"),CONCATENATE("R3C",'Riesgos de Gestión'!$V$25),"")</f>
        <v/>
      </c>
      <c r="AC28" s="36" t="str">
        <f>IF(AND('Riesgos de Gestión'!$AF$26="Media",'Riesgos de Gestión'!$AH$26="Mayor"),CONCATENATE("R3C",'Riesgos de Gestión'!$V$26),"")</f>
        <v/>
      </c>
      <c r="AD28" s="36" t="str">
        <f>IF(AND('Riesgos de Gestión'!$AF$27="Media",'Riesgos de Gestión'!$AH$27="Mayor"),CONCATENATE("R3C",'Riesgos de Gestión'!$V$27),"")</f>
        <v/>
      </c>
      <c r="AE28" s="36" t="str">
        <f>IF(AND('Riesgos de Gestión'!$AF$28="Media",'Riesgos de Gestión'!$AH$28="Mayor"),CONCATENATE("R3C",'Riesgos de Gestión'!$V$28),"")</f>
        <v/>
      </c>
      <c r="AF28" s="36" t="str">
        <f>IF(AND('Riesgos de Gestión'!$AF$29="Media",'Riesgos de Gestión'!$AH$29="Mayor"),CONCATENATE("R3C",'Riesgos de Gestión'!$V$29),"")</f>
        <v/>
      </c>
      <c r="AG28" s="37" t="str">
        <f>IF(AND('Riesgos de Gestión'!$AF$30="Media",'Riesgos de Gestión'!$AH$30="Mayor"),CONCATENATE("R3C",'Riesgos de Gestión'!$V$30),"")</f>
        <v/>
      </c>
      <c r="AH28" s="38" t="str">
        <f>IF(AND('Riesgos de Gestión'!$AF$25="Media",'Riesgos de Gestión'!$AH$25="Catastrófico"),CONCATENATE("R3C",'Riesgos de Gestión'!$V$25),"")</f>
        <v/>
      </c>
      <c r="AI28" s="39" t="str">
        <f>IF(AND('Riesgos de Gestión'!$AF$26="Media",'Riesgos de Gestión'!$AH$26="Catastrófico"),CONCATENATE("R3C",'Riesgos de Gestión'!$V$26),"")</f>
        <v/>
      </c>
      <c r="AJ28" s="39" t="str">
        <f>IF(AND('Riesgos de Gestión'!$AF$27="Media",'Riesgos de Gestión'!$AH$27="Catastrófico"),CONCATENATE("R3C",'Riesgos de Gestión'!$V$27),"")</f>
        <v/>
      </c>
      <c r="AK28" s="39" t="str">
        <f>IF(AND('Riesgos de Gestión'!$AF$28="Media",'Riesgos de Gestión'!$AH$28="Catastrófico"),CONCATENATE("R3C",'Riesgos de Gestión'!$V$28),"")</f>
        <v/>
      </c>
      <c r="AL28" s="39" t="str">
        <f>IF(AND('Riesgos de Gestión'!$AF$29="Media",'Riesgos de Gestión'!$AH$29="Catastrófico"),CONCATENATE("R3C",'Riesgos de Gestión'!$V$29),"")</f>
        <v/>
      </c>
      <c r="AM28" s="40" t="str">
        <f>IF(AND('Riesgos de Gestión'!$AF$30="Media",'Riesgos de Gestión'!$AH$30="Catastrófico"),CONCATENATE("R3C",'Riesgos de Gestión'!$V$30),"")</f>
        <v/>
      </c>
      <c r="AN28" s="66"/>
      <c r="AO28" s="591"/>
      <c r="AP28" s="592"/>
      <c r="AQ28" s="592"/>
      <c r="AR28" s="592"/>
      <c r="AS28" s="592"/>
      <c r="AT28" s="593"/>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row>
    <row r="29" spans="1:76" ht="15" customHeight="1" x14ac:dyDescent="0.25">
      <c r="A29" s="66"/>
      <c r="B29" s="510"/>
      <c r="C29" s="510"/>
      <c r="D29" s="511"/>
      <c r="E29" s="551"/>
      <c r="F29" s="552"/>
      <c r="G29" s="552"/>
      <c r="H29" s="552"/>
      <c r="I29" s="553"/>
      <c r="J29" s="50" t="str">
        <f>IF(AND('Riesgos de Gestión'!$AF$31="Media",'Riesgos de Gestión'!$AH$31="Leve"),CONCATENATE("R4C",'Riesgos de Gestión'!$V$31),"")</f>
        <v/>
      </c>
      <c r="K29" s="51" t="str">
        <f>IF(AND('Riesgos de Gestión'!$AF$32="Media",'Riesgos de Gestión'!$AH$32="Leve"),CONCATENATE("R4C",'Riesgos de Gestión'!$V$32),"")</f>
        <v/>
      </c>
      <c r="L29" s="51" t="str">
        <f>IF(AND('Riesgos de Gestión'!$AF$33="Media",'Riesgos de Gestión'!$AH$33="Leve"),CONCATENATE("R4C",'Riesgos de Gestión'!$V$33),"")</f>
        <v/>
      </c>
      <c r="M29" s="51" t="str">
        <f>IF(AND('Riesgos de Gestión'!$AF$34="Media",'Riesgos de Gestión'!$AH$34="Leve"),CONCATENATE("R4C",'Riesgos de Gestión'!$V$34),"")</f>
        <v/>
      </c>
      <c r="N29" s="51" t="str">
        <f>IF(AND('Riesgos de Gestión'!$AF$35="Media",'Riesgos de Gestión'!$AH$35="Leve"),CONCATENATE("R4C",'Riesgos de Gestión'!$V$35),"")</f>
        <v/>
      </c>
      <c r="O29" s="52" t="str">
        <f>IF(AND('Riesgos de Gestión'!$AF$36="Media",'Riesgos de Gestión'!$AH$36="Leve"),CONCATENATE("R4C",'Riesgos de Gestión'!$V$36),"")</f>
        <v/>
      </c>
      <c r="P29" s="50" t="str">
        <f>IF(AND('Riesgos de Gestión'!$AF$31="Media",'Riesgos de Gestión'!$AH$31="Menor"),CONCATENATE("R4C",'Riesgos de Gestión'!$V$31),"")</f>
        <v/>
      </c>
      <c r="Q29" s="51" t="str">
        <f>IF(AND('Riesgos de Gestión'!$AF$32="Media",'Riesgos de Gestión'!$AH$32="Menor"),CONCATENATE("R4C",'Riesgos de Gestión'!$V$32),"")</f>
        <v/>
      </c>
      <c r="R29" s="51" t="str">
        <f>IF(AND('Riesgos de Gestión'!$AF$33="Media",'Riesgos de Gestión'!$AH$33="Menor"),CONCATENATE("R4C",'Riesgos de Gestión'!$V$33),"")</f>
        <v/>
      </c>
      <c r="S29" s="51" t="str">
        <f>IF(AND('Riesgos de Gestión'!$AF$34="Media",'Riesgos de Gestión'!$AH$34="Menor"),CONCATENATE("R4C",'Riesgos de Gestión'!$V$34),"")</f>
        <v/>
      </c>
      <c r="T29" s="51" t="str">
        <f>IF(AND('Riesgos de Gestión'!$AF$35="Media",'Riesgos de Gestión'!$AH$35="Menor"),CONCATENATE("R4C",'Riesgos de Gestión'!$V$35),"")</f>
        <v/>
      </c>
      <c r="U29" s="52" t="str">
        <f>IF(AND('Riesgos de Gestión'!$AF$36="Media",'Riesgos de Gestión'!$AH$36="Menor"),CONCATENATE("R4C",'Riesgos de Gestión'!$V$36),"")</f>
        <v/>
      </c>
      <c r="V29" s="50" t="str">
        <f>IF(AND('Riesgos de Gestión'!$AF$31="Media",'Riesgos de Gestión'!$AH$31="Moderado"),CONCATENATE("R4C",'Riesgos de Gestión'!$V$31),"")</f>
        <v/>
      </c>
      <c r="W29" s="51" t="str">
        <f>IF(AND('Riesgos de Gestión'!$AF$32="Media",'Riesgos de Gestión'!$AH$32="Moderado"),CONCATENATE("R4C",'Riesgos de Gestión'!$V$32),"")</f>
        <v/>
      </c>
      <c r="X29" s="51" t="str">
        <f>IF(AND('Riesgos de Gestión'!$AF$33="Media",'Riesgos de Gestión'!$AH$33="Moderado"),CONCATENATE("R4C",'Riesgos de Gestión'!$V$33),"")</f>
        <v/>
      </c>
      <c r="Y29" s="51" t="str">
        <f>IF(AND('Riesgos de Gestión'!$AF$34="Media",'Riesgos de Gestión'!$AH$34="Moderado"),CONCATENATE("R4C",'Riesgos de Gestión'!$V$34),"")</f>
        <v/>
      </c>
      <c r="Z29" s="51" t="str">
        <f>IF(AND('Riesgos de Gestión'!$AF$35="Media",'Riesgos de Gestión'!$AH$35="Moderado"),CONCATENATE("R4C",'Riesgos de Gestión'!$V$35),"")</f>
        <v/>
      </c>
      <c r="AA29" s="52" t="str">
        <f>IF(AND('Riesgos de Gestión'!$AF$36="Media",'Riesgos de Gestión'!$AH$36="Moderado"),CONCATENATE("R4C",'Riesgos de Gestión'!$V$36),"")</f>
        <v/>
      </c>
      <c r="AB29" s="35" t="str">
        <f>IF(AND('Riesgos de Gestión'!$AF$31="Media",'Riesgos de Gestión'!$AH$31="Mayor"),CONCATENATE("R4C",'Riesgos de Gestión'!$V$31),"")</f>
        <v/>
      </c>
      <c r="AC29" s="36" t="str">
        <f>IF(AND('Riesgos de Gestión'!$AF$32="Media",'Riesgos de Gestión'!$AH$32="Mayor"),CONCATENATE("R4C",'Riesgos de Gestión'!$V$32),"")</f>
        <v/>
      </c>
      <c r="AD29" s="36" t="str">
        <f>IF(AND('Riesgos de Gestión'!$AF$33="Media",'Riesgos de Gestión'!$AH$33="Mayor"),CONCATENATE("R4C",'Riesgos de Gestión'!$V$33),"")</f>
        <v/>
      </c>
      <c r="AE29" s="36" t="str">
        <f>IF(AND('Riesgos de Gestión'!$AF$34="Media",'Riesgos de Gestión'!$AH$34="Mayor"),CONCATENATE("R4C",'Riesgos de Gestión'!$V$34),"")</f>
        <v/>
      </c>
      <c r="AF29" s="36" t="str">
        <f>IF(AND('Riesgos de Gestión'!$AF$35="Media",'Riesgos de Gestión'!$AH$35="Mayor"),CONCATENATE("R4C",'Riesgos de Gestión'!$V$35),"")</f>
        <v/>
      </c>
      <c r="AG29" s="37" t="str">
        <f>IF(AND('Riesgos de Gestión'!$AF$36="Media",'Riesgos de Gestión'!$AH$36="Mayor"),CONCATENATE("R4C",'Riesgos de Gestión'!$V$36),"")</f>
        <v/>
      </c>
      <c r="AH29" s="38" t="str">
        <f>IF(AND('Riesgos de Gestión'!$AF$31="Media",'Riesgos de Gestión'!$AH$31="Catastrófico"),CONCATENATE("R4C",'Riesgos de Gestión'!$V$31),"")</f>
        <v/>
      </c>
      <c r="AI29" s="39" t="str">
        <f>IF(AND('Riesgos de Gestión'!$AF$32="Media",'Riesgos de Gestión'!$AH$32="Catastrófico"),CONCATENATE("R4C",'Riesgos de Gestión'!$V$32),"")</f>
        <v/>
      </c>
      <c r="AJ29" s="39" t="str">
        <f>IF(AND('Riesgos de Gestión'!$AF$33="Media",'Riesgos de Gestión'!$AH$33="Catastrófico"),CONCATENATE("R4C",'Riesgos de Gestión'!$V$33),"")</f>
        <v/>
      </c>
      <c r="AK29" s="39" t="str">
        <f>IF(AND('Riesgos de Gestión'!$AF$34="Media",'Riesgos de Gestión'!$AH$34="Catastrófico"),CONCATENATE("R4C",'Riesgos de Gestión'!$V$34),"")</f>
        <v/>
      </c>
      <c r="AL29" s="39" t="str">
        <f>IF(AND('Riesgos de Gestión'!$AF$35="Media",'Riesgos de Gestión'!$AH$35="Catastrófico"),CONCATENATE("R4C",'Riesgos de Gestión'!$V$35),"")</f>
        <v/>
      </c>
      <c r="AM29" s="40" t="str">
        <f>IF(AND('Riesgos de Gestión'!$AF$36="Media",'Riesgos de Gestión'!$AH$36="Catastrófico"),CONCATENATE("R4C",'Riesgos de Gestión'!$V$36),"")</f>
        <v/>
      </c>
      <c r="AN29" s="66"/>
      <c r="AO29" s="591"/>
      <c r="AP29" s="592"/>
      <c r="AQ29" s="592"/>
      <c r="AR29" s="592"/>
      <c r="AS29" s="592"/>
      <c r="AT29" s="593"/>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15" customHeight="1" x14ac:dyDescent="0.25">
      <c r="A30" s="66"/>
      <c r="B30" s="510"/>
      <c r="C30" s="510"/>
      <c r="D30" s="511"/>
      <c r="E30" s="551"/>
      <c r="F30" s="552"/>
      <c r="G30" s="552"/>
      <c r="H30" s="552"/>
      <c r="I30" s="553"/>
      <c r="J30" s="50" t="str">
        <f>IF(AND('Riesgos de Gestión'!$AF$37="Media",'Riesgos de Gestión'!$AH$37="Leve"),CONCATENATE("R5C",'Riesgos de Gestión'!$V$37),"")</f>
        <v/>
      </c>
      <c r="K30" s="51" t="str">
        <f>IF(AND('Riesgos de Gestión'!$AF$38="Media",'Riesgos de Gestión'!$AH$38="Leve"),CONCATENATE("R5C",'Riesgos de Gestión'!$V$38),"")</f>
        <v/>
      </c>
      <c r="L30" s="51" t="str">
        <f>IF(AND('Riesgos de Gestión'!$AF$39="Media",'Riesgos de Gestión'!$AH$39="Leve"),CONCATENATE("R5C",'Riesgos de Gestión'!$V$39),"")</f>
        <v/>
      </c>
      <c r="M30" s="51" t="str">
        <f>IF(AND('Riesgos de Gestión'!$AF$40="Media",'Riesgos de Gestión'!$AH$40="Leve"),CONCATENATE("R5C",'Riesgos de Gestión'!$V$40),"")</f>
        <v/>
      </c>
      <c r="N30" s="51" t="str">
        <f>IF(AND('Riesgos de Gestión'!$AF$41="Media",'Riesgos de Gestión'!$AH$41="Leve"),CONCATENATE("R5C",'Riesgos de Gestión'!$V$41),"")</f>
        <v/>
      </c>
      <c r="O30" s="52" t="str">
        <f>IF(AND('Riesgos de Gestión'!$AF$42="Media",'Riesgos de Gestión'!$AH$42="Leve"),CONCATENATE("R5C",'Riesgos de Gestión'!$V$42),"")</f>
        <v/>
      </c>
      <c r="P30" s="50" t="str">
        <f>IF(AND('Riesgos de Gestión'!$AF$37="Media",'Riesgos de Gestión'!$AH$37="Menor"),CONCATENATE("R5C",'Riesgos de Gestión'!$V$37),"")</f>
        <v/>
      </c>
      <c r="Q30" s="51" t="str">
        <f>IF(AND('Riesgos de Gestión'!$AF$38="Media",'Riesgos de Gestión'!$AH$38="Menor"),CONCATENATE("R5C",'Riesgos de Gestión'!$V$38),"")</f>
        <v/>
      </c>
      <c r="R30" s="51" t="str">
        <f>IF(AND('Riesgos de Gestión'!$AF$39="Media",'Riesgos de Gestión'!$AH$39="Menor"),CONCATENATE("R5C",'Riesgos de Gestión'!$V$39),"")</f>
        <v/>
      </c>
      <c r="S30" s="51" t="str">
        <f>IF(AND('Riesgos de Gestión'!$AF$40="Media",'Riesgos de Gestión'!$AH$40="Menor"),CONCATENATE("R5C",'Riesgos de Gestión'!$V$40),"")</f>
        <v/>
      </c>
      <c r="T30" s="51" t="str">
        <f>IF(AND('Riesgos de Gestión'!$AF$41="Media",'Riesgos de Gestión'!$AH$41="Menor"),CONCATENATE("R5C",'Riesgos de Gestión'!$V$41),"")</f>
        <v/>
      </c>
      <c r="U30" s="52" t="str">
        <f>IF(AND('Riesgos de Gestión'!$AF$42="Media",'Riesgos de Gestión'!$AH$42="Menor"),CONCATENATE("R5C",'Riesgos de Gestión'!$V$42),"")</f>
        <v/>
      </c>
      <c r="V30" s="50" t="str">
        <f>IF(AND('Riesgos de Gestión'!$AF$37="Media",'Riesgos de Gestión'!$AH$37="Moderado"),CONCATENATE("R5C",'Riesgos de Gestión'!$V$37),"")</f>
        <v/>
      </c>
      <c r="W30" s="51" t="str">
        <f>IF(AND('Riesgos de Gestión'!$AF$38="Media",'Riesgos de Gestión'!$AH$38="Moderado"),CONCATENATE("R5C",'Riesgos de Gestión'!$V$38),"")</f>
        <v/>
      </c>
      <c r="X30" s="51" t="str">
        <f>IF(AND('Riesgos de Gestión'!$AF$39="Media",'Riesgos de Gestión'!$AH$39="Moderado"),CONCATENATE("R5C",'Riesgos de Gestión'!$V$39),"")</f>
        <v/>
      </c>
      <c r="Y30" s="51" t="str">
        <f>IF(AND('Riesgos de Gestión'!$AF$40="Media",'Riesgos de Gestión'!$AH$40="Moderado"),CONCATENATE("R5C",'Riesgos de Gestión'!$V$40),"")</f>
        <v/>
      </c>
      <c r="Z30" s="51" t="str">
        <f>IF(AND('Riesgos de Gestión'!$AF$41="Media",'Riesgos de Gestión'!$AH$41="Moderado"),CONCATENATE("R5C",'Riesgos de Gestión'!$V$41),"")</f>
        <v/>
      </c>
      <c r="AA30" s="52" t="str">
        <f>IF(AND('Riesgos de Gestión'!$AF$42="Media",'Riesgos de Gestión'!$AH$42="Moderado"),CONCATENATE("R5C",'Riesgos de Gestión'!$V$42),"")</f>
        <v/>
      </c>
      <c r="AB30" s="35" t="str">
        <f>IF(AND('Riesgos de Gestión'!$AF$37="Media",'Riesgos de Gestión'!$AH$37="Mayor"),CONCATENATE("R5C",'Riesgos de Gestión'!$V$37),"")</f>
        <v/>
      </c>
      <c r="AC30" s="36" t="str">
        <f>IF(AND('Riesgos de Gestión'!$AF$38="Media",'Riesgos de Gestión'!$AH$38="Mayor"),CONCATENATE("R5C",'Riesgos de Gestión'!$V$38),"")</f>
        <v/>
      </c>
      <c r="AD30" s="36" t="str">
        <f>IF(AND('Riesgos de Gestión'!$AF$39="Media",'Riesgos de Gestión'!$AH$39="Mayor"),CONCATENATE("R5C",'Riesgos de Gestión'!$V$39),"")</f>
        <v/>
      </c>
      <c r="AE30" s="36" t="str">
        <f>IF(AND('Riesgos de Gestión'!$AF$40="Media",'Riesgos de Gestión'!$AH$40="Mayor"),CONCATENATE("R5C",'Riesgos de Gestión'!$V$40),"")</f>
        <v/>
      </c>
      <c r="AF30" s="36" t="str">
        <f>IF(AND('Riesgos de Gestión'!$AF$41="Media",'Riesgos de Gestión'!$AH$41="Mayor"),CONCATENATE("R5C",'Riesgos de Gestión'!$V$41),"")</f>
        <v/>
      </c>
      <c r="AG30" s="37" t="str">
        <f>IF(AND('Riesgos de Gestión'!$AF$42="Media",'Riesgos de Gestión'!$AH$42="Mayor"),CONCATENATE("R5C",'Riesgos de Gestión'!$V$42),"")</f>
        <v/>
      </c>
      <c r="AH30" s="38" t="str">
        <f>IF(AND('Riesgos de Gestión'!$AF$37="Media",'Riesgos de Gestión'!$AH$37="Catastrófico"),CONCATENATE("R5C",'Riesgos de Gestión'!$V$37),"")</f>
        <v/>
      </c>
      <c r="AI30" s="39" t="str">
        <f>IF(AND('Riesgos de Gestión'!$AF$38="Media",'Riesgos de Gestión'!$AH$38="Catastrófico"),CONCATENATE("R5C",'Riesgos de Gestión'!$V$38),"")</f>
        <v/>
      </c>
      <c r="AJ30" s="39" t="str">
        <f>IF(AND('Riesgos de Gestión'!$AF$39="Media",'Riesgos de Gestión'!$AH$39="Catastrófico"),CONCATENATE("R5C",'Riesgos de Gestión'!$V$39),"")</f>
        <v/>
      </c>
      <c r="AK30" s="39" t="str">
        <f>IF(AND('Riesgos de Gestión'!$AF$40="Media",'Riesgos de Gestión'!$AH$40="Catastrófico"),CONCATENATE("R5C",'Riesgos de Gestión'!$V$40),"")</f>
        <v/>
      </c>
      <c r="AL30" s="39" t="str">
        <f>IF(AND('Riesgos de Gestión'!$AF$41="Media",'Riesgos de Gestión'!$AH$41="Catastrófico"),CONCATENATE("R5C",'Riesgos de Gestión'!$V$41),"")</f>
        <v/>
      </c>
      <c r="AM30" s="40" t="str">
        <f>IF(AND('Riesgos de Gestión'!$AF$42="Media",'Riesgos de Gestión'!$AH$42="Catastrófico"),CONCATENATE("R5C",'Riesgos de Gestión'!$V$42),"")</f>
        <v/>
      </c>
      <c r="AN30" s="66"/>
      <c r="AO30" s="591"/>
      <c r="AP30" s="592"/>
      <c r="AQ30" s="592"/>
      <c r="AR30" s="592"/>
      <c r="AS30" s="592"/>
      <c r="AT30" s="593"/>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 customHeight="1" x14ac:dyDescent="0.25">
      <c r="A31" s="66"/>
      <c r="B31" s="510"/>
      <c r="C31" s="510"/>
      <c r="D31" s="511"/>
      <c r="E31" s="551"/>
      <c r="F31" s="552"/>
      <c r="G31" s="552"/>
      <c r="H31" s="552"/>
      <c r="I31" s="553"/>
      <c r="J31" s="50" t="str">
        <f>IF(AND('Riesgos de Gestión'!$AF$43="Media",'Riesgos de Gestión'!$AH$43="Leve"),CONCATENATE("R6C",'Riesgos de Gestión'!$V$43),"")</f>
        <v/>
      </c>
      <c r="K31" s="51" t="str">
        <f>IF(AND('Riesgos de Gestión'!$AF$44="Media",'Riesgos de Gestión'!$AH$44="Leve"),CONCATENATE("R6C",'Riesgos de Gestión'!$V$44),"")</f>
        <v/>
      </c>
      <c r="L31" s="51" t="str">
        <f>IF(AND('Riesgos de Gestión'!$AF$45="Media",'Riesgos de Gestión'!$AH$45="Leve"),CONCATENATE("R6C",'Riesgos de Gestión'!$V$45),"")</f>
        <v/>
      </c>
      <c r="M31" s="51" t="str">
        <f>IF(AND('Riesgos de Gestión'!$AF$46="Media",'Riesgos de Gestión'!$AH$46="Leve"),CONCATENATE("R6C",'Riesgos de Gestión'!$V$46),"")</f>
        <v/>
      </c>
      <c r="N31" s="51" t="str">
        <f>IF(AND('Riesgos de Gestión'!$AF$47="Media",'Riesgos de Gestión'!$AH$47="Leve"),CONCATENATE("R6C",'Riesgos de Gestión'!$V$47),"")</f>
        <v/>
      </c>
      <c r="O31" s="52" t="str">
        <f>IF(AND('Riesgos de Gestión'!$AF$48="Media",'Riesgos de Gestión'!$AH$48="Leve"),CONCATENATE("R6C",'Riesgos de Gestión'!$V$48),"")</f>
        <v/>
      </c>
      <c r="P31" s="50" t="str">
        <f>IF(AND('Riesgos de Gestión'!$AF$43="Media",'Riesgos de Gestión'!$AH$43="Menor"),CONCATENATE("R6C",'Riesgos de Gestión'!$V$43),"")</f>
        <v/>
      </c>
      <c r="Q31" s="51" t="str">
        <f>IF(AND('Riesgos de Gestión'!$AF$44="Media",'Riesgos de Gestión'!$AH$44="Menor"),CONCATENATE("R6C",'Riesgos de Gestión'!$V$44),"")</f>
        <v/>
      </c>
      <c r="R31" s="51" t="str">
        <f>IF(AND('Riesgos de Gestión'!$AF$45="Media",'Riesgos de Gestión'!$AH$45="Menor"),CONCATENATE("R6C",'Riesgos de Gestión'!$V$45),"")</f>
        <v/>
      </c>
      <c r="S31" s="51" t="str">
        <f>IF(AND('Riesgos de Gestión'!$AF$46="Media",'Riesgos de Gestión'!$AH$46="Menor"),CONCATENATE("R6C",'Riesgos de Gestión'!$V$46),"")</f>
        <v/>
      </c>
      <c r="T31" s="51" t="str">
        <f>IF(AND('Riesgos de Gestión'!$AF$47="Media",'Riesgos de Gestión'!$AH$47="Menor"),CONCATENATE("R6C",'Riesgos de Gestión'!$V$47),"")</f>
        <v/>
      </c>
      <c r="U31" s="52" t="str">
        <f>IF(AND('Riesgos de Gestión'!$AF$48="Media",'Riesgos de Gestión'!$AH$48="Menor"),CONCATENATE("R6C",'Riesgos de Gestión'!$V$48),"")</f>
        <v/>
      </c>
      <c r="V31" s="50" t="str">
        <f>IF(AND('Riesgos de Gestión'!$AF$43="Media",'Riesgos de Gestión'!$AH$43="Moderado"),CONCATENATE("R6C",'Riesgos de Gestión'!$V$43),"")</f>
        <v/>
      </c>
      <c r="W31" s="51" t="str">
        <f>IF(AND('Riesgos de Gestión'!$AF$44="Media",'Riesgos de Gestión'!$AH$44="Moderado"),CONCATENATE("R6C",'Riesgos de Gestión'!$V$44),"")</f>
        <v/>
      </c>
      <c r="X31" s="51" t="str">
        <f>IF(AND('Riesgos de Gestión'!$AF$45="Media",'Riesgos de Gestión'!$AH$45="Moderado"),CONCATENATE("R6C",'Riesgos de Gestión'!$V$45),"")</f>
        <v/>
      </c>
      <c r="Y31" s="51" t="str">
        <f>IF(AND('Riesgos de Gestión'!$AF$46="Media",'Riesgos de Gestión'!$AH$46="Moderado"),CONCATENATE("R6C",'Riesgos de Gestión'!$V$46),"")</f>
        <v/>
      </c>
      <c r="Z31" s="51" t="str">
        <f>IF(AND('Riesgos de Gestión'!$AF$47="Media",'Riesgos de Gestión'!$AH$47="Moderado"),CONCATENATE("R6C",'Riesgos de Gestión'!$V$47),"")</f>
        <v/>
      </c>
      <c r="AA31" s="52" t="str">
        <f>IF(AND('Riesgos de Gestión'!$AF$48="Media",'Riesgos de Gestión'!$AH$48="Moderado"),CONCATENATE("R6C",'Riesgos de Gestión'!$V$48),"")</f>
        <v/>
      </c>
      <c r="AB31" s="35" t="str">
        <f>IF(AND('Riesgos de Gestión'!$AF$43="Media",'Riesgos de Gestión'!$AH$43="Mayor"),CONCATENATE("R6C",'Riesgos de Gestión'!$V$43),"")</f>
        <v/>
      </c>
      <c r="AC31" s="36" t="str">
        <f>IF(AND('Riesgos de Gestión'!$AF$44="Media",'Riesgos de Gestión'!$AH$44="Mayor"),CONCATENATE("R6C",'Riesgos de Gestión'!$V$44),"")</f>
        <v/>
      </c>
      <c r="AD31" s="36" t="str">
        <f>IF(AND('Riesgos de Gestión'!$AF$45="Media",'Riesgos de Gestión'!$AH$45="Mayor"),CONCATENATE("R6C",'Riesgos de Gestión'!$V$45),"")</f>
        <v/>
      </c>
      <c r="AE31" s="36" t="str">
        <f>IF(AND('Riesgos de Gestión'!$AF$46="Media",'Riesgos de Gestión'!$AH$46="Mayor"),CONCATENATE("R6C",'Riesgos de Gestión'!$V$46),"")</f>
        <v/>
      </c>
      <c r="AF31" s="36" t="str">
        <f>IF(AND('Riesgos de Gestión'!$AF$47="Media",'Riesgos de Gestión'!$AH$47="Mayor"),CONCATENATE("R6C",'Riesgos de Gestión'!$V$47),"")</f>
        <v/>
      </c>
      <c r="AG31" s="37" t="str">
        <f>IF(AND('Riesgos de Gestión'!$AF$48="Media",'Riesgos de Gestión'!$AH$48="Mayor"),CONCATENATE("R6C",'Riesgos de Gestión'!$V$48),"")</f>
        <v/>
      </c>
      <c r="AH31" s="38" t="str">
        <f>IF(AND('Riesgos de Gestión'!$AF$43="Media",'Riesgos de Gestión'!$AH$43="Catastrófico"),CONCATENATE("R6C",'Riesgos de Gestión'!$V$43),"")</f>
        <v/>
      </c>
      <c r="AI31" s="39" t="str">
        <f>IF(AND('Riesgos de Gestión'!$AF$44="Media",'Riesgos de Gestión'!$AH$44="Catastrófico"),CONCATENATE("R6C",'Riesgos de Gestión'!$V$44),"")</f>
        <v/>
      </c>
      <c r="AJ31" s="39" t="str">
        <f>IF(AND('Riesgos de Gestión'!$AF$45="Media",'Riesgos de Gestión'!$AH$45="Catastrófico"),CONCATENATE("R6C",'Riesgos de Gestión'!$V$45),"")</f>
        <v/>
      </c>
      <c r="AK31" s="39" t="str">
        <f>IF(AND('Riesgos de Gestión'!$AF$46="Media",'Riesgos de Gestión'!$AH$46="Catastrófico"),CONCATENATE("R6C",'Riesgos de Gestión'!$V$46),"")</f>
        <v/>
      </c>
      <c r="AL31" s="39" t="str">
        <f>IF(AND('Riesgos de Gestión'!$AF$47="Media",'Riesgos de Gestión'!$AH$47="Catastrófico"),CONCATENATE("R6C",'Riesgos de Gestión'!$V$47),"")</f>
        <v/>
      </c>
      <c r="AM31" s="40" t="str">
        <f>IF(AND('Riesgos de Gestión'!$AF$48="Media",'Riesgos de Gestión'!$AH$48="Catastrófico"),CONCATENATE("R6C",'Riesgos de Gestión'!$V$48),"")</f>
        <v/>
      </c>
      <c r="AN31" s="66"/>
      <c r="AO31" s="591"/>
      <c r="AP31" s="592"/>
      <c r="AQ31" s="592"/>
      <c r="AR31" s="592"/>
      <c r="AS31" s="592"/>
      <c r="AT31" s="593"/>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row>
    <row r="32" spans="1:76" ht="15" customHeight="1" x14ac:dyDescent="0.25">
      <c r="A32" s="66"/>
      <c r="B32" s="510"/>
      <c r="C32" s="510"/>
      <c r="D32" s="511"/>
      <c r="E32" s="551"/>
      <c r="F32" s="552"/>
      <c r="G32" s="552"/>
      <c r="H32" s="552"/>
      <c r="I32" s="553"/>
      <c r="J32" s="50" t="str">
        <f>IF(AND('Riesgos de Gestión'!$AF$49="Media",'Riesgos de Gestión'!$AH$49="Leve"),CONCATENATE("R7C",'Riesgos de Gestión'!$V$49),"")</f>
        <v/>
      </c>
      <c r="K32" s="51" t="str">
        <f>IF(AND('Riesgos de Gestión'!$AF$50="Media",'Riesgos de Gestión'!$AH$50="Leve"),CONCATENATE("R7C",'Riesgos de Gestión'!$V$50),"")</f>
        <v/>
      </c>
      <c r="L32" s="51" t="str">
        <f>IF(AND('Riesgos de Gestión'!$AF$51="Media",'Riesgos de Gestión'!$AH$51="Leve"),CONCATENATE("R7C",'Riesgos de Gestión'!$V$51),"")</f>
        <v/>
      </c>
      <c r="M32" s="51" t="str">
        <f>IF(AND('Riesgos de Gestión'!$AF$52="Media",'Riesgos de Gestión'!$AH$52="Leve"),CONCATENATE("R7C",'Riesgos de Gestión'!$V$52),"")</f>
        <v/>
      </c>
      <c r="N32" s="51" t="str">
        <f>IF(AND('Riesgos de Gestión'!$AF$53="Media",'Riesgos de Gestión'!$AH$53="Leve"),CONCATENATE("R7C",'Riesgos de Gestión'!$V$53),"")</f>
        <v/>
      </c>
      <c r="O32" s="52" t="str">
        <f>IF(AND('Riesgos de Gestión'!$AF$54="Media",'Riesgos de Gestión'!$AH$54="Leve"),CONCATENATE("R7C",'Riesgos de Gestión'!$V$54),"")</f>
        <v/>
      </c>
      <c r="P32" s="50" t="str">
        <f>IF(AND('Riesgos de Gestión'!$AF$49="Media",'Riesgos de Gestión'!$AH$49="Menor"),CONCATENATE("R7C",'Riesgos de Gestión'!$V$49),"")</f>
        <v/>
      </c>
      <c r="Q32" s="51" t="str">
        <f>IF(AND('Riesgos de Gestión'!$AF$50="Media",'Riesgos de Gestión'!$AH$50="Menor"),CONCATENATE("R7C",'Riesgos de Gestión'!$V$50),"")</f>
        <v/>
      </c>
      <c r="R32" s="51" t="str">
        <f>IF(AND('Riesgos de Gestión'!$AF$51="Media",'Riesgos de Gestión'!$AH$51="Menor"),CONCATENATE("R7C",'Riesgos de Gestión'!$V$51),"")</f>
        <v/>
      </c>
      <c r="S32" s="51" t="str">
        <f>IF(AND('Riesgos de Gestión'!$AF$52="Media",'Riesgos de Gestión'!$AH$52="Menor"),CONCATENATE("R7C",'Riesgos de Gestión'!$V$52),"")</f>
        <v/>
      </c>
      <c r="T32" s="51" t="str">
        <f>IF(AND('Riesgos de Gestión'!$AF$53="Media",'Riesgos de Gestión'!$AH$53="Menor"),CONCATENATE("R7C",'Riesgos de Gestión'!$V$53),"")</f>
        <v/>
      </c>
      <c r="U32" s="52" t="str">
        <f>IF(AND('Riesgos de Gestión'!$AF$54="Media",'Riesgos de Gestión'!$AH$54="Menor"),CONCATENATE("R7C",'Riesgos de Gestión'!$V$54),"")</f>
        <v/>
      </c>
      <c r="V32" s="50" t="str">
        <f>IF(AND('Riesgos de Gestión'!$AF$49="Media",'Riesgos de Gestión'!$AH$49="Moderado"),CONCATENATE("R7C",'Riesgos de Gestión'!$V$49),"")</f>
        <v/>
      </c>
      <c r="W32" s="51" t="str">
        <f>IF(AND('Riesgos de Gestión'!$AF$50="Media",'Riesgos de Gestión'!$AH$50="Moderado"),CONCATENATE("R7C",'Riesgos de Gestión'!$V$50),"")</f>
        <v/>
      </c>
      <c r="X32" s="51" t="str">
        <f>IF(AND('Riesgos de Gestión'!$AF$51="Media",'Riesgos de Gestión'!$AH$51="Moderado"),CONCATENATE("R7C",'Riesgos de Gestión'!$V$51),"")</f>
        <v/>
      </c>
      <c r="Y32" s="51" t="str">
        <f>IF(AND('Riesgos de Gestión'!$AF$52="Media",'Riesgos de Gestión'!$AH$52="Moderado"),CONCATENATE("R7C",'Riesgos de Gestión'!$V$52),"")</f>
        <v/>
      </c>
      <c r="Z32" s="51" t="str">
        <f>IF(AND('Riesgos de Gestión'!$AF$53="Media",'Riesgos de Gestión'!$AH$53="Moderado"),CONCATENATE("R7C",'Riesgos de Gestión'!$V$53),"")</f>
        <v/>
      </c>
      <c r="AA32" s="52" t="str">
        <f>IF(AND('Riesgos de Gestión'!$AF$54="Media",'Riesgos de Gestión'!$AH$54="Moderado"),CONCATENATE("R7C",'Riesgos de Gestión'!$V$54),"")</f>
        <v/>
      </c>
      <c r="AB32" s="35" t="str">
        <f>IF(AND('Riesgos de Gestión'!$AF$49="Media",'Riesgos de Gestión'!$AH$49="Mayor"),CONCATENATE("R7C",'Riesgos de Gestión'!$V$49),"")</f>
        <v/>
      </c>
      <c r="AC32" s="36" t="str">
        <f>IF(AND('Riesgos de Gestión'!$AF$50="Media",'Riesgos de Gestión'!$AH$50="Mayor"),CONCATENATE("R7C",'Riesgos de Gestión'!$V$50),"")</f>
        <v/>
      </c>
      <c r="AD32" s="36" t="str">
        <f>IF(AND('Riesgos de Gestión'!$AF$51="Media",'Riesgos de Gestión'!$AH$51="Mayor"),CONCATENATE("R7C",'Riesgos de Gestión'!$V$51),"")</f>
        <v/>
      </c>
      <c r="AE32" s="36" t="str">
        <f>IF(AND('Riesgos de Gestión'!$AF$52="Media",'Riesgos de Gestión'!$AH$52="Mayor"),CONCATENATE("R7C",'Riesgos de Gestión'!$V$52),"")</f>
        <v/>
      </c>
      <c r="AF32" s="36" t="str">
        <f>IF(AND('Riesgos de Gestión'!$AF$53="Media",'Riesgos de Gestión'!$AH$53="Mayor"),CONCATENATE("R7C",'Riesgos de Gestión'!$V$53),"")</f>
        <v/>
      </c>
      <c r="AG32" s="37" t="str">
        <f>IF(AND('Riesgos de Gestión'!$AF$54="Media",'Riesgos de Gestión'!$AH$54="Mayor"),CONCATENATE("R7C",'Riesgos de Gestión'!$V$54),"")</f>
        <v/>
      </c>
      <c r="AH32" s="38" t="str">
        <f>IF(AND('Riesgos de Gestión'!$AF$49="Media",'Riesgos de Gestión'!$AH$49="Catastrófico"),CONCATENATE("R7C",'Riesgos de Gestión'!$V$49),"")</f>
        <v/>
      </c>
      <c r="AI32" s="39" t="str">
        <f>IF(AND('Riesgos de Gestión'!$AF$50="Media",'Riesgos de Gestión'!$AH$50="Catastrófico"),CONCATENATE("R7C",'Riesgos de Gestión'!$V$50),"")</f>
        <v/>
      </c>
      <c r="AJ32" s="39" t="str">
        <f>IF(AND('Riesgos de Gestión'!$AF$51="Media",'Riesgos de Gestión'!$AH$51="Catastrófico"),CONCATENATE("R7C",'Riesgos de Gestión'!$V$51),"")</f>
        <v/>
      </c>
      <c r="AK32" s="39" t="str">
        <f>IF(AND('Riesgos de Gestión'!$AF$52="Media",'Riesgos de Gestión'!$AH$52="Catastrófico"),CONCATENATE("R7C",'Riesgos de Gestión'!$V$52),"")</f>
        <v/>
      </c>
      <c r="AL32" s="39" t="str">
        <f>IF(AND('Riesgos de Gestión'!$AF$53="Media",'Riesgos de Gestión'!$AH$53="Catastrófico"),CONCATENATE("R7C",'Riesgos de Gestión'!$V$53),"")</f>
        <v/>
      </c>
      <c r="AM32" s="40" t="str">
        <f>IF(AND('Riesgos de Gestión'!$AF$54="Media",'Riesgos de Gestión'!$AH$54="Catastrófico"),CONCATENATE("R7C",'Riesgos de Gestión'!$V$54),"")</f>
        <v/>
      </c>
      <c r="AN32" s="66"/>
      <c r="AO32" s="591"/>
      <c r="AP32" s="592"/>
      <c r="AQ32" s="592"/>
      <c r="AR32" s="592"/>
      <c r="AS32" s="592"/>
      <c r="AT32" s="593"/>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row>
    <row r="33" spans="1:80" ht="15" customHeight="1" x14ac:dyDescent="0.25">
      <c r="A33" s="66"/>
      <c r="B33" s="510"/>
      <c r="C33" s="510"/>
      <c r="D33" s="511"/>
      <c r="E33" s="551"/>
      <c r="F33" s="552"/>
      <c r="G33" s="552"/>
      <c r="H33" s="552"/>
      <c r="I33" s="553"/>
      <c r="J33" s="50" t="str">
        <f>IF(AND('Riesgos de Gestión'!$AF$55="Media",'Riesgos de Gestión'!$AH$55="Leve"),CONCATENATE("R8C",'Riesgos de Gestión'!$V$55),"")</f>
        <v/>
      </c>
      <c r="K33" s="51" t="str">
        <f>IF(AND('Riesgos de Gestión'!$AF$56="Media",'Riesgos de Gestión'!$AH$56="Leve"),CONCATENATE("R8C",'Riesgos de Gestión'!$V$56),"")</f>
        <v/>
      </c>
      <c r="L33" s="51" t="str">
        <f>IF(AND('Riesgos de Gestión'!$AF$57="Media",'Riesgos de Gestión'!$AH$57="Leve"),CONCATENATE("R8C",'Riesgos de Gestión'!$V$57),"")</f>
        <v/>
      </c>
      <c r="M33" s="51" t="str">
        <f>IF(AND('Riesgos de Gestión'!$AF$58="Media",'Riesgos de Gestión'!$AH$58="Leve"),CONCATENATE("R8C",'Riesgos de Gestión'!$V$58),"")</f>
        <v/>
      </c>
      <c r="N33" s="51" t="str">
        <f>IF(AND('Riesgos de Gestión'!$AF$59="Media",'Riesgos de Gestión'!$AH$59="Leve"),CONCATENATE("R8C",'Riesgos de Gestión'!$V$59),"")</f>
        <v/>
      </c>
      <c r="O33" s="52" t="str">
        <f>IF(AND('Riesgos de Gestión'!$AF$60="Media",'Riesgos de Gestión'!$AH$60="Leve"),CONCATENATE("R8C",'Riesgos de Gestión'!$V$60),"")</f>
        <v/>
      </c>
      <c r="P33" s="50" t="str">
        <f>IF(AND('Riesgos de Gestión'!$AF$55="Media",'Riesgos de Gestión'!$AH$55="Menor"),CONCATENATE("R8C",'Riesgos de Gestión'!$V$55),"")</f>
        <v/>
      </c>
      <c r="Q33" s="51" t="str">
        <f>IF(AND('Riesgos de Gestión'!$AF$56="Media",'Riesgos de Gestión'!$AH$56="Menor"),CONCATENATE("R8C",'Riesgos de Gestión'!$V$56),"")</f>
        <v/>
      </c>
      <c r="R33" s="51" t="str">
        <f>IF(AND('Riesgos de Gestión'!$AF$57="Media",'Riesgos de Gestión'!$AH$57="Menor"),CONCATENATE("R8C",'Riesgos de Gestión'!$V$57),"")</f>
        <v/>
      </c>
      <c r="S33" s="51" t="str">
        <f>IF(AND('Riesgos de Gestión'!$AF$58="Media",'Riesgos de Gestión'!$AH$58="Menor"),CONCATENATE("R8C",'Riesgos de Gestión'!$V$58),"")</f>
        <v/>
      </c>
      <c r="T33" s="51" t="str">
        <f>IF(AND('Riesgos de Gestión'!$AF$59="Media",'Riesgos de Gestión'!$AH$59="Menor"),CONCATENATE("R8C",'Riesgos de Gestión'!$V$59),"")</f>
        <v/>
      </c>
      <c r="U33" s="52" t="str">
        <f>IF(AND('Riesgos de Gestión'!$AF$60="Media",'Riesgos de Gestión'!$AH$60="Menor"),CONCATENATE("R8C",'Riesgos de Gestión'!$V$60),"")</f>
        <v/>
      </c>
      <c r="V33" s="50" t="str">
        <f>IF(AND('Riesgos de Gestión'!$AF$55="Media",'Riesgos de Gestión'!$AH$55="Moderado"),CONCATENATE("R8C",'Riesgos de Gestión'!$V$55),"")</f>
        <v/>
      </c>
      <c r="W33" s="51" t="str">
        <f>IF(AND('Riesgos de Gestión'!$AF$56="Media",'Riesgos de Gestión'!$AH$56="Moderado"),CONCATENATE("R8C",'Riesgos de Gestión'!$V$56),"")</f>
        <v/>
      </c>
      <c r="X33" s="51" t="str">
        <f>IF(AND('Riesgos de Gestión'!$AF$57="Media",'Riesgos de Gestión'!$AH$57="Moderado"),CONCATENATE("R8C",'Riesgos de Gestión'!$V$57),"")</f>
        <v/>
      </c>
      <c r="Y33" s="51" t="str">
        <f>IF(AND('Riesgos de Gestión'!$AF$58="Media",'Riesgos de Gestión'!$AH$58="Moderado"),CONCATENATE("R8C",'Riesgos de Gestión'!$V$58),"")</f>
        <v/>
      </c>
      <c r="Z33" s="51" t="str">
        <f>IF(AND('Riesgos de Gestión'!$AF$59="Media",'Riesgos de Gestión'!$AH$59="Moderado"),CONCATENATE("R8C",'Riesgos de Gestión'!$V$59),"")</f>
        <v/>
      </c>
      <c r="AA33" s="52" t="str">
        <f>IF(AND('Riesgos de Gestión'!$AF$60="Media",'Riesgos de Gestión'!$AH$60="Moderado"),CONCATENATE("R8C",'Riesgos de Gestión'!$V$60),"")</f>
        <v/>
      </c>
      <c r="AB33" s="35" t="str">
        <f>IF(AND('Riesgos de Gestión'!$AF$55="Media",'Riesgos de Gestión'!$AH$55="Mayor"),CONCATENATE("R8C",'Riesgos de Gestión'!$V$55),"")</f>
        <v/>
      </c>
      <c r="AC33" s="36" t="str">
        <f>IF(AND('Riesgos de Gestión'!$AF$56="Media",'Riesgos de Gestión'!$AH$56="Mayor"),CONCATENATE("R8C",'Riesgos de Gestión'!$V$56),"")</f>
        <v/>
      </c>
      <c r="AD33" s="36" t="str">
        <f>IF(AND('Riesgos de Gestión'!$AF$57="Media",'Riesgos de Gestión'!$AH$57="Mayor"),CONCATENATE("R8C",'Riesgos de Gestión'!$V$57),"")</f>
        <v/>
      </c>
      <c r="AE33" s="36" t="str">
        <f>IF(AND('Riesgos de Gestión'!$AF$58="Media",'Riesgos de Gestión'!$AH$58="Mayor"),CONCATENATE("R8C",'Riesgos de Gestión'!$V$58),"")</f>
        <v/>
      </c>
      <c r="AF33" s="36" t="str">
        <f>IF(AND('Riesgos de Gestión'!$AF$59="Media",'Riesgos de Gestión'!$AH$59="Mayor"),CONCATENATE("R8C",'Riesgos de Gestión'!$V$59),"")</f>
        <v/>
      </c>
      <c r="AG33" s="37" t="str">
        <f>IF(AND('Riesgos de Gestión'!$AF$60="Media",'Riesgos de Gestión'!$AH$60="Mayor"),CONCATENATE("R8C",'Riesgos de Gestión'!$V$60),"")</f>
        <v/>
      </c>
      <c r="AH33" s="38" t="str">
        <f>IF(AND('Riesgos de Gestión'!$AF$55="Media",'Riesgos de Gestión'!$AH$55="Catastrófico"),CONCATENATE("R8C",'Riesgos de Gestión'!$V$55),"")</f>
        <v/>
      </c>
      <c r="AI33" s="39" t="str">
        <f>IF(AND('Riesgos de Gestión'!$AF$56="Media",'Riesgos de Gestión'!$AH$56="Catastrófico"),CONCATENATE("R8C",'Riesgos de Gestión'!$V$56),"")</f>
        <v/>
      </c>
      <c r="AJ33" s="39" t="str">
        <f>IF(AND('Riesgos de Gestión'!$AF$57="Media",'Riesgos de Gestión'!$AH$57="Catastrófico"),CONCATENATE("R8C",'Riesgos de Gestión'!$V$57),"")</f>
        <v/>
      </c>
      <c r="AK33" s="39" t="str">
        <f>IF(AND('Riesgos de Gestión'!$AF$58="Media",'Riesgos de Gestión'!$AH$58="Catastrófico"),CONCATENATE("R8C",'Riesgos de Gestión'!$V$58),"")</f>
        <v/>
      </c>
      <c r="AL33" s="39" t="str">
        <f>IF(AND('Riesgos de Gestión'!$AF$59="Media",'Riesgos de Gestión'!$AH$59="Catastrófico"),CONCATENATE("R8C",'Riesgos de Gestión'!$V$59),"")</f>
        <v/>
      </c>
      <c r="AM33" s="40" t="str">
        <f>IF(AND('Riesgos de Gestión'!$AF$60="Media",'Riesgos de Gestión'!$AH$60="Catastrófico"),CONCATENATE("R8C",'Riesgos de Gestión'!$V$60),"")</f>
        <v/>
      </c>
      <c r="AN33" s="66"/>
      <c r="AO33" s="591"/>
      <c r="AP33" s="592"/>
      <c r="AQ33" s="592"/>
      <c r="AR33" s="592"/>
      <c r="AS33" s="592"/>
      <c r="AT33" s="593"/>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row>
    <row r="34" spans="1:80" ht="15" customHeight="1" x14ac:dyDescent="0.25">
      <c r="A34" s="66"/>
      <c r="B34" s="510"/>
      <c r="C34" s="510"/>
      <c r="D34" s="511"/>
      <c r="E34" s="551"/>
      <c r="F34" s="552"/>
      <c r="G34" s="552"/>
      <c r="H34" s="552"/>
      <c r="I34" s="553"/>
      <c r="J34" s="50" t="str">
        <f>IF(AND('Riesgos de Gestión'!$AF$61="Media",'Riesgos de Gestión'!$AH$61="Leve"),CONCATENATE("R9C",'Riesgos de Gestión'!$V$61),"")</f>
        <v/>
      </c>
      <c r="K34" s="51" t="str">
        <f>IF(AND('Riesgos de Gestión'!$AF$62="Media",'Riesgos de Gestión'!$AH$62="Leve"),CONCATENATE("R9C",'Riesgos de Gestión'!$V$62),"")</f>
        <v/>
      </c>
      <c r="L34" s="51" t="str">
        <f>IF(AND('Riesgos de Gestión'!$AF$63="Media",'Riesgos de Gestión'!$AH$63="Leve"),CONCATENATE("R9C",'Riesgos de Gestión'!$V$63),"")</f>
        <v/>
      </c>
      <c r="M34" s="51" t="str">
        <f>IF(AND('Riesgos de Gestión'!$AF$64="Media",'Riesgos de Gestión'!$AH$64="Leve"),CONCATENATE("R9C",'Riesgos de Gestión'!$V$64),"")</f>
        <v/>
      </c>
      <c r="N34" s="51" t="str">
        <f>IF(AND('Riesgos de Gestión'!$AF$65="Media",'Riesgos de Gestión'!$AH$65="Leve"),CONCATENATE("R9C",'Riesgos de Gestión'!$V$65),"")</f>
        <v/>
      </c>
      <c r="O34" s="52" t="str">
        <f>IF(AND('Riesgos de Gestión'!$AF$66="Media",'Riesgos de Gestión'!$AH$66="Leve"),CONCATENATE("R9C",'Riesgos de Gestión'!$V$66),"")</f>
        <v/>
      </c>
      <c r="P34" s="50" t="str">
        <f>IF(AND('Riesgos de Gestión'!$AF$61="Media",'Riesgos de Gestión'!$AH$61="Menor"),CONCATENATE("R9C",'Riesgos de Gestión'!$V$61),"")</f>
        <v/>
      </c>
      <c r="Q34" s="51" t="str">
        <f>IF(AND('Riesgos de Gestión'!$AF$62="Media",'Riesgos de Gestión'!$AH$62="Menor"),CONCATENATE("R9C",'Riesgos de Gestión'!$V$62),"")</f>
        <v/>
      </c>
      <c r="R34" s="51" t="str">
        <f>IF(AND('Riesgos de Gestión'!$AF$63="Media",'Riesgos de Gestión'!$AH$63="Menor"),CONCATENATE("R9C",'Riesgos de Gestión'!$V$63),"")</f>
        <v/>
      </c>
      <c r="S34" s="51" t="str">
        <f>IF(AND('Riesgos de Gestión'!$AF$64="Media",'Riesgos de Gestión'!$AH$64="Menor"),CONCATENATE("R9C",'Riesgos de Gestión'!$V$64),"")</f>
        <v/>
      </c>
      <c r="T34" s="51" t="str">
        <f>IF(AND('Riesgos de Gestión'!$AF$65="Media",'Riesgos de Gestión'!$AH$65="Menor"),CONCATENATE("R9C",'Riesgos de Gestión'!$V$65),"")</f>
        <v/>
      </c>
      <c r="U34" s="52" t="str">
        <f>IF(AND('Riesgos de Gestión'!$AF$66="Media",'Riesgos de Gestión'!$AH$66="Menor"),CONCATENATE("R9C",'Riesgos de Gestión'!$V$66),"")</f>
        <v/>
      </c>
      <c r="V34" s="50" t="str">
        <f>IF(AND('Riesgos de Gestión'!$AF$61="Media",'Riesgos de Gestión'!$AH$61="Moderado"),CONCATENATE("R9C",'Riesgos de Gestión'!$V$61),"")</f>
        <v/>
      </c>
      <c r="W34" s="51" t="str">
        <f>IF(AND('Riesgos de Gestión'!$AF$62="Media",'Riesgos de Gestión'!$AH$62="Moderado"),CONCATENATE("R9C",'Riesgos de Gestión'!$V$62),"")</f>
        <v/>
      </c>
      <c r="X34" s="51" t="str">
        <f>IF(AND('Riesgos de Gestión'!$AF$63="Media",'Riesgos de Gestión'!$AH$63="Moderado"),CONCATENATE("R9C",'Riesgos de Gestión'!$V$63),"")</f>
        <v/>
      </c>
      <c r="Y34" s="51" t="str">
        <f>IF(AND('Riesgos de Gestión'!$AF$64="Media",'Riesgos de Gestión'!$AH$64="Moderado"),CONCATENATE("R9C",'Riesgos de Gestión'!$V$64),"")</f>
        <v/>
      </c>
      <c r="Z34" s="51" t="str">
        <f>IF(AND('Riesgos de Gestión'!$AF$65="Media",'Riesgos de Gestión'!$AH$65="Moderado"),CONCATENATE("R9C",'Riesgos de Gestión'!$V$65),"")</f>
        <v/>
      </c>
      <c r="AA34" s="52" t="str">
        <f>IF(AND('Riesgos de Gestión'!$AF$66="Media",'Riesgos de Gestión'!$AH$66="Moderado"),CONCATENATE("R9C",'Riesgos de Gestión'!$V$66),"")</f>
        <v/>
      </c>
      <c r="AB34" s="35" t="str">
        <f>IF(AND('Riesgos de Gestión'!$AF$61="Media",'Riesgos de Gestión'!$AH$61="Mayor"),CONCATENATE("R9C",'Riesgos de Gestión'!$V$61),"")</f>
        <v/>
      </c>
      <c r="AC34" s="36" t="str">
        <f>IF(AND('Riesgos de Gestión'!$AF$62="Media",'Riesgos de Gestión'!$AH$62="Mayor"),CONCATENATE("R9C",'Riesgos de Gestión'!$V$62),"")</f>
        <v/>
      </c>
      <c r="AD34" s="36" t="str">
        <f>IF(AND('Riesgos de Gestión'!$AF$63="Media",'Riesgos de Gestión'!$AH$63="Mayor"),CONCATENATE("R9C",'Riesgos de Gestión'!$V$63),"")</f>
        <v/>
      </c>
      <c r="AE34" s="36" t="str">
        <f>IF(AND('Riesgos de Gestión'!$AF$64="Media",'Riesgos de Gestión'!$AH$64="Mayor"),CONCATENATE("R9C",'Riesgos de Gestión'!$V$64),"")</f>
        <v/>
      </c>
      <c r="AF34" s="36" t="str">
        <f>IF(AND('Riesgos de Gestión'!$AF$65="Media",'Riesgos de Gestión'!$AH$65="Mayor"),CONCATENATE("R9C",'Riesgos de Gestión'!$V$65),"")</f>
        <v/>
      </c>
      <c r="AG34" s="37" t="str">
        <f>IF(AND('Riesgos de Gestión'!$AF$66="Media",'Riesgos de Gestión'!$AH$66="Mayor"),CONCATENATE("R9C",'Riesgos de Gestión'!$V$66),"")</f>
        <v/>
      </c>
      <c r="AH34" s="38" t="str">
        <f>IF(AND('Riesgos de Gestión'!$AF$61="Media",'Riesgos de Gestión'!$AH$61="Catastrófico"),CONCATENATE("R9C",'Riesgos de Gestión'!$V$61),"")</f>
        <v/>
      </c>
      <c r="AI34" s="39" t="str">
        <f>IF(AND('Riesgos de Gestión'!$AF$62="Media",'Riesgos de Gestión'!$AH$62="Catastrófico"),CONCATENATE("R9C",'Riesgos de Gestión'!$V$62),"")</f>
        <v/>
      </c>
      <c r="AJ34" s="39" t="str">
        <f>IF(AND('Riesgos de Gestión'!$AF$63="Media",'Riesgos de Gestión'!$AH$63="Catastrófico"),CONCATENATE("R9C",'Riesgos de Gestión'!$V$63),"")</f>
        <v/>
      </c>
      <c r="AK34" s="39" t="str">
        <f>IF(AND('Riesgos de Gestión'!$AF$64="Media",'Riesgos de Gestión'!$AH$64="Catastrófico"),CONCATENATE("R9C",'Riesgos de Gestión'!$V$64),"")</f>
        <v/>
      </c>
      <c r="AL34" s="39" t="str">
        <f>IF(AND('Riesgos de Gestión'!$AF$65="Media",'Riesgos de Gestión'!$AH$65="Catastrófico"),CONCATENATE("R9C",'Riesgos de Gestión'!$V$65),"")</f>
        <v/>
      </c>
      <c r="AM34" s="40" t="str">
        <f>IF(AND('Riesgos de Gestión'!$AF$66="Media",'Riesgos de Gestión'!$AH$66="Catastrófico"),CONCATENATE("R9C",'Riesgos de Gestión'!$V$66),"")</f>
        <v/>
      </c>
      <c r="AN34" s="66"/>
      <c r="AO34" s="591"/>
      <c r="AP34" s="592"/>
      <c r="AQ34" s="592"/>
      <c r="AR34" s="592"/>
      <c r="AS34" s="592"/>
      <c r="AT34" s="593"/>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row>
    <row r="35" spans="1:80" ht="15.75" customHeight="1" thickBot="1" x14ac:dyDescent="0.3">
      <c r="A35" s="66"/>
      <c r="B35" s="510"/>
      <c r="C35" s="510"/>
      <c r="D35" s="511"/>
      <c r="E35" s="554"/>
      <c r="F35" s="555"/>
      <c r="G35" s="555"/>
      <c r="H35" s="555"/>
      <c r="I35" s="556"/>
      <c r="J35" s="50" t="str">
        <f>IF(AND('Riesgos de Gestión'!$AF$67="Media",'Riesgos de Gestión'!$AH$67="Leve"),CONCATENATE("R10C",'Riesgos de Gestión'!$V$67),"")</f>
        <v/>
      </c>
      <c r="K35" s="51" t="str">
        <f>IF(AND('Riesgos de Gestión'!$AF$68="Media",'Riesgos de Gestión'!$AH$68="Leve"),CONCATENATE("R10C",'Riesgos de Gestión'!$V$68),"")</f>
        <v/>
      </c>
      <c r="L35" s="51" t="str">
        <f>IF(AND('Riesgos de Gestión'!$AF$69="Media",'Riesgos de Gestión'!$AH$69="Leve"),CONCATENATE("R10C",'Riesgos de Gestión'!$V$69),"")</f>
        <v/>
      </c>
      <c r="M35" s="51" t="str">
        <f>IF(AND('Riesgos de Gestión'!$AF$70="Media",'Riesgos de Gestión'!$AH$70="Leve"),CONCATENATE("R10C",'Riesgos de Gestión'!$V$70),"")</f>
        <v/>
      </c>
      <c r="N35" s="51" t="str">
        <f>IF(AND('Riesgos de Gestión'!$AF$71="Media",'Riesgos de Gestión'!$AH$71="Leve"),CONCATENATE("R10C",'Riesgos de Gestión'!$V$71),"")</f>
        <v/>
      </c>
      <c r="O35" s="52" t="str">
        <f>IF(AND('Riesgos de Gestión'!$AF$72="Media",'Riesgos de Gestión'!$AH$72="Leve"),CONCATENATE("R10C",'Riesgos de Gestión'!$V$72),"")</f>
        <v/>
      </c>
      <c r="P35" s="50" t="str">
        <f>IF(AND('Riesgos de Gestión'!$AF$67="Media",'Riesgos de Gestión'!$AH$67="Menor"),CONCATENATE("R10C",'Riesgos de Gestión'!$V$67),"")</f>
        <v/>
      </c>
      <c r="Q35" s="51" t="str">
        <f>IF(AND('Riesgos de Gestión'!$AF$68="Media",'Riesgos de Gestión'!$AH$68="Menor"),CONCATENATE("R10C",'Riesgos de Gestión'!$V$68),"")</f>
        <v/>
      </c>
      <c r="R35" s="51" t="str">
        <f>IF(AND('Riesgos de Gestión'!$AF$69="Media",'Riesgos de Gestión'!$AH$69="Menor"),CONCATENATE("R10C",'Riesgos de Gestión'!$V$69),"")</f>
        <v/>
      </c>
      <c r="S35" s="51" t="str">
        <f>IF(AND('Riesgos de Gestión'!$AF$70="Media",'Riesgos de Gestión'!$AH$70="Menor"),CONCATENATE("R10C",'Riesgos de Gestión'!$V$70),"")</f>
        <v/>
      </c>
      <c r="T35" s="51" t="str">
        <f>IF(AND('Riesgos de Gestión'!$AF$71="Media",'Riesgos de Gestión'!$AH$71="Menor"),CONCATENATE("R10C",'Riesgos de Gestión'!$V$71),"")</f>
        <v/>
      </c>
      <c r="U35" s="52" t="str">
        <f>IF(AND('Riesgos de Gestión'!$AF$72="Media",'Riesgos de Gestión'!$AH$72="Menor"),CONCATENATE("R10C",'Riesgos de Gestión'!$V$72),"")</f>
        <v/>
      </c>
      <c r="V35" s="50" t="str">
        <f>IF(AND('Riesgos de Gestión'!$AF$67="Media",'Riesgos de Gestión'!$AH$67="Moderado"),CONCATENATE("R10C",'Riesgos de Gestión'!$V$67),"")</f>
        <v/>
      </c>
      <c r="W35" s="51" t="str">
        <f>IF(AND('Riesgos de Gestión'!$AF$68="Media",'Riesgos de Gestión'!$AH$68="Moderado"),CONCATENATE("R10C",'Riesgos de Gestión'!$V$68),"")</f>
        <v/>
      </c>
      <c r="X35" s="51" t="str">
        <f>IF(AND('Riesgos de Gestión'!$AF$69="Media",'Riesgos de Gestión'!$AH$69="Moderado"),CONCATENATE("R10C",'Riesgos de Gestión'!$V$69),"")</f>
        <v/>
      </c>
      <c r="Y35" s="51" t="str">
        <f>IF(AND('Riesgos de Gestión'!$AF$70="Media",'Riesgos de Gestión'!$AH$70="Moderado"),CONCATENATE("R10C",'Riesgos de Gestión'!$V$70),"")</f>
        <v/>
      </c>
      <c r="Z35" s="51" t="str">
        <f>IF(AND('Riesgos de Gestión'!$AF$71="Media",'Riesgos de Gestión'!$AH$71="Moderado"),CONCATENATE("R10C",'Riesgos de Gestión'!$V$71),"")</f>
        <v/>
      </c>
      <c r="AA35" s="52" t="str">
        <f>IF(AND('Riesgos de Gestión'!$AF$72="Media",'Riesgos de Gestión'!$AH$72="Moderado"),CONCATENATE("R10C",'Riesgos de Gestión'!$V$72),"")</f>
        <v/>
      </c>
      <c r="AB35" s="41" t="str">
        <f>IF(AND('Riesgos de Gestión'!$AF$67="Media",'Riesgos de Gestión'!$AH$67="Mayor"),CONCATENATE("R10C",'Riesgos de Gestión'!$V$67),"")</f>
        <v/>
      </c>
      <c r="AC35" s="42" t="str">
        <f>IF(AND('Riesgos de Gestión'!$AF$68="Media",'Riesgos de Gestión'!$AH$68="Mayor"),CONCATENATE("R10C",'Riesgos de Gestión'!$V$68),"")</f>
        <v/>
      </c>
      <c r="AD35" s="42" t="str">
        <f>IF(AND('Riesgos de Gestión'!$AF$69="Media",'Riesgos de Gestión'!$AH$69="Mayor"),CONCATENATE("R10C",'Riesgos de Gestión'!$V$69),"")</f>
        <v/>
      </c>
      <c r="AE35" s="42" t="str">
        <f>IF(AND('Riesgos de Gestión'!$AF$70="Media",'Riesgos de Gestión'!$AH$70="Mayor"),CONCATENATE("R10C",'Riesgos de Gestión'!$V$70),"")</f>
        <v/>
      </c>
      <c r="AF35" s="42" t="str">
        <f>IF(AND('Riesgos de Gestión'!$AF$71="Media",'Riesgos de Gestión'!$AH$71="Mayor"),CONCATENATE("R10C",'Riesgos de Gestión'!$V$71),"")</f>
        <v/>
      </c>
      <c r="AG35" s="43" t="str">
        <f>IF(AND('Riesgos de Gestión'!$AF$72="Media",'Riesgos de Gestión'!$AH$72="Mayor"),CONCATENATE("R10C",'Riesgos de Gestión'!$V$72),"")</f>
        <v/>
      </c>
      <c r="AH35" s="44" t="str">
        <f>IF(AND('Riesgos de Gestión'!$AF$67="Media",'Riesgos de Gestión'!$AH$67="Catastrófico"),CONCATENATE("R10C",'Riesgos de Gestión'!$V$67),"")</f>
        <v/>
      </c>
      <c r="AI35" s="45" t="str">
        <f>IF(AND('Riesgos de Gestión'!$AF$68="Media",'Riesgos de Gestión'!$AH$68="Catastrófico"),CONCATENATE("R10C",'Riesgos de Gestión'!$V$68),"")</f>
        <v/>
      </c>
      <c r="AJ35" s="45" t="str">
        <f>IF(AND('Riesgos de Gestión'!$AF$69="Media",'Riesgos de Gestión'!$AH$69="Catastrófico"),CONCATENATE("R10C",'Riesgos de Gestión'!$V$69),"")</f>
        <v/>
      </c>
      <c r="AK35" s="45" t="str">
        <f>IF(AND('Riesgos de Gestión'!$AF$70="Media",'Riesgos de Gestión'!$AH$70="Catastrófico"),CONCATENATE("R10C",'Riesgos de Gestión'!$V$70),"")</f>
        <v/>
      </c>
      <c r="AL35" s="45" t="str">
        <f>IF(AND('Riesgos de Gestión'!$AF$71="Media",'Riesgos de Gestión'!$AH$71="Catastrófico"),CONCATENATE("R10C",'Riesgos de Gestión'!$V$71),"")</f>
        <v/>
      </c>
      <c r="AM35" s="46" t="str">
        <f>IF(AND('Riesgos de Gestión'!$AF$72="Media",'Riesgos de Gestión'!$AH$72="Catastrófico"),CONCATENATE("R10C",'Riesgos de Gestión'!$V$72),"")</f>
        <v/>
      </c>
      <c r="AN35" s="66"/>
      <c r="AO35" s="594"/>
      <c r="AP35" s="595"/>
      <c r="AQ35" s="595"/>
      <c r="AR35" s="595"/>
      <c r="AS35" s="595"/>
      <c r="AT35" s="59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row>
    <row r="36" spans="1:80" ht="15" customHeight="1" x14ac:dyDescent="0.25">
      <c r="A36" s="66"/>
      <c r="B36" s="510"/>
      <c r="C36" s="510"/>
      <c r="D36" s="511"/>
      <c r="E36" s="548" t="s">
        <v>271</v>
      </c>
      <c r="F36" s="549"/>
      <c r="G36" s="549"/>
      <c r="H36" s="549"/>
      <c r="I36" s="549"/>
      <c r="J36" s="56" t="str">
        <f>IF(AND('Riesgos de Gestión'!$AF$13="Baja",'Riesgos de Gestión'!$AH$13="Leve"),CONCATENATE("R1C",'Riesgos de Gestión'!$V$13),"")</f>
        <v/>
      </c>
      <c r="K36" s="57" t="str">
        <f>IF(AND('Riesgos de Gestión'!$AF$14="Baja",'Riesgos de Gestión'!$AH$14="Leve"),CONCATENATE("R1C",'Riesgos de Gestión'!$V$14),"")</f>
        <v/>
      </c>
      <c r="L36" s="57" t="str">
        <f>IF(AND('Riesgos de Gestión'!$AF$15="Baja",'Riesgos de Gestión'!$AH$15="Leve"),CONCATENATE("R1C",'Riesgos de Gestión'!$V$15),"")</f>
        <v/>
      </c>
      <c r="M36" s="57" t="str">
        <f>IF(AND('Riesgos de Gestión'!$AF$16="Baja",'Riesgos de Gestión'!$AH$16="Leve"),CONCATENATE("R1C",'Riesgos de Gestión'!$V$16),"")</f>
        <v/>
      </c>
      <c r="N36" s="57" t="str">
        <f>IF(AND('Riesgos de Gestión'!$AF$17="Baja",'Riesgos de Gestión'!$AH$17="Leve"),CONCATENATE("R1C",'Riesgos de Gestión'!$V$17),"")</f>
        <v/>
      </c>
      <c r="O36" s="58" t="str">
        <f>IF(AND('Riesgos de Gestión'!$AF$18="Baja",'Riesgos de Gestión'!$AH$18="Leve"),CONCATENATE("R1C",'Riesgos de Gestión'!$V$18),"")</f>
        <v/>
      </c>
      <c r="P36" s="47" t="str">
        <f>IF(AND('Riesgos de Gestión'!$AF$13="Baja",'Riesgos de Gestión'!$AH$13="Menor"),CONCATENATE("R1C",'Riesgos de Gestión'!$V$13),"")</f>
        <v/>
      </c>
      <c r="Q36" s="48" t="str">
        <f>IF(AND('Riesgos de Gestión'!$AF$14="Baja",'Riesgos de Gestión'!$AH$14="Menor"),CONCATENATE("R1C",'Riesgos de Gestión'!$V$14),"")</f>
        <v/>
      </c>
      <c r="R36" s="48" t="str">
        <f>IF(AND('Riesgos de Gestión'!$AF$15="Baja",'Riesgos de Gestión'!$AH$15="Menor"),CONCATENATE("R1C",'Riesgos de Gestión'!$V$15),"")</f>
        <v/>
      </c>
      <c r="S36" s="48" t="str">
        <f>IF(AND('Riesgos de Gestión'!$AF$16="Baja",'Riesgos de Gestión'!$AH$16="Menor"),CONCATENATE("R1C",'Riesgos de Gestión'!$V$16),"")</f>
        <v/>
      </c>
      <c r="T36" s="48" t="str">
        <f>IF(AND('Riesgos de Gestión'!$AF$17="Baja",'Riesgos de Gestión'!$AH$17="Menor"),CONCATENATE("R1C",'Riesgos de Gestión'!$V$17),"")</f>
        <v/>
      </c>
      <c r="U36" s="49" t="str">
        <f>IF(AND('Riesgos de Gestión'!$AF$18="Baja",'Riesgos de Gestión'!$AH$18="Menor"),CONCATENATE("R1C",'Riesgos de Gestión'!$V$18),"")</f>
        <v/>
      </c>
      <c r="V36" s="47" t="str">
        <f>IF(AND('Riesgos de Gestión'!$AF$13="Baja",'Riesgos de Gestión'!$AH$13="Moderado"),CONCATENATE("R1C",'Riesgos de Gestión'!$V$13),"")</f>
        <v>R1C1</v>
      </c>
      <c r="W36" s="48" t="str">
        <f>IF(AND('Riesgos de Gestión'!$AF$14="Baja",'Riesgos de Gestión'!$AH$14="Moderado"),CONCATENATE("R1C",'Riesgos de Gestión'!$V$14),"")</f>
        <v>R1C2</v>
      </c>
      <c r="X36" s="48" t="str">
        <f>IF(AND('Riesgos de Gestión'!$AF$15="Baja",'Riesgos de Gestión'!$AH$15="Moderado"),CONCATENATE("R1C",'Riesgos de Gestión'!$V$15),"")</f>
        <v/>
      </c>
      <c r="Y36" s="48" t="str">
        <f>IF(AND('Riesgos de Gestión'!$AF$16="Baja",'Riesgos de Gestión'!$AH$16="Moderado"),CONCATENATE("R1C",'Riesgos de Gestión'!$V$16),"")</f>
        <v/>
      </c>
      <c r="Z36" s="48" t="str">
        <f>IF(AND('Riesgos de Gestión'!$AF$17="Baja",'Riesgos de Gestión'!$AH$17="Moderado"),CONCATENATE("R1C",'Riesgos de Gestión'!$V$17),"")</f>
        <v/>
      </c>
      <c r="AA36" s="49" t="str">
        <f>IF(AND('Riesgos de Gestión'!$AF$18="Baja",'Riesgos de Gestión'!$AH$18="Moderado"),CONCATENATE("R1C",'Riesgos de Gestión'!$V$18),"")</f>
        <v/>
      </c>
      <c r="AB36" s="29" t="str">
        <f>IF(AND('Riesgos de Gestión'!$AF$13="Baja",'Riesgos de Gestión'!$AH$13="Mayor"),CONCATENATE("R1C",'Riesgos de Gestión'!$V$13),"")</f>
        <v/>
      </c>
      <c r="AC36" s="30" t="str">
        <f>IF(AND('Riesgos de Gestión'!$AF$14="Baja",'Riesgos de Gestión'!$AH$14="Mayor"),CONCATENATE("R1C",'Riesgos de Gestión'!$V$14),"")</f>
        <v/>
      </c>
      <c r="AD36" s="30" t="str">
        <f>IF(AND('Riesgos de Gestión'!$AF$15="Baja",'Riesgos de Gestión'!$AH$15="Mayor"),CONCATENATE("R1C",'Riesgos de Gestión'!$V$15),"")</f>
        <v/>
      </c>
      <c r="AE36" s="30" t="str">
        <f>IF(AND('Riesgos de Gestión'!$AF$16="Baja",'Riesgos de Gestión'!$AH$16="Mayor"),CONCATENATE("R1C",'Riesgos de Gestión'!$V$16),"")</f>
        <v/>
      </c>
      <c r="AF36" s="30" t="str">
        <f>IF(AND('Riesgos de Gestión'!$AF$17="Baja",'Riesgos de Gestión'!$AH$17="Mayor"),CONCATENATE("R1C",'Riesgos de Gestión'!$V$17),"")</f>
        <v/>
      </c>
      <c r="AG36" s="31" t="str">
        <f>IF(AND('Riesgos de Gestión'!$AF$18="Baja",'Riesgos de Gestión'!$AH$18="Mayor"),CONCATENATE("R1C",'Riesgos de Gestión'!$V$18),"")</f>
        <v/>
      </c>
      <c r="AH36" s="32" t="str">
        <f>IF(AND('Riesgos de Gestión'!$AF$13="Baja",'Riesgos de Gestión'!$AH$13="Catastrófico"),CONCATENATE("R1C",'Riesgos de Gestión'!$V$13),"")</f>
        <v/>
      </c>
      <c r="AI36" s="33" t="str">
        <f>IF(AND('Riesgos de Gestión'!$AF$14="Baja",'Riesgos de Gestión'!$AH$14="Catastrófico"),CONCATENATE("R1C",'Riesgos de Gestión'!$V$14),"")</f>
        <v/>
      </c>
      <c r="AJ36" s="33" t="str">
        <f>IF(AND('Riesgos de Gestión'!$AF$15="Baja",'Riesgos de Gestión'!$AH$15="Catastrófico"),CONCATENATE("R1C",'Riesgos de Gestión'!$V$15),"")</f>
        <v/>
      </c>
      <c r="AK36" s="33" t="str">
        <f>IF(AND('Riesgos de Gestión'!$AF$16="Baja",'Riesgos de Gestión'!$AH$16="Catastrófico"),CONCATENATE("R1C",'Riesgos de Gestión'!$V$16),"")</f>
        <v/>
      </c>
      <c r="AL36" s="33" t="str">
        <f>IF(AND('Riesgos de Gestión'!$AF$17="Baja",'Riesgos de Gestión'!$AH$17="Catastrófico"),CONCATENATE("R1C",'Riesgos de Gestión'!$V$17),"")</f>
        <v/>
      </c>
      <c r="AM36" s="34" t="str">
        <f>IF(AND('Riesgos de Gestión'!$AF$18="Baja",'Riesgos de Gestión'!$AH$18="Catastrófico"),CONCATENATE("R1C",'Riesgos de Gestión'!$V$18),"")</f>
        <v/>
      </c>
      <c r="AN36" s="66"/>
      <c r="AO36" s="579" t="s">
        <v>272</v>
      </c>
      <c r="AP36" s="580"/>
      <c r="AQ36" s="580"/>
      <c r="AR36" s="580"/>
      <c r="AS36" s="580"/>
      <c r="AT36" s="581"/>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row>
    <row r="37" spans="1:80" ht="15" customHeight="1" x14ac:dyDescent="0.25">
      <c r="A37" s="66"/>
      <c r="B37" s="510"/>
      <c r="C37" s="510"/>
      <c r="D37" s="511"/>
      <c r="E37" s="567"/>
      <c r="F37" s="552"/>
      <c r="G37" s="552"/>
      <c r="H37" s="552"/>
      <c r="I37" s="552"/>
      <c r="J37" s="59" t="str">
        <f>IF(AND('Riesgos de Gestión'!$AF$19="Baja",'Riesgos de Gestión'!$AH$19="Leve"),CONCATENATE("R2C",'Riesgos de Gestión'!$V$19),"")</f>
        <v/>
      </c>
      <c r="K37" s="60" t="str">
        <f>IF(AND('Riesgos de Gestión'!$AF$20="Baja",'Riesgos de Gestión'!$AH$20="Leve"),CONCATENATE("R2C",'Riesgos de Gestión'!$V$20),"")</f>
        <v/>
      </c>
      <c r="L37" s="60" t="str">
        <f>IF(AND('Riesgos de Gestión'!$AF$21="Baja",'Riesgos de Gestión'!$AH$21="Leve"),CONCATENATE("R2C",'Riesgos de Gestión'!$V$21),"")</f>
        <v/>
      </c>
      <c r="M37" s="60" t="str">
        <f>IF(AND('Riesgos de Gestión'!$AF$22="Baja",'Riesgos de Gestión'!$AH$22="Leve"),CONCATENATE("R2C",'Riesgos de Gestión'!$V$22),"")</f>
        <v/>
      </c>
      <c r="N37" s="60" t="str">
        <f>IF(AND('Riesgos de Gestión'!$AF$23="Baja",'Riesgos de Gestión'!$AH$23="Leve"),CONCATENATE("R2C",'Riesgos de Gestión'!$V$23),"")</f>
        <v/>
      </c>
      <c r="O37" s="61" t="str">
        <f>IF(AND('Riesgos de Gestión'!$AF$24="Baja",'Riesgos de Gestión'!$AH$24="Leve"),CONCATENATE("R2C",'Riesgos de Gestión'!$V$24),"")</f>
        <v/>
      </c>
      <c r="P37" s="50" t="str">
        <f>IF(AND('Riesgos de Gestión'!$AF$19="Baja",'Riesgos de Gestión'!$AH$19="Menor"),CONCATENATE("R2C",'Riesgos de Gestión'!$V$19),"")</f>
        <v/>
      </c>
      <c r="Q37" s="51" t="str">
        <f>IF(AND('Riesgos de Gestión'!$AF$20="Baja",'Riesgos de Gestión'!$AH$20="Menor"),CONCATENATE("R2C",'Riesgos de Gestión'!$V$20),"")</f>
        <v/>
      </c>
      <c r="R37" s="51" t="str">
        <f>IF(AND('Riesgos de Gestión'!$AF$21="Baja",'Riesgos de Gestión'!$AH$21="Menor"),CONCATENATE("R2C",'Riesgos de Gestión'!$V$21),"")</f>
        <v/>
      </c>
      <c r="S37" s="51" t="str">
        <f>IF(AND('Riesgos de Gestión'!$AF$22="Baja",'Riesgos de Gestión'!$AH$22="Menor"),CONCATENATE("R2C",'Riesgos de Gestión'!$V$22),"")</f>
        <v/>
      </c>
      <c r="T37" s="51" t="str">
        <f>IF(AND('Riesgos de Gestión'!$AF$23="Baja",'Riesgos de Gestión'!$AH$23="Menor"),CONCATENATE("R2C",'Riesgos de Gestión'!$V$23),"")</f>
        <v/>
      </c>
      <c r="U37" s="52" t="str">
        <f>IF(AND('Riesgos de Gestión'!$AF$24="Baja",'Riesgos de Gestión'!$AH$24="Menor"),CONCATENATE("R2C",'Riesgos de Gestión'!$V$24),"")</f>
        <v/>
      </c>
      <c r="V37" s="50" t="str">
        <f>IF(AND('Riesgos de Gestión'!$AF$19="Baja",'Riesgos de Gestión'!$AH$19="Moderado"),CONCATENATE("R2C",'Riesgos de Gestión'!$V$19),"")</f>
        <v>R2C1</v>
      </c>
      <c r="W37" s="51" t="str">
        <f>IF(AND('Riesgos de Gestión'!$AF$20="Baja",'Riesgos de Gestión'!$AH$20="Moderado"),CONCATENATE("R2C",'Riesgos de Gestión'!$V$20),"")</f>
        <v>R2C2</v>
      </c>
      <c r="X37" s="51" t="str">
        <f>IF(AND('Riesgos de Gestión'!$AF$21="Baja",'Riesgos de Gestión'!$AH$21="Moderado"),CONCATENATE("R2C",'Riesgos de Gestión'!$V$21),"")</f>
        <v/>
      </c>
      <c r="Y37" s="51" t="str">
        <f>IF(AND('Riesgos de Gestión'!$AF$22="Baja",'Riesgos de Gestión'!$AH$22="Moderado"),CONCATENATE("R2C",'Riesgos de Gestión'!$V$22),"")</f>
        <v/>
      </c>
      <c r="Z37" s="51" t="str">
        <f>IF(AND('Riesgos de Gestión'!$AF$23="Baja",'Riesgos de Gestión'!$AH$23="Moderado"),CONCATENATE("R2C",'Riesgos de Gestión'!$V$23),"")</f>
        <v/>
      </c>
      <c r="AA37" s="52" t="str">
        <f>IF(AND('Riesgos de Gestión'!$AF$24="Baja",'Riesgos de Gestión'!$AH$24="Moderado"),CONCATENATE("R2C",'Riesgos de Gestión'!$V$24),"")</f>
        <v/>
      </c>
      <c r="AB37" s="35" t="str">
        <f>IF(AND('Riesgos de Gestión'!$AF$19="Baja",'Riesgos de Gestión'!$AH$19="Mayor"),CONCATENATE("R2C",'Riesgos de Gestión'!$V$19),"")</f>
        <v/>
      </c>
      <c r="AC37" s="36" t="str">
        <f>IF(AND('Riesgos de Gestión'!$AF$20="Baja",'Riesgos de Gestión'!$AH$20="Mayor"),CONCATENATE("R2C",'Riesgos de Gestión'!$V$20),"")</f>
        <v/>
      </c>
      <c r="AD37" s="36" t="str">
        <f>IF(AND('Riesgos de Gestión'!$AF$21="Baja",'Riesgos de Gestión'!$AH$21="Mayor"),CONCATENATE("R2C",'Riesgos de Gestión'!$V$21),"")</f>
        <v/>
      </c>
      <c r="AE37" s="36" t="str">
        <f>IF(AND('Riesgos de Gestión'!$AF$22="Baja",'Riesgos de Gestión'!$AH$22="Mayor"),CONCATENATE("R2C",'Riesgos de Gestión'!$V$22),"")</f>
        <v/>
      </c>
      <c r="AF37" s="36" t="str">
        <f>IF(AND('Riesgos de Gestión'!$AF$23="Baja",'Riesgos de Gestión'!$AH$23="Mayor"),CONCATENATE("R2C",'Riesgos de Gestión'!$V$23),"")</f>
        <v/>
      </c>
      <c r="AG37" s="37" t="str">
        <f>IF(AND('Riesgos de Gestión'!$AF$24="Baja",'Riesgos de Gestión'!$AH$24="Mayor"),CONCATENATE("R2C",'Riesgos de Gestión'!$V$24),"")</f>
        <v/>
      </c>
      <c r="AH37" s="38" t="str">
        <f>IF(AND('Riesgos de Gestión'!$AF$19="Baja",'Riesgos de Gestión'!$AH$19="Catastrófico"),CONCATENATE("R2C",'Riesgos de Gestión'!$V$19),"")</f>
        <v/>
      </c>
      <c r="AI37" s="39" t="str">
        <f>IF(AND('Riesgos de Gestión'!$AF$20="Baja",'Riesgos de Gestión'!$AH$20="Catastrófico"),CONCATENATE("R2C",'Riesgos de Gestión'!$V$20),"")</f>
        <v/>
      </c>
      <c r="AJ37" s="39" t="str">
        <f>IF(AND('Riesgos de Gestión'!$AF$21="Baja",'Riesgos de Gestión'!$AH$21="Catastrófico"),CONCATENATE("R2C",'Riesgos de Gestión'!$V$21),"")</f>
        <v/>
      </c>
      <c r="AK37" s="39" t="str">
        <f>IF(AND('Riesgos de Gestión'!$AF$22="Baja",'Riesgos de Gestión'!$AH$22="Catastrófico"),CONCATENATE("R2C",'Riesgos de Gestión'!$V$22),"")</f>
        <v/>
      </c>
      <c r="AL37" s="39" t="str">
        <f>IF(AND('Riesgos de Gestión'!$AF$23="Baja",'Riesgos de Gestión'!$AH$23="Catastrófico"),CONCATENATE("R2C",'Riesgos de Gestión'!$V$23),"")</f>
        <v/>
      </c>
      <c r="AM37" s="40" t="str">
        <f>IF(AND('Riesgos de Gestión'!$AF$24="Baja",'Riesgos de Gestión'!$AH$24="Catastrófico"),CONCATENATE("R2C",'Riesgos de Gestión'!$V$24),"")</f>
        <v/>
      </c>
      <c r="AN37" s="66"/>
      <c r="AO37" s="582"/>
      <c r="AP37" s="583"/>
      <c r="AQ37" s="583"/>
      <c r="AR37" s="583"/>
      <c r="AS37" s="583"/>
      <c r="AT37" s="584"/>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row>
    <row r="38" spans="1:80" ht="15" customHeight="1" x14ac:dyDescent="0.25">
      <c r="A38" s="66"/>
      <c r="B38" s="510"/>
      <c r="C38" s="510"/>
      <c r="D38" s="511"/>
      <c r="E38" s="551"/>
      <c r="F38" s="552"/>
      <c r="G38" s="552"/>
      <c r="H38" s="552"/>
      <c r="I38" s="552"/>
      <c r="J38" s="59" t="str">
        <f>IF(AND('Riesgos de Gestión'!$AF$25="Baja",'Riesgos de Gestión'!$AH$25="Leve"),CONCATENATE("R3C",'Riesgos de Gestión'!$V$25),"")</f>
        <v/>
      </c>
      <c r="K38" s="60" t="str">
        <f>IF(AND('Riesgos de Gestión'!$AF$26="Baja",'Riesgos de Gestión'!$AH$26="Leve"),CONCATENATE("R3C",'Riesgos de Gestión'!$V$26),"")</f>
        <v/>
      </c>
      <c r="L38" s="60" t="str">
        <f>IF(AND('Riesgos de Gestión'!$AF$27="Baja",'Riesgos de Gestión'!$AH$27="Leve"),CONCATENATE("R3C",'Riesgos de Gestión'!$V$27),"")</f>
        <v/>
      </c>
      <c r="M38" s="60" t="str">
        <f>IF(AND('Riesgos de Gestión'!$AF$28="Baja",'Riesgos de Gestión'!$AH$28="Leve"),CONCATENATE("R3C",'Riesgos de Gestión'!$V$28),"")</f>
        <v/>
      </c>
      <c r="N38" s="60" t="str">
        <f>IF(AND('Riesgos de Gestión'!$AF$29="Baja",'Riesgos de Gestión'!$AH$29="Leve"),CONCATENATE("R3C",'Riesgos de Gestión'!$V$29),"")</f>
        <v/>
      </c>
      <c r="O38" s="61" t="str">
        <f>IF(AND('Riesgos de Gestión'!$AF$30="Baja",'Riesgos de Gestión'!$AH$30="Leve"),CONCATENATE("R3C",'Riesgos de Gestión'!$V$30),"")</f>
        <v/>
      </c>
      <c r="P38" s="50" t="str">
        <f>IF(AND('Riesgos de Gestión'!$AF$25="Baja",'Riesgos de Gestión'!$AH$25="Menor"),CONCATENATE("R3C",'Riesgos de Gestión'!$V$25),"")</f>
        <v/>
      </c>
      <c r="Q38" s="51" t="str">
        <f>IF(AND('Riesgos de Gestión'!$AF$26="Baja",'Riesgos de Gestión'!$AH$26="Menor"),CONCATENATE("R3C",'Riesgos de Gestión'!$V$26),"")</f>
        <v/>
      </c>
      <c r="R38" s="51" t="str">
        <f>IF(AND('Riesgos de Gestión'!$AF$27="Baja",'Riesgos de Gestión'!$AH$27="Menor"),CONCATENATE("R3C",'Riesgos de Gestión'!$V$27),"")</f>
        <v/>
      </c>
      <c r="S38" s="51" t="str">
        <f>IF(AND('Riesgos de Gestión'!$AF$28="Baja",'Riesgos de Gestión'!$AH$28="Menor"),CONCATENATE("R3C",'Riesgos de Gestión'!$V$28),"")</f>
        <v/>
      </c>
      <c r="T38" s="51" t="str">
        <f>IF(AND('Riesgos de Gestión'!$AF$29="Baja",'Riesgos de Gestión'!$AH$29="Menor"),CONCATENATE("R3C",'Riesgos de Gestión'!$V$29),"")</f>
        <v/>
      </c>
      <c r="U38" s="52" t="str">
        <f>IF(AND('Riesgos de Gestión'!$AF$30="Baja",'Riesgos de Gestión'!$AH$30="Menor"),CONCATENATE("R3C",'Riesgos de Gestión'!$V$30),"")</f>
        <v/>
      </c>
      <c r="V38" s="50" t="str">
        <f>IF(AND('Riesgos de Gestión'!$AF$25="Baja",'Riesgos de Gestión'!$AH$25="Moderado"),CONCATENATE("R3C",'Riesgos de Gestión'!$V$25),"")</f>
        <v/>
      </c>
      <c r="W38" s="51" t="str">
        <f>IF(AND('Riesgos de Gestión'!$AF$26="Baja",'Riesgos de Gestión'!$AH$26="Moderado"),CONCATENATE("R3C",'Riesgos de Gestión'!$V$26),"")</f>
        <v/>
      </c>
      <c r="X38" s="51" t="str">
        <f>IF(AND('Riesgos de Gestión'!$AF$27="Baja",'Riesgos de Gestión'!$AH$27="Moderado"),CONCATENATE("R3C",'Riesgos de Gestión'!$V$27),"")</f>
        <v/>
      </c>
      <c r="Y38" s="51" t="str">
        <f>IF(AND('Riesgos de Gestión'!$AF$28="Baja",'Riesgos de Gestión'!$AH$28="Moderado"),CONCATENATE("R3C",'Riesgos de Gestión'!$V$28),"")</f>
        <v/>
      </c>
      <c r="Z38" s="51" t="str">
        <f>IF(AND('Riesgos de Gestión'!$AF$29="Baja",'Riesgos de Gestión'!$AH$29="Moderado"),CONCATENATE("R3C",'Riesgos de Gestión'!$V$29),"")</f>
        <v/>
      </c>
      <c r="AA38" s="52" t="str">
        <f>IF(AND('Riesgos de Gestión'!$AF$30="Baja",'Riesgos de Gestión'!$AH$30="Moderado"),CONCATENATE("R3C",'Riesgos de Gestión'!$V$30),"")</f>
        <v/>
      </c>
      <c r="AB38" s="35" t="str">
        <f>IF(AND('Riesgos de Gestión'!$AF$25="Baja",'Riesgos de Gestión'!$AH$25="Mayor"),CONCATENATE("R3C",'Riesgos de Gestión'!$V$25),"")</f>
        <v/>
      </c>
      <c r="AC38" s="36" t="str">
        <f>IF(AND('Riesgos de Gestión'!$AF$26="Baja",'Riesgos de Gestión'!$AH$26="Mayor"),CONCATENATE("R3C",'Riesgos de Gestión'!$V$26),"")</f>
        <v/>
      </c>
      <c r="AD38" s="36" t="str">
        <f>IF(AND('Riesgos de Gestión'!$AF$27="Baja",'Riesgos de Gestión'!$AH$27="Mayor"),CONCATENATE("R3C",'Riesgos de Gestión'!$V$27),"")</f>
        <v/>
      </c>
      <c r="AE38" s="36" t="str">
        <f>IF(AND('Riesgos de Gestión'!$AF$28="Baja",'Riesgos de Gestión'!$AH$28="Mayor"),CONCATENATE("R3C",'Riesgos de Gestión'!$V$28),"")</f>
        <v/>
      </c>
      <c r="AF38" s="36" t="str">
        <f>IF(AND('Riesgos de Gestión'!$AF$29="Baja",'Riesgos de Gestión'!$AH$29="Mayor"),CONCATENATE("R3C",'Riesgos de Gestión'!$V$29),"")</f>
        <v/>
      </c>
      <c r="AG38" s="37" t="str">
        <f>IF(AND('Riesgos de Gestión'!$AF$30="Baja",'Riesgos de Gestión'!$AH$30="Mayor"),CONCATENATE("R3C",'Riesgos de Gestión'!$V$30),"")</f>
        <v/>
      </c>
      <c r="AH38" s="38" t="str">
        <f>IF(AND('Riesgos de Gestión'!$AF$25="Baja",'Riesgos de Gestión'!$AH$25="Catastrófico"),CONCATENATE("R3C",'Riesgos de Gestión'!$V$25),"")</f>
        <v/>
      </c>
      <c r="AI38" s="39" t="str">
        <f>IF(AND('Riesgos de Gestión'!$AF$26="Baja",'Riesgos de Gestión'!$AH$26="Catastrófico"),CONCATENATE("R3C",'Riesgos de Gestión'!$V$26),"")</f>
        <v/>
      </c>
      <c r="AJ38" s="39" t="str">
        <f>IF(AND('Riesgos de Gestión'!$AF$27="Baja",'Riesgos de Gestión'!$AH$27="Catastrófico"),CONCATENATE("R3C",'Riesgos de Gestión'!$V$27),"")</f>
        <v/>
      </c>
      <c r="AK38" s="39" t="str">
        <f>IF(AND('Riesgos de Gestión'!$AF$28="Baja",'Riesgos de Gestión'!$AH$28="Catastrófico"),CONCATENATE("R3C",'Riesgos de Gestión'!$V$28),"")</f>
        <v/>
      </c>
      <c r="AL38" s="39" t="str">
        <f>IF(AND('Riesgos de Gestión'!$AF$29="Baja",'Riesgos de Gestión'!$AH$29="Catastrófico"),CONCATENATE("R3C",'Riesgos de Gestión'!$V$29),"")</f>
        <v/>
      </c>
      <c r="AM38" s="40" t="str">
        <f>IF(AND('Riesgos de Gestión'!$AF$30="Baja",'Riesgos de Gestión'!$AH$30="Catastrófico"),CONCATENATE("R3C",'Riesgos de Gestión'!$V$30),"")</f>
        <v/>
      </c>
      <c r="AN38" s="66"/>
      <c r="AO38" s="582"/>
      <c r="AP38" s="583"/>
      <c r="AQ38" s="583"/>
      <c r="AR38" s="583"/>
      <c r="AS38" s="583"/>
      <c r="AT38" s="584"/>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row>
    <row r="39" spans="1:80" ht="15" customHeight="1" x14ac:dyDescent="0.25">
      <c r="A39" s="66"/>
      <c r="B39" s="510"/>
      <c r="C39" s="510"/>
      <c r="D39" s="511"/>
      <c r="E39" s="551"/>
      <c r="F39" s="552"/>
      <c r="G39" s="552"/>
      <c r="H39" s="552"/>
      <c r="I39" s="552"/>
      <c r="J39" s="59" t="str">
        <f>IF(AND('Riesgos de Gestión'!$AF$31="Baja",'Riesgos de Gestión'!$AH$31="Leve"),CONCATENATE("R4C",'Riesgos de Gestión'!$V$31),"")</f>
        <v/>
      </c>
      <c r="K39" s="60" t="str">
        <f>IF(AND('Riesgos de Gestión'!$AF$32="Baja",'Riesgos de Gestión'!$AH$32="Leve"),CONCATENATE("R4C",'Riesgos de Gestión'!$V$32),"")</f>
        <v/>
      </c>
      <c r="L39" s="60" t="str">
        <f>IF(AND('Riesgos de Gestión'!$AF$33="Baja",'Riesgos de Gestión'!$AH$33="Leve"),CONCATENATE("R4C",'Riesgos de Gestión'!$V$33),"")</f>
        <v/>
      </c>
      <c r="M39" s="60" t="str">
        <f>IF(AND('Riesgos de Gestión'!$AF$34="Baja",'Riesgos de Gestión'!$AH$34="Leve"),CONCATENATE("R4C",'Riesgos de Gestión'!$V$34),"")</f>
        <v/>
      </c>
      <c r="N39" s="60" t="str">
        <f>IF(AND('Riesgos de Gestión'!$AF$35="Baja",'Riesgos de Gestión'!$AH$35="Leve"),CONCATENATE("R4C",'Riesgos de Gestión'!$V$35),"")</f>
        <v/>
      </c>
      <c r="O39" s="61" t="str">
        <f>IF(AND('Riesgos de Gestión'!$AF$36="Baja",'Riesgos de Gestión'!$AH$36="Leve"),CONCATENATE("R4C",'Riesgos de Gestión'!$V$36),"")</f>
        <v/>
      </c>
      <c r="P39" s="50" t="str">
        <f>IF(AND('Riesgos de Gestión'!$AF$31="Baja",'Riesgos de Gestión'!$AH$31="Menor"),CONCATENATE("R4C",'Riesgos de Gestión'!$V$31),"")</f>
        <v/>
      </c>
      <c r="Q39" s="51" t="str">
        <f>IF(AND('Riesgos de Gestión'!$AF$32="Baja",'Riesgos de Gestión'!$AH$32="Menor"),CONCATENATE("R4C",'Riesgos de Gestión'!$V$32),"")</f>
        <v/>
      </c>
      <c r="R39" s="51" t="str">
        <f>IF(AND('Riesgos de Gestión'!$AF$33="Baja",'Riesgos de Gestión'!$AH$33="Menor"),CONCATENATE("R4C",'Riesgos de Gestión'!$V$33),"")</f>
        <v/>
      </c>
      <c r="S39" s="51" t="str">
        <f>IF(AND('Riesgos de Gestión'!$AF$34="Baja",'Riesgos de Gestión'!$AH$34="Menor"),CONCATENATE("R4C",'Riesgos de Gestión'!$V$34),"")</f>
        <v/>
      </c>
      <c r="T39" s="51" t="str">
        <f>IF(AND('Riesgos de Gestión'!$AF$35="Baja",'Riesgos de Gestión'!$AH$35="Menor"),CONCATENATE("R4C",'Riesgos de Gestión'!$V$35),"")</f>
        <v/>
      </c>
      <c r="U39" s="52" t="str">
        <f>IF(AND('Riesgos de Gestión'!$AF$36="Baja",'Riesgos de Gestión'!$AH$36="Menor"),CONCATENATE("R4C",'Riesgos de Gestión'!$V$36),"")</f>
        <v/>
      </c>
      <c r="V39" s="50" t="str">
        <f>IF(AND('Riesgos de Gestión'!$AF$31="Baja",'Riesgos de Gestión'!$AH$31="Moderado"),CONCATENATE("R4C",'Riesgos de Gestión'!$V$31),"")</f>
        <v/>
      </c>
      <c r="W39" s="51" t="str">
        <f>IF(AND('Riesgos de Gestión'!$AF$32="Baja",'Riesgos de Gestión'!$AH$32="Moderado"),CONCATENATE("R4C",'Riesgos de Gestión'!$V$32),"")</f>
        <v/>
      </c>
      <c r="X39" s="51" t="str">
        <f>IF(AND('Riesgos de Gestión'!$AF$33="Baja",'Riesgos de Gestión'!$AH$33="Moderado"),CONCATENATE("R4C",'Riesgos de Gestión'!$V$33),"")</f>
        <v/>
      </c>
      <c r="Y39" s="51" t="str">
        <f>IF(AND('Riesgos de Gestión'!$AF$34="Baja",'Riesgos de Gestión'!$AH$34="Moderado"),CONCATENATE("R4C",'Riesgos de Gestión'!$V$34),"")</f>
        <v/>
      </c>
      <c r="Z39" s="51" t="str">
        <f>IF(AND('Riesgos de Gestión'!$AF$35="Baja",'Riesgos de Gestión'!$AH$35="Moderado"),CONCATENATE("R4C",'Riesgos de Gestión'!$V$35),"")</f>
        <v/>
      </c>
      <c r="AA39" s="52" t="str">
        <f>IF(AND('Riesgos de Gestión'!$AF$36="Baja",'Riesgos de Gestión'!$AH$36="Moderado"),CONCATENATE("R4C",'Riesgos de Gestión'!$V$36),"")</f>
        <v/>
      </c>
      <c r="AB39" s="35" t="str">
        <f>IF(AND('Riesgos de Gestión'!$AF$31="Baja",'Riesgos de Gestión'!$AH$31="Mayor"),CONCATENATE("R4C",'Riesgos de Gestión'!$V$31),"")</f>
        <v/>
      </c>
      <c r="AC39" s="36" t="str">
        <f>IF(AND('Riesgos de Gestión'!$AF$32="Baja",'Riesgos de Gestión'!$AH$32="Mayor"),CONCATENATE("R4C",'Riesgos de Gestión'!$V$32),"")</f>
        <v/>
      </c>
      <c r="AD39" s="36" t="str">
        <f>IF(AND('Riesgos de Gestión'!$AF$33="Baja",'Riesgos de Gestión'!$AH$33="Mayor"),CONCATENATE("R4C",'Riesgos de Gestión'!$V$33),"")</f>
        <v/>
      </c>
      <c r="AE39" s="36" t="str">
        <f>IF(AND('Riesgos de Gestión'!$AF$34="Baja",'Riesgos de Gestión'!$AH$34="Mayor"),CONCATENATE("R4C",'Riesgos de Gestión'!$V$34),"")</f>
        <v/>
      </c>
      <c r="AF39" s="36" t="str">
        <f>IF(AND('Riesgos de Gestión'!$AF$35="Baja",'Riesgos de Gestión'!$AH$35="Mayor"),CONCATENATE("R4C",'Riesgos de Gestión'!$V$35),"")</f>
        <v/>
      </c>
      <c r="AG39" s="37" t="str">
        <f>IF(AND('Riesgos de Gestión'!$AF$36="Baja",'Riesgos de Gestión'!$AH$36="Mayor"),CONCATENATE("R4C",'Riesgos de Gestión'!$V$36),"")</f>
        <v/>
      </c>
      <c r="AH39" s="38" t="str">
        <f>IF(AND('Riesgos de Gestión'!$AF$31="Baja",'Riesgos de Gestión'!$AH$31="Catastrófico"),CONCATENATE("R4C",'Riesgos de Gestión'!$V$31),"")</f>
        <v/>
      </c>
      <c r="AI39" s="39" t="str">
        <f>IF(AND('Riesgos de Gestión'!$AF$32="Baja",'Riesgos de Gestión'!$AH$32="Catastrófico"),CONCATENATE("R4C",'Riesgos de Gestión'!$V$32),"")</f>
        <v/>
      </c>
      <c r="AJ39" s="39" t="str">
        <f>IF(AND('Riesgos de Gestión'!$AF$33="Baja",'Riesgos de Gestión'!$AH$33="Catastrófico"),CONCATENATE("R4C",'Riesgos de Gestión'!$V$33),"")</f>
        <v/>
      </c>
      <c r="AK39" s="39" t="str">
        <f>IF(AND('Riesgos de Gestión'!$AF$34="Baja",'Riesgos de Gestión'!$AH$34="Catastrófico"),CONCATENATE("R4C",'Riesgos de Gestión'!$V$34),"")</f>
        <v/>
      </c>
      <c r="AL39" s="39" t="str">
        <f>IF(AND('Riesgos de Gestión'!$AF$35="Baja",'Riesgos de Gestión'!$AH$35="Catastrófico"),CONCATENATE("R4C",'Riesgos de Gestión'!$V$35),"")</f>
        <v/>
      </c>
      <c r="AM39" s="40" t="str">
        <f>IF(AND('Riesgos de Gestión'!$AF$36="Baja",'Riesgos de Gestión'!$AH$36="Catastrófico"),CONCATENATE("R4C",'Riesgos de Gestión'!$V$36),"")</f>
        <v/>
      </c>
      <c r="AN39" s="66"/>
      <c r="AO39" s="582"/>
      <c r="AP39" s="583"/>
      <c r="AQ39" s="583"/>
      <c r="AR39" s="583"/>
      <c r="AS39" s="583"/>
      <c r="AT39" s="584"/>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row>
    <row r="40" spans="1:80" ht="15" customHeight="1" x14ac:dyDescent="0.25">
      <c r="A40" s="66"/>
      <c r="B40" s="510"/>
      <c r="C40" s="510"/>
      <c r="D40" s="511"/>
      <c r="E40" s="551"/>
      <c r="F40" s="552"/>
      <c r="G40" s="552"/>
      <c r="H40" s="552"/>
      <c r="I40" s="552"/>
      <c r="J40" s="59" t="str">
        <f>IF(AND('Riesgos de Gestión'!$AF$37="Baja",'Riesgos de Gestión'!$AH$37="Leve"),CONCATENATE("R5C",'Riesgos de Gestión'!$V$37),"")</f>
        <v/>
      </c>
      <c r="K40" s="60" t="str">
        <f>IF(AND('Riesgos de Gestión'!$AF$38="Baja",'Riesgos de Gestión'!$AH$38="Leve"),CONCATENATE("R5C",'Riesgos de Gestión'!$V$38),"")</f>
        <v/>
      </c>
      <c r="L40" s="60" t="str">
        <f>IF(AND('Riesgos de Gestión'!$AF$39="Baja",'Riesgos de Gestión'!$AH$39="Leve"),CONCATENATE("R5C",'Riesgos de Gestión'!$V$39),"")</f>
        <v/>
      </c>
      <c r="M40" s="60" t="str">
        <f>IF(AND('Riesgos de Gestión'!$AF$40="Baja",'Riesgos de Gestión'!$AH$40="Leve"),CONCATENATE("R5C",'Riesgos de Gestión'!$V$40),"")</f>
        <v/>
      </c>
      <c r="N40" s="60" t="str">
        <f>IF(AND('Riesgos de Gestión'!$AF$41="Baja",'Riesgos de Gestión'!$AH$41="Leve"),CONCATENATE("R5C",'Riesgos de Gestión'!$V$41),"")</f>
        <v/>
      </c>
      <c r="O40" s="61" t="str">
        <f>IF(AND('Riesgos de Gestión'!$AF$42="Baja",'Riesgos de Gestión'!$AH$42="Leve"),CONCATENATE("R5C",'Riesgos de Gestión'!$V$42),"")</f>
        <v/>
      </c>
      <c r="P40" s="50" t="str">
        <f>IF(AND('Riesgos de Gestión'!$AF$37="Baja",'Riesgos de Gestión'!$AH$37="Menor"),CONCATENATE("R5C",'Riesgos de Gestión'!$V$37),"")</f>
        <v/>
      </c>
      <c r="Q40" s="51" t="str">
        <f>IF(AND('Riesgos de Gestión'!$AF$38="Baja",'Riesgos de Gestión'!$AH$38="Menor"),CONCATENATE("R5C",'Riesgos de Gestión'!$V$38),"")</f>
        <v/>
      </c>
      <c r="R40" s="51" t="str">
        <f>IF(AND('Riesgos de Gestión'!$AF$39="Baja",'Riesgos de Gestión'!$AH$39="Menor"),CONCATENATE("R5C",'Riesgos de Gestión'!$V$39),"")</f>
        <v/>
      </c>
      <c r="S40" s="51" t="str">
        <f>IF(AND('Riesgos de Gestión'!$AF$40="Baja",'Riesgos de Gestión'!$AH$40="Menor"),CONCATENATE("R5C",'Riesgos de Gestión'!$V$40),"")</f>
        <v/>
      </c>
      <c r="T40" s="51" t="str">
        <f>IF(AND('Riesgos de Gestión'!$AF$41="Baja",'Riesgos de Gestión'!$AH$41="Menor"),CONCATENATE("R5C",'Riesgos de Gestión'!$V$41),"")</f>
        <v/>
      </c>
      <c r="U40" s="52" t="str">
        <f>IF(AND('Riesgos de Gestión'!$AF$42="Baja",'Riesgos de Gestión'!$AH$42="Menor"),CONCATENATE("R5C",'Riesgos de Gestión'!$V$42),"")</f>
        <v/>
      </c>
      <c r="V40" s="50" t="str">
        <f>IF(AND('Riesgos de Gestión'!$AF$37="Baja",'Riesgos de Gestión'!$AH$37="Moderado"),CONCATENATE("R5C",'Riesgos de Gestión'!$V$37),"")</f>
        <v/>
      </c>
      <c r="W40" s="51" t="str">
        <f>IF(AND('Riesgos de Gestión'!$AF$38="Baja",'Riesgos de Gestión'!$AH$38="Moderado"),CONCATENATE("R5C",'Riesgos de Gestión'!$V$38),"")</f>
        <v/>
      </c>
      <c r="X40" s="51" t="str">
        <f>IF(AND('Riesgos de Gestión'!$AF$39="Baja",'Riesgos de Gestión'!$AH$39="Moderado"),CONCATENATE("R5C",'Riesgos de Gestión'!$V$39),"")</f>
        <v/>
      </c>
      <c r="Y40" s="51" t="str">
        <f>IF(AND('Riesgos de Gestión'!$AF$40="Baja",'Riesgos de Gestión'!$AH$40="Moderado"),CONCATENATE("R5C",'Riesgos de Gestión'!$V$40),"")</f>
        <v/>
      </c>
      <c r="Z40" s="51" t="str">
        <f>IF(AND('Riesgos de Gestión'!$AF$41="Baja",'Riesgos de Gestión'!$AH$41="Moderado"),CONCATENATE("R5C",'Riesgos de Gestión'!$V$41),"")</f>
        <v/>
      </c>
      <c r="AA40" s="52" t="str">
        <f>IF(AND('Riesgos de Gestión'!$AF$42="Baja",'Riesgos de Gestión'!$AH$42="Moderado"),CONCATENATE("R5C",'Riesgos de Gestión'!$V$42),"")</f>
        <v/>
      </c>
      <c r="AB40" s="35" t="str">
        <f>IF(AND('Riesgos de Gestión'!$AF$37="Baja",'Riesgos de Gestión'!$AH$37="Mayor"),CONCATENATE("R5C",'Riesgos de Gestión'!$V$37),"")</f>
        <v/>
      </c>
      <c r="AC40" s="36" t="str">
        <f>IF(AND('Riesgos de Gestión'!$AF$38="Baja",'Riesgos de Gestión'!$AH$38="Mayor"),CONCATENATE("R5C",'Riesgos de Gestión'!$V$38),"")</f>
        <v/>
      </c>
      <c r="AD40" s="36" t="str">
        <f>IF(AND('Riesgos de Gestión'!$AF$39="Baja",'Riesgos de Gestión'!$AH$39="Mayor"),CONCATENATE("R5C",'Riesgos de Gestión'!$V$39),"")</f>
        <v/>
      </c>
      <c r="AE40" s="36" t="str">
        <f>IF(AND('Riesgos de Gestión'!$AF$40="Baja",'Riesgos de Gestión'!$AH$40="Mayor"),CONCATENATE("R5C",'Riesgos de Gestión'!$V$40),"")</f>
        <v/>
      </c>
      <c r="AF40" s="36" t="str">
        <f>IF(AND('Riesgos de Gestión'!$AF$41="Baja",'Riesgos de Gestión'!$AH$41="Mayor"),CONCATENATE("R5C",'Riesgos de Gestión'!$V$41),"")</f>
        <v/>
      </c>
      <c r="AG40" s="37" t="str">
        <f>IF(AND('Riesgos de Gestión'!$AF$42="Baja",'Riesgos de Gestión'!$AH$42="Mayor"),CONCATENATE("R5C",'Riesgos de Gestión'!$V$42),"")</f>
        <v/>
      </c>
      <c r="AH40" s="38" t="str">
        <f>IF(AND('Riesgos de Gestión'!$AF$37="Baja",'Riesgos de Gestión'!$AH$37="Catastrófico"),CONCATENATE("R5C",'Riesgos de Gestión'!$V$37),"")</f>
        <v/>
      </c>
      <c r="AI40" s="39" t="str">
        <f>IF(AND('Riesgos de Gestión'!$AF$38="Baja",'Riesgos de Gestión'!$AH$38="Catastrófico"),CONCATENATE("R5C",'Riesgos de Gestión'!$V$38),"")</f>
        <v/>
      </c>
      <c r="AJ40" s="39" t="str">
        <f>IF(AND('Riesgos de Gestión'!$AF$39="Baja",'Riesgos de Gestión'!$AH$39="Catastrófico"),CONCATENATE("R5C",'Riesgos de Gestión'!$V$39),"")</f>
        <v/>
      </c>
      <c r="AK40" s="39" t="str">
        <f>IF(AND('Riesgos de Gestión'!$AF$40="Baja",'Riesgos de Gestión'!$AH$40="Catastrófico"),CONCATENATE("R5C",'Riesgos de Gestión'!$V$40),"")</f>
        <v/>
      </c>
      <c r="AL40" s="39" t="str">
        <f>IF(AND('Riesgos de Gestión'!$AF$41="Baja",'Riesgos de Gestión'!$AH$41="Catastrófico"),CONCATENATE("R5C",'Riesgos de Gestión'!$V$41),"")</f>
        <v/>
      </c>
      <c r="AM40" s="40" t="str">
        <f>IF(AND('Riesgos de Gestión'!$AF$42="Baja",'Riesgos de Gestión'!$AH$42="Catastrófico"),CONCATENATE("R5C",'Riesgos de Gestión'!$V$42),"")</f>
        <v/>
      </c>
      <c r="AN40" s="66"/>
      <c r="AO40" s="582"/>
      <c r="AP40" s="583"/>
      <c r="AQ40" s="583"/>
      <c r="AR40" s="583"/>
      <c r="AS40" s="583"/>
      <c r="AT40" s="584"/>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row>
    <row r="41" spans="1:80" ht="15" customHeight="1" x14ac:dyDescent="0.25">
      <c r="A41" s="66"/>
      <c r="B41" s="510"/>
      <c r="C41" s="510"/>
      <c r="D41" s="511"/>
      <c r="E41" s="551"/>
      <c r="F41" s="552"/>
      <c r="G41" s="552"/>
      <c r="H41" s="552"/>
      <c r="I41" s="552"/>
      <c r="J41" s="59" t="str">
        <f>IF(AND('Riesgos de Gestión'!$AF$43="Baja",'Riesgos de Gestión'!$AH$43="Leve"),CONCATENATE("R6C",'Riesgos de Gestión'!$V$43),"")</f>
        <v/>
      </c>
      <c r="K41" s="60" t="str">
        <f>IF(AND('Riesgos de Gestión'!$AF$44="Baja",'Riesgos de Gestión'!$AH$44="Leve"),CONCATENATE("R6C",'Riesgos de Gestión'!$V$44),"")</f>
        <v/>
      </c>
      <c r="L41" s="60" t="str">
        <f>IF(AND('Riesgos de Gestión'!$AF$45="Baja",'Riesgos de Gestión'!$AH$45="Leve"),CONCATENATE("R6C",'Riesgos de Gestión'!$V$45),"")</f>
        <v/>
      </c>
      <c r="M41" s="60" t="str">
        <f>IF(AND('Riesgos de Gestión'!$AF$46="Baja",'Riesgos de Gestión'!$AH$46="Leve"),CONCATENATE("R6C",'Riesgos de Gestión'!$V$46),"")</f>
        <v/>
      </c>
      <c r="N41" s="60" t="str">
        <f>IF(AND('Riesgos de Gestión'!$AF$47="Baja",'Riesgos de Gestión'!$AH$47="Leve"),CONCATENATE("R6C",'Riesgos de Gestión'!$V$47),"")</f>
        <v/>
      </c>
      <c r="O41" s="61" t="str">
        <f>IF(AND('Riesgos de Gestión'!$AF$48="Baja",'Riesgos de Gestión'!$AH$48="Leve"),CONCATENATE("R6C",'Riesgos de Gestión'!$V$48),"")</f>
        <v/>
      </c>
      <c r="P41" s="50" t="str">
        <f>IF(AND('Riesgos de Gestión'!$AF$43="Baja",'Riesgos de Gestión'!$AH$43="Menor"),CONCATENATE("R6C",'Riesgos de Gestión'!$V$43),"")</f>
        <v/>
      </c>
      <c r="Q41" s="51" t="str">
        <f>IF(AND('Riesgos de Gestión'!$AF$44="Baja",'Riesgos de Gestión'!$AH$44="Menor"),CONCATENATE("R6C",'Riesgos de Gestión'!$V$44),"")</f>
        <v/>
      </c>
      <c r="R41" s="51" t="str">
        <f>IF(AND('Riesgos de Gestión'!$AF$45="Baja",'Riesgos de Gestión'!$AH$45="Menor"),CONCATENATE("R6C",'Riesgos de Gestión'!$V$45),"")</f>
        <v/>
      </c>
      <c r="S41" s="51" t="str">
        <f>IF(AND('Riesgos de Gestión'!$AF$46="Baja",'Riesgos de Gestión'!$AH$46="Menor"),CONCATENATE("R6C",'Riesgos de Gestión'!$V$46),"")</f>
        <v/>
      </c>
      <c r="T41" s="51" t="str">
        <f>IF(AND('Riesgos de Gestión'!$AF$47="Baja",'Riesgos de Gestión'!$AH$47="Menor"),CONCATENATE("R6C",'Riesgos de Gestión'!$V$47),"")</f>
        <v/>
      </c>
      <c r="U41" s="52" t="str">
        <f>IF(AND('Riesgos de Gestión'!$AF$48="Baja",'Riesgos de Gestión'!$AH$48="Menor"),CONCATENATE("R6C",'Riesgos de Gestión'!$V$48),"")</f>
        <v/>
      </c>
      <c r="V41" s="50" t="str">
        <f>IF(AND('Riesgos de Gestión'!$AF$43="Baja",'Riesgos de Gestión'!$AH$43="Moderado"),CONCATENATE("R6C",'Riesgos de Gestión'!$V$43),"")</f>
        <v/>
      </c>
      <c r="W41" s="51" t="str">
        <f>IF(AND('Riesgos de Gestión'!$AF$44="Baja",'Riesgos de Gestión'!$AH$44="Moderado"),CONCATENATE("R6C",'Riesgos de Gestión'!$V$44),"")</f>
        <v/>
      </c>
      <c r="X41" s="51" t="str">
        <f>IF(AND('Riesgos de Gestión'!$AF$45="Baja",'Riesgos de Gestión'!$AH$45="Moderado"),CONCATENATE("R6C",'Riesgos de Gestión'!$V$45),"")</f>
        <v/>
      </c>
      <c r="Y41" s="51" t="str">
        <f>IF(AND('Riesgos de Gestión'!$AF$46="Baja",'Riesgos de Gestión'!$AH$46="Moderado"),CONCATENATE("R6C",'Riesgos de Gestión'!$V$46),"")</f>
        <v/>
      </c>
      <c r="Z41" s="51" t="str">
        <f>IF(AND('Riesgos de Gestión'!$AF$47="Baja",'Riesgos de Gestión'!$AH$47="Moderado"),CONCATENATE("R6C",'Riesgos de Gestión'!$V$47),"")</f>
        <v/>
      </c>
      <c r="AA41" s="52" t="str">
        <f>IF(AND('Riesgos de Gestión'!$AF$48="Baja",'Riesgos de Gestión'!$AH$48="Moderado"),CONCATENATE("R6C",'Riesgos de Gestión'!$V$48),"")</f>
        <v/>
      </c>
      <c r="AB41" s="35" t="str">
        <f>IF(AND('Riesgos de Gestión'!$AF$43="Baja",'Riesgos de Gestión'!$AH$43="Mayor"),CONCATENATE("R6C",'Riesgos de Gestión'!$V$43),"")</f>
        <v/>
      </c>
      <c r="AC41" s="36" t="str">
        <f>IF(AND('Riesgos de Gestión'!$AF$44="Baja",'Riesgos de Gestión'!$AH$44="Mayor"),CONCATENATE("R6C",'Riesgos de Gestión'!$V$44),"")</f>
        <v/>
      </c>
      <c r="AD41" s="36" t="str">
        <f>IF(AND('Riesgos de Gestión'!$AF$45="Baja",'Riesgos de Gestión'!$AH$45="Mayor"),CONCATENATE("R6C",'Riesgos de Gestión'!$V$45),"")</f>
        <v/>
      </c>
      <c r="AE41" s="36" t="str">
        <f>IF(AND('Riesgos de Gestión'!$AF$46="Baja",'Riesgos de Gestión'!$AH$46="Mayor"),CONCATENATE("R6C",'Riesgos de Gestión'!$V$46),"")</f>
        <v/>
      </c>
      <c r="AF41" s="36" t="str">
        <f>IF(AND('Riesgos de Gestión'!$AF$47="Baja",'Riesgos de Gestión'!$AH$47="Mayor"),CONCATENATE("R6C",'Riesgos de Gestión'!$V$47),"")</f>
        <v/>
      </c>
      <c r="AG41" s="37" t="str">
        <f>IF(AND('Riesgos de Gestión'!$AF$48="Baja",'Riesgos de Gestión'!$AH$48="Mayor"),CONCATENATE("R6C",'Riesgos de Gestión'!$V$48),"")</f>
        <v/>
      </c>
      <c r="AH41" s="38" t="str">
        <f>IF(AND('Riesgos de Gestión'!$AF$43="Baja",'Riesgos de Gestión'!$AH$43="Catastrófico"),CONCATENATE("R6C",'Riesgos de Gestión'!$V$43),"")</f>
        <v/>
      </c>
      <c r="AI41" s="39" t="str">
        <f>IF(AND('Riesgos de Gestión'!$AF$44="Baja",'Riesgos de Gestión'!$AH$44="Catastrófico"),CONCATENATE("R6C",'Riesgos de Gestión'!$V$44),"")</f>
        <v/>
      </c>
      <c r="AJ41" s="39" t="str">
        <f>IF(AND('Riesgos de Gestión'!$AF$45="Baja",'Riesgos de Gestión'!$AH$45="Catastrófico"),CONCATENATE("R6C",'Riesgos de Gestión'!$V$45),"")</f>
        <v/>
      </c>
      <c r="AK41" s="39" t="str">
        <f>IF(AND('Riesgos de Gestión'!$AF$46="Baja",'Riesgos de Gestión'!$AH$46="Catastrófico"),CONCATENATE("R6C",'Riesgos de Gestión'!$V$46),"")</f>
        <v/>
      </c>
      <c r="AL41" s="39" t="str">
        <f>IF(AND('Riesgos de Gestión'!$AF$47="Baja",'Riesgos de Gestión'!$AH$47="Catastrófico"),CONCATENATE("R6C",'Riesgos de Gestión'!$V$47),"")</f>
        <v/>
      </c>
      <c r="AM41" s="40" t="str">
        <f>IF(AND('Riesgos de Gestión'!$AF$48="Baja",'Riesgos de Gestión'!$AH$48="Catastrófico"),CONCATENATE("R6C",'Riesgos de Gestión'!$V$48),"")</f>
        <v/>
      </c>
      <c r="AN41" s="66"/>
      <c r="AO41" s="582"/>
      <c r="AP41" s="583"/>
      <c r="AQ41" s="583"/>
      <c r="AR41" s="583"/>
      <c r="AS41" s="583"/>
      <c r="AT41" s="584"/>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row>
    <row r="42" spans="1:80" ht="15" customHeight="1" x14ac:dyDescent="0.25">
      <c r="A42" s="66"/>
      <c r="B42" s="510"/>
      <c r="C42" s="510"/>
      <c r="D42" s="511"/>
      <c r="E42" s="551"/>
      <c r="F42" s="552"/>
      <c r="G42" s="552"/>
      <c r="H42" s="552"/>
      <c r="I42" s="552"/>
      <c r="J42" s="59" t="str">
        <f>IF(AND('Riesgos de Gestión'!$AF$49="Baja",'Riesgos de Gestión'!$AH$49="Leve"),CONCATENATE("R7C",'Riesgos de Gestión'!$V$49),"")</f>
        <v/>
      </c>
      <c r="K42" s="60" t="str">
        <f>IF(AND('Riesgos de Gestión'!$AF$50="Baja",'Riesgos de Gestión'!$AH$50="Leve"),CONCATENATE("R7C",'Riesgos de Gestión'!$V$50),"")</f>
        <v/>
      </c>
      <c r="L42" s="60" t="str">
        <f>IF(AND('Riesgos de Gestión'!$AF$51="Baja",'Riesgos de Gestión'!$AH$51="Leve"),CONCATENATE("R7C",'Riesgos de Gestión'!$V$51),"")</f>
        <v/>
      </c>
      <c r="M42" s="60" t="str">
        <f>IF(AND('Riesgos de Gestión'!$AF$52="Baja",'Riesgos de Gestión'!$AH$52="Leve"),CONCATENATE("R7C",'Riesgos de Gestión'!$V$52),"")</f>
        <v/>
      </c>
      <c r="N42" s="60" t="str">
        <f>IF(AND('Riesgos de Gestión'!$AF$53="Baja",'Riesgos de Gestión'!$AH$53="Leve"),CONCATENATE("R7C",'Riesgos de Gestión'!$V$53),"")</f>
        <v/>
      </c>
      <c r="O42" s="61" t="str">
        <f>IF(AND('Riesgos de Gestión'!$AF$54="Baja",'Riesgos de Gestión'!$AH$54="Leve"),CONCATENATE("R7C",'Riesgos de Gestión'!$V$54),"")</f>
        <v/>
      </c>
      <c r="P42" s="50" t="str">
        <f>IF(AND('Riesgos de Gestión'!$AF$49="Baja",'Riesgos de Gestión'!$AH$49="Menor"),CONCATENATE("R7C",'Riesgos de Gestión'!$V$49),"")</f>
        <v/>
      </c>
      <c r="Q42" s="51" t="str">
        <f>IF(AND('Riesgos de Gestión'!$AF$50="Baja",'Riesgos de Gestión'!$AH$50="Menor"),CONCATENATE("R7C",'Riesgos de Gestión'!$V$50),"")</f>
        <v/>
      </c>
      <c r="R42" s="51" t="str">
        <f>IF(AND('Riesgos de Gestión'!$AF$51="Baja",'Riesgos de Gestión'!$AH$51="Menor"),CONCATENATE("R7C",'Riesgos de Gestión'!$V$51),"")</f>
        <v/>
      </c>
      <c r="S42" s="51" t="str">
        <f>IF(AND('Riesgos de Gestión'!$AF$52="Baja",'Riesgos de Gestión'!$AH$52="Menor"),CONCATENATE("R7C",'Riesgos de Gestión'!$V$52),"")</f>
        <v/>
      </c>
      <c r="T42" s="51" t="str">
        <f>IF(AND('Riesgos de Gestión'!$AF$53="Baja",'Riesgos de Gestión'!$AH$53="Menor"),CONCATENATE("R7C",'Riesgos de Gestión'!$V$53),"")</f>
        <v/>
      </c>
      <c r="U42" s="52" t="str">
        <f>IF(AND('Riesgos de Gestión'!$AF$54="Baja",'Riesgos de Gestión'!$AH$54="Menor"),CONCATENATE("R7C",'Riesgos de Gestión'!$V$54),"")</f>
        <v/>
      </c>
      <c r="V42" s="50" t="str">
        <f>IF(AND('Riesgos de Gestión'!$AF$49="Baja",'Riesgos de Gestión'!$AH$49="Moderado"),CONCATENATE("R7C",'Riesgos de Gestión'!$V$49),"")</f>
        <v/>
      </c>
      <c r="W42" s="51" t="str">
        <f>IF(AND('Riesgos de Gestión'!$AF$50="Baja",'Riesgos de Gestión'!$AH$50="Moderado"),CONCATENATE("R7C",'Riesgos de Gestión'!$V$50),"")</f>
        <v/>
      </c>
      <c r="X42" s="51" t="str">
        <f>IF(AND('Riesgos de Gestión'!$AF$51="Baja",'Riesgos de Gestión'!$AH$51="Moderado"),CONCATENATE("R7C",'Riesgos de Gestión'!$V$51),"")</f>
        <v/>
      </c>
      <c r="Y42" s="51" t="str">
        <f>IF(AND('Riesgos de Gestión'!$AF$52="Baja",'Riesgos de Gestión'!$AH$52="Moderado"),CONCATENATE("R7C",'Riesgos de Gestión'!$V$52),"")</f>
        <v/>
      </c>
      <c r="Z42" s="51" t="str">
        <f>IF(AND('Riesgos de Gestión'!$AF$53="Baja",'Riesgos de Gestión'!$AH$53="Moderado"),CONCATENATE("R7C",'Riesgos de Gestión'!$V$53),"")</f>
        <v/>
      </c>
      <c r="AA42" s="52" t="str">
        <f>IF(AND('Riesgos de Gestión'!$AF$54="Baja",'Riesgos de Gestión'!$AH$54="Moderado"),CONCATENATE("R7C",'Riesgos de Gestión'!$V$54),"")</f>
        <v/>
      </c>
      <c r="AB42" s="35" t="str">
        <f>IF(AND('Riesgos de Gestión'!$AF$49="Baja",'Riesgos de Gestión'!$AH$49="Mayor"),CONCATENATE("R7C",'Riesgos de Gestión'!$V$49),"")</f>
        <v/>
      </c>
      <c r="AC42" s="36" t="str">
        <f>IF(AND('Riesgos de Gestión'!$AF$50="Baja",'Riesgos de Gestión'!$AH$50="Mayor"),CONCATENATE("R7C",'Riesgos de Gestión'!$V$50),"")</f>
        <v/>
      </c>
      <c r="AD42" s="36" t="str">
        <f>IF(AND('Riesgos de Gestión'!$AF$51="Baja",'Riesgos de Gestión'!$AH$51="Mayor"),CONCATENATE("R7C",'Riesgos de Gestión'!$V$51),"")</f>
        <v/>
      </c>
      <c r="AE42" s="36" t="str">
        <f>IF(AND('Riesgos de Gestión'!$AF$52="Baja",'Riesgos de Gestión'!$AH$52="Mayor"),CONCATENATE("R7C",'Riesgos de Gestión'!$V$52),"")</f>
        <v/>
      </c>
      <c r="AF42" s="36" t="str">
        <f>IF(AND('Riesgos de Gestión'!$AF$53="Baja",'Riesgos de Gestión'!$AH$53="Mayor"),CONCATENATE("R7C",'Riesgos de Gestión'!$V$53),"")</f>
        <v/>
      </c>
      <c r="AG42" s="37" t="str">
        <f>IF(AND('Riesgos de Gestión'!$AF$54="Baja",'Riesgos de Gestión'!$AH$54="Mayor"),CONCATENATE("R7C",'Riesgos de Gestión'!$V$54),"")</f>
        <v/>
      </c>
      <c r="AH42" s="38" t="str">
        <f>IF(AND('Riesgos de Gestión'!$AF$49="Baja",'Riesgos de Gestión'!$AH$49="Catastrófico"),CONCATENATE("R7C",'Riesgos de Gestión'!$V$49),"")</f>
        <v/>
      </c>
      <c r="AI42" s="39" t="str">
        <f>IF(AND('Riesgos de Gestión'!$AF$50="Baja",'Riesgos de Gestión'!$AH$50="Catastrófico"),CONCATENATE("R7C",'Riesgos de Gestión'!$V$50),"")</f>
        <v/>
      </c>
      <c r="AJ42" s="39" t="str">
        <f>IF(AND('Riesgos de Gestión'!$AF$51="Baja",'Riesgos de Gestión'!$AH$51="Catastrófico"),CONCATENATE("R7C",'Riesgos de Gestión'!$V$51),"")</f>
        <v/>
      </c>
      <c r="AK42" s="39" t="str">
        <f>IF(AND('Riesgos de Gestión'!$AF$52="Baja",'Riesgos de Gestión'!$AH$52="Catastrófico"),CONCATENATE("R7C",'Riesgos de Gestión'!$V$52),"")</f>
        <v/>
      </c>
      <c r="AL42" s="39" t="str">
        <f>IF(AND('Riesgos de Gestión'!$AF$53="Baja",'Riesgos de Gestión'!$AH$53="Catastrófico"),CONCATENATE("R7C",'Riesgos de Gestión'!$V$53),"")</f>
        <v/>
      </c>
      <c r="AM42" s="40" t="str">
        <f>IF(AND('Riesgos de Gestión'!$AF$54="Baja",'Riesgos de Gestión'!$AH$54="Catastrófico"),CONCATENATE("R7C",'Riesgos de Gestión'!$V$54),"")</f>
        <v/>
      </c>
      <c r="AN42" s="66"/>
      <c r="AO42" s="582"/>
      <c r="AP42" s="583"/>
      <c r="AQ42" s="583"/>
      <c r="AR42" s="583"/>
      <c r="AS42" s="583"/>
      <c r="AT42" s="584"/>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row>
    <row r="43" spans="1:80" ht="15" customHeight="1" x14ac:dyDescent="0.25">
      <c r="A43" s="66"/>
      <c r="B43" s="510"/>
      <c r="C43" s="510"/>
      <c r="D43" s="511"/>
      <c r="E43" s="551"/>
      <c r="F43" s="552"/>
      <c r="G43" s="552"/>
      <c r="H43" s="552"/>
      <c r="I43" s="552"/>
      <c r="J43" s="59" t="str">
        <f>IF(AND('Riesgos de Gestión'!$AF$55="Baja",'Riesgos de Gestión'!$AH$55="Leve"),CONCATENATE("R8C",'Riesgos de Gestión'!$V$55),"")</f>
        <v/>
      </c>
      <c r="K43" s="60" t="str">
        <f>IF(AND('Riesgos de Gestión'!$AF$56="Baja",'Riesgos de Gestión'!$AH$56="Leve"),CONCATENATE("R8C",'Riesgos de Gestión'!$V$56),"")</f>
        <v/>
      </c>
      <c r="L43" s="60" t="str">
        <f>IF(AND('Riesgos de Gestión'!$AF$57="Baja",'Riesgos de Gestión'!$AH$57="Leve"),CONCATENATE("R8C",'Riesgos de Gestión'!$V$57),"")</f>
        <v/>
      </c>
      <c r="M43" s="60" t="str">
        <f>IF(AND('Riesgos de Gestión'!$AF$58="Baja",'Riesgos de Gestión'!$AH$58="Leve"),CONCATENATE("R8C",'Riesgos de Gestión'!$V$58),"")</f>
        <v/>
      </c>
      <c r="N43" s="60" t="str">
        <f>IF(AND('Riesgos de Gestión'!$AF$59="Baja",'Riesgos de Gestión'!$AH$59="Leve"),CONCATENATE("R8C",'Riesgos de Gestión'!$V$59),"")</f>
        <v/>
      </c>
      <c r="O43" s="61" t="str">
        <f>IF(AND('Riesgos de Gestión'!$AF$60="Baja",'Riesgos de Gestión'!$AH$60="Leve"),CONCATENATE("R8C",'Riesgos de Gestión'!$V$60),"")</f>
        <v/>
      </c>
      <c r="P43" s="50" t="str">
        <f>IF(AND('Riesgos de Gestión'!$AF$55="Baja",'Riesgos de Gestión'!$AH$55="Menor"),CONCATENATE("R8C",'Riesgos de Gestión'!$V$55),"")</f>
        <v/>
      </c>
      <c r="Q43" s="51" t="str">
        <f>IF(AND('Riesgos de Gestión'!$AF$56="Baja",'Riesgos de Gestión'!$AH$56="Menor"),CONCATENATE("R8C",'Riesgos de Gestión'!$V$56),"")</f>
        <v/>
      </c>
      <c r="R43" s="51" t="str">
        <f>IF(AND('Riesgos de Gestión'!$AF$57="Baja",'Riesgos de Gestión'!$AH$57="Menor"),CONCATENATE("R8C",'Riesgos de Gestión'!$V$57),"")</f>
        <v/>
      </c>
      <c r="S43" s="51" t="str">
        <f>IF(AND('Riesgos de Gestión'!$AF$58="Baja",'Riesgos de Gestión'!$AH$58="Menor"),CONCATENATE("R8C",'Riesgos de Gestión'!$V$58),"")</f>
        <v/>
      </c>
      <c r="T43" s="51" t="str">
        <f>IF(AND('Riesgos de Gestión'!$AF$59="Baja",'Riesgos de Gestión'!$AH$59="Menor"),CONCATENATE("R8C",'Riesgos de Gestión'!$V$59),"")</f>
        <v/>
      </c>
      <c r="U43" s="52" t="str">
        <f>IF(AND('Riesgos de Gestión'!$AF$60="Baja",'Riesgos de Gestión'!$AH$60="Menor"),CONCATENATE("R8C",'Riesgos de Gestión'!$V$60),"")</f>
        <v/>
      </c>
      <c r="V43" s="50" t="str">
        <f>IF(AND('Riesgos de Gestión'!$AF$55="Baja",'Riesgos de Gestión'!$AH$55="Moderado"),CONCATENATE("R8C",'Riesgos de Gestión'!$V$55),"")</f>
        <v/>
      </c>
      <c r="W43" s="51" t="str">
        <f>IF(AND('Riesgos de Gestión'!$AF$56="Baja",'Riesgos de Gestión'!$AH$56="Moderado"),CONCATENATE("R8C",'Riesgos de Gestión'!$V$56),"")</f>
        <v/>
      </c>
      <c r="X43" s="51" t="str">
        <f>IF(AND('Riesgos de Gestión'!$AF$57="Baja",'Riesgos de Gestión'!$AH$57="Moderado"),CONCATENATE("R8C",'Riesgos de Gestión'!$V$57),"")</f>
        <v/>
      </c>
      <c r="Y43" s="51" t="str">
        <f>IF(AND('Riesgos de Gestión'!$AF$58="Baja",'Riesgos de Gestión'!$AH$58="Moderado"),CONCATENATE("R8C",'Riesgos de Gestión'!$V$58),"")</f>
        <v/>
      </c>
      <c r="Z43" s="51" t="str">
        <f>IF(AND('Riesgos de Gestión'!$AF$59="Baja",'Riesgos de Gestión'!$AH$59="Moderado"),CONCATENATE("R8C",'Riesgos de Gestión'!$V$59),"")</f>
        <v/>
      </c>
      <c r="AA43" s="52" t="str">
        <f>IF(AND('Riesgos de Gestión'!$AF$60="Baja",'Riesgos de Gestión'!$AH$60="Moderado"),CONCATENATE("R8C",'Riesgos de Gestión'!$V$60),"")</f>
        <v/>
      </c>
      <c r="AB43" s="35" t="str">
        <f>IF(AND('Riesgos de Gestión'!$AF$55="Baja",'Riesgos de Gestión'!$AH$55="Mayor"),CONCATENATE("R8C",'Riesgos de Gestión'!$V$55),"")</f>
        <v/>
      </c>
      <c r="AC43" s="36" t="str">
        <f>IF(AND('Riesgos de Gestión'!$AF$56="Baja",'Riesgos de Gestión'!$AH$56="Mayor"),CONCATENATE("R8C",'Riesgos de Gestión'!$V$56),"")</f>
        <v/>
      </c>
      <c r="AD43" s="36" t="str">
        <f>IF(AND('Riesgos de Gestión'!$AF$57="Baja",'Riesgos de Gestión'!$AH$57="Mayor"),CONCATENATE("R8C",'Riesgos de Gestión'!$V$57),"")</f>
        <v/>
      </c>
      <c r="AE43" s="36" t="str">
        <f>IF(AND('Riesgos de Gestión'!$AF$58="Baja",'Riesgos de Gestión'!$AH$58="Mayor"),CONCATENATE("R8C",'Riesgos de Gestión'!$V$58),"")</f>
        <v/>
      </c>
      <c r="AF43" s="36" t="str">
        <f>IF(AND('Riesgos de Gestión'!$AF$59="Baja",'Riesgos de Gestión'!$AH$59="Mayor"),CONCATENATE("R8C",'Riesgos de Gestión'!$V$59),"")</f>
        <v/>
      </c>
      <c r="AG43" s="37" t="str">
        <f>IF(AND('Riesgos de Gestión'!$AF$60="Baja",'Riesgos de Gestión'!$AH$60="Mayor"),CONCATENATE("R8C",'Riesgos de Gestión'!$V$60),"")</f>
        <v/>
      </c>
      <c r="AH43" s="38" t="str">
        <f>IF(AND('Riesgos de Gestión'!$AF$55="Baja",'Riesgos de Gestión'!$AH$55="Catastrófico"),CONCATENATE("R8C",'Riesgos de Gestión'!$V$55),"")</f>
        <v/>
      </c>
      <c r="AI43" s="39" t="str">
        <f>IF(AND('Riesgos de Gestión'!$AF$56="Baja",'Riesgos de Gestión'!$AH$56="Catastrófico"),CONCATENATE("R8C",'Riesgos de Gestión'!$V$56),"")</f>
        <v/>
      </c>
      <c r="AJ43" s="39" t="str">
        <f>IF(AND('Riesgos de Gestión'!$AF$57="Baja",'Riesgos de Gestión'!$AH$57="Catastrófico"),CONCATENATE("R8C",'Riesgos de Gestión'!$V$57),"")</f>
        <v/>
      </c>
      <c r="AK43" s="39" t="str">
        <f>IF(AND('Riesgos de Gestión'!$AF$58="Baja",'Riesgos de Gestión'!$AH$58="Catastrófico"),CONCATENATE("R8C",'Riesgos de Gestión'!$V$58),"")</f>
        <v/>
      </c>
      <c r="AL43" s="39" t="str">
        <f>IF(AND('Riesgos de Gestión'!$AF$59="Baja",'Riesgos de Gestión'!$AH$59="Catastrófico"),CONCATENATE("R8C",'Riesgos de Gestión'!$V$59),"")</f>
        <v/>
      </c>
      <c r="AM43" s="40" t="str">
        <f>IF(AND('Riesgos de Gestión'!$AF$60="Baja",'Riesgos de Gestión'!$AH$60="Catastrófico"),CONCATENATE("R8C",'Riesgos de Gestión'!$V$60),"")</f>
        <v/>
      </c>
      <c r="AN43" s="66"/>
      <c r="AO43" s="582"/>
      <c r="AP43" s="583"/>
      <c r="AQ43" s="583"/>
      <c r="AR43" s="583"/>
      <c r="AS43" s="583"/>
      <c r="AT43" s="584"/>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80" ht="15" customHeight="1" x14ac:dyDescent="0.25">
      <c r="A44" s="66"/>
      <c r="B44" s="510"/>
      <c r="C44" s="510"/>
      <c r="D44" s="511"/>
      <c r="E44" s="551"/>
      <c r="F44" s="552"/>
      <c r="G44" s="552"/>
      <c r="H44" s="552"/>
      <c r="I44" s="552"/>
      <c r="J44" s="59" t="str">
        <f>IF(AND('Riesgos de Gestión'!$AF$61="Baja",'Riesgos de Gestión'!$AH$61="Leve"),CONCATENATE("R9C",'Riesgos de Gestión'!$V$61),"")</f>
        <v/>
      </c>
      <c r="K44" s="60" t="str">
        <f>IF(AND('Riesgos de Gestión'!$AF$62="Baja",'Riesgos de Gestión'!$AH$62="Leve"),CONCATENATE("R9C",'Riesgos de Gestión'!$V$62),"")</f>
        <v/>
      </c>
      <c r="L44" s="60" t="str">
        <f>IF(AND('Riesgos de Gestión'!$AF$63="Baja",'Riesgos de Gestión'!$AH$63="Leve"),CONCATENATE("R9C",'Riesgos de Gestión'!$V$63),"")</f>
        <v/>
      </c>
      <c r="M44" s="60" t="str">
        <f>IF(AND('Riesgos de Gestión'!$AF$64="Baja",'Riesgos de Gestión'!$AH$64="Leve"),CONCATENATE("R9C",'Riesgos de Gestión'!$V$64),"")</f>
        <v/>
      </c>
      <c r="N44" s="60" t="str">
        <f>IF(AND('Riesgos de Gestión'!$AF$65="Baja",'Riesgos de Gestión'!$AH$65="Leve"),CONCATENATE("R9C",'Riesgos de Gestión'!$V$65),"")</f>
        <v/>
      </c>
      <c r="O44" s="61" t="str">
        <f>IF(AND('Riesgos de Gestión'!$AF$66="Baja",'Riesgos de Gestión'!$AH$66="Leve"),CONCATENATE("R9C",'Riesgos de Gestión'!$V$66),"")</f>
        <v/>
      </c>
      <c r="P44" s="50" t="str">
        <f>IF(AND('Riesgos de Gestión'!$AF$61="Baja",'Riesgos de Gestión'!$AH$61="Menor"),CONCATENATE("R9C",'Riesgos de Gestión'!$V$61),"")</f>
        <v/>
      </c>
      <c r="Q44" s="51" t="str">
        <f>IF(AND('Riesgos de Gestión'!$AF$62="Baja",'Riesgos de Gestión'!$AH$62="Menor"),CONCATENATE("R9C",'Riesgos de Gestión'!$V$62),"")</f>
        <v/>
      </c>
      <c r="R44" s="51" t="str">
        <f>IF(AND('Riesgos de Gestión'!$AF$63="Baja",'Riesgos de Gestión'!$AH$63="Menor"),CONCATENATE("R9C",'Riesgos de Gestión'!$V$63),"")</f>
        <v/>
      </c>
      <c r="S44" s="51" t="str">
        <f>IF(AND('Riesgos de Gestión'!$AF$64="Baja",'Riesgos de Gestión'!$AH$64="Menor"),CONCATENATE("R9C",'Riesgos de Gestión'!$V$64),"")</f>
        <v/>
      </c>
      <c r="T44" s="51" t="str">
        <f>IF(AND('Riesgos de Gestión'!$AF$65="Baja",'Riesgos de Gestión'!$AH$65="Menor"),CONCATENATE("R9C",'Riesgos de Gestión'!$V$65),"")</f>
        <v/>
      </c>
      <c r="U44" s="52" t="str">
        <f>IF(AND('Riesgos de Gestión'!$AF$66="Baja",'Riesgos de Gestión'!$AH$66="Menor"),CONCATENATE("R9C",'Riesgos de Gestión'!$V$66),"")</f>
        <v/>
      </c>
      <c r="V44" s="50" t="str">
        <f>IF(AND('Riesgos de Gestión'!$AF$61="Baja",'Riesgos de Gestión'!$AH$61="Moderado"),CONCATENATE("R9C",'Riesgos de Gestión'!$V$61),"")</f>
        <v/>
      </c>
      <c r="W44" s="51" t="str">
        <f>IF(AND('Riesgos de Gestión'!$AF$62="Baja",'Riesgos de Gestión'!$AH$62="Moderado"),CONCATENATE("R9C",'Riesgos de Gestión'!$V$62),"")</f>
        <v/>
      </c>
      <c r="X44" s="51" t="str">
        <f>IF(AND('Riesgos de Gestión'!$AF$63="Baja",'Riesgos de Gestión'!$AH$63="Moderado"),CONCATENATE("R9C",'Riesgos de Gestión'!$V$63),"")</f>
        <v/>
      </c>
      <c r="Y44" s="51" t="str">
        <f>IF(AND('Riesgos de Gestión'!$AF$64="Baja",'Riesgos de Gestión'!$AH$64="Moderado"),CONCATENATE("R9C",'Riesgos de Gestión'!$V$64),"")</f>
        <v/>
      </c>
      <c r="Z44" s="51" t="str">
        <f>IF(AND('Riesgos de Gestión'!$AF$65="Baja",'Riesgos de Gestión'!$AH$65="Moderado"),CONCATENATE("R9C",'Riesgos de Gestión'!$V$65),"")</f>
        <v/>
      </c>
      <c r="AA44" s="52" t="str">
        <f>IF(AND('Riesgos de Gestión'!$AF$66="Baja",'Riesgos de Gestión'!$AH$66="Moderado"),CONCATENATE("R9C",'Riesgos de Gestión'!$V$66),"")</f>
        <v/>
      </c>
      <c r="AB44" s="35" t="str">
        <f>IF(AND('Riesgos de Gestión'!$AF$61="Baja",'Riesgos de Gestión'!$AH$61="Mayor"),CONCATENATE("R9C",'Riesgos de Gestión'!$V$61),"")</f>
        <v/>
      </c>
      <c r="AC44" s="36" t="str">
        <f>IF(AND('Riesgos de Gestión'!$AF$62="Baja",'Riesgos de Gestión'!$AH$62="Mayor"),CONCATENATE("R9C",'Riesgos de Gestión'!$V$62),"")</f>
        <v/>
      </c>
      <c r="AD44" s="36" t="str">
        <f>IF(AND('Riesgos de Gestión'!$AF$63="Baja",'Riesgos de Gestión'!$AH$63="Mayor"),CONCATENATE("R9C",'Riesgos de Gestión'!$V$63),"")</f>
        <v/>
      </c>
      <c r="AE44" s="36" t="str">
        <f>IF(AND('Riesgos de Gestión'!$AF$64="Baja",'Riesgos de Gestión'!$AH$64="Mayor"),CONCATENATE("R9C",'Riesgos de Gestión'!$V$64),"")</f>
        <v/>
      </c>
      <c r="AF44" s="36" t="str">
        <f>IF(AND('Riesgos de Gestión'!$AF$65="Baja",'Riesgos de Gestión'!$AH$65="Mayor"),CONCATENATE("R9C",'Riesgos de Gestión'!$V$65),"")</f>
        <v/>
      </c>
      <c r="AG44" s="37" t="str">
        <f>IF(AND('Riesgos de Gestión'!$AF$66="Baja",'Riesgos de Gestión'!$AH$66="Mayor"),CONCATENATE("R9C",'Riesgos de Gestión'!$V$66),"")</f>
        <v/>
      </c>
      <c r="AH44" s="38" t="str">
        <f>IF(AND('Riesgos de Gestión'!$AF$61="Baja",'Riesgos de Gestión'!$AH$61="Catastrófico"),CONCATENATE("R9C",'Riesgos de Gestión'!$V$61),"")</f>
        <v/>
      </c>
      <c r="AI44" s="39" t="str">
        <f>IF(AND('Riesgos de Gestión'!$AF$62="Baja",'Riesgos de Gestión'!$AH$62="Catastrófico"),CONCATENATE("R9C",'Riesgos de Gestión'!$V$62),"")</f>
        <v/>
      </c>
      <c r="AJ44" s="39" t="str">
        <f>IF(AND('Riesgos de Gestión'!$AF$63="Baja",'Riesgos de Gestión'!$AH$63="Catastrófico"),CONCATENATE("R9C",'Riesgos de Gestión'!$V$63),"")</f>
        <v/>
      </c>
      <c r="AK44" s="39" t="str">
        <f>IF(AND('Riesgos de Gestión'!$AF$64="Baja",'Riesgos de Gestión'!$AH$64="Catastrófico"),CONCATENATE("R9C",'Riesgos de Gestión'!$V$64),"")</f>
        <v/>
      </c>
      <c r="AL44" s="39" t="str">
        <f>IF(AND('Riesgos de Gestión'!$AF$65="Baja",'Riesgos de Gestión'!$AH$65="Catastrófico"),CONCATENATE("R9C",'Riesgos de Gestión'!$V$65),"")</f>
        <v/>
      </c>
      <c r="AM44" s="40" t="str">
        <f>IF(AND('Riesgos de Gestión'!$AF$66="Baja",'Riesgos de Gestión'!$AH$66="Catastrófico"),CONCATENATE("R9C",'Riesgos de Gestión'!$V$66),"")</f>
        <v/>
      </c>
      <c r="AN44" s="66"/>
      <c r="AO44" s="582"/>
      <c r="AP44" s="583"/>
      <c r="AQ44" s="583"/>
      <c r="AR44" s="583"/>
      <c r="AS44" s="583"/>
      <c r="AT44" s="584"/>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row>
    <row r="45" spans="1:80" ht="15.75" customHeight="1" thickBot="1" x14ac:dyDescent="0.3">
      <c r="A45" s="66"/>
      <c r="B45" s="510"/>
      <c r="C45" s="510"/>
      <c r="D45" s="511"/>
      <c r="E45" s="554"/>
      <c r="F45" s="555"/>
      <c r="G45" s="555"/>
      <c r="H45" s="555"/>
      <c r="I45" s="555"/>
      <c r="J45" s="62" t="str">
        <f>IF(AND('Riesgos de Gestión'!$AF$67="Baja",'Riesgos de Gestión'!$AH$67="Leve"),CONCATENATE("R10C",'Riesgos de Gestión'!$V$67),"")</f>
        <v/>
      </c>
      <c r="K45" s="63" t="str">
        <f>IF(AND('Riesgos de Gestión'!$AF$68="Baja",'Riesgos de Gestión'!$AH$68="Leve"),CONCATENATE("R10C",'Riesgos de Gestión'!$V$68),"")</f>
        <v/>
      </c>
      <c r="L45" s="63" t="str">
        <f>IF(AND('Riesgos de Gestión'!$AF$69="Baja",'Riesgos de Gestión'!$AH$69="Leve"),CONCATENATE("R10C",'Riesgos de Gestión'!$V$69),"")</f>
        <v/>
      </c>
      <c r="M45" s="63" t="str">
        <f>IF(AND('Riesgos de Gestión'!$AF$70="Baja",'Riesgos de Gestión'!$AH$70="Leve"),CONCATENATE("R10C",'Riesgos de Gestión'!$V$70),"")</f>
        <v/>
      </c>
      <c r="N45" s="63" t="str">
        <f>IF(AND('Riesgos de Gestión'!$AF$71="Baja",'Riesgos de Gestión'!$AH$71="Leve"),CONCATENATE("R10C",'Riesgos de Gestión'!$V$71),"")</f>
        <v/>
      </c>
      <c r="O45" s="64" t="str">
        <f>IF(AND('Riesgos de Gestión'!$AF$72="Baja",'Riesgos de Gestión'!$AH$72="Leve"),CONCATENATE("R10C",'Riesgos de Gestión'!$V$72),"")</f>
        <v/>
      </c>
      <c r="P45" s="50" t="str">
        <f>IF(AND('Riesgos de Gestión'!$AF$67="Baja",'Riesgos de Gestión'!$AH$67="Menor"),CONCATENATE("R10C",'Riesgos de Gestión'!$V$67),"")</f>
        <v/>
      </c>
      <c r="Q45" s="51" t="str">
        <f>IF(AND('Riesgos de Gestión'!$AF$68="Baja",'Riesgos de Gestión'!$AH$68="Menor"),CONCATENATE("R10C",'Riesgos de Gestión'!$V$68),"")</f>
        <v/>
      </c>
      <c r="R45" s="51" t="str">
        <f>IF(AND('Riesgos de Gestión'!$AF$69="Baja",'Riesgos de Gestión'!$AH$69="Menor"),CONCATENATE("R10C",'Riesgos de Gestión'!$V$69),"")</f>
        <v/>
      </c>
      <c r="S45" s="51" t="str">
        <f>IF(AND('Riesgos de Gestión'!$AF$70="Baja",'Riesgos de Gestión'!$AH$70="Menor"),CONCATENATE("R10C",'Riesgos de Gestión'!$V$70),"")</f>
        <v/>
      </c>
      <c r="T45" s="51" t="str">
        <f>IF(AND('Riesgos de Gestión'!$AF$71="Baja",'Riesgos de Gestión'!$AH$71="Menor"),CONCATENATE("R10C",'Riesgos de Gestión'!$V$71),"")</f>
        <v/>
      </c>
      <c r="U45" s="52" t="str">
        <f>IF(AND('Riesgos de Gestión'!$AF$72="Baja",'Riesgos de Gestión'!$AH$72="Menor"),CONCATENATE("R10C",'Riesgos de Gestión'!$V$72),"")</f>
        <v/>
      </c>
      <c r="V45" s="53" t="str">
        <f>IF(AND('Riesgos de Gestión'!$AF$67="Baja",'Riesgos de Gestión'!$AH$67="Moderado"),CONCATENATE("R10C",'Riesgos de Gestión'!$V$67),"")</f>
        <v/>
      </c>
      <c r="W45" s="54" t="str">
        <f>IF(AND('Riesgos de Gestión'!$AF$68="Baja",'Riesgos de Gestión'!$AH$68="Moderado"),CONCATENATE("R10C",'Riesgos de Gestión'!$V$68),"")</f>
        <v/>
      </c>
      <c r="X45" s="54" t="str">
        <f>IF(AND('Riesgos de Gestión'!$AF$69="Baja",'Riesgos de Gestión'!$AH$69="Moderado"),CONCATENATE("R10C",'Riesgos de Gestión'!$V$69),"")</f>
        <v/>
      </c>
      <c r="Y45" s="54" t="str">
        <f>IF(AND('Riesgos de Gestión'!$AF$70="Baja",'Riesgos de Gestión'!$AH$70="Moderado"),CONCATENATE("R10C",'Riesgos de Gestión'!$V$70),"")</f>
        <v/>
      </c>
      <c r="Z45" s="54" t="str">
        <f>IF(AND('Riesgos de Gestión'!$AF$71="Baja",'Riesgos de Gestión'!$AH$71="Moderado"),CONCATENATE("R10C",'Riesgos de Gestión'!$V$71),"")</f>
        <v/>
      </c>
      <c r="AA45" s="55" t="str">
        <f>IF(AND('Riesgos de Gestión'!$AF$72="Baja",'Riesgos de Gestión'!$AH$72="Moderado"),CONCATENATE("R10C",'Riesgos de Gestión'!$V$72),"")</f>
        <v/>
      </c>
      <c r="AB45" s="41" t="str">
        <f>IF(AND('Riesgos de Gestión'!$AF$67="Baja",'Riesgos de Gestión'!$AH$67="Mayor"),CONCATENATE("R10C",'Riesgos de Gestión'!$V$67),"")</f>
        <v/>
      </c>
      <c r="AC45" s="42" t="str">
        <f>IF(AND('Riesgos de Gestión'!$AF$68="Baja",'Riesgos de Gestión'!$AH$68="Mayor"),CONCATENATE("R10C",'Riesgos de Gestión'!$V$68),"")</f>
        <v/>
      </c>
      <c r="AD45" s="42" t="str">
        <f>IF(AND('Riesgos de Gestión'!$AF$69="Baja",'Riesgos de Gestión'!$AH$69="Mayor"),CONCATENATE("R10C",'Riesgos de Gestión'!$V$69),"")</f>
        <v/>
      </c>
      <c r="AE45" s="42" t="str">
        <f>IF(AND('Riesgos de Gestión'!$AF$70="Baja",'Riesgos de Gestión'!$AH$70="Mayor"),CONCATENATE("R10C",'Riesgos de Gestión'!$V$70),"")</f>
        <v/>
      </c>
      <c r="AF45" s="42" t="str">
        <f>IF(AND('Riesgos de Gestión'!$AF$71="Baja",'Riesgos de Gestión'!$AH$71="Mayor"),CONCATENATE("R10C",'Riesgos de Gestión'!$V$71),"")</f>
        <v/>
      </c>
      <c r="AG45" s="43" t="str">
        <f>IF(AND('Riesgos de Gestión'!$AF$72="Baja",'Riesgos de Gestión'!$AH$72="Mayor"),CONCATENATE("R10C",'Riesgos de Gestión'!$V$72),"")</f>
        <v/>
      </c>
      <c r="AH45" s="44" t="str">
        <f>IF(AND('Riesgos de Gestión'!$AF$67="Baja",'Riesgos de Gestión'!$AH$67="Catastrófico"),CONCATENATE("R10C",'Riesgos de Gestión'!$V$67),"")</f>
        <v/>
      </c>
      <c r="AI45" s="45" t="str">
        <f>IF(AND('Riesgos de Gestión'!$AF$68="Baja",'Riesgos de Gestión'!$AH$68="Catastrófico"),CONCATENATE("R10C",'Riesgos de Gestión'!$V$68),"")</f>
        <v/>
      </c>
      <c r="AJ45" s="45" t="str">
        <f>IF(AND('Riesgos de Gestión'!$AF$69="Baja",'Riesgos de Gestión'!$AH$69="Catastrófico"),CONCATENATE("R10C",'Riesgos de Gestión'!$V$69),"")</f>
        <v/>
      </c>
      <c r="AK45" s="45" t="str">
        <f>IF(AND('Riesgos de Gestión'!$AF$70="Baja",'Riesgos de Gestión'!$AH$70="Catastrófico"),CONCATENATE("R10C",'Riesgos de Gestión'!$V$70),"")</f>
        <v/>
      </c>
      <c r="AL45" s="45" t="str">
        <f>IF(AND('Riesgos de Gestión'!$AF$71="Baja",'Riesgos de Gestión'!$AH$71="Catastrófico"),CONCATENATE("R10C",'Riesgos de Gestión'!$V$71),"")</f>
        <v/>
      </c>
      <c r="AM45" s="46" t="str">
        <f>IF(AND('Riesgos de Gestión'!$AF$72="Baja",'Riesgos de Gestión'!$AH$72="Catastrófico"),CONCATENATE("R10C",'Riesgos de Gestión'!$V$72),"")</f>
        <v/>
      </c>
      <c r="AN45" s="66"/>
      <c r="AO45" s="585"/>
      <c r="AP45" s="586"/>
      <c r="AQ45" s="586"/>
      <c r="AR45" s="586"/>
      <c r="AS45" s="586"/>
      <c r="AT45" s="587"/>
    </row>
    <row r="46" spans="1:80" ht="46.5" customHeight="1" x14ac:dyDescent="0.35">
      <c r="A46" s="66"/>
      <c r="B46" s="510"/>
      <c r="C46" s="510"/>
      <c r="D46" s="511"/>
      <c r="E46" s="548" t="s">
        <v>273</v>
      </c>
      <c r="F46" s="549"/>
      <c r="G46" s="549"/>
      <c r="H46" s="549"/>
      <c r="I46" s="550"/>
      <c r="J46" s="56" t="str">
        <f>IF(AND('Riesgos de Gestión'!$AF$13="Muy Baja",'Riesgos de Gestión'!$AH$13="Leve"),CONCATENATE("R1C",'Riesgos de Gestión'!$V$13),"")</f>
        <v/>
      </c>
      <c r="K46" s="57" t="str">
        <f>IF(AND('Riesgos de Gestión'!$AF$14="Muy Baja",'Riesgos de Gestión'!$AH$14="Leve"),CONCATENATE("R1C",'Riesgos de Gestión'!$V$14),"")</f>
        <v/>
      </c>
      <c r="L46" s="57" t="str">
        <f>IF(AND('Riesgos de Gestión'!$AF$15="Muy Baja",'Riesgos de Gestión'!$AH$15="Leve"),CONCATENATE("R1C",'Riesgos de Gestión'!$V$15),"")</f>
        <v/>
      </c>
      <c r="M46" s="57" t="str">
        <f>IF(AND('Riesgos de Gestión'!$AF$16="Muy Baja",'Riesgos de Gestión'!$AH$16="Leve"),CONCATENATE("R1C",'Riesgos de Gestión'!$V$16),"")</f>
        <v/>
      </c>
      <c r="N46" s="57" t="str">
        <f>IF(AND('Riesgos de Gestión'!$AF$17="Muy Baja",'Riesgos de Gestión'!$AH$17="Leve"),CONCATENATE("R1C",'Riesgos de Gestión'!$V$17),"")</f>
        <v/>
      </c>
      <c r="O46" s="58" t="str">
        <f>IF(AND('Riesgos de Gestión'!$AF$18="Muy Baja",'Riesgos de Gestión'!$AH$18="Leve"),CONCATENATE("R1C",'Riesgos de Gestión'!$V$18),"")</f>
        <v/>
      </c>
      <c r="P46" s="56" t="str">
        <f>IF(AND('Riesgos de Gestión'!$AF$13="Muy Baja",'Riesgos de Gestión'!$AH$13="Menor"),CONCATENATE("R1C",'Riesgos de Gestión'!$V$13),"")</f>
        <v/>
      </c>
      <c r="Q46" s="57" t="str">
        <f>IF(AND('Riesgos de Gestión'!$AF$14="Muy Baja",'Riesgos de Gestión'!$AH$14="Menor"),CONCATENATE("R1C",'Riesgos de Gestión'!$V$14),"")</f>
        <v/>
      </c>
      <c r="R46" s="57" t="str">
        <f>IF(AND('Riesgos de Gestión'!$AF$15="Muy Baja",'Riesgos de Gestión'!$AH$15="Menor"),CONCATENATE("R1C",'Riesgos de Gestión'!$V$15),"")</f>
        <v/>
      </c>
      <c r="S46" s="57" t="str">
        <f>IF(AND('Riesgos de Gestión'!$AF$16="Muy Baja",'Riesgos de Gestión'!$AH$16="Menor"),CONCATENATE("R1C",'Riesgos de Gestión'!$V$16),"")</f>
        <v/>
      </c>
      <c r="T46" s="57" t="str">
        <f>IF(AND('Riesgos de Gestión'!$AF$17="Muy Baja",'Riesgos de Gestión'!$AH$17="Menor"),CONCATENATE("R1C",'Riesgos de Gestión'!$V$17),"")</f>
        <v/>
      </c>
      <c r="U46" s="58" t="str">
        <f>IF(AND('Riesgos de Gestión'!$AF$18="Muy Baja",'Riesgos de Gestión'!$AH$18="Menor"),CONCATENATE("R1C",'Riesgos de Gestión'!$V$18),"")</f>
        <v/>
      </c>
      <c r="V46" s="47" t="str">
        <f>IF(AND('Riesgos de Gestión'!$AF$13="Muy Baja",'Riesgos de Gestión'!$AH$13="Moderado"),CONCATENATE("R1C",'Riesgos de Gestión'!$V$13),"")</f>
        <v/>
      </c>
      <c r="W46" s="65" t="str">
        <f>IF(AND('Riesgos de Gestión'!$AF$14="Muy Baja",'Riesgos de Gestión'!$AH$14="Moderado"),CONCATENATE("R1C",'Riesgos de Gestión'!$V$14),"")</f>
        <v/>
      </c>
      <c r="X46" s="48" t="str">
        <f>IF(AND('Riesgos de Gestión'!$AF$15="Muy Baja",'Riesgos de Gestión'!$AH$15="Moderado"),CONCATENATE("R1C",'Riesgos de Gestión'!$V$15),"")</f>
        <v>R1C3</v>
      </c>
      <c r="Y46" s="48" t="str">
        <f>IF(AND('Riesgos de Gestión'!$AF$16="Muy Baja",'Riesgos de Gestión'!$AH$16="Moderado"),CONCATENATE("R1C",'Riesgos de Gestión'!$V$16),"")</f>
        <v/>
      </c>
      <c r="Z46" s="48" t="str">
        <f>IF(AND('Riesgos de Gestión'!$AF$17="Muy Baja",'Riesgos de Gestión'!$AH$17="Moderado"),CONCATENATE("R1C",'Riesgos de Gestión'!$V$17),"")</f>
        <v/>
      </c>
      <c r="AA46" s="49" t="str">
        <f>IF(AND('Riesgos de Gestión'!$AF$18="Muy Baja",'Riesgos de Gestión'!$AH$18="Moderado"),CONCATENATE("R1C",'Riesgos de Gestión'!$V$18),"")</f>
        <v/>
      </c>
      <c r="AB46" s="29" t="str">
        <f>IF(AND('Riesgos de Gestión'!$AF$13="Muy Baja",'Riesgos de Gestión'!$AH$13="Mayor"),CONCATENATE("R1C",'Riesgos de Gestión'!$V$13),"")</f>
        <v/>
      </c>
      <c r="AC46" s="30" t="str">
        <f>IF(AND('Riesgos de Gestión'!$AF$14="Muy Baja",'Riesgos de Gestión'!$AH$14="Mayor"),CONCATENATE("R1C",'Riesgos de Gestión'!$V$14),"")</f>
        <v/>
      </c>
      <c r="AD46" s="30" t="str">
        <f>IF(AND('Riesgos de Gestión'!$AF$15="Muy Baja",'Riesgos de Gestión'!$AH$15="Mayor"),CONCATENATE("R1C",'Riesgos de Gestión'!$V$15),"")</f>
        <v/>
      </c>
      <c r="AE46" s="30" t="str">
        <f>IF(AND('Riesgos de Gestión'!$AF$16="Muy Baja",'Riesgos de Gestión'!$AH$16="Mayor"),CONCATENATE("R1C",'Riesgos de Gestión'!$V$16),"")</f>
        <v/>
      </c>
      <c r="AF46" s="30" t="str">
        <f>IF(AND('Riesgos de Gestión'!$AF$17="Muy Baja",'Riesgos de Gestión'!$AH$17="Mayor"),CONCATENATE("R1C",'Riesgos de Gestión'!$V$17),"")</f>
        <v/>
      </c>
      <c r="AG46" s="31" t="str">
        <f>IF(AND('Riesgos de Gestión'!$AF$18="Muy Baja",'Riesgos de Gestión'!$AH$18="Mayor"),CONCATENATE("R1C",'Riesgos de Gestión'!$V$18),"")</f>
        <v/>
      </c>
      <c r="AH46" s="32" t="str">
        <f>IF(AND('Riesgos de Gestión'!$AF$13="Muy Baja",'Riesgos de Gestión'!$AH$13="Catastrófico"),CONCATENATE("R1C",'Riesgos de Gestión'!$V$13),"")</f>
        <v/>
      </c>
      <c r="AI46" s="33" t="str">
        <f>IF(AND('Riesgos de Gestión'!$AF$14="Muy Baja",'Riesgos de Gestión'!$AH$14="Catastrófico"),CONCATENATE("R1C",'Riesgos de Gestión'!$V$14),"")</f>
        <v/>
      </c>
      <c r="AJ46" s="33" t="str">
        <f>IF(AND('Riesgos de Gestión'!$AF$15="Muy Baja",'Riesgos de Gestión'!$AH$15="Catastrófico"),CONCATENATE("R1C",'Riesgos de Gestión'!$V$15),"")</f>
        <v/>
      </c>
      <c r="AK46" s="33" t="str">
        <f>IF(AND('Riesgos de Gestión'!$AF$16="Muy Baja",'Riesgos de Gestión'!$AH$16="Catastrófico"),CONCATENATE("R1C",'Riesgos de Gestión'!$V$16),"")</f>
        <v/>
      </c>
      <c r="AL46" s="33" t="str">
        <f>IF(AND('Riesgos de Gestión'!$AF$17="Muy Baja",'Riesgos de Gestión'!$AH$17="Catastrófico"),CONCATENATE("R1C",'Riesgos de Gestión'!$V$17),"")</f>
        <v/>
      </c>
      <c r="AM46" s="34" t="str">
        <f>IF(AND('Riesgos de Gestión'!$AF$18="Muy Baja",'Riesgos de Gestión'!$AH$18="Catastrófico"),CONCATENATE("R1C",'Riesgos de Gestión'!$V$18),"")</f>
        <v/>
      </c>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ht="46.5" customHeight="1" x14ac:dyDescent="0.25">
      <c r="A47" s="66"/>
      <c r="B47" s="510"/>
      <c r="C47" s="510"/>
      <c r="D47" s="511"/>
      <c r="E47" s="567"/>
      <c r="F47" s="552"/>
      <c r="G47" s="552"/>
      <c r="H47" s="552"/>
      <c r="I47" s="553"/>
      <c r="J47" s="59" t="str">
        <f>IF(AND('Riesgos de Gestión'!$AF$19="Muy Baja",'Riesgos de Gestión'!$AH$19="Leve"),CONCATENATE("R2C",'Riesgos de Gestión'!$V$19),"")</f>
        <v/>
      </c>
      <c r="K47" s="60" t="str">
        <f>IF(AND('Riesgos de Gestión'!$AF$20="Muy Baja",'Riesgos de Gestión'!$AH$20="Leve"),CONCATENATE("R2C",'Riesgos de Gestión'!$V$20),"")</f>
        <v/>
      </c>
      <c r="L47" s="60" t="str">
        <f>IF(AND('Riesgos de Gestión'!$AF$21="Muy Baja",'Riesgos de Gestión'!$AH$21="Leve"),CONCATENATE("R2C",'Riesgos de Gestión'!$V$21),"")</f>
        <v/>
      </c>
      <c r="M47" s="60" t="str">
        <f>IF(AND('Riesgos de Gestión'!$AF$22="Muy Baja",'Riesgos de Gestión'!$AH$22="Leve"),CONCATENATE("R2C",'Riesgos de Gestión'!$V$22),"")</f>
        <v/>
      </c>
      <c r="N47" s="60" t="str">
        <f>IF(AND('Riesgos de Gestión'!$AF$23="Muy Baja",'Riesgos de Gestión'!$AH$23="Leve"),CONCATENATE("R2C",'Riesgos de Gestión'!$V$23),"")</f>
        <v/>
      </c>
      <c r="O47" s="61" t="str">
        <f>IF(AND('Riesgos de Gestión'!$AF$24="Muy Baja",'Riesgos de Gestión'!$AH$24="Leve"),CONCATENATE("R2C",'Riesgos de Gestión'!$V$24),"")</f>
        <v/>
      </c>
      <c r="P47" s="59" t="str">
        <f>IF(AND('Riesgos de Gestión'!$AF$19="Muy Baja",'Riesgos de Gestión'!$AH$19="Menor"),CONCATENATE("R2C",'Riesgos de Gestión'!$V$19),"")</f>
        <v/>
      </c>
      <c r="Q47" s="60" t="str">
        <f>IF(AND('Riesgos de Gestión'!$AF$20="Muy Baja",'Riesgos de Gestión'!$AH$20="Menor"),CONCATENATE("R2C",'Riesgos de Gestión'!$V$20),"")</f>
        <v/>
      </c>
      <c r="R47" s="60" t="str">
        <f>IF(AND('Riesgos de Gestión'!$AF$21="Muy Baja",'Riesgos de Gestión'!$AH$21="Menor"),CONCATENATE("R2C",'Riesgos de Gestión'!$V$21),"")</f>
        <v/>
      </c>
      <c r="S47" s="60" t="str">
        <f>IF(AND('Riesgos de Gestión'!$AF$22="Muy Baja",'Riesgos de Gestión'!$AH$22="Menor"),CONCATENATE("R2C",'Riesgos de Gestión'!$V$22),"")</f>
        <v/>
      </c>
      <c r="T47" s="60" t="str">
        <f>IF(AND('Riesgos de Gestión'!$AF$23="Muy Baja",'Riesgos de Gestión'!$AH$23="Menor"),CONCATENATE("R2C",'Riesgos de Gestión'!$V$23),"")</f>
        <v/>
      </c>
      <c r="U47" s="61" t="str">
        <f>IF(AND('Riesgos de Gestión'!$AF$24="Muy Baja",'Riesgos de Gestión'!$AH$24="Menor"),CONCATENATE("R2C",'Riesgos de Gestión'!$V$24),"")</f>
        <v/>
      </c>
      <c r="V47" s="50" t="str">
        <f>IF(AND('Riesgos de Gestión'!$AF$19="Muy Baja",'Riesgos de Gestión'!$AH$19="Moderado"),CONCATENATE("R2C",'Riesgos de Gestión'!$V$19),"")</f>
        <v/>
      </c>
      <c r="W47" s="51" t="str">
        <f>IF(AND('Riesgos de Gestión'!$AF$20="Muy Baja",'Riesgos de Gestión'!$AH$20="Moderado"),CONCATENATE("R2C",'Riesgos de Gestión'!$V$20),"")</f>
        <v/>
      </c>
      <c r="X47" s="51" t="str">
        <f>IF(AND('Riesgos de Gestión'!$AF$21="Muy Baja",'Riesgos de Gestión'!$AH$21="Moderado"),CONCATENATE("R2C",'Riesgos de Gestión'!$V$21),"")</f>
        <v/>
      </c>
      <c r="Y47" s="51" t="str">
        <f>IF(AND('Riesgos de Gestión'!$AF$22="Muy Baja",'Riesgos de Gestión'!$AH$22="Moderado"),CONCATENATE("R2C",'Riesgos de Gestión'!$V$22),"")</f>
        <v/>
      </c>
      <c r="Z47" s="51" t="str">
        <f>IF(AND('Riesgos de Gestión'!$AF$23="Muy Baja",'Riesgos de Gestión'!$AH$23="Moderado"),CONCATENATE("R2C",'Riesgos de Gestión'!$V$23),"")</f>
        <v/>
      </c>
      <c r="AA47" s="52" t="str">
        <f>IF(AND('Riesgos de Gestión'!$AF$24="Muy Baja",'Riesgos de Gestión'!$AH$24="Moderado"),CONCATENATE("R2C",'Riesgos de Gestión'!$V$24),"")</f>
        <v/>
      </c>
      <c r="AB47" s="35" t="str">
        <f>IF(AND('Riesgos de Gestión'!$AF$19="Muy Baja",'Riesgos de Gestión'!$AH$19="Mayor"),CONCATENATE("R2C",'Riesgos de Gestión'!$V$19),"")</f>
        <v/>
      </c>
      <c r="AC47" s="36" t="str">
        <f>IF(AND('Riesgos de Gestión'!$AF$20="Muy Baja",'Riesgos de Gestión'!$AH$20="Mayor"),CONCATENATE("R2C",'Riesgos de Gestión'!$V$20),"")</f>
        <v/>
      </c>
      <c r="AD47" s="36" t="str">
        <f>IF(AND('Riesgos de Gestión'!$AF$21="Muy Baja",'Riesgos de Gestión'!$AH$21="Mayor"),CONCATENATE("R2C",'Riesgos de Gestión'!$V$21),"")</f>
        <v/>
      </c>
      <c r="AE47" s="36" t="str">
        <f>IF(AND('Riesgos de Gestión'!$AF$22="Muy Baja",'Riesgos de Gestión'!$AH$22="Mayor"),CONCATENATE("R2C",'Riesgos de Gestión'!$V$22),"")</f>
        <v/>
      </c>
      <c r="AF47" s="36" t="str">
        <f>IF(AND('Riesgos de Gestión'!$AF$23="Muy Baja",'Riesgos de Gestión'!$AH$23="Mayor"),CONCATENATE("R2C",'Riesgos de Gestión'!$V$23),"")</f>
        <v/>
      </c>
      <c r="AG47" s="37" t="str">
        <f>IF(AND('Riesgos de Gestión'!$AF$24="Muy Baja",'Riesgos de Gestión'!$AH$24="Mayor"),CONCATENATE("R2C",'Riesgos de Gestión'!$V$24),"")</f>
        <v/>
      </c>
      <c r="AH47" s="38" t="str">
        <f>IF(AND('Riesgos de Gestión'!$AF$19="Muy Baja",'Riesgos de Gestión'!$AH$19="Catastrófico"),CONCATENATE("R2C",'Riesgos de Gestión'!$V$19),"")</f>
        <v/>
      </c>
      <c r="AI47" s="39" t="str">
        <f>IF(AND('Riesgos de Gestión'!$AF$20="Muy Baja",'Riesgos de Gestión'!$AH$20="Catastrófico"),CONCATENATE("R2C",'Riesgos de Gestión'!$V$20),"")</f>
        <v/>
      </c>
      <c r="AJ47" s="39" t="str">
        <f>IF(AND('Riesgos de Gestión'!$AF$21="Muy Baja",'Riesgos de Gestión'!$AH$21="Catastrófico"),CONCATENATE("R2C",'Riesgos de Gestión'!$V$21),"")</f>
        <v/>
      </c>
      <c r="AK47" s="39" t="str">
        <f>IF(AND('Riesgos de Gestión'!$AF$22="Muy Baja",'Riesgos de Gestión'!$AH$22="Catastrófico"),CONCATENATE("R2C",'Riesgos de Gestión'!$V$22),"")</f>
        <v/>
      </c>
      <c r="AL47" s="39" t="str">
        <f>IF(AND('Riesgos de Gestión'!$AF$23="Muy Baja",'Riesgos de Gestión'!$AH$23="Catastrófico"),CONCATENATE("R2C",'Riesgos de Gestión'!$V$23),"")</f>
        <v/>
      </c>
      <c r="AM47" s="40" t="str">
        <f>IF(AND('Riesgos de Gestión'!$AF$24="Muy Baja",'Riesgos de Gestión'!$AH$24="Catastrófico"),CONCATENATE("R2C",'Riesgos de Gestión'!$V$24),"")</f>
        <v/>
      </c>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ht="15" customHeight="1" x14ac:dyDescent="0.25">
      <c r="A48" s="66"/>
      <c r="B48" s="510"/>
      <c r="C48" s="510"/>
      <c r="D48" s="511"/>
      <c r="E48" s="567"/>
      <c r="F48" s="552"/>
      <c r="G48" s="552"/>
      <c r="H48" s="552"/>
      <c r="I48" s="553"/>
      <c r="J48" s="59" t="str">
        <f>IF(AND('Riesgos de Gestión'!$AF$25="Muy Baja",'Riesgos de Gestión'!$AH$25="Leve"),CONCATENATE("R3C",'Riesgos de Gestión'!$V$25),"")</f>
        <v/>
      </c>
      <c r="K48" s="60" t="str">
        <f>IF(AND('Riesgos de Gestión'!$AF$26="Muy Baja",'Riesgos de Gestión'!$AH$26="Leve"),CONCATENATE("R3C",'Riesgos de Gestión'!$V$26),"")</f>
        <v/>
      </c>
      <c r="L48" s="60" t="str">
        <f>IF(AND('Riesgos de Gestión'!$AF$27="Muy Baja",'Riesgos de Gestión'!$AH$27="Leve"),CONCATENATE("R3C",'Riesgos de Gestión'!$V$27),"")</f>
        <v/>
      </c>
      <c r="M48" s="60" t="str">
        <f>IF(AND('Riesgos de Gestión'!$AF$28="Muy Baja",'Riesgos de Gestión'!$AH$28="Leve"),CONCATENATE("R3C",'Riesgos de Gestión'!$V$28),"")</f>
        <v/>
      </c>
      <c r="N48" s="60" t="str">
        <f>IF(AND('Riesgos de Gestión'!$AF$29="Muy Baja",'Riesgos de Gestión'!$AH$29="Leve"),CONCATENATE("R3C",'Riesgos de Gestión'!$V$29),"")</f>
        <v/>
      </c>
      <c r="O48" s="61" t="str">
        <f>IF(AND('Riesgos de Gestión'!$AF$30="Muy Baja",'Riesgos de Gestión'!$AH$30="Leve"),CONCATENATE("R3C",'Riesgos de Gestión'!$V$30),"")</f>
        <v/>
      </c>
      <c r="P48" s="59" t="str">
        <f>IF(AND('Riesgos de Gestión'!$AF$25="Muy Baja",'Riesgos de Gestión'!$AH$25="Menor"),CONCATENATE("R3C",'Riesgos de Gestión'!$V$25),"")</f>
        <v/>
      </c>
      <c r="Q48" s="60" t="str">
        <f>IF(AND('Riesgos de Gestión'!$AF$26="Muy Baja",'Riesgos de Gestión'!$AH$26="Menor"),CONCATENATE("R3C",'Riesgos de Gestión'!$V$26),"")</f>
        <v/>
      </c>
      <c r="R48" s="60" t="str">
        <f>IF(AND('Riesgos de Gestión'!$AF$27="Muy Baja",'Riesgos de Gestión'!$AH$27="Menor"),CONCATENATE("R3C",'Riesgos de Gestión'!$V$27),"")</f>
        <v/>
      </c>
      <c r="S48" s="60" t="str">
        <f>IF(AND('Riesgos de Gestión'!$AF$28="Muy Baja",'Riesgos de Gestión'!$AH$28="Menor"),CONCATENATE("R3C",'Riesgos de Gestión'!$V$28),"")</f>
        <v/>
      </c>
      <c r="T48" s="60" t="str">
        <f>IF(AND('Riesgos de Gestión'!$AF$29="Muy Baja",'Riesgos de Gestión'!$AH$29="Menor"),CONCATENATE("R3C",'Riesgos de Gestión'!$V$29),"")</f>
        <v/>
      </c>
      <c r="U48" s="61" t="str">
        <f>IF(AND('Riesgos de Gestión'!$AF$30="Muy Baja",'Riesgos de Gestión'!$AH$30="Menor"),CONCATENATE("R3C",'Riesgos de Gestión'!$V$30),"")</f>
        <v/>
      </c>
      <c r="V48" s="50" t="str">
        <f>IF(AND('Riesgos de Gestión'!$AF$25="Muy Baja",'Riesgos de Gestión'!$AH$25="Moderado"),CONCATENATE("R3C",'Riesgos de Gestión'!$V$25),"")</f>
        <v/>
      </c>
      <c r="W48" s="51" t="str">
        <f>IF(AND('Riesgos de Gestión'!$AF$26="Muy Baja",'Riesgos de Gestión'!$AH$26="Moderado"),CONCATENATE("R3C",'Riesgos de Gestión'!$V$26),"")</f>
        <v/>
      </c>
      <c r="X48" s="51" t="str">
        <f>IF(AND('Riesgos de Gestión'!$AF$27="Muy Baja",'Riesgos de Gestión'!$AH$27="Moderado"),CONCATENATE("R3C",'Riesgos de Gestión'!$V$27),"")</f>
        <v/>
      </c>
      <c r="Y48" s="51" t="str">
        <f>IF(AND('Riesgos de Gestión'!$AF$28="Muy Baja",'Riesgos de Gestión'!$AH$28="Moderado"),CONCATENATE("R3C",'Riesgos de Gestión'!$V$28),"")</f>
        <v/>
      </c>
      <c r="Z48" s="51" t="str">
        <f>IF(AND('Riesgos de Gestión'!$AF$29="Muy Baja",'Riesgos de Gestión'!$AH$29="Moderado"),CONCATENATE("R3C",'Riesgos de Gestión'!$V$29),"")</f>
        <v/>
      </c>
      <c r="AA48" s="52" t="str">
        <f>IF(AND('Riesgos de Gestión'!$AF$30="Muy Baja",'Riesgos de Gestión'!$AH$30="Moderado"),CONCATENATE("R3C",'Riesgos de Gestión'!$V$30),"")</f>
        <v/>
      </c>
      <c r="AB48" s="35" t="str">
        <f>IF(AND('Riesgos de Gestión'!$AF$25="Muy Baja",'Riesgos de Gestión'!$AH$25="Mayor"),CONCATENATE("R3C",'Riesgos de Gestión'!$V$25),"")</f>
        <v/>
      </c>
      <c r="AC48" s="36" t="str">
        <f>IF(AND('Riesgos de Gestión'!$AF$26="Muy Baja",'Riesgos de Gestión'!$AH$26="Mayor"),CONCATENATE("R3C",'Riesgos de Gestión'!$V$26),"")</f>
        <v/>
      </c>
      <c r="AD48" s="36" t="str">
        <f>IF(AND('Riesgos de Gestión'!$AF$27="Muy Baja",'Riesgos de Gestión'!$AH$27="Mayor"),CONCATENATE("R3C",'Riesgos de Gestión'!$V$27),"")</f>
        <v/>
      </c>
      <c r="AE48" s="36" t="str">
        <f>IF(AND('Riesgos de Gestión'!$AF$28="Muy Baja",'Riesgos de Gestión'!$AH$28="Mayor"),CONCATENATE("R3C",'Riesgos de Gestión'!$V$28),"")</f>
        <v/>
      </c>
      <c r="AF48" s="36" t="str">
        <f>IF(AND('Riesgos de Gestión'!$AF$29="Muy Baja",'Riesgos de Gestión'!$AH$29="Mayor"),CONCATENATE("R3C",'Riesgos de Gestión'!$V$29),"")</f>
        <v/>
      </c>
      <c r="AG48" s="37" t="str">
        <f>IF(AND('Riesgos de Gestión'!$AF$30="Muy Baja",'Riesgos de Gestión'!$AH$30="Mayor"),CONCATENATE("R3C",'Riesgos de Gestión'!$V$30),"")</f>
        <v/>
      </c>
      <c r="AH48" s="38" t="str">
        <f>IF(AND('Riesgos de Gestión'!$AF$25="Muy Baja",'Riesgos de Gestión'!$AH$25="Catastrófico"),CONCATENATE("R3C",'Riesgos de Gestión'!$V$25),"")</f>
        <v/>
      </c>
      <c r="AI48" s="39" t="str">
        <f>IF(AND('Riesgos de Gestión'!$AF$26="Muy Baja",'Riesgos de Gestión'!$AH$26="Catastrófico"),CONCATENATE("R3C",'Riesgos de Gestión'!$V$26),"")</f>
        <v/>
      </c>
      <c r="AJ48" s="39" t="str">
        <f>IF(AND('Riesgos de Gestión'!$AF$27="Muy Baja",'Riesgos de Gestión'!$AH$27="Catastrófico"),CONCATENATE("R3C",'Riesgos de Gestión'!$V$27),"")</f>
        <v/>
      </c>
      <c r="AK48" s="39" t="str">
        <f>IF(AND('Riesgos de Gestión'!$AF$28="Muy Baja",'Riesgos de Gestión'!$AH$28="Catastrófico"),CONCATENATE("R3C",'Riesgos de Gestión'!$V$28),"")</f>
        <v/>
      </c>
      <c r="AL48" s="39" t="str">
        <f>IF(AND('Riesgos de Gestión'!$AF$29="Muy Baja",'Riesgos de Gestión'!$AH$29="Catastrófico"),CONCATENATE("R3C",'Riesgos de Gestión'!$V$29),"")</f>
        <v/>
      </c>
      <c r="AM48" s="40" t="str">
        <f>IF(AND('Riesgos de Gestión'!$AF$30="Muy Baja",'Riesgos de Gestión'!$AH$30="Catastrófico"),CONCATENATE("R3C",'Riesgos de Gestión'!$V$30),"")</f>
        <v/>
      </c>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ht="15" customHeight="1" x14ac:dyDescent="0.25">
      <c r="A49" s="66"/>
      <c r="B49" s="510"/>
      <c r="C49" s="510"/>
      <c r="D49" s="511"/>
      <c r="E49" s="551"/>
      <c r="F49" s="552"/>
      <c r="G49" s="552"/>
      <c r="H49" s="552"/>
      <c r="I49" s="553"/>
      <c r="J49" s="59" t="str">
        <f>IF(AND('Riesgos de Gestión'!$AF$31="Muy Baja",'Riesgos de Gestión'!$AH$31="Leve"),CONCATENATE("R4C",'Riesgos de Gestión'!$V$31),"")</f>
        <v/>
      </c>
      <c r="K49" s="60" t="str">
        <f>IF(AND('Riesgos de Gestión'!$AF$32="Muy Baja",'Riesgos de Gestión'!$AH$32="Leve"),CONCATENATE("R4C",'Riesgos de Gestión'!$V$32),"")</f>
        <v/>
      </c>
      <c r="L49" s="60" t="str">
        <f>IF(AND('Riesgos de Gestión'!$AF$33="Muy Baja",'Riesgos de Gestión'!$AH$33="Leve"),CONCATENATE("R4C",'Riesgos de Gestión'!$V$33),"")</f>
        <v/>
      </c>
      <c r="M49" s="60" t="str">
        <f>IF(AND('Riesgos de Gestión'!$AF$34="Muy Baja",'Riesgos de Gestión'!$AH$34="Leve"),CONCATENATE("R4C",'Riesgos de Gestión'!$V$34),"")</f>
        <v/>
      </c>
      <c r="N49" s="60" t="str">
        <f>IF(AND('Riesgos de Gestión'!$AF$35="Muy Baja",'Riesgos de Gestión'!$AH$35="Leve"),CONCATENATE("R4C",'Riesgos de Gestión'!$V$35),"")</f>
        <v/>
      </c>
      <c r="O49" s="61" t="str">
        <f>IF(AND('Riesgos de Gestión'!$AF$36="Muy Baja",'Riesgos de Gestión'!$AH$36="Leve"),CONCATENATE("R4C",'Riesgos de Gestión'!$V$36),"")</f>
        <v/>
      </c>
      <c r="P49" s="59" t="str">
        <f>IF(AND('Riesgos de Gestión'!$AF$31="Muy Baja",'Riesgos de Gestión'!$AH$31="Menor"),CONCATENATE("R4C",'Riesgos de Gestión'!$V$31),"")</f>
        <v/>
      </c>
      <c r="Q49" s="60" t="str">
        <f>IF(AND('Riesgos de Gestión'!$AF$32="Muy Baja",'Riesgos de Gestión'!$AH$32="Menor"),CONCATENATE("R4C",'Riesgos de Gestión'!$V$32),"")</f>
        <v/>
      </c>
      <c r="R49" s="60" t="str">
        <f>IF(AND('Riesgos de Gestión'!$AF$33="Muy Baja",'Riesgos de Gestión'!$AH$33="Menor"),CONCATENATE("R4C",'Riesgos de Gestión'!$V$33),"")</f>
        <v/>
      </c>
      <c r="S49" s="60" t="str">
        <f>IF(AND('Riesgos de Gestión'!$AF$34="Muy Baja",'Riesgos de Gestión'!$AH$34="Menor"),CONCATENATE("R4C",'Riesgos de Gestión'!$V$34),"")</f>
        <v/>
      </c>
      <c r="T49" s="60" t="str">
        <f>IF(AND('Riesgos de Gestión'!$AF$35="Muy Baja",'Riesgos de Gestión'!$AH$35="Menor"),CONCATENATE("R4C",'Riesgos de Gestión'!$V$35),"")</f>
        <v/>
      </c>
      <c r="U49" s="61" t="str">
        <f>IF(AND('Riesgos de Gestión'!$AF$36="Muy Baja",'Riesgos de Gestión'!$AH$36="Menor"),CONCATENATE("R4C",'Riesgos de Gestión'!$V$36),"")</f>
        <v/>
      </c>
      <c r="V49" s="50" t="str">
        <f>IF(AND('Riesgos de Gestión'!$AF$31="Muy Baja",'Riesgos de Gestión'!$AH$31="Moderado"),CONCATENATE("R4C",'Riesgos de Gestión'!$V$31),"")</f>
        <v/>
      </c>
      <c r="W49" s="51" t="str">
        <f>IF(AND('Riesgos de Gestión'!$AF$32="Muy Baja",'Riesgos de Gestión'!$AH$32="Moderado"),CONCATENATE("R4C",'Riesgos de Gestión'!$V$32),"")</f>
        <v/>
      </c>
      <c r="X49" s="51" t="str">
        <f>IF(AND('Riesgos de Gestión'!$AF$33="Muy Baja",'Riesgos de Gestión'!$AH$33="Moderado"),CONCATENATE("R4C",'Riesgos de Gestión'!$V$33),"")</f>
        <v/>
      </c>
      <c r="Y49" s="51" t="str">
        <f>IF(AND('Riesgos de Gestión'!$AF$34="Muy Baja",'Riesgos de Gestión'!$AH$34="Moderado"),CONCATENATE("R4C",'Riesgos de Gestión'!$V$34),"")</f>
        <v/>
      </c>
      <c r="Z49" s="51" t="str">
        <f>IF(AND('Riesgos de Gestión'!$AF$35="Muy Baja",'Riesgos de Gestión'!$AH$35="Moderado"),CONCATENATE("R4C",'Riesgos de Gestión'!$V$35),"")</f>
        <v/>
      </c>
      <c r="AA49" s="52" t="str">
        <f>IF(AND('Riesgos de Gestión'!$AF$36="Muy Baja",'Riesgos de Gestión'!$AH$36="Moderado"),CONCATENATE("R4C",'Riesgos de Gestión'!$V$36),"")</f>
        <v/>
      </c>
      <c r="AB49" s="35" t="str">
        <f>IF(AND('Riesgos de Gestión'!$AF$31="Muy Baja",'Riesgos de Gestión'!$AH$31="Mayor"),CONCATENATE("R4C",'Riesgos de Gestión'!$V$31),"")</f>
        <v/>
      </c>
      <c r="AC49" s="36" t="str">
        <f>IF(AND('Riesgos de Gestión'!$AF$32="Muy Baja",'Riesgos de Gestión'!$AH$32="Mayor"),CONCATENATE("R4C",'Riesgos de Gestión'!$V$32),"")</f>
        <v/>
      </c>
      <c r="AD49" s="36" t="str">
        <f>IF(AND('Riesgos de Gestión'!$AF$33="Muy Baja",'Riesgos de Gestión'!$AH$33="Mayor"),CONCATENATE("R4C",'Riesgos de Gestión'!$V$33),"")</f>
        <v/>
      </c>
      <c r="AE49" s="36" t="str">
        <f>IF(AND('Riesgos de Gestión'!$AF$34="Muy Baja",'Riesgos de Gestión'!$AH$34="Mayor"),CONCATENATE("R4C",'Riesgos de Gestión'!$V$34),"")</f>
        <v/>
      </c>
      <c r="AF49" s="36" t="str">
        <f>IF(AND('Riesgos de Gestión'!$AF$35="Muy Baja",'Riesgos de Gestión'!$AH$35="Mayor"),CONCATENATE("R4C",'Riesgos de Gestión'!$V$35),"")</f>
        <v/>
      </c>
      <c r="AG49" s="37" t="str">
        <f>IF(AND('Riesgos de Gestión'!$AF$36="Muy Baja",'Riesgos de Gestión'!$AH$36="Mayor"),CONCATENATE("R4C",'Riesgos de Gestión'!$V$36),"")</f>
        <v/>
      </c>
      <c r="AH49" s="38" t="str">
        <f>IF(AND('Riesgos de Gestión'!$AF$31="Muy Baja",'Riesgos de Gestión'!$AH$31="Catastrófico"),CONCATENATE("R4C",'Riesgos de Gestión'!$V$31),"")</f>
        <v/>
      </c>
      <c r="AI49" s="39" t="str">
        <f>IF(AND('Riesgos de Gestión'!$AF$32="Muy Baja",'Riesgos de Gestión'!$AH$32="Catastrófico"),CONCATENATE("R4C",'Riesgos de Gestión'!$V$32),"")</f>
        <v/>
      </c>
      <c r="AJ49" s="39" t="str">
        <f>IF(AND('Riesgos de Gestión'!$AF$33="Muy Baja",'Riesgos de Gestión'!$AH$33="Catastrófico"),CONCATENATE("R4C",'Riesgos de Gestión'!$V$33),"")</f>
        <v/>
      </c>
      <c r="AK49" s="39" t="str">
        <f>IF(AND('Riesgos de Gestión'!$AF$34="Muy Baja",'Riesgos de Gestión'!$AH$34="Catastrófico"),CONCATENATE("R4C",'Riesgos de Gestión'!$V$34),"")</f>
        <v/>
      </c>
      <c r="AL49" s="39" t="str">
        <f>IF(AND('Riesgos de Gestión'!$AF$35="Muy Baja",'Riesgos de Gestión'!$AH$35="Catastrófico"),CONCATENATE("R4C",'Riesgos de Gestión'!$V$35),"")</f>
        <v/>
      </c>
      <c r="AM49" s="40" t="str">
        <f>IF(AND('Riesgos de Gestión'!$AF$36="Muy Baja",'Riesgos de Gestión'!$AH$36="Catastrófico"),CONCATENATE("R4C",'Riesgos de Gestión'!$V$36),"")</f>
        <v/>
      </c>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ht="15" customHeight="1" x14ac:dyDescent="0.25">
      <c r="A50" s="66"/>
      <c r="B50" s="510"/>
      <c r="C50" s="510"/>
      <c r="D50" s="511"/>
      <c r="E50" s="551"/>
      <c r="F50" s="552"/>
      <c r="G50" s="552"/>
      <c r="H50" s="552"/>
      <c r="I50" s="553"/>
      <c r="J50" s="59" t="str">
        <f>IF(AND('Riesgos de Gestión'!$AF$37="Muy Baja",'Riesgos de Gestión'!$AH$37="Leve"),CONCATENATE("R5C",'Riesgos de Gestión'!$V$37),"")</f>
        <v/>
      </c>
      <c r="K50" s="60" t="str">
        <f>IF(AND('Riesgos de Gestión'!$AF$38="Muy Baja",'Riesgos de Gestión'!$AH$38="Leve"),CONCATENATE("R5C",'Riesgos de Gestión'!$V$38),"")</f>
        <v/>
      </c>
      <c r="L50" s="60" t="str">
        <f>IF(AND('Riesgos de Gestión'!$AF$39="Muy Baja",'Riesgos de Gestión'!$AH$39="Leve"),CONCATENATE("R5C",'Riesgos de Gestión'!$V$39),"")</f>
        <v/>
      </c>
      <c r="M50" s="60" t="str">
        <f>IF(AND('Riesgos de Gestión'!$AF$40="Muy Baja",'Riesgos de Gestión'!$AH$40="Leve"),CONCATENATE("R5C",'Riesgos de Gestión'!$V$40),"")</f>
        <v/>
      </c>
      <c r="N50" s="60" t="str">
        <f>IF(AND('Riesgos de Gestión'!$AF$41="Muy Baja",'Riesgos de Gestión'!$AH$41="Leve"),CONCATENATE("R5C",'Riesgos de Gestión'!$V$41),"")</f>
        <v/>
      </c>
      <c r="O50" s="61" t="str">
        <f>IF(AND('Riesgos de Gestión'!$AF$42="Muy Baja",'Riesgos de Gestión'!$AH$42="Leve"),CONCATENATE("R5C",'Riesgos de Gestión'!$V$42),"")</f>
        <v/>
      </c>
      <c r="P50" s="59" t="str">
        <f>IF(AND('Riesgos de Gestión'!$AF$37="Muy Baja",'Riesgos de Gestión'!$AH$37="Menor"),CONCATENATE("R5C",'Riesgos de Gestión'!$V$37),"")</f>
        <v/>
      </c>
      <c r="Q50" s="60" t="str">
        <f>IF(AND('Riesgos de Gestión'!$AF$38="Muy Baja",'Riesgos de Gestión'!$AH$38="Menor"),CONCATENATE("R5C",'Riesgos de Gestión'!$V$38),"")</f>
        <v/>
      </c>
      <c r="R50" s="60" t="str">
        <f>IF(AND('Riesgos de Gestión'!$AF$39="Muy Baja",'Riesgos de Gestión'!$AH$39="Menor"),CONCATENATE("R5C",'Riesgos de Gestión'!$V$39),"")</f>
        <v/>
      </c>
      <c r="S50" s="60" t="str">
        <f>IF(AND('Riesgos de Gestión'!$AF$40="Muy Baja",'Riesgos de Gestión'!$AH$40="Menor"),CONCATENATE("R5C",'Riesgos de Gestión'!$V$40),"")</f>
        <v/>
      </c>
      <c r="T50" s="60" t="str">
        <f>IF(AND('Riesgos de Gestión'!$AF$41="Muy Baja",'Riesgos de Gestión'!$AH$41="Menor"),CONCATENATE("R5C",'Riesgos de Gestión'!$V$41),"")</f>
        <v/>
      </c>
      <c r="U50" s="61" t="str">
        <f>IF(AND('Riesgos de Gestión'!$AF$42="Muy Baja",'Riesgos de Gestión'!$AH$42="Menor"),CONCATENATE("R5C",'Riesgos de Gestión'!$V$42),"")</f>
        <v/>
      </c>
      <c r="V50" s="50" t="str">
        <f>IF(AND('Riesgos de Gestión'!$AF$37="Muy Baja",'Riesgos de Gestión'!$AH$37="Moderado"),CONCATENATE("R5C",'Riesgos de Gestión'!$V$37),"")</f>
        <v/>
      </c>
      <c r="W50" s="51" t="str">
        <f>IF(AND('Riesgos de Gestión'!$AF$38="Muy Baja",'Riesgos de Gestión'!$AH$38="Moderado"),CONCATENATE("R5C",'Riesgos de Gestión'!$V$38),"")</f>
        <v/>
      </c>
      <c r="X50" s="51" t="str">
        <f>IF(AND('Riesgos de Gestión'!$AF$39="Muy Baja",'Riesgos de Gestión'!$AH$39="Moderado"),CONCATENATE("R5C",'Riesgos de Gestión'!$V$39),"")</f>
        <v/>
      </c>
      <c r="Y50" s="51" t="str">
        <f>IF(AND('Riesgos de Gestión'!$AF$40="Muy Baja",'Riesgos de Gestión'!$AH$40="Moderado"),CONCATENATE("R5C",'Riesgos de Gestión'!$V$40),"")</f>
        <v/>
      </c>
      <c r="Z50" s="51" t="str">
        <f>IF(AND('Riesgos de Gestión'!$AF$41="Muy Baja",'Riesgos de Gestión'!$AH$41="Moderado"),CONCATENATE("R5C",'Riesgos de Gestión'!$V$41),"")</f>
        <v/>
      </c>
      <c r="AA50" s="52" t="str">
        <f>IF(AND('Riesgos de Gestión'!$AF$42="Muy Baja",'Riesgos de Gestión'!$AH$42="Moderado"),CONCATENATE("R5C",'Riesgos de Gestión'!$V$42),"")</f>
        <v/>
      </c>
      <c r="AB50" s="35" t="str">
        <f>IF(AND('Riesgos de Gestión'!$AF$37="Muy Baja",'Riesgos de Gestión'!$AH$37="Mayor"),CONCATENATE("R5C",'Riesgos de Gestión'!$V$37),"")</f>
        <v/>
      </c>
      <c r="AC50" s="36" t="str">
        <f>IF(AND('Riesgos de Gestión'!$AF$38="Muy Baja",'Riesgos de Gestión'!$AH$38="Mayor"),CONCATENATE("R5C",'Riesgos de Gestión'!$V$38),"")</f>
        <v/>
      </c>
      <c r="AD50" s="36" t="str">
        <f>IF(AND('Riesgos de Gestión'!$AF$39="Muy Baja",'Riesgos de Gestión'!$AH$39="Mayor"),CONCATENATE("R5C",'Riesgos de Gestión'!$V$39),"")</f>
        <v/>
      </c>
      <c r="AE50" s="36" t="str">
        <f>IF(AND('Riesgos de Gestión'!$AF$40="Muy Baja",'Riesgos de Gestión'!$AH$40="Mayor"),CONCATENATE("R5C",'Riesgos de Gestión'!$V$40),"")</f>
        <v/>
      </c>
      <c r="AF50" s="36" t="str">
        <f>IF(AND('Riesgos de Gestión'!$AF$41="Muy Baja",'Riesgos de Gestión'!$AH$41="Mayor"),CONCATENATE("R5C",'Riesgos de Gestión'!$V$41),"")</f>
        <v/>
      </c>
      <c r="AG50" s="37" t="str">
        <f>IF(AND('Riesgos de Gestión'!$AF$42="Muy Baja",'Riesgos de Gestión'!$AH$42="Mayor"),CONCATENATE("R5C",'Riesgos de Gestión'!$V$42),"")</f>
        <v/>
      </c>
      <c r="AH50" s="38" t="str">
        <f>IF(AND('Riesgos de Gestión'!$AF$37="Muy Baja",'Riesgos de Gestión'!$AH$37="Catastrófico"),CONCATENATE("R5C",'Riesgos de Gestión'!$V$37),"")</f>
        <v/>
      </c>
      <c r="AI50" s="39" t="str">
        <f>IF(AND('Riesgos de Gestión'!$AF$38="Muy Baja",'Riesgos de Gestión'!$AH$38="Catastrófico"),CONCATENATE("R5C",'Riesgos de Gestión'!$V$38),"")</f>
        <v/>
      </c>
      <c r="AJ50" s="39" t="str">
        <f>IF(AND('Riesgos de Gestión'!$AF$39="Muy Baja",'Riesgos de Gestión'!$AH$39="Catastrófico"),CONCATENATE("R5C",'Riesgos de Gestión'!$V$39),"")</f>
        <v/>
      </c>
      <c r="AK50" s="39" t="str">
        <f>IF(AND('Riesgos de Gestión'!$AF$40="Muy Baja",'Riesgos de Gestión'!$AH$40="Catastrófico"),CONCATENATE("R5C",'Riesgos de Gestión'!$V$40),"")</f>
        <v/>
      </c>
      <c r="AL50" s="39" t="str">
        <f>IF(AND('Riesgos de Gestión'!$AF$41="Muy Baja",'Riesgos de Gestión'!$AH$41="Catastrófico"),CONCATENATE("R5C",'Riesgos de Gestión'!$V$41),"")</f>
        <v/>
      </c>
      <c r="AM50" s="40" t="str">
        <f>IF(AND('Riesgos de Gestión'!$AF$42="Muy Baja",'Riesgos de Gestión'!$AH$42="Catastrófico"),CONCATENATE("R5C",'Riesgos de Gestión'!$V$42),"")</f>
        <v/>
      </c>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 customHeight="1" x14ac:dyDescent="0.25">
      <c r="A51" s="66"/>
      <c r="B51" s="510"/>
      <c r="C51" s="510"/>
      <c r="D51" s="511"/>
      <c r="E51" s="551"/>
      <c r="F51" s="552"/>
      <c r="G51" s="552"/>
      <c r="H51" s="552"/>
      <c r="I51" s="553"/>
      <c r="J51" s="59" t="str">
        <f>IF(AND('Riesgos de Gestión'!$AF$43="Muy Baja",'Riesgos de Gestión'!$AH$43="Leve"),CONCATENATE("R6C",'Riesgos de Gestión'!$V$43),"")</f>
        <v/>
      </c>
      <c r="K51" s="60" t="str">
        <f>IF(AND('Riesgos de Gestión'!$AF$44="Muy Baja",'Riesgos de Gestión'!$AH$44="Leve"),CONCATENATE("R6C",'Riesgos de Gestión'!$V$44),"")</f>
        <v/>
      </c>
      <c r="L51" s="60" t="str">
        <f>IF(AND('Riesgos de Gestión'!$AF$45="Muy Baja",'Riesgos de Gestión'!$AH$45="Leve"),CONCATENATE("R6C",'Riesgos de Gestión'!$V$45),"")</f>
        <v/>
      </c>
      <c r="M51" s="60" t="str">
        <f>IF(AND('Riesgos de Gestión'!$AF$46="Muy Baja",'Riesgos de Gestión'!$AH$46="Leve"),CONCATENATE("R6C",'Riesgos de Gestión'!$V$46),"")</f>
        <v/>
      </c>
      <c r="N51" s="60" t="str">
        <f>IF(AND('Riesgos de Gestión'!$AF$47="Muy Baja",'Riesgos de Gestión'!$AH$47="Leve"),CONCATENATE("R6C",'Riesgos de Gestión'!$V$47),"")</f>
        <v/>
      </c>
      <c r="O51" s="61" t="str">
        <f>IF(AND('Riesgos de Gestión'!$AF$48="Muy Baja",'Riesgos de Gestión'!$AH$48="Leve"),CONCATENATE("R6C",'Riesgos de Gestión'!$V$48),"")</f>
        <v/>
      </c>
      <c r="P51" s="59" t="str">
        <f>IF(AND('Riesgos de Gestión'!$AF$43="Muy Baja",'Riesgos de Gestión'!$AH$43="Menor"),CONCATENATE("R6C",'Riesgos de Gestión'!$V$43),"")</f>
        <v/>
      </c>
      <c r="Q51" s="60" t="str">
        <f>IF(AND('Riesgos de Gestión'!$AF$44="Muy Baja",'Riesgos de Gestión'!$AH$44="Menor"),CONCATENATE("R6C",'Riesgos de Gestión'!$V$44),"")</f>
        <v/>
      </c>
      <c r="R51" s="60" t="str">
        <f>IF(AND('Riesgos de Gestión'!$AF$45="Muy Baja",'Riesgos de Gestión'!$AH$45="Menor"),CONCATENATE("R6C",'Riesgos de Gestión'!$V$45),"")</f>
        <v/>
      </c>
      <c r="S51" s="60" t="str">
        <f>IF(AND('Riesgos de Gestión'!$AF$46="Muy Baja",'Riesgos de Gestión'!$AH$46="Menor"),CONCATENATE("R6C",'Riesgos de Gestión'!$V$46),"")</f>
        <v/>
      </c>
      <c r="T51" s="60" t="str">
        <f>IF(AND('Riesgos de Gestión'!$AF$47="Muy Baja",'Riesgos de Gestión'!$AH$47="Menor"),CONCATENATE("R6C",'Riesgos de Gestión'!$V$47),"")</f>
        <v/>
      </c>
      <c r="U51" s="61" t="str">
        <f>IF(AND('Riesgos de Gestión'!$AF$48="Muy Baja",'Riesgos de Gestión'!$AH$48="Menor"),CONCATENATE("R6C",'Riesgos de Gestión'!$V$48),"")</f>
        <v/>
      </c>
      <c r="V51" s="50" t="str">
        <f>IF(AND('Riesgos de Gestión'!$AF$43="Muy Baja",'Riesgos de Gestión'!$AH$43="Moderado"),CONCATENATE("R6C",'Riesgos de Gestión'!$V$43),"")</f>
        <v/>
      </c>
      <c r="W51" s="51" t="str">
        <f>IF(AND('Riesgos de Gestión'!$AF$44="Muy Baja",'Riesgos de Gestión'!$AH$44="Moderado"),CONCATENATE("R6C",'Riesgos de Gestión'!$V$44),"")</f>
        <v/>
      </c>
      <c r="X51" s="51" t="str">
        <f>IF(AND('Riesgos de Gestión'!$AF$45="Muy Baja",'Riesgos de Gestión'!$AH$45="Moderado"),CONCATENATE("R6C",'Riesgos de Gestión'!$V$45),"")</f>
        <v/>
      </c>
      <c r="Y51" s="51" t="str">
        <f>IF(AND('Riesgos de Gestión'!$AF$46="Muy Baja",'Riesgos de Gestión'!$AH$46="Moderado"),CONCATENATE("R6C",'Riesgos de Gestión'!$V$46),"")</f>
        <v/>
      </c>
      <c r="Z51" s="51" t="str">
        <f>IF(AND('Riesgos de Gestión'!$AF$47="Muy Baja",'Riesgos de Gestión'!$AH$47="Moderado"),CONCATENATE("R6C",'Riesgos de Gestión'!$V$47),"")</f>
        <v/>
      </c>
      <c r="AA51" s="52" t="str">
        <f>IF(AND('Riesgos de Gestión'!$AF$48="Muy Baja",'Riesgos de Gestión'!$AH$48="Moderado"),CONCATENATE("R6C",'Riesgos de Gestión'!$V$48),"")</f>
        <v/>
      </c>
      <c r="AB51" s="35" t="str">
        <f>IF(AND('Riesgos de Gestión'!$AF$43="Muy Baja",'Riesgos de Gestión'!$AH$43="Mayor"),CONCATENATE("R6C",'Riesgos de Gestión'!$V$43),"")</f>
        <v/>
      </c>
      <c r="AC51" s="36" t="str">
        <f>IF(AND('Riesgos de Gestión'!$AF$44="Muy Baja",'Riesgos de Gestión'!$AH$44="Mayor"),CONCATENATE("R6C",'Riesgos de Gestión'!$V$44),"")</f>
        <v/>
      </c>
      <c r="AD51" s="36" t="str">
        <f>IF(AND('Riesgos de Gestión'!$AF$45="Muy Baja",'Riesgos de Gestión'!$AH$45="Mayor"),CONCATENATE("R6C",'Riesgos de Gestión'!$V$45),"")</f>
        <v/>
      </c>
      <c r="AE51" s="36" t="str">
        <f>IF(AND('Riesgos de Gestión'!$AF$46="Muy Baja",'Riesgos de Gestión'!$AH$46="Mayor"),CONCATENATE("R6C",'Riesgos de Gestión'!$V$46),"")</f>
        <v/>
      </c>
      <c r="AF51" s="36" t="str">
        <f>IF(AND('Riesgos de Gestión'!$AF$47="Muy Baja",'Riesgos de Gestión'!$AH$47="Mayor"),CONCATENATE("R6C",'Riesgos de Gestión'!$V$47),"")</f>
        <v/>
      </c>
      <c r="AG51" s="37" t="str">
        <f>IF(AND('Riesgos de Gestión'!$AF$48="Muy Baja",'Riesgos de Gestión'!$AH$48="Mayor"),CONCATENATE("R6C",'Riesgos de Gestión'!$V$48),"")</f>
        <v/>
      </c>
      <c r="AH51" s="38" t="str">
        <f>IF(AND('Riesgos de Gestión'!$AF$43="Muy Baja",'Riesgos de Gestión'!$AH$43="Catastrófico"),CONCATENATE("R6C",'Riesgos de Gestión'!$V$43),"")</f>
        <v/>
      </c>
      <c r="AI51" s="39" t="str">
        <f>IF(AND('Riesgos de Gestión'!$AF$44="Muy Baja",'Riesgos de Gestión'!$AH$44="Catastrófico"),CONCATENATE("R6C",'Riesgos de Gestión'!$V$44),"")</f>
        <v/>
      </c>
      <c r="AJ51" s="39" t="str">
        <f>IF(AND('Riesgos de Gestión'!$AF$45="Muy Baja",'Riesgos de Gestión'!$AH$45="Catastrófico"),CONCATENATE("R6C",'Riesgos de Gestión'!$V$45),"")</f>
        <v/>
      </c>
      <c r="AK51" s="39" t="str">
        <f>IF(AND('Riesgos de Gestión'!$AF$46="Muy Baja",'Riesgos de Gestión'!$AH$46="Catastrófico"),CONCATENATE("R6C",'Riesgos de Gestión'!$V$46),"")</f>
        <v/>
      </c>
      <c r="AL51" s="39" t="str">
        <f>IF(AND('Riesgos de Gestión'!$AF$47="Muy Baja",'Riesgos de Gestión'!$AH$47="Catastrófico"),CONCATENATE("R6C",'Riesgos de Gestión'!$V$47),"")</f>
        <v/>
      </c>
      <c r="AM51" s="40" t="str">
        <f>IF(AND('Riesgos de Gestión'!$AF$48="Muy Baja",'Riesgos de Gestión'!$AH$48="Catastrófico"),CONCATENATE("R6C",'Riesgos de Gestión'!$V$48),"")</f>
        <v/>
      </c>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ht="15" customHeight="1" x14ac:dyDescent="0.25">
      <c r="A52" s="66"/>
      <c r="B52" s="510"/>
      <c r="C52" s="510"/>
      <c r="D52" s="511"/>
      <c r="E52" s="551"/>
      <c r="F52" s="552"/>
      <c r="G52" s="552"/>
      <c r="H52" s="552"/>
      <c r="I52" s="553"/>
      <c r="J52" s="59" t="str">
        <f>IF(AND('Riesgos de Gestión'!$AF$49="Muy Baja",'Riesgos de Gestión'!$AH$49="Leve"),CONCATENATE("R7C",'Riesgos de Gestión'!$V$49),"")</f>
        <v/>
      </c>
      <c r="K52" s="60" t="str">
        <f>IF(AND('Riesgos de Gestión'!$AF$50="Muy Baja",'Riesgos de Gestión'!$AH$50="Leve"),CONCATENATE("R7C",'Riesgos de Gestión'!$V$50),"")</f>
        <v/>
      </c>
      <c r="L52" s="60" t="str">
        <f>IF(AND('Riesgos de Gestión'!$AF$51="Muy Baja",'Riesgos de Gestión'!$AH$51="Leve"),CONCATENATE("R7C",'Riesgos de Gestión'!$V$51),"")</f>
        <v/>
      </c>
      <c r="M52" s="60" t="str">
        <f>IF(AND('Riesgos de Gestión'!$AF$52="Muy Baja",'Riesgos de Gestión'!$AH$52="Leve"),CONCATENATE("R7C",'Riesgos de Gestión'!$V$52),"")</f>
        <v/>
      </c>
      <c r="N52" s="60" t="str">
        <f>IF(AND('Riesgos de Gestión'!$AF$53="Muy Baja",'Riesgos de Gestión'!$AH$53="Leve"),CONCATENATE("R7C",'Riesgos de Gestión'!$V$53),"")</f>
        <v/>
      </c>
      <c r="O52" s="61" t="str">
        <f>IF(AND('Riesgos de Gestión'!$AF$54="Muy Baja",'Riesgos de Gestión'!$AH$54="Leve"),CONCATENATE("R7C",'Riesgos de Gestión'!$V$54),"")</f>
        <v/>
      </c>
      <c r="P52" s="59" t="str">
        <f>IF(AND('Riesgos de Gestión'!$AF$49="Muy Baja",'Riesgos de Gestión'!$AH$49="Menor"),CONCATENATE("R7C",'Riesgos de Gestión'!$V$49),"")</f>
        <v/>
      </c>
      <c r="Q52" s="60" t="str">
        <f>IF(AND('Riesgos de Gestión'!$AF$50="Muy Baja",'Riesgos de Gestión'!$AH$50="Menor"),CONCATENATE("R7C",'Riesgos de Gestión'!$V$50),"")</f>
        <v/>
      </c>
      <c r="R52" s="60" t="str">
        <f>IF(AND('Riesgos de Gestión'!$AF$51="Muy Baja",'Riesgos de Gestión'!$AH$51="Menor"),CONCATENATE("R7C",'Riesgos de Gestión'!$V$51),"")</f>
        <v/>
      </c>
      <c r="S52" s="60" t="str">
        <f>IF(AND('Riesgos de Gestión'!$AF$52="Muy Baja",'Riesgos de Gestión'!$AH$52="Menor"),CONCATENATE("R7C",'Riesgos de Gestión'!$V$52),"")</f>
        <v/>
      </c>
      <c r="T52" s="60" t="str">
        <f>IF(AND('Riesgos de Gestión'!$AF$53="Muy Baja",'Riesgos de Gestión'!$AH$53="Menor"),CONCATENATE("R7C",'Riesgos de Gestión'!$V$53),"")</f>
        <v/>
      </c>
      <c r="U52" s="61" t="str">
        <f>IF(AND('Riesgos de Gestión'!$AF$54="Muy Baja",'Riesgos de Gestión'!$AH$54="Menor"),CONCATENATE("R7C",'Riesgos de Gestión'!$V$54),"")</f>
        <v/>
      </c>
      <c r="V52" s="50" t="str">
        <f>IF(AND('Riesgos de Gestión'!$AF$49="Muy Baja",'Riesgos de Gestión'!$AH$49="Moderado"),CONCATENATE("R7C",'Riesgos de Gestión'!$V$49),"")</f>
        <v/>
      </c>
      <c r="W52" s="51" t="str">
        <f>IF(AND('Riesgos de Gestión'!$AF$50="Muy Baja",'Riesgos de Gestión'!$AH$50="Moderado"),CONCATENATE("R7C",'Riesgos de Gestión'!$V$50),"")</f>
        <v/>
      </c>
      <c r="X52" s="51" t="str">
        <f>IF(AND('Riesgos de Gestión'!$AF$51="Muy Baja",'Riesgos de Gestión'!$AH$51="Moderado"),CONCATENATE("R7C",'Riesgos de Gestión'!$V$51),"")</f>
        <v/>
      </c>
      <c r="Y52" s="51" t="str">
        <f>IF(AND('Riesgos de Gestión'!$AF$52="Muy Baja",'Riesgos de Gestión'!$AH$52="Moderado"),CONCATENATE("R7C",'Riesgos de Gestión'!$V$52),"")</f>
        <v/>
      </c>
      <c r="Z52" s="51" t="str">
        <f>IF(AND('Riesgos de Gestión'!$AF$53="Muy Baja",'Riesgos de Gestión'!$AH$53="Moderado"),CONCATENATE("R7C",'Riesgos de Gestión'!$V$53),"")</f>
        <v/>
      </c>
      <c r="AA52" s="52" t="str">
        <f>IF(AND('Riesgos de Gestión'!$AF$54="Muy Baja",'Riesgos de Gestión'!$AH$54="Moderado"),CONCATENATE("R7C",'Riesgos de Gestión'!$V$54),"")</f>
        <v/>
      </c>
      <c r="AB52" s="35" t="str">
        <f>IF(AND('Riesgos de Gestión'!$AF$49="Muy Baja",'Riesgos de Gestión'!$AH$49="Mayor"),CONCATENATE("R7C",'Riesgos de Gestión'!$V$49),"")</f>
        <v/>
      </c>
      <c r="AC52" s="36" t="str">
        <f>IF(AND('Riesgos de Gestión'!$AF$50="Muy Baja",'Riesgos de Gestión'!$AH$50="Mayor"),CONCATENATE("R7C",'Riesgos de Gestión'!$V$50),"")</f>
        <v/>
      </c>
      <c r="AD52" s="36" t="str">
        <f>IF(AND('Riesgos de Gestión'!$AF$51="Muy Baja",'Riesgos de Gestión'!$AH$51="Mayor"),CONCATENATE("R7C",'Riesgos de Gestión'!$V$51),"")</f>
        <v/>
      </c>
      <c r="AE52" s="36" t="str">
        <f>IF(AND('Riesgos de Gestión'!$AF$52="Muy Baja",'Riesgos de Gestión'!$AH$52="Mayor"),CONCATENATE("R7C",'Riesgos de Gestión'!$V$52),"")</f>
        <v/>
      </c>
      <c r="AF52" s="36" t="str">
        <f>IF(AND('Riesgos de Gestión'!$AF$53="Muy Baja",'Riesgos de Gestión'!$AH$53="Mayor"),CONCATENATE("R7C",'Riesgos de Gestión'!$V$53),"")</f>
        <v/>
      </c>
      <c r="AG52" s="37" t="str">
        <f>IF(AND('Riesgos de Gestión'!$AF$54="Muy Baja",'Riesgos de Gestión'!$AH$54="Mayor"),CONCATENATE("R7C",'Riesgos de Gestión'!$V$54),"")</f>
        <v/>
      </c>
      <c r="AH52" s="38" t="str">
        <f>IF(AND('Riesgos de Gestión'!$AF$49="Muy Baja",'Riesgos de Gestión'!$AH$49="Catastrófico"),CONCATENATE("R7C",'Riesgos de Gestión'!$V$49),"")</f>
        <v/>
      </c>
      <c r="AI52" s="39" t="str">
        <f>IF(AND('Riesgos de Gestión'!$AF$50="Muy Baja",'Riesgos de Gestión'!$AH$50="Catastrófico"),CONCATENATE("R7C",'Riesgos de Gestión'!$V$50),"")</f>
        <v/>
      </c>
      <c r="AJ52" s="39" t="str">
        <f>IF(AND('Riesgos de Gestión'!$AF$51="Muy Baja",'Riesgos de Gestión'!$AH$51="Catastrófico"),CONCATENATE("R7C",'Riesgos de Gestión'!$V$51),"")</f>
        <v/>
      </c>
      <c r="AK52" s="39" t="str">
        <f>IF(AND('Riesgos de Gestión'!$AF$52="Muy Baja",'Riesgos de Gestión'!$AH$52="Catastrófico"),CONCATENATE("R7C",'Riesgos de Gestión'!$V$52),"")</f>
        <v/>
      </c>
      <c r="AL52" s="39" t="str">
        <f>IF(AND('Riesgos de Gestión'!$AF$53="Muy Baja",'Riesgos de Gestión'!$AH$53="Catastrófico"),CONCATENATE("R7C",'Riesgos de Gestión'!$V$53),"")</f>
        <v/>
      </c>
      <c r="AM52" s="40" t="str">
        <f>IF(AND('Riesgos de Gestión'!$AF$54="Muy Baja",'Riesgos de Gestión'!$AH$54="Catastrófico"),CONCATENATE("R7C",'Riesgos de Gestión'!$V$54),"")</f>
        <v/>
      </c>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510"/>
      <c r="C53" s="510"/>
      <c r="D53" s="511"/>
      <c r="E53" s="551"/>
      <c r="F53" s="552"/>
      <c r="G53" s="552"/>
      <c r="H53" s="552"/>
      <c r="I53" s="553"/>
      <c r="J53" s="59" t="str">
        <f>IF(AND('Riesgos de Gestión'!$AF$55="Muy Baja",'Riesgos de Gestión'!$AH$55="Leve"),CONCATENATE("R8C",'Riesgos de Gestión'!$V$55),"")</f>
        <v/>
      </c>
      <c r="K53" s="60" t="str">
        <f>IF(AND('Riesgos de Gestión'!$AF$56="Muy Baja",'Riesgos de Gestión'!$AH$56="Leve"),CONCATENATE("R8C",'Riesgos de Gestión'!$V$56),"")</f>
        <v/>
      </c>
      <c r="L53" s="60" t="str">
        <f>IF(AND('Riesgos de Gestión'!$AF$57="Muy Baja",'Riesgos de Gestión'!$AH$57="Leve"),CONCATENATE("R8C",'Riesgos de Gestión'!$V$57),"")</f>
        <v/>
      </c>
      <c r="M53" s="60" t="str">
        <f>IF(AND('Riesgos de Gestión'!$AF$58="Muy Baja",'Riesgos de Gestión'!$AH$58="Leve"),CONCATENATE("R8C",'Riesgos de Gestión'!$V$58),"")</f>
        <v/>
      </c>
      <c r="N53" s="60" t="str">
        <f>IF(AND('Riesgos de Gestión'!$AF$59="Muy Baja",'Riesgos de Gestión'!$AH$59="Leve"),CONCATENATE("R8C",'Riesgos de Gestión'!$V$59),"")</f>
        <v/>
      </c>
      <c r="O53" s="61" t="str">
        <f>IF(AND('Riesgos de Gestión'!$AF$60="Muy Baja",'Riesgos de Gestión'!$AH$60="Leve"),CONCATENATE("R8C",'Riesgos de Gestión'!$V$60),"")</f>
        <v/>
      </c>
      <c r="P53" s="59" t="str">
        <f>IF(AND('Riesgos de Gestión'!$AF$55="Muy Baja",'Riesgos de Gestión'!$AH$55="Menor"),CONCATENATE("R8C",'Riesgos de Gestión'!$V$55),"")</f>
        <v/>
      </c>
      <c r="Q53" s="60" t="str">
        <f>IF(AND('Riesgos de Gestión'!$AF$56="Muy Baja",'Riesgos de Gestión'!$AH$56="Menor"),CONCATENATE("R8C",'Riesgos de Gestión'!$V$56),"")</f>
        <v/>
      </c>
      <c r="R53" s="60" t="str">
        <f>IF(AND('Riesgos de Gestión'!$AF$57="Muy Baja",'Riesgos de Gestión'!$AH$57="Menor"),CONCATENATE("R8C",'Riesgos de Gestión'!$V$57),"")</f>
        <v/>
      </c>
      <c r="S53" s="60" t="str">
        <f>IF(AND('Riesgos de Gestión'!$AF$58="Muy Baja",'Riesgos de Gestión'!$AH$58="Menor"),CONCATENATE("R8C",'Riesgos de Gestión'!$V$58),"")</f>
        <v/>
      </c>
      <c r="T53" s="60" t="str">
        <f>IF(AND('Riesgos de Gestión'!$AF$59="Muy Baja",'Riesgos de Gestión'!$AH$59="Menor"),CONCATENATE("R8C",'Riesgos de Gestión'!$V$59),"")</f>
        <v/>
      </c>
      <c r="U53" s="61" t="str">
        <f>IF(AND('Riesgos de Gestión'!$AF$60="Muy Baja",'Riesgos de Gestión'!$AH$60="Menor"),CONCATENATE("R8C",'Riesgos de Gestión'!$V$60),"")</f>
        <v/>
      </c>
      <c r="V53" s="50" t="str">
        <f>IF(AND('Riesgos de Gestión'!$AF$55="Muy Baja",'Riesgos de Gestión'!$AH$55="Moderado"),CONCATENATE("R8C",'Riesgos de Gestión'!$V$55),"")</f>
        <v/>
      </c>
      <c r="W53" s="51" t="str">
        <f>IF(AND('Riesgos de Gestión'!$AF$56="Muy Baja",'Riesgos de Gestión'!$AH$56="Moderado"),CONCATENATE("R8C",'Riesgos de Gestión'!$V$56),"")</f>
        <v/>
      </c>
      <c r="X53" s="51" t="str">
        <f>IF(AND('Riesgos de Gestión'!$AF$57="Muy Baja",'Riesgos de Gestión'!$AH$57="Moderado"),CONCATENATE("R8C",'Riesgos de Gestión'!$V$57),"")</f>
        <v/>
      </c>
      <c r="Y53" s="51" t="str">
        <f>IF(AND('Riesgos de Gestión'!$AF$58="Muy Baja",'Riesgos de Gestión'!$AH$58="Moderado"),CONCATENATE("R8C",'Riesgos de Gestión'!$V$58),"")</f>
        <v/>
      </c>
      <c r="Z53" s="51" t="str">
        <f>IF(AND('Riesgos de Gestión'!$AF$59="Muy Baja",'Riesgos de Gestión'!$AH$59="Moderado"),CONCATENATE("R8C",'Riesgos de Gestión'!$V$59),"")</f>
        <v/>
      </c>
      <c r="AA53" s="52" t="str">
        <f>IF(AND('Riesgos de Gestión'!$AF$60="Muy Baja",'Riesgos de Gestión'!$AH$60="Moderado"),CONCATENATE("R8C",'Riesgos de Gestión'!$V$60),"")</f>
        <v/>
      </c>
      <c r="AB53" s="35" t="str">
        <f>IF(AND('Riesgos de Gestión'!$AF$55="Muy Baja",'Riesgos de Gestión'!$AH$55="Mayor"),CONCATENATE("R8C",'Riesgos de Gestión'!$V$55),"")</f>
        <v/>
      </c>
      <c r="AC53" s="36" t="str">
        <f>IF(AND('Riesgos de Gestión'!$AF$56="Muy Baja",'Riesgos de Gestión'!$AH$56="Mayor"),CONCATENATE("R8C",'Riesgos de Gestión'!$V$56),"")</f>
        <v/>
      </c>
      <c r="AD53" s="36" t="str">
        <f>IF(AND('Riesgos de Gestión'!$AF$57="Muy Baja",'Riesgos de Gestión'!$AH$57="Mayor"),CONCATENATE("R8C",'Riesgos de Gestión'!$V$57),"")</f>
        <v/>
      </c>
      <c r="AE53" s="36" t="str">
        <f>IF(AND('Riesgos de Gestión'!$AF$58="Muy Baja",'Riesgos de Gestión'!$AH$58="Mayor"),CONCATENATE("R8C",'Riesgos de Gestión'!$V$58),"")</f>
        <v/>
      </c>
      <c r="AF53" s="36" t="str">
        <f>IF(AND('Riesgos de Gestión'!$AF$59="Muy Baja",'Riesgos de Gestión'!$AH$59="Mayor"),CONCATENATE("R8C",'Riesgos de Gestión'!$V$59),"")</f>
        <v/>
      </c>
      <c r="AG53" s="37" t="str">
        <f>IF(AND('Riesgos de Gestión'!$AF$60="Muy Baja",'Riesgos de Gestión'!$AH$60="Mayor"),CONCATENATE("R8C",'Riesgos de Gestión'!$V$60),"")</f>
        <v/>
      </c>
      <c r="AH53" s="38" t="str">
        <f>IF(AND('Riesgos de Gestión'!$AF$55="Muy Baja",'Riesgos de Gestión'!$AH$55="Catastrófico"),CONCATENATE("R8C",'Riesgos de Gestión'!$V$55),"")</f>
        <v/>
      </c>
      <c r="AI53" s="39" t="str">
        <f>IF(AND('Riesgos de Gestión'!$AF$56="Muy Baja",'Riesgos de Gestión'!$AH$56="Catastrófico"),CONCATENATE("R8C",'Riesgos de Gestión'!$V$56),"")</f>
        <v/>
      </c>
      <c r="AJ53" s="39" t="str">
        <f>IF(AND('Riesgos de Gestión'!$AF$57="Muy Baja",'Riesgos de Gestión'!$AH$57="Catastrófico"),CONCATENATE("R8C",'Riesgos de Gestión'!$V$57),"")</f>
        <v/>
      </c>
      <c r="AK53" s="39" t="str">
        <f>IF(AND('Riesgos de Gestión'!$AF$58="Muy Baja",'Riesgos de Gestión'!$AH$58="Catastrófico"),CONCATENATE("R8C",'Riesgos de Gestión'!$V$58),"")</f>
        <v/>
      </c>
      <c r="AL53" s="39" t="str">
        <f>IF(AND('Riesgos de Gestión'!$AF$59="Muy Baja",'Riesgos de Gestión'!$AH$59="Catastrófico"),CONCATENATE("R8C",'Riesgos de Gestión'!$V$59),"")</f>
        <v/>
      </c>
      <c r="AM53" s="40" t="str">
        <f>IF(AND('Riesgos de Gestión'!$AF$60="Muy Baja",'Riesgos de Gestión'!$AH$60="Catastrófico"),CONCATENATE("R8C",'Riesgos de Gestión'!$V$60),"")</f>
        <v/>
      </c>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510"/>
      <c r="C54" s="510"/>
      <c r="D54" s="511"/>
      <c r="E54" s="551"/>
      <c r="F54" s="552"/>
      <c r="G54" s="552"/>
      <c r="H54" s="552"/>
      <c r="I54" s="553"/>
      <c r="J54" s="59" t="str">
        <f>IF(AND('Riesgos de Gestión'!$AF$61="Muy Baja",'Riesgos de Gestión'!$AH$61="Leve"),CONCATENATE("R9C",'Riesgos de Gestión'!$V$61),"")</f>
        <v/>
      </c>
      <c r="K54" s="60" t="str">
        <f>IF(AND('Riesgos de Gestión'!$AF$62="Muy Baja",'Riesgos de Gestión'!$AH$62="Leve"),CONCATENATE("R9C",'Riesgos de Gestión'!$V$62),"")</f>
        <v/>
      </c>
      <c r="L54" s="60" t="str">
        <f>IF(AND('Riesgos de Gestión'!$AF$63="Muy Baja",'Riesgos de Gestión'!$AH$63="Leve"),CONCATENATE("R9C",'Riesgos de Gestión'!$V$63),"")</f>
        <v/>
      </c>
      <c r="M54" s="60" t="str">
        <f>IF(AND('Riesgos de Gestión'!$AF$64="Muy Baja",'Riesgos de Gestión'!$AH$64="Leve"),CONCATENATE("R9C",'Riesgos de Gestión'!$V$64),"")</f>
        <v/>
      </c>
      <c r="N54" s="60" t="str">
        <f>IF(AND('Riesgos de Gestión'!$AF$65="Muy Baja",'Riesgos de Gestión'!$AH$65="Leve"),CONCATENATE("R9C",'Riesgos de Gestión'!$V$65),"")</f>
        <v/>
      </c>
      <c r="O54" s="61" t="str">
        <f>IF(AND('Riesgos de Gestión'!$AF$66="Muy Baja",'Riesgos de Gestión'!$AH$66="Leve"),CONCATENATE("R9C",'Riesgos de Gestión'!$V$66),"")</f>
        <v/>
      </c>
      <c r="P54" s="59" t="str">
        <f>IF(AND('Riesgos de Gestión'!$AF$61="Muy Baja",'Riesgos de Gestión'!$AH$61="Menor"),CONCATENATE("R9C",'Riesgos de Gestión'!$V$61),"")</f>
        <v/>
      </c>
      <c r="Q54" s="60" t="str">
        <f>IF(AND('Riesgos de Gestión'!$AF$62="Muy Baja",'Riesgos de Gestión'!$AH$62="Menor"),CONCATENATE("R9C",'Riesgos de Gestión'!$V$62),"")</f>
        <v/>
      </c>
      <c r="R54" s="60" t="str">
        <f>IF(AND('Riesgos de Gestión'!$AF$63="Muy Baja",'Riesgos de Gestión'!$AH$63="Menor"),CONCATENATE("R9C",'Riesgos de Gestión'!$V$63),"")</f>
        <v/>
      </c>
      <c r="S54" s="60" t="str">
        <f>IF(AND('Riesgos de Gestión'!$AF$64="Muy Baja",'Riesgos de Gestión'!$AH$64="Menor"),CONCATENATE("R9C",'Riesgos de Gestión'!$V$64),"")</f>
        <v/>
      </c>
      <c r="T54" s="60" t="str">
        <f>IF(AND('Riesgos de Gestión'!$AF$65="Muy Baja",'Riesgos de Gestión'!$AH$65="Menor"),CONCATENATE("R9C",'Riesgos de Gestión'!$V$65),"")</f>
        <v/>
      </c>
      <c r="U54" s="61" t="str">
        <f>IF(AND('Riesgos de Gestión'!$AF$66="Muy Baja",'Riesgos de Gestión'!$AH$66="Menor"),CONCATENATE("R9C",'Riesgos de Gestión'!$V$66),"")</f>
        <v/>
      </c>
      <c r="V54" s="50" t="str">
        <f>IF(AND('Riesgos de Gestión'!$AF$61="Muy Baja",'Riesgos de Gestión'!$AH$61="Moderado"),CONCATENATE("R9C",'Riesgos de Gestión'!$V$61),"")</f>
        <v/>
      </c>
      <c r="W54" s="51" t="str">
        <f>IF(AND('Riesgos de Gestión'!$AF$62="Muy Baja",'Riesgos de Gestión'!$AH$62="Moderado"),CONCATENATE("R9C",'Riesgos de Gestión'!$V$62),"")</f>
        <v/>
      </c>
      <c r="X54" s="51" t="str">
        <f>IF(AND('Riesgos de Gestión'!$AF$63="Muy Baja",'Riesgos de Gestión'!$AH$63="Moderado"),CONCATENATE("R9C",'Riesgos de Gestión'!$V$63),"")</f>
        <v/>
      </c>
      <c r="Y54" s="51" t="str">
        <f>IF(AND('Riesgos de Gestión'!$AF$64="Muy Baja",'Riesgos de Gestión'!$AH$64="Moderado"),CONCATENATE("R9C",'Riesgos de Gestión'!$V$64),"")</f>
        <v/>
      </c>
      <c r="Z54" s="51" t="str">
        <f>IF(AND('Riesgos de Gestión'!$AF$65="Muy Baja",'Riesgos de Gestión'!$AH$65="Moderado"),CONCATENATE("R9C",'Riesgos de Gestión'!$V$65),"")</f>
        <v/>
      </c>
      <c r="AA54" s="52" t="str">
        <f>IF(AND('Riesgos de Gestión'!$AF$66="Muy Baja",'Riesgos de Gestión'!$AH$66="Moderado"),CONCATENATE("R9C",'Riesgos de Gestión'!$V$66),"")</f>
        <v/>
      </c>
      <c r="AB54" s="35" t="str">
        <f>IF(AND('Riesgos de Gestión'!$AF$61="Muy Baja",'Riesgos de Gestión'!$AH$61="Mayor"),CONCATENATE("R9C",'Riesgos de Gestión'!$V$61),"")</f>
        <v/>
      </c>
      <c r="AC54" s="36" t="str">
        <f>IF(AND('Riesgos de Gestión'!$AF$62="Muy Baja",'Riesgos de Gestión'!$AH$62="Mayor"),CONCATENATE("R9C",'Riesgos de Gestión'!$V$62),"")</f>
        <v/>
      </c>
      <c r="AD54" s="36" t="str">
        <f>IF(AND('Riesgos de Gestión'!$AF$63="Muy Baja",'Riesgos de Gestión'!$AH$63="Mayor"),CONCATENATE("R9C",'Riesgos de Gestión'!$V$63),"")</f>
        <v/>
      </c>
      <c r="AE54" s="36" t="str">
        <f>IF(AND('Riesgos de Gestión'!$AF$64="Muy Baja",'Riesgos de Gestión'!$AH$64="Mayor"),CONCATENATE("R9C",'Riesgos de Gestión'!$V$64),"")</f>
        <v/>
      </c>
      <c r="AF54" s="36" t="str">
        <f>IF(AND('Riesgos de Gestión'!$AF$65="Muy Baja",'Riesgos de Gestión'!$AH$65="Mayor"),CONCATENATE("R9C",'Riesgos de Gestión'!$V$65),"")</f>
        <v/>
      </c>
      <c r="AG54" s="37" t="str">
        <f>IF(AND('Riesgos de Gestión'!$AF$66="Muy Baja",'Riesgos de Gestión'!$AH$66="Mayor"),CONCATENATE("R9C",'Riesgos de Gestión'!$V$66),"")</f>
        <v/>
      </c>
      <c r="AH54" s="38" t="str">
        <f>IF(AND('Riesgos de Gestión'!$AF$61="Muy Baja",'Riesgos de Gestión'!$AH$61="Catastrófico"),CONCATENATE("R9C",'Riesgos de Gestión'!$V$61),"")</f>
        <v/>
      </c>
      <c r="AI54" s="39" t="str">
        <f>IF(AND('Riesgos de Gestión'!$AF$62="Muy Baja",'Riesgos de Gestión'!$AH$62="Catastrófico"),CONCATENATE("R9C",'Riesgos de Gestión'!$V$62),"")</f>
        <v/>
      </c>
      <c r="AJ54" s="39" t="str">
        <f>IF(AND('Riesgos de Gestión'!$AF$63="Muy Baja",'Riesgos de Gestión'!$AH$63="Catastrófico"),CONCATENATE("R9C",'Riesgos de Gestión'!$V$63),"")</f>
        <v/>
      </c>
      <c r="AK54" s="39" t="str">
        <f>IF(AND('Riesgos de Gestión'!$AF$64="Muy Baja",'Riesgos de Gestión'!$AH$64="Catastrófico"),CONCATENATE("R9C",'Riesgos de Gestión'!$V$64),"")</f>
        <v/>
      </c>
      <c r="AL54" s="39" t="str">
        <f>IF(AND('Riesgos de Gestión'!$AF$65="Muy Baja",'Riesgos de Gestión'!$AH$65="Catastrófico"),CONCATENATE("R9C",'Riesgos de Gestión'!$V$65),"")</f>
        <v/>
      </c>
      <c r="AM54" s="40" t="str">
        <f>IF(AND('Riesgos de Gestión'!$AF$66="Muy Baja",'Riesgos de Gestión'!$AH$66="Catastrófico"),CONCATENATE("R9C",'Riesgos de Gestión'!$V$66),"")</f>
        <v/>
      </c>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ht="15.75" customHeight="1" thickBot="1" x14ac:dyDescent="0.3">
      <c r="A55" s="66"/>
      <c r="B55" s="510"/>
      <c r="C55" s="510"/>
      <c r="D55" s="511"/>
      <c r="E55" s="554"/>
      <c r="F55" s="555"/>
      <c r="G55" s="555"/>
      <c r="H55" s="555"/>
      <c r="I55" s="556"/>
      <c r="J55" s="62" t="str">
        <f>IF(AND('Riesgos de Gestión'!$AF$67="Muy Baja",'Riesgos de Gestión'!$AH$67="Leve"),CONCATENATE("R10C",'Riesgos de Gestión'!$V$67),"")</f>
        <v/>
      </c>
      <c r="K55" s="63" t="str">
        <f>IF(AND('Riesgos de Gestión'!$AF$68="Muy Baja",'Riesgos de Gestión'!$AH$68="Leve"),CONCATENATE("R10C",'Riesgos de Gestión'!$V$68),"")</f>
        <v/>
      </c>
      <c r="L55" s="63" t="str">
        <f>IF(AND('Riesgos de Gestión'!$AF$69="Muy Baja",'Riesgos de Gestión'!$AH$69="Leve"),CONCATENATE("R10C",'Riesgos de Gestión'!$V$69),"")</f>
        <v/>
      </c>
      <c r="M55" s="63" t="str">
        <f>IF(AND('Riesgos de Gestión'!$AF$70="Muy Baja",'Riesgos de Gestión'!$AH$70="Leve"),CONCATENATE("R10C",'Riesgos de Gestión'!$V$70),"")</f>
        <v/>
      </c>
      <c r="N55" s="63" t="str">
        <f>IF(AND('Riesgos de Gestión'!$AF$71="Muy Baja",'Riesgos de Gestión'!$AH$71="Leve"),CONCATENATE("R10C",'Riesgos de Gestión'!$V$71),"")</f>
        <v/>
      </c>
      <c r="O55" s="64" t="str">
        <f>IF(AND('Riesgos de Gestión'!$AF$72="Muy Baja",'Riesgos de Gestión'!$AH$72="Leve"),CONCATENATE("R10C",'Riesgos de Gestión'!$V$72),"")</f>
        <v/>
      </c>
      <c r="P55" s="62" t="str">
        <f>IF(AND('Riesgos de Gestión'!$AF$67="Muy Baja",'Riesgos de Gestión'!$AH$67="Menor"),CONCATENATE("R10C",'Riesgos de Gestión'!$V$67),"")</f>
        <v/>
      </c>
      <c r="Q55" s="63" t="str">
        <f>IF(AND('Riesgos de Gestión'!$AF$68="Muy Baja",'Riesgos de Gestión'!$AH$68="Menor"),CONCATENATE("R10C",'Riesgos de Gestión'!$V$68),"")</f>
        <v/>
      </c>
      <c r="R55" s="63" t="str">
        <f>IF(AND('Riesgos de Gestión'!$AF$69="Muy Baja",'Riesgos de Gestión'!$AH$69="Menor"),CONCATENATE("R10C",'Riesgos de Gestión'!$V$69),"")</f>
        <v/>
      </c>
      <c r="S55" s="63" t="str">
        <f>IF(AND('Riesgos de Gestión'!$AF$70="Muy Baja",'Riesgos de Gestión'!$AH$70="Menor"),CONCATENATE("R10C",'Riesgos de Gestión'!$V$70),"")</f>
        <v/>
      </c>
      <c r="T55" s="63" t="str">
        <f>IF(AND('Riesgos de Gestión'!$AF$71="Muy Baja",'Riesgos de Gestión'!$AH$71="Menor"),CONCATENATE("R10C",'Riesgos de Gestión'!$V$71),"")</f>
        <v/>
      </c>
      <c r="U55" s="64" t="str">
        <f>IF(AND('Riesgos de Gestión'!$AF$72="Muy Baja",'Riesgos de Gestión'!$AH$72="Menor"),CONCATENATE("R10C",'Riesgos de Gestión'!$V$72),"")</f>
        <v/>
      </c>
      <c r="V55" s="53" t="str">
        <f>IF(AND('Riesgos de Gestión'!$AF$67="Muy Baja",'Riesgos de Gestión'!$AH$67="Moderado"),CONCATENATE("R10C",'Riesgos de Gestión'!$V$67),"")</f>
        <v/>
      </c>
      <c r="W55" s="54" t="str">
        <f>IF(AND('Riesgos de Gestión'!$AF$68="Muy Baja",'Riesgos de Gestión'!$AH$68="Moderado"),CONCATENATE("R10C",'Riesgos de Gestión'!$V$68),"")</f>
        <v/>
      </c>
      <c r="X55" s="54" t="str">
        <f>IF(AND('Riesgos de Gestión'!$AF$69="Muy Baja",'Riesgos de Gestión'!$AH$69="Moderado"),CONCATENATE("R10C",'Riesgos de Gestión'!$V$69),"")</f>
        <v/>
      </c>
      <c r="Y55" s="54" t="str">
        <f>IF(AND('Riesgos de Gestión'!$AF$70="Muy Baja",'Riesgos de Gestión'!$AH$70="Moderado"),CONCATENATE("R10C",'Riesgos de Gestión'!$V$70),"")</f>
        <v/>
      </c>
      <c r="Z55" s="54" t="str">
        <f>IF(AND('Riesgos de Gestión'!$AF$71="Muy Baja",'Riesgos de Gestión'!$AH$71="Moderado"),CONCATENATE("R10C",'Riesgos de Gestión'!$V$71),"")</f>
        <v/>
      </c>
      <c r="AA55" s="55" t="str">
        <f>IF(AND('Riesgos de Gestión'!$AF$72="Muy Baja",'Riesgos de Gestión'!$AH$72="Moderado"),CONCATENATE("R10C",'Riesgos de Gestión'!$V$72),"")</f>
        <v/>
      </c>
      <c r="AB55" s="41" t="str">
        <f>IF(AND('Riesgos de Gestión'!$AF$67="Muy Baja",'Riesgos de Gestión'!$AH$67="Mayor"),CONCATENATE("R10C",'Riesgos de Gestión'!$V$67),"")</f>
        <v/>
      </c>
      <c r="AC55" s="42" t="str">
        <f>IF(AND('Riesgos de Gestión'!$AF$68="Muy Baja",'Riesgos de Gestión'!$AH$68="Mayor"),CONCATENATE("R10C",'Riesgos de Gestión'!$V$68),"")</f>
        <v/>
      </c>
      <c r="AD55" s="42" t="str">
        <f>IF(AND('Riesgos de Gestión'!$AF$69="Muy Baja",'Riesgos de Gestión'!$AH$69="Mayor"),CONCATENATE("R10C",'Riesgos de Gestión'!$V$69),"")</f>
        <v/>
      </c>
      <c r="AE55" s="42" t="str">
        <f>IF(AND('Riesgos de Gestión'!$AF$70="Muy Baja",'Riesgos de Gestión'!$AH$70="Mayor"),CONCATENATE("R10C",'Riesgos de Gestión'!$V$70),"")</f>
        <v/>
      </c>
      <c r="AF55" s="42" t="str">
        <f>IF(AND('Riesgos de Gestión'!$AF$71="Muy Baja",'Riesgos de Gestión'!$AH$71="Mayor"),CONCATENATE("R10C",'Riesgos de Gestión'!$V$71),"")</f>
        <v/>
      </c>
      <c r="AG55" s="43" t="str">
        <f>IF(AND('Riesgos de Gestión'!$AF$72="Muy Baja",'Riesgos de Gestión'!$AH$72="Mayor"),CONCATENATE("R10C",'Riesgos de Gestión'!$V$72),"")</f>
        <v/>
      </c>
      <c r="AH55" s="44" t="str">
        <f>IF(AND('Riesgos de Gestión'!$AF$67="Muy Baja",'Riesgos de Gestión'!$AH$67="Catastrófico"),CONCATENATE("R10C",'Riesgos de Gestión'!$V$67),"")</f>
        <v/>
      </c>
      <c r="AI55" s="45" t="str">
        <f>IF(AND('Riesgos de Gestión'!$AF$68="Muy Baja",'Riesgos de Gestión'!$AH$68="Catastrófico"),CONCATENATE("R10C",'Riesgos de Gestión'!$V$68),"")</f>
        <v/>
      </c>
      <c r="AJ55" s="45" t="str">
        <f>IF(AND('Riesgos de Gestión'!$AF$69="Muy Baja",'Riesgos de Gestión'!$AH$69="Catastrófico"),CONCATENATE("R10C",'Riesgos de Gestión'!$V$69),"")</f>
        <v/>
      </c>
      <c r="AK55" s="45" t="str">
        <f>IF(AND('Riesgos de Gestión'!$AF$70="Muy Baja",'Riesgos de Gestión'!$AH$70="Catastrófico"),CONCATENATE("R10C",'Riesgos de Gestión'!$V$70),"")</f>
        <v/>
      </c>
      <c r="AL55" s="45" t="str">
        <f>IF(AND('Riesgos de Gestión'!$AF$71="Muy Baja",'Riesgos de Gestión'!$AH$71="Catastrófico"),CONCATENATE("R10C",'Riesgos de Gestión'!$V$71),"")</f>
        <v/>
      </c>
      <c r="AM55" s="46" t="str">
        <f>IF(AND('Riesgos de Gestión'!$AF$72="Muy Baja",'Riesgos de Gestión'!$AH$72="Catastrófico"),CONCATENATE("R10C",'Riesgos de Gestión'!$V$72),"")</f>
        <v/>
      </c>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548" t="s">
        <v>274</v>
      </c>
      <c r="K56" s="549"/>
      <c r="L56" s="549"/>
      <c r="M56" s="549"/>
      <c r="N56" s="549"/>
      <c r="O56" s="550"/>
      <c r="P56" s="548" t="s">
        <v>275</v>
      </c>
      <c r="Q56" s="549"/>
      <c r="R56" s="549"/>
      <c r="S56" s="549"/>
      <c r="T56" s="549"/>
      <c r="U56" s="550"/>
      <c r="V56" s="548" t="s">
        <v>276</v>
      </c>
      <c r="W56" s="549"/>
      <c r="X56" s="549"/>
      <c r="Y56" s="549"/>
      <c r="Z56" s="549"/>
      <c r="AA56" s="550"/>
      <c r="AB56" s="548" t="s">
        <v>277</v>
      </c>
      <c r="AC56" s="557"/>
      <c r="AD56" s="549"/>
      <c r="AE56" s="549"/>
      <c r="AF56" s="549"/>
      <c r="AG56" s="550"/>
      <c r="AH56" s="548" t="s">
        <v>278</v>
      </c>
      <c r="AI56" s="549"/>
      <c r="AJ56" s="549"/>
      <c r="AK56" s="549"/>
      <c r="AL56" s="549"/>
      <c r="AM56" s="550"/>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551"/>
      <c r="K57" s="552"/>
      <c r="L57" s="552"/>
      <c r="M57" s="552"/>
      <c r="N57" s="552"/>
      <c r="O57" s="553"/>
      <c r="P57" s="551"/>
      <c r="Q57" s="552"/>
      <c r="R57" s="552"/>
      <c r="S57" s="552"/>
      <c r="T57" s="552"/>
      <c r="U57" s="553"/>
      <c r="V57" s="551"/>
      <c r="W57" s="552"/>
      <c r="X57" s="552"/>
      <c r="Y57" s="552"/>
      <c r="Z57" s="552"/>
      <c r="AA57" s="553"/>
      <c r="AB57" s="551"/>
      <c r="AC57" s="552"/>
      <c r="AD57" s="552"/>
      <c r="AE57" s="552"/>
      <c r="AF57" s="552"/>
      <c r="AG57" s="553"/>
      <c r="AH57" s="551"/>
      <c r="AI57" s="552"/>
      <c r="AJ57" s="552"/>
      <c r="AK57" s="552"/>
      <c r="AL57" s="552"/>
      <c r="AM57" s="553"/>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551"/>
      <c r="K58" s="552"/>
      <c r="L58" s="552"/>
      <c r="M58" s="552"/>
      <c r="N58" s="552"/>
      <c r="O58" s="553"/>
      <c r="P58" s="551"/>
      <c r="Q58" s="552"/>
      <c r="R58" s="552"/>
      <c r="S58" s="552"/>
      <c r="T58" s="552"/>
      <c r="U58" s="553"/>
      <c r="V58" s="551"/>
      <c r="W58" s="552"/>
      <c r="X58" s="552"/>
      <c r="Y58" s="552"/>
      <c r="Z58" s="552"/>
      <c r="AA58" s="553"/>
      <c r="AB58" s="551"/>
      <c r="AC58" s="552"/>
      <c r="AD58" s="552"/>
      <c r="AE58" s="552"/>
      <c r="AF58" s="552"/>
      <c r="AG58" s="553"/>
      <c r="AH58" s="551"/>
      <c r="AI58" s="552"/>
      <c r="AJ58" s="552"/>
      <c r="AK58" s="552"/>
      <c r="AL58" s="552"/>
      <c r="AM58" s="553"/>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551"/>
      <c r="K59" s="552"/>
      <c r="L59" s="552"/>
      <c r="M59" s="552"/>
      <c r="N59" s="552"/>
      <c r="O59" s="553"/>
      <c r="P59" s="551"/>
      <c r="Q59" s="552"/>
      <c r="R59" s="552"/>
      <c r="S59" s="552"/>
      <c r="T59" s="552"/>
      <c r="U59" s="553"/>
      <c r="V59" s="551"/>
      <c r="W59" s="552"/>
      <c r="X59" s="552"/>
      <c r="Y59" s="552"/>
      <c r="Z59" s="552"/>
      <c r="AA59" s="553"/>
      <c r="AB59" s="551"/>
      <c r="AC59" s="552"/>
      <c r="AD59" s="552"/>
      <c r="AE59" s="552"/>
      <c r="AF59" s="552"/>
      <c r="AG59" s="553"/>
      <c r="AH59" s="551"/>
      <c r="AI59" s="552"/>
      <c r="AJ59" s="552"/>
      <c r="AK59" s="552"/>
      <c r="AL59" s="552"/>
      <c r="AM59" s="553"/>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551"/>
      <c r="K60" s="552"/>
      <c r="L60" s="552"/>
      <c r="M60" s="552"/>
      <c r="N60" s="552"/>
      <c r="O60" s="553"/>
      <c r="P60" s="551"/>
      <c r="Q60" s="552"/>
      <c r="R60" s="552"/>
      <c r="S60" s="552"/>
      <c r="T60" s="552"/>
      <c r="U60" s="553"/>
      <c r="V60" s="551"/>
      <c r="W60" s="552"/>
      <c r="X60" s="552"/>
      <c r="Y60" s="552"/>
      <c r="Z60" s="552"/>
      <c r="AA60" s="553"/>
      <c r="AB60" s="551"/>
      <c r="AC60" s="552"/>
      <c r="AD60" s="552"/>
      <c r="AE60" s="552"/>
      <c r="AF60" s="552"/>
      <c r="AG60" s="553"/>
      <c r="AH60" s="551"/>
      <c r="AI60" s="552"/>
      <c r="AJ60" s="552"/>
      <c r="AK60" s="552"/>
      <c r="AL60" s="552"/>
      <c r="AM60" s="553"/>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ht="15.75" thickBot="1" x14ac:dyDescent="0.3">
      <c r="A61" s="66"/>
      <c r="B61" s="66"/>
      <c r="C61" s="66"/>
      <c r="D61" s="66"/>
      <c r="E61" s="66"/>
      <c r="F61" s="66"/>
      <c r="G61" s="66"/>
      <c r="H61" s="66"/>
      <c r="I61" s="66"/>
      <c r="J61" s="554"/>
      <c r="K61" s="555"/>
      <c r="L61" s="555"/>
      <c r="M61" s="555"/>
      <c r="N61" s="555"/>
      <c r="O61" s="556"/>
      <c r="P61" s="554"/>
      <c r="Q61" s="555"/>
      <c r="R61" s="555"/>
      <c r="S61" s="555"/>
      <c r="T61" s="555"/>
      <c r="U61" s="556"/>
      <c r="V61" s="554"/>
      <c r="W61" s="555"/>
      <c r="X61" s="555"/>
      <c r="Y61" s="555"/>
      <c r="Z61" s="555"/>
      <c r="AA61" s="556"/>
      <c r="AB61" s="554"/>
      <c r="AC61" s="555"/>
      <c r="AD61" s="555"/>
      <c r="AE61" s="555"/>
      <c r="AF61" s="555"/>
      <c r="AG61" s="556"/>
      <c r="AH61" s="554"/>
      <c r="AI61" s="555"/>
      <c r="AJ61" s="555"/>
      <c r="AK61" s="555"/>
      <c r="AL61" s="555"/>
      <c r="AM61" s="55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row>
    <row r="63" spans="1:80" ht="15" customHeight="1" x14ac:dyDescent="0.25">
      <c r="A63" s="6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6"/>
      <c r="AV63" s="66"/>
      <c r="AW63" s="66"/>
      <c r="AX63" s="66"/>
      <c r="AY63" s="66"/>
      <c r="AZ63" s="66"/>
      <c r="BA63" s="66"/>
      <c r="BB63" s="66"/>
      <c r="BC63" s="66"/>
      <c r="BD63" s="66"/>
      <c r="BE63" s="66"/>
      <c r="BF63" s="66"/>
      <c r="BG63" s="66"/>
      <c r="BH63" s="66"/>
    </row>
    <row r="64" spans="1:80" ht="15" customHeight="1" x14ac:dyDescent="0.25">
      <c r="A64" s="66"/>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66"/>
      <c r="AV64" s="66"/>
      <c r="AW64" s="66"/>
      <c r="AX64" s="66"/>
      <c r="AY64" s="66"/>
      <c r="AZ64" s="66"/>
      <c r="BA64" s="66"/>
      <c r="BB64" s="66"/>
      <c r="BC64" s="66"/>
      <c r="BD64" s="66"/>
      <c r="BE64" s="66"/>
      <c r="BF64" s="66"/>
      <c r="BG64" s="66"/>
      <c r="BH64" s="66"/>
    </row>
    <row r="65" spans="1:6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row>
    <row r="66" spans="1:6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row>
    <row r="67" spans="1:6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row>
    <row r="68" spans="1:6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row>
    <row r="69" spans="1:6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row>
    <row r="70" spans="1:6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row>
    <row r="71" spans="1:6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row>
    <row r="72" spans="1:6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row>
    <row r="73" spans="1:6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row>
    <row r="74" spans="1:6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row>
    <row r="75" spans="1:6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row>
    <row r="76" spans="1:6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row>
    <row r="77" spans="1:6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row>
    <row r="78" spans="1:6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row>
    <row r="79" spans="1:6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row>
    <row r="80" spans="1:6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row>
    <row r="81" spans="1:60"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row>
    <row r="82" spans="1:60"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row>
    <row r="83" spans="1:60"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row>
    <row r="84" spans="1:60"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row>
    <row r="85" spans="1:60"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row>
    <row r="86" spans="1:60"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row>
    <row r="87" spans="1:60"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row>
    <row r="88" spans="1:60"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row>
    <row r="89" spans="1:60"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row>
    <row r="90" spans="1:60"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row>
    <row r="91" spans="1:60"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row>
    <row r="92" spans="1:60"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row>
    <row r="93" spans="1:60"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row>
    <row r="94" spans="1:60"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row>
    <row r="95" spans="1:60"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row>
    <row r="96" spans="1:60"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row>
    <row r="97" spans="1:60"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row>
    <row r="98" spans="1:60"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row>
    <row r="99" spans="1:60"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row>
    <row r="100" spans="1:60"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row>
    <row r="101" spans="1:60"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row>
    <row r="102" spans="1:60"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row>
    <row r="103" spans="1:60"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row>
    <row r="104" spans="1:60"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row>
    <row r="105" spans="1:60"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row>
    <row r="106" spans="1:60"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row>
    <row r="107" spans="1:60"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row>
    <row r="108" spans="1:60"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row>
    <row r="109" spans="1:60"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row>
    <row r="110" spans="1:60"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row>
    <row r="111" spans="1:60"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row>
    <row r="112" spans="1:60"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row>
    <row r="113" spans="1:60"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row>
    <row r="114" spans="1:60"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row>
    <row r="115" spans="1:60"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row>
    <row r="116" spans="1:60"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row>
    <row r="117" spans="1:60"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row>
    <row r="118" spans="1:60"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row>
    <row r="119" spans="1:60"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row>
    <row r="120" spans="1:60"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row>
    <row r="121" spans="1:60"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row>
    <row r="122" spans="1:60"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row>
    <row r="123" spans="1:60"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row>
    <row r="124" spans="1:60"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row>
    <row r="125" spans="1:60"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row>
    <row r="126" spans="1:60"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row>
    <row r="127" spans="1:60"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row>
    <row r="128" spans="1:60"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row>
    <row r="129" spans="1:60"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row>
    <row r="130" spans="1:60"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row>
    <row r="131" spans="1:60"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row>
    <row r="132" spans="1:60"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row>
    <row r="133" spans="1:60"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row>
    <row r="134" spans="1:60"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row>
    <row r="135" spans="1:60"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row>
    <row r="136" spans="1:60"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row>
    <row r="137" spans="1:60"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row>
    <row r="138" spans="1:60"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row>
    <row r="139" spans="1:60"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row>
    <row r="140" spans="1:60"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row>
    <row r="141" spans="1:60"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row>
    <row r="142" spans="1:60"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row>
    <row r="143" spans="1:60"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row>
    <row r="144" spans="1:60"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row>
    <row r="145" spans="1:60"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row>
    <row r="146" spans="1:60"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row>
    <row r="147" spans="1:60"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row>
    <row r="148" spans="1:60"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row>
    <row r="149" spans="1:60"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row>
    <row r="150" spans="1:60"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row>
    <row r="151" spans="1:60"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row>
    <row r="152" spans="1:60"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row>
    <row r="153" spans="1:60"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row>
    <row r="154" spans="1:60"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row>
    <row r="155" spans="1:60"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row>
    <row r="156" spans="1:60"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row>
    <row r="157" spans="1:60"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row>
    <row r="158" spans="1:60"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row>
    <row r="159" spans="1:60"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row>
    <row r="160" spans="1:60"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row>
    <row r="161" spans="1:60"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row>
    <row r="162" spans="1:60"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row>
    <row r="163" spans="1:60"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row>
    <row r="164" spans="1:60"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row>
    <row r="165" spans="1:60"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row>
    <row r="166" spans="1:60"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row>
    <row r="167" spans="1:60"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row>
    <row r="168" spans="1:60"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row>
    <row r="169" spans="1:60"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row>
    <row r="170" spans="1:60"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row>
    <row r="171" spans="1:60"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row>
    <row r="172" spans="1:60"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row>
    <row r="173" spans="1:60"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row>
    <row r="174" spans="1:60"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row>
    <row r="175" spans="1:60"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row>
    <row r="176" spans="1:60"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row>
    <row r="177" spans="1:60"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row>
    <row r="178" spans="1:60"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row>
    <row r="179" spans="1:60"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row>
    <row r="180" spans="1:60"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row>
    <row r="181" spans="1:60"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row>
    <row r="182" spans="1:60"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row>
    <row r="183" spans="1:60"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row>
    <row r="184" spans="1:60"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row>
    <row r="185" spans="1:60"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row>
    <row r="186" spans="1:60"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row>
    <row r="187" spans="1:60"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row>
    <row r="188" spans="1:60"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row>
    <row r="189" spans="1:60"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row>
    <row r="190" spans="1:60"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row>
    <row r="191" spans="1:60" x14ac:dyDescent="0.25">
      <c r="A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row>
    <row r="192" spans="1:60" x14ac:dyDescent="0.25">
      <c r="A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row>
    <row r="193" spans="1:60" x14ac:dyDescent="0.25">
      <c r="A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row>
    <row r="194" spans="1:60" x14ac:dyDescent="0.25">
      <c r="A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row>
    <row r="195" spans="1:60" x14ac:dyDescent="0.25">
      <c r="A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row>
    <row r="196" spans="1:60" x14ac:dyDescent="0.25">
      <c r="A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row>
    <row r="197" spans="1:60" x14ac:dyDescent="0.25">
      <c r="A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row>
    <row r="198" spans="1:60" x14ac:dyDescent="0.25">
      <c r="A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row>
    <row r="199" spans="1:60" x14ac:dyDescent="0.25">
      <c r="A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row>
    <row r="200" spans="1:60" x14ac:dyDescent="0.25">
      <c r="A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row>
    <row r="201" spans="1:60" x14ac:dyDescent="0.25">
      <c r="A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row>
    <row r="202" spans="1:60" x14ac:dyDescent="0.25">
      <c r="A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row>
    <row r="203" spans="1:60" x14ac:dyDescent="0.25">
      <c r="A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row>
    <row r="204" spans="1:60" x14ac:dyDescent="0.25">
      <c r="A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row>
    <row r="205" spans="1:60" x14ac:dyDescent="0.25">
      <c r="A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row>
    <row r="206" spans="1:60" x14ac:dyDescent="0.25">
      <c r="A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row>
    <row r="207" spans="1:60" x14ac:dyDescent="0.25">
      <c r="A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row>
    <row r="208" spans="1:60" x14ac:dyDescent="0.25">
      <c r="A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row>
    <row r="209" spans="1:60" x14ac:dyDescent="0.25">
      <c r="A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row>
    <row r="210" spans="1:60" x14ac:dyDescent="0.25">
      <c r="A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row>
    <row r="211" spans="1:60" x14ac:dyDescent="0.25">
      <c r="A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row>
    <row r="212" spans="1:60" x14ac:dyDescent="0.25">
      <c r="A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row>
    <row r="213" spans="1:60" x14ac:dyDescent="0.25">
      <c r="A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row>
    <row r="214" spans="1:60" x14ac:dyDescent="0.25">
      <c r="A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row>
    <row r="215" spans="1:60" x14ac:dyDescent="0.25">
      <c r="A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row>
    <row r="216" spans="1:60" x14ac:dyDescent="0.25">
      <c r="A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row>
    <row r="217" spans="1:60" x14ac:dyDescent="0.25">
      <c r="A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row>
    <row r="218" spans="1:60" x14ac:dyDescent="0.25">
      <c r="A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row>
    <row r="219" spans="1:60" x14ac:dyDescent="0.25">
      <c r="A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row>
    <row r="220" spans="1:60" x14ac:dyDescent="0.25">
      <c r="A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row>
    <row r="221" spans="1:60" x14ac:dyDescent="0.25">
      <c r="A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row>
    <row r="222" spans="1:60" x14ac:dyDescent="0.25">
      <c r="A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row>
    <row r="223" spans="1:60" x14ac:dyDescent="0.25">
      <c r="A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row>
    <row r="224" spans="1:60" x14ac:dyDescent="0.25">
      <c r="A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row>
    <row r="225" spans="1:60" x14ac:dyDescent="0.25">
      <c r="A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row>
    <row r="226" spans="1:60" x14ac:dyDescent="0.25">
      <c r="A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row>
    <row r="227" spans="1:60" x14ac:dyDescent="0.25">
      <c r="A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row>
    <row r="228" spans="1:60" x14ac:dyDescent="0.25">
      <c r="A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row>
    <row r="229" spans="1:60" x14ac:dyDescent="0.25">
      <c r="A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row>
    <row r="230" spans="1:60" x14ac:dyDescent="0.25">
      <c r="A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row>
    <row r="231" spans="1:60" x14ac:dyDescent="0.25">
      <c r="A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row>
    <row r="232" spans="1:60" x14ac:dyDescent="0.25">
      <c r="A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row>
    <row r="233" spans="1:60" x14ac:dyDescent="0.25">
      <c r="A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row>
    <row r="234" spans="1:60" x14ac:dyDescent="0.25">
      <c r="A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row>
    <row r="235" spans="1:60" x14ac:dyDescent="0.25">
      <c r="A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row>
    <row r="236" spans="1:60" x14ac:dyDescent="0.25">
      <c r="A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row>
    <row r="237" spans="1:60" x14ac:dyDescent="0.25">
      <c r="A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row>
    <row r="238" spans="1:60" x14ac:dyDescent="0.25">
      <c r="A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row>
    <row r="239" spans="1:60" x14ac:dyDescent="0.25">
      <c r="A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row>
    <row r="240" spans="1:60" x14ac:dyDescent="0.25">
      <c r="A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row>
    <row r="241" spans="1:60" x14ac:dyDescent="0.25">
      <c r="A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row>
    <row r="242" spans="1:60" x14ac:dyDescent="0.25">
      <c r="A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row>
    <row r="243" spans="1:60" x14ac:dyDescent="0.25">
      <c r="A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row>
    <row r="244" spans="1:60" x14ac:dyDescent="0.25">
      <c r="A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row>
    <row r="245" spans="1:60" x14ac:dyDescent="0.25">
      <c r="A245" s="66"/>
    </row>
    <row r="246" spans="1:60" x14ac:dyDescent="0.25">
      <c r="A246" s="66"/>
    </row>
    <row r="247" spans="1:60" x14ac:dyDescent="0.25">
      <c r="A247" s="66"/>
    </row>
    <row r="248" spans="1:60" x14ac:dyDescent="0.25">
      <c r="A248" s="6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JL75"/>
  <sheetViews>
    <sheetView zoomScale="70" zoomScaleNormal="70" zoomScaleSheetLayoutView="40" zoomScalePageLayoutView="60" workbookViewId="0">
      <selection activeCell="V13" sqref="A13:XFD72"/>
    </sheetView>
  </sheetViews>
  <sheetFormatPr baseColWidth="10" defaultColWidth="11.42578125" defaultRowHeight="15" x14ac:dyDescent="0.2"/>
  <cols>
    <col min="1" max="1" width="6.5703125" style="218" customWidth="1"/>
    <col min="2" max="2" width="16" style="218" customWidth="1"/>
    <col min="3" max="3" width="19.140625" style="218" customWidth="1"/>
    <col min="4" max="4" width="25.28515625" style="218" customWidth="1"/>
    <col min="5" max="5" width="40.140625" style="218" customWidth="1"/>
    <col min="6" max="6" width="17.7109375" style="198" customWidth="1"/>
    <col min="7" max="7" width="16" style="198" customWidth="1"/>
    <col min="8" max="8" width="24.28515625" style="198" customWidth="1"/>
    <col min="9" max="10" width="28.42578125" style="198" customWidth="1"/>
    <col min="11" max="11" width="24.28515625" style="198" customWidth="1"/>
    <col min="12" max="12" width="19.42578125" style="198" customWidth="1"/>
    <col min="13" max="13" width="20.5703125" style="198" customWidth="1"/>
    <col min="14" max="14" width="14.7109375" style="219" customWidth="1"/>
    <col min="15" max="15" width="16.7109375" style="198" customWidth="1"/>
    <col min="16" max="16" width="10.42578125" style="198" hidden="1" customWidth="1"/>
    <col min="17" max="17" width="12.85546875" style="198" customWidth="1"/>
    <col min="18" max="18" width="35.85546875" style="198" hidden="1" customWidth="1"/>
    <col min="19" max="19" width="17.140625" style="198" customWidth="1"/>
    <col min="20" max="20" width="17.5703125" style="198" hidden="1" customWidth="1"/>
    <col min="21" max="21" width="15" style="198" customWidth="1"/>
    <col min="22" max="22" width="16" style="198" customWidth="1"/>
    <col min="23" max="23" width="32.7109375" style="198" customWidth="1"/>
    <col min="24" max="24" width="26.85546875" style="198" hidden="1" customWidth="1"/>
    <col min="25" max="25" width="5.85546875" style="198" customWidth="1"/>
    <col min="26" max="26" width="6.85546875" style="198" customWidth="1"/>
    <col min="27" max="27" width="5" style="198" hidden="1" customWidth="1"/>
    <col min="28" max="28" width="5.5703125" style="198" customWidth="1"/>
    <col min="29" max="29" width="7.140625" style="198" customWidth="1"/>
    <col min="30" max="30" width="6.7109375" style="198" customWidth="1"/>
    <col min="31" max="31" width="7.5703125" style="198" hidden="1" customWidth="1"/>
    <col min="32" max="32" width="8.5703125" style="198" customWidth="1"/>
    <col min="33" max="37" width="10.85546875" style="198" customWidth="1"/>
    <col min="38" max="38" width="10.85546875" style="217" customWidth="1"/>
    <col min="39" max="39" width="23" style="198" customWidth="1"/>
    <col min="40" max="40" width="18.85546875" style="198" customWidth="1"/>
    <col min="41" max="41" width="21.5703125" style="198" customWidth="1"/>
    <col min="42" max="42" width="22.42578125" style="198" customWidth="1"/>
    <col min="43" max="43" width="16.42578125" style="198" customWidth="1"/>
    <col min="44" max="44" width="20.5703125" style="198" customWidth="1"/>
    <col min="45" max="16384" width="11.42578125" style="198"/>
  </cols>
  <sheetData>
    <row r="1" spans="1:272" s="201" customFormat="1" ht="20.25" x14ac:dyDescent="0.3">
      <c r="A1" s="453"/>
      <c r="B1" s="454"/>
      <c r="C1" s="455"/>
      <c r="D1" s="443" t="s">
        <v>208</v>
      </c>
      <c r="E1" s="444"/>
      <c r="F1" s="444"/>
      <c r="G1" s="444"/>
      <c r="H1" s="444"/>
      <c r="I1" s="444"/>
      <c r="J1" s="444"/>
      <c r="K1" s="444"/>
      <c r="L1" s="444"/>
      <c r="M1" s="444"/>
      <c r="N1" s="444"/>
      <c r="O1" s="444"/>
      <c r="P1" s="444"/>
      <c r="Q1" s="444"/>
      <c r="R1" s="444"/>
      <c r="S1" s="444"/>
      <c r="T1" s="445"/>
      <c r="U1" s="252"/>
      <c r="V1" s="252"/>
      <c r="W1" s="252"/>
      <c r="X1" s="425"/>
      <c r="Y1" s="425"/>
      <c r="Z1" s="425"/>
      <c r="AA1" s="425"/>
      <c r="AB1" s="425"/>
      <c r="AC1" s="425"/>
      <c r="AD1" s="425"/>
      <c r="AE1" s="425"/>
      <c r="AF1" s="425"/>
      <c r="AG1" s="425"/>
      <c r="AH1" s="425"/>
      <c r="AI1" s="425"/>
      <c r="AJ1" s="425"/>
      <c r="AK1" s="425"/>
      <c r="AL1" s="425"/>
      <c r="AM1" s="425"/>
      <c r="AN1" s="425"/>
      <c r="AO1" s="425"/>
      <c r="AP1" s="425"/>
      <c r="AQ1" s="425"/>
      <c r="AR1" s="425"/>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row>
    <row r="2" spans="1:272" s="201" customFormat="1" ht="21" thickBot="1" x14ac:dyDescent="0.35">
      <c r="A2" s="456"/>
      <c r="B2" s="457"/>
      <c r="C2" s="458"/>
      <c r="D2" s="446"/>
      <c r="E2" s="447"/>
      <c r="F2" s="447"/>
      <c r="G2" s="447"/>
      <c r="H2" s="447"/>
      <c r="I2" s="447"/>
      <c r="J2" s="447"/>
      <c r="K2" s="447"/>
      <c r="L2" s="447"/>
      <c r="M2" s="447"/>
      <c r="N2" s="447"/>
      <c r="O2" s="447"/>
      <c r="P2" s="447"/>
      <c r="Q2" s="447"/>
      <c r="R2" s="447"/>
      <c r="S2" s="447"/>
      <c r="T2" s="448"/>
      <c r="U2" s="252"/>
      <c r="V2" s="252"/>
      <c r="W2" s="252"/>
      <c r="X2" s="425"/>
      <c r="Y2" s="425"/>
      <c r="Z2" s="425"/>
      <c r="AA2" s="425"/>
      <c r="AB2" s="425"/>
      <c r="AC2" s="425"/>
      <c r="AD2" s="425"/>
      <c r="AE2" s="425"/>
      <c r="AF2" s="425"/>
      <c r="AG2" s="425"/>
      <c r="AH2" s="425"/>
      <c r="AI2" s="425"/>
      <c r="AJ2" s="425"/>
      <c r="AK2" s="425"/>
      <c r="AL2" s="425"/>
      <c r="AM2" s="425"/>
      <c r="AN2" s="425"/>
      <c r="AO2" s="425"/>
      <c r="AP2" s="425"/>
      <c r="AQ2" s="425"/>
      <c r="AR2" s="425"/>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272" s="201" customFormat="1" ht="27.75" customHeight="1" thickBot="1" x14ac:dyDescent="0.35">
      <c r="A3" s="456"/>
      <c r="B3" s="457"/>
      <c r="C3" s="458"/>
      <c r="D3" s="449" t="s">
        <v>209</v>
      </c>
      <c r="E3" s="450"/>
      <c r="F3" s="450"/>
      <c r="G3" s="450"/>
      <c r="H3" s="450"/>
      <c r="I3" s="451"/>
      <c r="J3" s="449" t="s">
        <v>210</v>
      </c>
      <c r="K3" s="450"/>
      <c r="L3" s="450"/>
      <c r="M3" s="450"/>
      <c r="N3" s="450"/>
      <c r="O3" s="450"/>
      <c r="P3" s="450"/>
      <c r="Q3" s="450"/>
      <c r="R3" s="450"/>
      <c r="S3" s="450"/>
      <c r="T3" s="451"/>
      <c r="U3" s="253"/>
      <c r="V3" s="253"/>
      <c r="W3" s="252"/>
      <c r="X3" s="426"/>
      <c r="Y3" s="426"/>
      <c r="Z3" s="426"/>
      <c r="AA3" s="426"/>
      <c r="AB3" s="426"/>
      <c r="AC3" s="426"/>
      <c r="AD3" s="426"/>
      <c r="AE3" s="426"/>
      <c r="AF3" s="426"/>
      <c r="AG3" s="426"/>
      <c r="AH3" s="426"/>
      <c r="AI3" s="426"/>
      <c r="AJ3" s="426"/>
      <c r="AK3" s="426"/>
      <c r="AL3" s="426"/>
      <c r="AM3" s="426"/>
      <c r="AN3" s="426"/>
      <c r="AO3" s="426"/>
      <c r="AP3" s="426"/>
      <c r="AQ3" s="426"/>
      <c r="AR3" s="426"/>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row>
    <row r="4" spans="1:272" s="201" customFormat="1" ht="27.75" customHeight="1" thickBot="1" x14ac:dyDescent="0.35">
      <c r="A4" s="459"/>
      <c r="B4" s="460"/>
      <c r="C4" s="461"/>
      <c r="D4" s="449" t="s">
        <v>422</v>
      </c>
      <c r="E4" s="450"/>
      <c r="F4" s="450"/>
      <c r="G4" s="450"/>
      <c r="H4" s="450"/>
      <c r="I4" s="450"/>
      <c r="J4" s="450"/>
      <c r="K4" s="450"/>
      <c r="L4" s="450"/>
      <c r="M4" s="450"/>
      <c r="N4" s="450"/>
      <c r="O4" s="450"/>
      <c r="P4" s="450"/>
      <c r="Q4" s="450"/>
      <c r="R4" s="450"/>
      <c r="S4" s="450"/>
      <c r="T4" s="451"/>
      <c r="U4" s="252"/>
      <c r="V4" s="252"/>
      <c r="W4" s="252"/>
      <c r="X4" s="426"/>
      <c r="Y4" s="426"/>
      <c r="Z4" s="426"/>
      <c r="AA4" s="426"/>
      <c r="AB4" s="426"/>
      <c r="AC4" s="426"/>
      <c r="AD4" s="426"/>
      <c r="AE4" s="426"/>
      <c r="AF4" s="426"/>
      <c r="AG4" s="426"/>
      <c r="AH4" s="426"/>
      <c r="AI4" s="426"/>
      <c r="AJ4" s="426"/>
      <c r="AK4" s="426"/>
      <c r="AL4" s="426"/>
      <c r="AM4" s="426"/>
      <c r="AN4" s="426"/>
      <c r="AO4" s="426"/>
      <c r="AP4" s="426"/>
      <c r="AQ4" s="426"/>
      <c r="AR4" s="426"/>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row>
    <row r="5" spans="1:272" ht="15.75" thickBot="1" x14ac:dyDescent="0.25">
      <c r="A5" s="202"/>
      <c r="B5" s="203"/>
      <c r="C5" s="202"/>
      <c r="D5" s="202"/>
      <c r="E5" s="202"/>
      <c r="F5" s="204"/>
      <c r="G5" s="204"/>
      <c r="H5" s="204"/>
      <c r="I5" s="204"/>
      <c r="J5" s="204"/>
      <c r="K5" s="204"/>
      <c r="L5" s="204"/>
      <c r="M5" s="204"/>
      <c r="N5" s="205"/>
      <c r="O5" s="204"/>
      <c r="P5" s="204"/>
      <c r="Q5" s="204"/>
      <c r="R5" s="204"/>
      <c r="S5" s="204"/>
      <c r="T5" s="204"/>
      <c r="U5" s="204"/>
      <c r="V5" s="204"/>
      <c r="W5" s="204"/>
      <c r="X5" s="204"/>
      <c r="Y5" s="204"/>
      <c r="Z5" s="204"/>
      <c r="AA5" s="204"/>
      <c r="AB5" s="204"/>
      <c r="AC5" s="204"/>
      <c r="AD5" s="204"/>
      <c r="AE5" s="204"/>
      <c r="AF5" s="204"/>
      <c r="AG5" s="204"/>
      <c r="AH5" s="204"/>
      <c r="AI5" s="204"/>
      <c r="AJ5" s="204"/>
      <c r="AK5" s="204"/>
      <c r="AL5" s="25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row>
    <row r="6" spans="1:272" ht="27" customHeight="1" thickBot="1" x14ac:dyDescent="0.25">
      <c r="A6" s="427" t="s">
        <v>211</v>
      </c>
      <c r="B6" s="428"/>
      <c r="C6" s="434"/>
      <c r="D6" s="435"/>
      <c r="E6" s="435"/>
      <c r="F6" s="435"/>
      <c r="G6" s="435"/>
      <c r="H6" s="435"/>
      <c r="I6" s="435"/>
      <c r="J6" s="435"/>
      <c r="K6" s="435"/>
      <c r="L6" s="435"/>
      <c r="M6" s="435"/>
      <c r="N6" s="435"/>
      <c r="O6" s="435"/>
      <c r="P6" s="435"/>
      <c r="Q6" s="435"/>
      <c r="R6" s="435"/>
      <c r="S6" s="435"/>
      <c r="T6" s="436"/>
      <c r="U6" s="255"/>
      <c r="V6" s="255"/>
      <c r="W6" s="433"/>
      <c r="X6" s="433"/>
      <c r="Y6" s="433"/>
      <c r="Z6" s="424"/>
      <c r="AA6" s="424"/>
      <c r="AB6" s="424"/>
      <c r="AC6" s="424"/>
      <c r="AD6" s="424"/>
      <c r="AE6" s="424"/>
      <c r="AF6" s="424"/>
      <c r="AG6" s="424"/>
      <c r="AH6" s="424"/>
      <c r="AI6" s="424"/>
      <c r="AJ6" s="424"/>
      <c r="AK6" s="424"/>
      <c r="AL6" s="424"/>
      <c r="AM6" s="424"/>
      <c r="AN6" s="424"/>
      <c r="AO6" s="424"/>
      <c r="AP6" s="424"/>
      <c r="AQ6" s="424"/>
      <c r="AR6" s="42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272" ht="27" customHeight="1" thickBot="1" x14ac:dyDescent="0.3">
      <c r="A7" s="429" t="s">
        <v>212</v>
      </c>
      <c r="B7" s="430"/>
      <c r="C7" s="437"/>
      <c r="D7" s="438"/>
      <c r="E7" s="438"/>
      <c r="F7" s="438"/>
      <c r="G7" s="438"/>
      <c r="H7" s="438"/>
      <c r="I7" s="438"/>
      <c r="J7" s="438"/>
      <c r="K7" s="438"/>
      <c r="L7" s="438"/>
      <c r="M7" s="438"/>
      <c r="N7" s="438"/>
      <c r="O7" s="438"/>
      <c r="P7" s="438"/>
      <c r="Q7" s="438"/>
      <c r="R7" s="438"/>
      <c r="S7" s="438"/>
      <c r="T7" s="439"/>
      <c r="U7" s="256"/>
      <c r="V7" s="256"/>
      <c r="W7" s="257"/>
      <c r="X7" s="257"/>
      <c r="Y7" s="257"/>
      <c r="Z7" s="424"/>
      <c r="AA7" s="424"/>
      <c r="AB7" s="424"/>
      <c r="AC7" s="424"/>
      <c r="AD7" s="424"/>
      <c r="AE7" s="424"/>
      <c r="AF7" s="424"/>
      <c r="AG7" s="424"/>
      <c r="AH7" s="424"/>
      <c r="AI7" s="424"/>
      <c r="AJ7" s="424"/>
      <c r="AK7" s="424"/>
      <c r="AL7" s="424"/>
      <c r="AM7" s="424"/>
      <c r="AN7" s="424"/>
      <c r="AO7" s="424"/>
      <c r="AP7" s="424"/>
      <c r="AQ7" s="424"/>
      <c r="AR7" s="42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row>
    <row r="8" spans="1:272" ht="27" customHeight="1" thickBot="1" x14ac:dyDescent="0.3">
      <c r="A8" s="431" t="s">
        <v>213</v>
      </c>
      <c r="B8" s="432"/>
      <c r="C8" s="437"/>
      <c r="D8" s="438"/>
      <c r="E8" s="438"/>
      <c r="F8" s="438"/>
      <c r="G8" s="438"/>
      <c r="H8" s="438"/>
      <c r="I8" s="438"/>
      <c r="J8" s="438"/>
      <c r="K8" s="438"/>
      <c r="L8" s="438"/>
      <c r="M8" s="438"/>
      <c r="N8" s="438"/>
      <c r="O8" s="438"/>
      <c r="P8" s="438"/>
      <c r="Q8" s="438"/>
      <c r="R8" s="438"/>
      <c r="S8" s="438"/>
      <c r="T8" s="439"/>
      <c r="U8" s="256"/>
      <c r="V8" s="256"/>
      <c r="W8" s="257"/>
      <c r="X8" s="257"/>
      <c r="Y8" s="257"/>
      <c r="Z8" s="424"/>
      <c r="AA8" s="424"/>
      <c r="AB8" s="424"/>
      <c r="AC8" s="424"/>
      <c r="AD8" s="424"/>
      <c r="AE8" s="424"/>
      <c r="AF8" s="424"/>
      <c r="AG8" s="424"/>
      <c r="AH8" s="424"/>
      <c r="AI8" s="424"/>
      <c r="AJ8" s="424"/>
      <c r="AK8" s="424"/>
      <c r="AL8" s="424"/>
      <c r="AM8" s="424"/>
      <c r="AN8" s="424"/>
      <c r="AO8" s="424"/>
      <c r="AP8" s="424"/>
      <c r="AQ8" s="424"/>
      <c r="AR8" s="42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row>
    <row r="9" spans="1:272" ht="15.75" x14ac:dyDescent="0.25">
      <c r="A9" s="206"/>
      <c r="B9" s="206"/>
      <c r="C9" s="207"/>
      <c r="D9" s="207"/>
      <c r="E9" s="207"/>
      <c r="F9" s="207"/>
      <c r="G9" s="207"/>
      <c r="H9" s="207"/>
      <c r="I9" s="207"/>
      <c r="J9" s="207"/>
      <c r="K9" s="207"/>
      <c r="L9" s="207"/>
      <c r="M9" s="207"/>
      <c r="N9" s="207"/>
      <c r="O9" s="207"/>
      <c r="P9" s="207"/>
      <c r="Q9" s="207"/>
      <c r="R9" s="207"/>
      <c r="S9" s="207"/>
      <c r="T9" s="207"/>
      <c r="U9" s="207"/>
      <c r="V9" s="207"/>
      <c r="W9" s="208"/>
      <c r="X9" s="208"/>
      <c r="Y9" s="208"/>
      <c r="Z9" s="209"/>
      <c r="AA9" s="209"/>
      <c r="AB9" s="209"/>
      <c r="AC9" s="209"/>
      <c r="AD9" s="209"/>
      <c r="AE9" s="209"/>
      <c r="AF9" s="209"/>
      <c r="AG9" s="209"/>
      <c r="AH9" s="209"/>
      <c r="AI9" s="209"/>
      <c r="AJ9" s="209"/>
      <c r="AK9" s="209"/>
      <c r="AL9" s="209"/>
      <c r="AM9" s="209"/>
      <c r="AN9" s="209"/>
      <c r="AO9" s="209"/>
      <c r="AP9" s="209"/>
      <c r="AQ9" s="209"/>
      <c r="AR9" s="209"/>
    </row>
    <row r="10" spans="1:272" ht="39" customHeight="1" x14ac:dyDescent="0.2">
      <c r="A10" s="440" t="s">
        <v>214</v>
      </c>
      <c r="B10" s="441"/>
      <c r="C10" s="441"/>
      <c r="D10" s="441"/>
      <c r="E10" s="441"/>
      <c r="F10" s="442"/>
      <c r="G10" s="383" t="s">
        <v>215</v>
      </c>
      <c r="H10" s="384"/>
      <c r="I10" s="384"/>
      <c r="J10" s="384"/>
      <c r="K10" s="385"/>
      <c r="L10" s="354" t="s">
        <v>216</v>
      </c>
      <c r="M10" s="355"/>
      <c r="N10" s="224"/>
      <c r="O10" s="224"/>
      <c r="P10" s="376" t="s">
        <v>217</v>
      </c>
      <c r="Q10" s="376"/>
      <c r="R10" s="376"/>
      <c r="S10" s="376"/>
      <c r="T10" s="376"/>
      <c r="U10" s="376"/>
      <c r="V10" s="376"/>
      <c r="W10" s="376" t="s">
        <v>218</v>
      </c>
      <c r="X10" s="376"/>
      <c r="Y10" s="376"/>
      <c r="Z10" s="376"/>
      <c r="AA10" s="376"/>
      <c r="AB10" s="376"/>
      <c r="AC10" s="376"/>
      <c r="AD10" s="376"/>
      <c r="AE10" s="376"/>
      <c r="AF10" s="356" t="s">
        <v>219</v>
      </c>
      <c r="AG10" s="357"/>
      <c r="AH10" s="357"/>
      <c r="AI10" s="357"/>
      <c r="AJ10" s="358"/>
      <c r="AK10" s="356" t="s">
        <v>423</v>
      </c>
      <c r="AL10" s="357"/>
      <c r="AM10" s="357"/>
      <c r="AN10" s="357"/>
      <c r="AO10" s="358"/>
      <c r="AP10" s="356" t="s">
        <v>424</v>
      </c>
      <c r="AQ10" s="357"/>
      <c r="AR10" s="358"/>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row>
    <row r="11" spans="1:272" ht="26.25" customHeight="1" x14ac:dyDescent="0.2">
      <c r="A11" s="409" t="s">
        <v>222</v>
      </c>
      <c r="B11" s="411" t="s">
        <v>15</v>
      </c>
      <c r="C11" s="413" t="s">
        <v>17</v>
      </c>
      <c r="D11" s="413" t="s">
        <v>19</v>
      </c>
      <c r="E11" s="411" t="s">
        <v>21</v>
      </c>
      <c r="F11" s="413" t="s">
        <v>23</v>
      </c>
      <c r="G11" s="416" t="s">
        <v>124</v>
      </c>
      <c r="H11" s="416" t="s">
        <v>280</v>
      </c>
      <c r="I11" s="416" t="s">
        <v>224</v>
      </c>
      <c r="J11" s="416" t="s">
        <v>225</v>
      </c>
      <c r="K11" s="416" t="s">
        <v>226</v>
      </c>
      <c r="L11" s="354"/>
      <c r="M11" s="355"/>
      <c r="N11" s="351" t="s">
        <v>227</v>
      </c>
      <c r="O11" s="351" t="s">
        <v>228</v>
      </c>
      <c r="P11" s="396" t="s">
        <v>229</v>
      </c>
      <c r="Q11" s="351" t="s">
        <v>230</v>
      </c>
      <c r="R11" s="351" t="s">
        <v>231</v>
      </c>
      <c r="S11" s="351" t="s">
        <v>232</v>
      </c>
      <c r="T11" s="396" t="s">
        <v>229</v>
      </c>
      <c r="U11" s="351" t="s">
        <v>29</v>
      </c>
      <c r="V11" s="371" t="s">
        <v>233</v>
      </c>
      <c r="W11" s="351" t="s">
        <v>31</v>
      </c>
      <c r="X11" s="351" t="s">
        <v>33</v>
      </c>
      <c r="Y11" s="351" t="s">
        <v>234</v>
      </c>
      <c r="Z11" s="351"/>
      <c r="AA11" s="351"/>
      <c r="AB11" s="351"/>
      <c r="AC11" s="351"/>
      <c r="AD11" s="351"/>
      <c r="AE11" s="371" t="s">
        <v>235</v>
      </c>
      <c r="AF11" s="371" t="s">
        <v>236</v>
      </c>
      <c r="AG11" s="371" t="s">
        <v>229</v>
      </c>
      <c r="AH11" s="371" t="s">
        <v>237</v>
      </c>
      <c r="AI11" s="371" t="s">
        <v>229</v>
      </c>
      <c r="AJ11" s="371" t="s">
        <v>238</v>
      </c>
      <c r="AK11" s="371" t="s">
        <v>49</v>
      </c>
      <c r="AL11" s="351" t="s">
        <v>239</v>
      </c>
      <c r="AM11" s="351" t="s">
        <v>240</v>
      </c>
      <c r="AN11" s="351" t="s">
        <v>241</v>
      </c>
      <c r="AO11" s="351" t="s">
        <v>242</v>
      </c>
      <c r="AP11" s="351" t="s">
        <v>239</v>
      </c>
      <c r="AQ11" s="351" t="s">
        <v>241</v>
      </c>
      <c r="AR11" s="351" t="s">
        <v>240</v>
      </c>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row>
    <row r="12" spans="1:272" s="213" customFormat="1" ht="73.5" customHeight="1" x14ac:dyDescent="0.25">
      <c r="A12" s="409"/>
      <c r="B12" s="411"/>
      <c r="C12" s="413"/>
      <c r="D12" s="413"/>
      <c r="E12" s="411"/>
      <c r="F12" s="413"/>
      <c r="G12" s="597"/>
      <c r="H12" s="597"/>
      <c r="I12" s="597"/>
      <c r="J12" s="597"/>
      <c r="K12" s="597"/>
      <c r="L12" s="250" t="s">
        <v>425</v>
      </c>
      <c r="M12" s="250" t="s">
        <v>246</v>
      </c>
      <c r="N12" s="351"/>
      <c r="O12" s="351"/>
      <c r="P12" s="396"/>
      <c r="Q12" s="396"/>
      <c r="R12" s="351"/>
      <c r="S12" s="396"/>
      <c r="T12" s="396"/>
      <c r="U12" s="351"/>
      <c r="V12" s="371"/>
      <c r="W12" s="351"/>
      <c r="X12" s="351"/>
      <c r="Y12" s="210" t="s">
        <v>247</v>
      </c>
      <c r="Z12" s="210" t="s">
        <v>248</v>
      </c>
      <c r="AA12" s="210" t="s">
        <v>249</v>
      </c>
      <c r="AB12" s="210" t="s">
        <v>250</v>
      </c>
      <c r="AC12" s="210" t="s">
        <v>251</v>
      </c>
      <c r="AD12" s="210" t="s">
        <v>252</v>
      </c>
      <c r="AE12" s="371"/>
      <c r="AF12" s="371"/>
      <c r="AG12" s="371"/>
      <c r="AH12" s="371"/>
      <c r="AI12" s="371"/>
      <c r="AJ12" s="371"/>
      <c r="AK12" s="371"/>
      <c r="AL12" s="351"/>
      <c r="AM12" s="351"/>
      <c r="AN12" s="351"/>
      <c r="AO12" s="351"/>
      <c r="AP12" s="351"/>
      <c r="AQ12" s="351"/>
      <c r="AR12" s="35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row>
    <row r="13" spans="1:272" s="215" customFormat="1" x14ac:dyDescent="0.25">
      <c r="A13" s="418">
        <v>1</v>
      </c>
      <c r="B13" s="387"/>
      <c r="C13" s="387"/>
      <c r="D13" s="387"/>
      <c r="E13" s="390"/>
      <c r="F13" s="387"/>
      <c r="G13" s="392"/>
      <c r="H13" s="392"/>
      <c r="I13" s="392"/>
      <c r="J13" s="392"/>
      <c r="K13" s="392"/>
      <c r="L13" s="392"/>
      <c r="M13" s="392"/>
      <c r="N13" s="381"/>
      <c r="O13" s="367" t="str">
        <f>IF(N13&lt;=0,"",IF(N13&lt;=2,"Muy Baja",IF(N13&lt;=24,"Baja",IF(N13&lt;=500,"Media",IF(N13&lt;=5000,"Alta","Muy Alta")))))</f>
        <v/>
      </c>
      <c r="P13" s="364" t="str">
        <f>IF(O13="","",IF(O13="Muy Baja",0.2,IF(O13="Baja",0.4,IF(O13="Media",0.6,IF(O13="Alta",0.8,IF(O13="Muy Alta",1,))))))</f>
        <v/>
      </c>
      <c r="Q13" s="353"/>
      <c r="R13" s="364">
        <f>IF(NOT(ISERROR(MATCH(Q13,'Tabla Impacto'!$B$222:$B$224,0))),'Tabla Impacto'!$F$224&amp;"Por favor no seleccionar los criterios de impacto(Afectación Económica o presupuestal y Pérdida Reputacional)",Q13)</f>
        <v>0</v>
      </c>
      <c r="S13" s="367" t="str">
        <f>IF(OR(R13='Tabla Impacto'!$C$12,R13='Tabla Impacto'!$D$12),"Leve",IF(OR(R13='Tabla Impacto'!$C$13,R13='Tabla Impacto'!$D$13),"Menor",IF(OR(R13='Tabla Impacto'!$C$14,R13='Tabla Impacto'!$D$14),"Moderado",IF(OR(R13='Tabla Impacto'!$C$15,R13='Tabla Impacto'!$D$15),"Mayor",IF(OR(R13='Tabla Impacto'!$C$16,R13='Tabla Impacto'!$D$16),"Catastrófico","")))))</f>
        <v/>
      </c>
      <c r="T13" s="364" t="str">
        <f>IF(S13="","",IF(S13="Leve",0.2,IF(S13="Menor",0.4,IF(S13="Moderado",0.6,IF(S13="Mayor",0.8,IF(S13="Catastrófico",1,))))))</f>
        <v/>
      </c>
      <c r="U13" s="362" t="str">
        <f>IF(OR(AND(O13="Muy Baja",S13="Leve"),AND(O13="Muy Baja",S13="Menor"),AND(O13="Baja",S13="Leve")),"Bajo",IF(OR(AND(O13="Muy baja",S13="Moderado"),AND(O13="Baja",S13="Menor"),AND(O13="Baja",S13="Moderado"),AND(O13="Media",S13="Leve"),AND(O13="Media",S13="Menor"),AND(O13="Media",S13="Moderado"),AND(O13="Alta",S13="Leve"),AND(O13="Alta",S13="Menor")),"Moderado",IF(OR(AND(O13="Muy Baja",S13="Mayor"),AND(O13="Baja",S13="Mayor"),AND(O13="Media",S13="Mayor"),AND(O13="Alta",S13="Moderado"),AND(O13="Alta",S13="Mayor"),AND(O13="Muy Alta",S13="Leve"),AND(O13="Muy Alta",S13="Menor"),AND(O13="Muy Alta",S13="Moderado"),AND(O13="Muy Alta",S13="Mayor")),"Alto",IF(OR(AND(O13="Muy Baja",S13="Catastrófico"),AND(O13="Baja",S13="Catastrófico"),AND(O13="Media",S13="Catastrófico"),AND(O13="Alta",S13="Catastrófico"),AND(O13="Muy Alta",S13="Catastrófico")),"Extremo",""))))</f>
        <v/>
      </c>
      <c r="V13" s="214">
        <v>1</v>
      </c>
      <c r="W13" s="240"/>
      <c r="X13" s="189" t="str">
        <f t="shared" ref="X13:X18" si="0">IF(OR(Y13="Preventivo",Y13="Detectivo"),"Probabilidad",IF(Y13="Correctivo","Impacto",""))</f>
        <v/>
      </c>
      <c r="Y13" s="190"/>
      <c r="Z13" s="190"/>
      <c r="AA13" s="191" t="str">
        <f>IF(AND(Y13="Preventivo",Z13="Automático"),"50%",IF(AND(Y13="Preventivo",Z13="Manual"),"40%",IF(AND(Y13="Detectivo",Z13="Automático"),"40%",IF(AND(Y13="Detectivo",Z13="Manual"),"30%",IF(AND(Y13="Correctivo",Z13="Automático"),"35%",IF(AND(Y13="Correctivo",Z13="Manual"),"25%",""))))))</f>
        <v/>
      </c>
      <c r="AB13" s="190"/>
      <c r="AC13" s="190"/>
      <c r="AD13" s="190"/>
      <c r="AE13" s="192" t="str">
        <f>IFERROR(IF(X13="Probabilidad",(P13-(+P13*AA13)),IF(X13="Impacto",P13,"")),"")</f>
        <v/>
      </c>
      <c r="AF13" s="193" t="str">
        <f>IFERROR(IF(AE13="","",IF(AE13&lt;=0.2,"Muy Baja",IF(AE13&lt;=0.4,"Baja",IF(AE13&lt;=0.6,"Media",IF(AE13&lt;=0.8,"Alta","Muy Alta"))))),"")</f>
        <v/>
      </c>
      <c r="AG13" s="191" t="str">
        <f>+AE13</f>
        <v/>
      </c>
      <c r="AH13" s="193" t="str">
        <f>IFERROR(IF(AI13="","",IF(AI13&lt;=0.2,"Leve",IF(AI13&lt;=0.4,"Menor",IF(AI13&lt;=0.6,"Moderado",IF(AI13&lt;=0.8,"Mayor","Catastrófico"))))),"")</f>
        <v/>
      </c>
      <c r="AI13" s="191" t="str">
        <f>IFERROR(IF(X13="Impacto",(T13-(+T13*AA13)),IF(X13="Probabilidad",T13,"")),"")</f>
        <v/>
      </c>
      <c r="AJ13" s="194"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
      </c>
      <c r="AK13" s="195"/>
      <c r="AL13" s="186"/>
      <c r="AM13" s="196"/>
      <c r="AN13" s="196"/>
      <c r="AO13" s="197"/>
      <c r="AP13" s="387"/>
      <c r="AQ13" s="387"/>
      <c r="AR13" s="387"/>
    </row>
    <row r="14" spans="1:272" x14ac:dyDescent="0.2">
      <c r="A14" s="418"/>
      <c r="B14" s="387"/>
      <c r="C14" s="387"/>
      <c r="D14" s="387"/>
      <c r="E14" s="390"/>
      <c r="F14" s="387"/>
      <c r="G14" s="360"/>
      <c r="H14" s="360"/>
      <c r="I14" s="360"/>
      <c r="J14" s="360"/>
      <c r="K14" s="360"/>
      <c r="L14" s="360"/>
      <c r="M14" s="360"/>
      <c r="N14" s="381"/>
      <c r="O14" s="367"/>
      <c r="P14" s="364"/>
      <c r="Q14" s="353"/>
      <c r="R14" s="364">
        <f>IF(NOT(ISERROR(MATCH(Q14,_xlfn.ANCHORARRAY(E25),0))),P27&amp;"Por favor no seleccionar los criterios de impacto",Q14)</f>
        <v>0</v>
      </c>
      <c r="S14" s="367"/>
      <c r="T14" s="364"/>
      <c r="U14" s="362"/>
      <c r="V14" s="214">
        <v>2</v>
      </c>
      <c r="W14" s="240"/>
      <c r="X14" s="189" t="str">
        <f t="shared" si="0"/>
        <v/>
      </c>
      <c r="Y14" s="190"/>
      <c r="Z14" s="190"/>
      <c r="AA14" s="191" t="str">
        <f t="shared" ref="AA14:AA18" si="1">IF(AND(Y14="Preventivo",Z14="Automático"),"50%",IF(AND(Y14="Preventivo",Z14="Manual"),"40%",IF(AND(Y14="Detectivo",Z14="Automático"),"40%",IF(AND(Y14="Detectivo",Z14="Manual"),"30%",IF(AND(Y14="Correctivo",Z14="Automático"),"35%",IF(AND(Y14="Correctivo",Z14="Manual"),"25%",""))))))</f>
        <v/>
      </c>
      <c r="AB14" s="190"/>
      <c r="AC14" s="190"/>
      <c r="AD14" s="190"/>
      <c r="AE14" s="192" t="str">
        <f>IFERROR(IF(AND(X13="Probabilidad",X14="Probabilidad"),(AG13-(+AG13*AA14)),IF(X14="Probabilidad",(P13-(+P13*AA14)),IF(X14="Impacto",AG13,""))),"")</f>
        <v/>
      </c>
      <c r="AF14" s="193" t="str">
        <f t="shared" ref="AF14:AF72" si="2">IFERROR(IF(AE14="","",IF(AE14&lt;=0.2,"Muy Baja",IF(AE14&lt;=0.4,"Baja",IF(AE14&lt;=0.6,"Media",IF(AE14&lt;=0.8,"Alta","Muy Alta"))))),"")</f>
        <v/>
      </c>
      <c r="AG14" s="191" t="str">
        <f t="shared" ref="AG14:AG18" si="3">+AE14</f>
        <v/>
      </c>
      <c r="AH14" s="193" t="str">
        <f t="shared" ref="AH14:AH72" si="4">IFERROR(IF(AI14="","",IF(AI14&lt;=0.2,"Leve",IF(AI14&lt;=0.4,"Menor",IF(AI14&lt;=0.6,"Moderado",IF(AI14&lt;=0.8,"Mayor","Catastrófico"))))),"")</f>
        <v/>
      </c>
      <c r="AI14" s="191" t="str">
        <f>IFERROR(IF(AND(X13="Impacto",X14="Impacto"),(AI13-(+AI13*AA14)),IF(X14="Impacto",($T$13-(+$T$13*AA14)),IF(X14="Probabilidad",AI13,""))),"")</f>
        <v/>
      </c>
      <c r="AJ14" s="194" t="str">
        <f t="shared" ref="AJ14:AJ18" si="5">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
      </c>
      <c r="AK14" s="195"/>
      <c r="AL14" s="186"/>
      <c r="AM14" s="196"/>
      <c r="AN14" s="186"/>
      <c r="AO14" s="197"/>
      <c r="AP14" s="387"/>
      <c r="AQ14" s="387"/>
      <c r="AR14" s="387"/>
    </row>
    <row r="15" spans="1:272" x14ac:dyDescent="0.2">
      <c r="A15" s="418"/>
      <c r="B15" s="387"/>
      <c r="C15" s="387"/>
      <c r="D15" s="387"/>
      <c r="E15" s="390"/>
      <c r="F15" s="387"/>
      <c r="G15" s="360"/>
      <c r="H15" s="360"/>
      <c r="I15" s="360"/>
      <c r="J15" s="360"/>
      <c r="K15" s="360"/>
      <c r="L15" s="360"/>
      <c r="M15" s="360"/>
      <c r="N15" s="381"/>
      <c r="O15" s="367"/>
      <c r="P15" s="364"/>
      <c r="Q15" s="353"/>
      <c r="R15" s="364">
        <f>IF(NOT(ISERROR(MATCH(Q15,_xlfn.ANCHORARRAY(E26),0))),P28&amp;"Por favor no seleccionar los criterios de impacto",Q15)</f>
        <v>0</v>
      </c>
      <c r="S15" s="367"/>
      <c r="T15" s="364"/>
      <c r="U15" s="362"/>
      <c r="V15" s="214">
        <v>3</v>
      </c>
      <c r="W15" s="188"/>
      <c r="X15" s="189" t="str">
        <f t="shared" si="0"/>
        <v/>
      </c>
      <c r="Y15" s="190"/>
      <c r="Z15" s="190"/>
      <c r="AA15" s="191" t="str">
        <f t="shared" si="1"/>
        <v/>
      </c>
      <c r="AB15" s="190"/>
      <c r="AC15" s="190"/>
      <c r="AD15" s="190"/>
      <c r="AE15" s="192" t="str">
        <f>IFERROR(IF(AND(X14="Probabilidad",X15="Probabilidad"),(AG14-(+AG14*AA15)),IF(AND(X14="Impacto",X15="Probabilidad"),(AG13-(+AG13*AA15)),IF(X15="Impacto",AG14,""))),"")</f>
        <v/>
      </c>
      <c r="AF15" s="193" t="str">
        <f t="shared" si="2"/>
        <v/>
      </c>
      <c r="AG15" s="191" t="str">
        <f t="shared" si="3"/>
        <v/>
      </c>
      <c r="AH15" s="193" t="str">
        <f t="shared" si="4"/>
        <v/>
      </c>
      <c r="AI15" s="191" t="str">
        <f>IFERROR(IF(AND(X14="Impacto",X15="Impacto"),(AI14-(+AI14*AA15)),IF(AND(X14="Probabilidad",X15="Impacto"),(AI13-(+AI13*AA15)),IF(X15="Probabilidad",AI14,""))),"")</f>
        <v/>
      </c>
      <c r="AJ15" s="194" t="str">
        <f t="shared" si="5"/>
        <v/>
      </c>
      <c r="AK15" s="195"/>
      <c r="AL15" s="186"/>
      <c r="AM15" s="196"/>
      <c r="AN15" s="196"/>
      <c r="AO15" s="197"/>
      <c r="AP15" s="387"/>
      <c r="AQ15" s="387"/>
      <c r="AR15" s="387"/>
    </row>
    <row r="16" spans="1:272" x14ac:dyDescent="0.2">
      <c r="A16" s="418"/>
      <c r="B16" s="387"/>
      <c r="C16" s="387"/>
      <c r="D16" s="387"/>
      <c r="E16" s="390"/>
      <c r="F16" s="387"/>
      <c r="G16" s="360"/>
      <c r="H16" s="360"/>
      <c r="I16" s="360"/>
      <c r="J16" s="360"/>
      <c r="K16" s="360"/>
      <c r="L16" s="360"/>
      <c r="M16" s="360"/>
      <c r="N16" s="381"/>
      <c r="O16" s="367"/>
      <c r="P16" s="364"/>
      <c r="Q16" s="353"/>
      <c r="R16" s="364">
        <f>IF(NOT(ISERROR(MATCH(Q16,_xlfn.ANCHORARRAY(E27),0))),P29&amp;"Por favor no seleccionar los criterios de impacto",Q16)</f>
        <v>0</v>
      </c>
      <c r="S16" s="367"/>
      <c r="T16" s="364"/>
      <c r="U16" s="362"/>
      <c r="V16" s="214">
        <v>4</v>
      </c>
      <c r="W16" s="187"/>
      <c r="X16" s="189" t="str">
        <f t="shared" si="0"/>
        <v/>
      </c>
      <c r="Y16" s="190"/>
      <c r="Z16" s="190"/>
      <c r="AA16" s="191" t="str">
        <f t="shared" si="1"/>
        <v/>
      </c>
      <c r="AB16" s="190"/>
      <c r="AC16" s="190"/>
      <c r="AD16" s="190"/>
      <c r="AE16" s="192" t="str">
        <f t="shared" ref="AE16:AE18" si="6">IFERROR(IF(AND(X15="Probabilidad",X16="Probabilidad"),(AG15-(+AG15*AA16)),IF(AND(X15="Impacto",X16="Probabilidad"),(AG14-(+AG14*AA16)),IF(X16="Impacto",AG15,""))),"")</f>
        <v/>
      </c>
      <c r="AF16" s="193" t="str">
        <f t="shared" si="2"/>
        <v/>
      </c>
      <c r="AG16" s="191" t="str">
        <f t="shared" si="3"/>
        <v/>
      </c>
      <c r="AH16" s="193" t="str">
        <f t="shared" si="4"/>
        <v/>
      </c>
      <c r="AI16" s="191" t="str">
        <f t="shared" ref="AI16:AI18" si="7">IFERROR(IF(AND(X15="Impacto",X16="Impacto"),(AI15-(+AI15*AA16)),IF(AND(X15="Probabilidad",X16="Impacto"),(AI14-(+AI14*AA16)),IF(X16="Probabilidad",AI15,""))),"")</f>
        <v/>
      </c>
      <c r="AJ16" s="194" t="str">
        <f>IFERROR(IF(OR(AND(AF16="Muy Baja",AH16="Leve"),AND(AF16="Muy Baja",AH16="Menor"),AND(AF16="Baja",AH16="Leve")),"Bajo",IF(OR(AND(AF16="Muy baja",AH16="Moderado"),AND(AF16="Baja",AH16="Menor"),AND(AF16="Baja",AH16="Moderado"),AND(AF16="Media",AH16="Leve"),AND(AF16="Media",AH16="Menor"),AND(AF16="Media",AH16="Moderado"),AND(AF16="Alta",AH16="Leve"),AND(AF16="Alta",AH16="Menor")),"Moderado",IF(OR(AND(AF16="Muy Baja",AH16="Mayor"),AND(AF16="Baja",AH16="Mayor"),AND(AF16="Media",AH16="Mayor"),AND(AF16="Alta",AH16="Moderado"),AND(AF16="Alta",AH16="Mayor"),AND(AF16="Muy Alta",AH16="Leve"),AND(AF16="Muy Alta",AH16="Menor"),AND(AF16="Muy Alta",AH16="Moderado"),AND(AF16="Muy Alta",AH16="Mayor")),"Alto",IF(OR(AND(AF16="Muy Baja",AH16="Catastrófico"),AND(AF16="Baja",AH16="Catastrófico"),AND(AF16="Media",AH16="Catastrófico"),AND(AF16="Alta",AH16="Catastrófico"),AND(AF16="Muy Alta",AH16="Catastrófico")),"Extremo","")))),"")</f>
        <v/>
      </c>
      <c r="AK16" s="195"/>
      <c r="AL16" s="186"/>
      <c r="AM16" s="196"/>
      <c r="AN16" s="196"/>
      <c r="AO16" s="197"/>
      <c r="AP16" s="387"/>
      <c r="AQ16" s="387"/>
      <c r="AR16" s="387"/>
    </row>
    <row r="17" spans="1:44" x14ac:dyDescent="0.2">
      <c r="A17" s="418"/>
      <c r="B17" s="387"/>
      <c r="C17" s="387"/>
      <c r="D17" s="387"/>
      <c r="E17" s="390"/>
      <c r="F17" s="387"/>
      <c r="G17" s="360"/>
      <c r="H17" s="360"/>
      <c r="I17" s="360"/>
      <c r="J17" s="360"/>
      <c r="K17" s="360"/>
      <c r="L17" s="360"/>
      <c r="M17" s="360"/>
      <c r="N17" s="381"/>
      <c r="O17" s="367"/>
      <c r="P17" s="364"/>
      <c r="Q17" s="353"/>
      <c r="R17" s="364">
        <f>IF(NOT(ISERROR(MATCH(Q17,_xlfn.ANCHORARRAY(E28),0))),P30&amp;"Por favor no seleccionar los criterios de impacto",Q17)</f>
        <v>0</v>
      </c>
      <c r="S17" s="367"/>
      <c r="T17" s="364"/>
      <c r="U17" s="362"/>
      <c r="V17" s="214">
        <v>5</v>
      </c>
      <c r="W17" s="187"/>
      <c r="X17" s="189" t="str">
        <f t="shared" si="0"/>
        <v/>
      </c>
      <c r="Y17" s="190"/>
      <c r="Z17" s="190"/>
      <c r="AA17" s="191" t="str">
        <f t="shared" si="1"/>
        <v/>
      </c>
      <c r="AB17" s="190"/>
      <c r="AC17" s="190"/>
      <c r="AD17" s="190"/>
      <c r="AE17" s="192" t="str">
        <f t="shared" si="6"/>
        <v/>
      </c>
      <c r="AF17" s="193" t="str">
        <f t="shared" si="2"/>
        <v/>
      </c>
      <c r="AG17" s="191" t="str">
        <f t="shared" si="3"/>
        <v/>
      </c>
      <c r="AH17" s="193" t="str">
        <f t="shared" si="4"/>
        <v/>
      </c>
      <c r="AI17" s="191" t="str">
        <f t="shared" si="7"/>
        <v/>
      </c>
      <c r="AJ17" s="194" t="str">
        <f t="shared" si="5"/>
        <v/>
      </c>
      <c r="AK17" s="195"/>
      <c r="AL17" s="186"/>
      <c r="AM17" s="196"/>
      <c r="AN17" s="196"/>
      <c r="AO17" s="197"/>
      <c r="AP17" s="387"/>
      <c r="AQ17" s="387"/>
      <c r="AR17" s="387"/>
    </row>
    <row r="18" spans="1:44" x14ac:dyDescent="0.2">
      <c r="A18" s="418"/>
      <c r="B18" s="387"/>
      <c r="C18" s="387"/>
      <c r="D18" s="387"/>
      <c r="E18" s="390"/>
      <c r="F18" s="387"/>
      <c r="G18" s="373"/>
      <c r="H18" s="373"/>
      <c r="I18" s="373"/>
      <c r="J18" s="373"/>
      <c r="K18" s="373"/>
      <c r="L18" s="373"/>
      <c r="M18" s="373"/>
      <c r="N18" s="381"/>
      <c r="O18" s="367"/>
      <c r="P18" s="364"/>
      <c r="Q18" s="353"/>
      <c r="R18" s="364">
        <f>IF(NOT(ISERROR(MATCH(Q18,_xlfn.ANCHORARRAY(E29),0))),P31&amp;"Por favor no seleccionar los criterios de impacto",Q18)</f>
        <v>0</v>
      </c>
      <c r="S18" s="367"/>
      <c r="T18" s="364"/>
      <c r="U18" s="362"/>
      <c r="V18" s="214">
        <v>6</v>
      </c>
      <c r="W18" s="187"/>
      <c r="X18" s="189" t="str">
        <f t="shared" si="0"/>
        <v/>
      </c>
      <c r="Y18" s="190"/>
      <c r="Z18" s="190"/>
      <c r="AA18" s="191" t="str">
        <f t="shared" si="1"/>
        <v/>
      </c>
      <c r="AB18" s="190"/>
      <c r="AC18" s="190"/>
      <c r="AD18" s="190"/>
      <c r="AE18" s="192" t="str">
        <f t="shared" si="6"/>
        <v/>
      </c>
      <c r="AF18" s="193" t="str">
        <f t="shared" si="2"/>
        <v/>
      </c>
      <c r="AG18" s="191" t="str">
        <f t="shared" si="3"/>
        <v/>
      </c>
      <c r="AH18" s="193" t="str">
        <f t="shared" si="4"/>
        <v/>
      </c>
      <c r="AI18" s="191" t="str">
        <f t="shared" si="7"/>
        <v/>
      </c>
      <c r="AJ18" s="194" t="str">
        <f t="shared" si="5"/>
        <v/>
      </c>
      <c r="AK18" s="195"/>
      <c r="AL18" s="186"/>
      <c r="AM18" s="196"/>
      <c r="AN18" s="196"/>
      <c r="AO18" s="197"/>
      <c r="AP18" s="387"/>
      <c r="AQ18" s="387"/>
      <c r="AR18" s="387"/>
    </row>
    <row r="19" spans="1:44" x14ac:dyDescent="0.2">
      <c r="A19" s="418">
        <v>2</v>
      </c>
      <c r="B19" s="387"/>
      <c r="C19" s="387"/>
      <c r="D19" s="387"/>
      <c r="E19" s="390"/>
      <c r="F19" s="387"/>
      <c r="G19" s="392"/>
      <c r="H19" s="392"/>
      <c r="I19" s="392"/>
      <c r="J19" s="392"/>
      <c r="K19" s="392"/>
      <c r="L19" s="392"/>
      <c r="M19" s="392"/>
      <c r="N19" s="381"/>
      <c r="O19" s="367" t="str">
        <f>IF(N19&lt;=0,"",IF(N19&lt;=2,"Muy Baja",IF(N19&lt;=24,"Baja",IF(N19&lt;=500,"Media",IF(N19&lt;=5000,"Alta","Muy Alta")))))</f>
        <v/>
      </c>
      <c r="P19" s="364" t="str">
        <f>IF(O19="","",IF(O19="Muy Baja",0.2,IF(O19="Baja",0.4,IF(O19="Media",0.6,IF(O19="Alta",0.8,IF(O19="Muy Alta",1,))))))</f>
        <v/>
      </c>
      <c r="Q19" s="353"/>
      <c r="R19" s="364">
        <f>IF(NOT(ISERROR(MATCH(Q19,'Tabla Impacto'!$B$222:$B$224,0))),'Tabla Impacto'!$F$224&amp;"Por favor no seleccionar los criterios de impacto(Afectación Económica o presupuestal y Pérdida Reputacional)",Q19)</f>
        <v>0</v>
      </c>
      <c r="S19" s="367" t="str">
        <f>IF(OR(R19='Tabla Impacto'!$C$12,R19='Tabla Impacto'!$D$12),"Leve",IF(OR(R19='Tabla Impacto'!$C$13,R19='Tabla Impacto'!$D$13),"Menor",IF(OR(R19='Tabla Impacto'!$C$14,R19='Tabla Impacto'!$D$14),"Moderado",IF(OR(R19='Tabla Impacto'!$C$15,R19='Tabla Impacto'!$D$15),"Mayor",IF(OR(R19='Tabla Impacto'!$C$16,R19='Tabla Impacto'!$D$16),"Catastrófico","")))))</f>
        <v/>
      </c>
      <c r="T19" s="364" t="str">
        <f>IF(S19="","",IF(S19="Leve",0.2,IF(S19="Menor",0.4,IF(S19="Moderado",0.6,IF(S19="Mayor",0.8,IF(S19="Catastrófico",1,))))))</f>
        <v/>
      </c>
      <c r="U19" s="362" t="str">
        <f>IF(OR(AND(O19="Muy Baja",S19="Leve"),AND(O19="Muy Baja",S19="Menor"),AND(O19="Baja",S19="Leve")),"Bajo",IF(OR(AND(O19="Muy baja",S19="Moderado"),AND(O19="Baja",S19="Menor"),AND(O19="Baja",S19="Moderado"),AND(O19="Media",S19="Leve"),AND(O19="Media",S19="Menor"),AND(O19="Media",S19="Moderado"),AND(O19="Alta",S19="Leve"),AND(O19="Alta",S19="Menor")),"Moderado",IF(OR(AND(O19="Muy Baja",S19="Mayor"),AND(O19="Baja",S19="Mayor"),AND(O19="Media",S19="Mayor"),AND(O19="Alta",S19="Moderado"),AND(O19="Alta",S19="Mayor"),AND(O19="Muy Alta",S19="Leve"),AND(O19="Muy Alta",S19="Menor"),AND(O19="Muy Alta",S19="Moderado"),AND(O19="Muy Alta",S19="Mayor")),"Alto",IF(OR(AND(O19="Muy Baja",S19="Catastrófico"),AND(O19="Baja",S19="Catastrófico"),AND(O19="Media",S19="Catastrófico"),AND(O19="Alta",S19="Catastrófico"),AND(O19="Muy Alta",S19="Catastrófico")),"Extremo",""))))</f>
        <v/>
      </c>
      <c r="V19" s="214">
        <v>1</v>
      </c>
      <c r="W19" s="187"/>
      <c r="X19" s="189" t="str">
        <f>IF(OR(Y19="Preventivo",Y19="Detectivo"),"Probabilidad",IF(Y19="Correctivo","Impacto",""))</f>
        <v/>
      </c>
      <c r="Y19" s="190"/>
      <c r="Z19" s="190"/>
      <c r="AA19" s="191" t="str">
        <f>IF(AND(Y19="Preventivo",Z19="Automático"),"50%",IF(AND(Y19="Preventivo",Z19="Manual"),"40%",IF(AND(Y19="Detectivo",Z19="Automático"),"40%",IF(AND(Y19="Detectivo",Z19="Manual"),"30%",IF(AND(Y19="Correctivo",Z19="Automático"),"35%",IF(AND(Y19="Correctivo",Z19="Manual"),"25%",""))))))</f>
        <v/>
      </c>
      <c r="AB19" s="190"/>
      <c r="AC19" s="190"/>
      <c r="AD19" s="190"/>
      <c r="AE19" s="192" t="str">
        <f>IFERROR(IF(X19="Probabilidad",(P19-(+P19*AA19)),IF(X19="Impacto",P19,"")),"")</f>
        <v/>
      </c>
      <c r="AF19" s="193" t="str">
        <f>IFERROR(IF(AE19="","",IF(AE19&lt;=0.2,"Muy Baja",IF(AE19&lt;=0.4,"Baja",IF(AE19&lt;=0.6,"Media",IF(AE19&lt;=0.8,"Alta","Muy Alta"))))),"")</f>
        <v/>
      </c>
      <c r="AG19" s="191" t="str">
        <f>+AE19</f>
        <v/>
      </c>
      <c r="AH19" s="193" t="str">
        <f>IFERROR(IF(AI19="","",IF(AI19&lt;=0.2,"Leve",IF(AI19&lt;=0.4,"Menor",IF(AI19&lt;=0.6,"Moderado",IF(AI19&lt;=0.8,"Mayor","Catastrófico"))))),"")</f>
        <v/>
      </c>
      <c r="AI19" s="191" t="str">
        <f t="shared" ref="AI19" si="8">IFERROR(IF(X19="Impacto",(T19-(+T19*AA19)),IF(X19="Probabilidad",T19,"")),"")</f>
        <v/>
      </c>
      <c r="AJ19" s="194" t="str">
        <f>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
      </c>
      <c r="AK19" s="195"/>
      <c r="AL19" s="186"/>
      <c r="AM19" s="196"/>
      <c r="AN19" s="196"/>
      <c r="AO19" s="197"/>
      <c r="AP19" s="381"/>
      <c r="AQ19" s="381"/>
      <c r="AR19" s="381"/>
    </row>
    <row r="20" spans="1:44" x14ac:dyDescent="0.2">
      <c r="A20" s="418"/>
      <c r="B20" s="387"/>
      <c r="C20" s="387"/>
      <c r="D20" s="387"/>
      <c r="E20" s="390"/>
      <c r="F20" s="387"/>
      <c r="G20" s="360"/>
      <c r="H20" s="360"/>
      <c r="I20" s="360"/>
      <c r="J20" s="360"/>
      <c r="K20" s="360"/>
      <c r="L20" s="360"/>
      <c r="M20" s="360"/>
      <c r="N20" s="381"/>
      <c r="O20" s="367"/>
      <c r="P20" s="364"/>
      <c r="Q20" s="353"/>
      <c r="R20" s="364">
        <f>IF(NOT(ISERROR(MATCH(Q20,_xlfn.ANCHORARRAY(E31),0))),P33&amp;"Por favor no seleccionar los criterios de impacto",Q20)</f>
        <v>0</v>
      </c>
      <c r="S20" s="367"/>
      <c r="T20" s="364"/>
      <c r="U20" s="362"/>
      <c r="V20" s="214">
        <v>2</v>
      </c>
      <c r="W20" s="187"/>
      <c r="X20" s="189" t="str">
        <f>IF(OR(Y20="Preventivo",Y20="Detectivo"),"Probabilidad",IF(Y20="Correctivo","Impacto",""))</f>
        <v/>
      </c>
      <c r="Y20" s="190"/>
      <c r="Z20" s="190"/>
      <c r="AA20" s="191" t="str">
        <f t="shared" ref="AA20:AA24" si="9">IF(AND(Y20="Preventivo",Z20="Automático"),"50%",IF(AND(Y20="Preventivo",Z20="Manual"),"40%",IF(AND(Y20="Detectivo",Z20="Automático"),"40%",IF(AND(Y20="Detectivo",Z20="Manual"),"30%",IF(AND(Y20="Correctivo",Z20="Automático"),"35%",IF(AND(Y20="Correctivo",Z20="Manual"),"25%",""))))))</f>
        <v/>
      </c>
      <c r="AB20" s="190"/>
      <c r="AC20" s="190"/>
      <c r="AD20" s="190"/>
      <c r="AE20" s="192" t="str">
        <f>IFERROR(IF(AND(X19="Probabilidad",X20="Probabilidad"),(AG19-(+AG19*AA20)),IF(X20="Probabilidad",(P19-(+P19*AA20)),IF(X20="Impacto",AG19,""))),"")</f>
        <v/>
      </c>
      <c r="AF20" s="193" t="str">
        <f t="shared" si="2"/>
        <v/>
      </c>
      <c r="AG20" s="191" t="str">
        <f t="shared" ref="AG20:AG24" si="10">+AE20</f>
        <v/>
      </c>
      <c r="AH20" s="193" t="str">
        <f t="shared" si="4"/>
        <v/>
      </c>
      <c r="AI20" s="191" t="str">
        <f t="shared" ref="AI20" si="11">IFERROR(IF(AND(X19="Impacto",X20="Impacto"),(AI19-(+AI19*AA20)),IF(X20="Impacto",($T$13-(+$T$13*AA20)),IF(X20="Probabilidad",AI19,""))),"")</f>
        <v/>
      </c>
      <c r="AJ20" s="194" t="str">
        <f t="shared" ref="AJ20:AJ21" si="12">IFERROR(IF(OR(AND(AF20="Muy Baja",AH20="Leve"),AND(AF20="Muy Baja",AH20="Menor"),AND(AF20="Baja",AH20="Leve")),"Bajo",IF(OR(AND(AF20="Muy baja",AH20="Moderado"),AND(AF20="Baja",AH20="Menor"),AND(AF20="Baja",AH20="Moderado"),AND(AF20="Media",AH20="Leve"),AND(AF20="Media",AH20="Menor"),AND(AF20="Media",AH20="Moderado"),AND(AF20="Alta",AH20="Leve"),AND(AF20="Alta",AH20="Menor")),"Moderado",IF(OR(AND(AF20="Muy Baja",AH20="Mayor"),AND(AF20="Baja",AH20="Mayor"),AND(AF20="Media",AH20="Mayor"),AND(AF20="Alta",AH20="Moderado"),AND(AF20="Alta",AH20="Mayor"),AND(AF20="Muy Alta",AH20="Leve"),AND(AF20="Muy Alta",AH20="Menor"),AND(AF20="Muy Alta",AH20="Moderado"),AND(AF20="Muy Alta",AH20="Mayor")),"Alto",IF(OR(AND(AF20="Muy Baja",AH20="Catastrófico"),AND(AF20="Baja",AH20="Catastrófico"),AND(AF20="Media",AH20="Catastrófico"),AND(AF20="Alta",AH20="Catastrófico"),AND(AF20="Muy Alta",AH20="Catastrófico")),"Extremo","")))),"")</f>
        <v/>
      </c>
      <c r="AK20" s="195"/>
      <c r="AL20" s="186"/>
      <c r="AM20" s="196"/>
      <c r="AN20" s="186"/>
      <c r="AO20" s="197"/>
      <c r="AP20" s="381"/>
      <c r="AQ20" s="381"/>
      <c r="AR20" s="381"/>
    </row>
    <row r="21" spans="1:44" x14ac:dyDescent="0.2">
      <c r="A21" s="418"/>
      <c r="B21" s="387"/>
      <c r="C21" s="387"/>
      <c r="D21" s="387"/>
      <c r="E21" s="390"/>
      <c r="F21" s="387"/>
      <c r="G21" s="360"/>
      <c r="H21" s="360"/>
      <c r="I21" s="360"/>
      <c r="J21" s="360"/>
      <c r="K21" s="360"/>
      <c r="L21" s="360"/>
      <c r="M21" s="360"/>
      <c r="N21" s="381"/>
      <c r="O21" s="367"/>
      <c r="P21" s="364"/>
      <c r="Q21" s="353"/>
      <c r="R21" s="364">
        <f>IF(NOT(ISERROR(MATCH(Q21,_xlfn.ANCHORARRAY(E32),0))),P34&amp;"Por favor no seleccionar los criterios de impacto",Q21)</f>
        <v>0</v>
      </c>
      <c r="S21" s="367"/>
      <c r="T21" s="364"/>
      <c r="U21" s="362"/>
      <c r="V21" s="214">
        <v>3</v>
      </c>
      <c r="W21" s="188"/>
      <c r="X21" s="189" t="str">
        <f>IF(OR(Y21="Preventivo",Y21="Detectivo"),"Probabilidad",IF(Y21="Correctivo","Impacto",""))</f>
        <v/>
      </c>
      <c r="Y21" s="190"/>
      <c r="Z21" s="190"/>
      <c r="AA21" s="191" t="str">
        <f t="shared" si="9"/>
        <v/>
      </c>
      <c r="AB21" s="190"/>
      <c r="AC21" s="190"/>
      <c r="AD21" s="190"/>
      <c r="AE21" s="192" t="str">
        <f>IFERROR(IF(AND(X20="Probabilidad",X21="Probabilidad"),(AG20-(+AG20*AA21)),IF(AND(X20="Impacto",X21="Probabilidad"),(AG19-(+AG19*AA21)),IF(X21="Impacto",AG20,""))),"")</f>
        <v/>
      </c>
      <c r="AF21" s="193" t="str">
        <f t="shared" si="2"/>
        <v/>
      </c>
      <c r="AG21" s="191" t="str">
        <f t="shared" si="10"/>
        <v/>
      </c>
      <c r="AH21" s="193" t="str">
        <f t="shared" si="4"/>
        <v/>
      </c>
      <c r="AI21" s="191" t="str">
        <f t="shared" ref="AI21:AI72" si="13">IFERROR(IF(AND(X20="Impacto",X21="Impacto"),(AI20-(+AI20*AA21)),IF(AND(X20="Probabilidad",X21="Impacto"),(AI19-(+AI19*AA21)),IF(X21="Probabilidad",AI20,""))),"")</f>
        <v/>
      </c>
      <c r="AJ21" s="194" t="str">
        <f t="shared" si="12"/>
        <v/>
      </c>
      <c r="AK21" s="195"/>
      <c r="AL21" s="186"/>
      <c r="AM21" s="196"/>
      <c r="AN21" s="196"/>
      <c r="AO21" s="197"/>
      <c r="AP21" s="381"/>
      <c r="AQ21" s="381"/>
      <c r="AR21" s="381"/>
    </row>
    <row r="22" spans="1:44" x14ac:dyDescent="0.2">
      <c r="A22" s="418"/>
      <c r="B22" s="387"/>
      <c r="C22" s="387"/>
      <c r="D22" s="387"/>
      <c r="E22" s="390"/>
      <c r="F22" s="387"/>
      <c r="G22" s="360"/>
      <c r="H22" s="360"/>
      <c r="I22" s="360"/>
      <c r="J22" s="360"/>
      <c r="K22" s="360"/>
      <c r="L22" s="360"/>
      <c r="M22" s="360"/>
      <c r="N22" s="381"/>
      <c r="O22" s="367"/>
      <c r="P22" s="364"/>
      <c r="Q22" s="353"/>
      <c r="R22" s="364">
        <f>IF(NOT(ISERROR(MATCH(Q22,_xlfn.ANCHORARRAY(E33),0))),P35&amp;"Por favor no seleccionar los criterios de impacto",Q22)</f>
        <v>0</v>
      </c>
      <c r="S22" s="367"/>
      <c r="T22" s="364"/>
      <c r="U22" s="362"/>
      <c r="V22" s="214">
        <v>4</v>
      </c>
      <c r="W22" s="187"/>
      <c r="X22" s="189" t="str">
        <f t="shared" ref="X22:X24" si="14">IF(OR(Y22="Preventivo",Y22="Detectivo"),"Probabilidad",IF(Y22="Correctivo","Impacto",""))</f>
        <v/>
      </c>
      <c r="Y22" s="190"/>
      <c r="Z22" s="190"/>
      <c r="AA22" s="191" t="str">
        <f t="shared" si="9"/>
        <v/>
      </c>
      <c r="AB22" s="190"/>
      <c r="AC22" s="190"/>
      <c r="AD22" s="190"/>
      <c r="AE22" s="192" t="str">
        <f t="shared" ref="AE22:AE24" si="15">IFERROR(IF(AND(X21="Probabilidad",X22="Probabilidad"),(AG21-(+AG21*AA22)),IF(AND(X21="Impacto",X22="Probabilidad"),(AG20-(+AG20*AA22)),IF(X22="Impacto",AG21,""))),"")</f>
        <v/>
      </c>
      <c r="AF22" s="193" t="str">
        <f t="shared" si="2"/>
        <v/>
      </c>
      <c r="AG22" s="191" t="str">
        <f t="shared" si="10"/>
        <v/>
      </c>
      <c r="AH22" s="193" t="str">
        <f t="shared" si="4"/>
        <v/>
      </c>
      <c r="AI22" s="191" t="str">
        <f t="shared" si="13"/>
        <v/>
      </c>
      <c r="AJ22" s="194"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
      </c>
      <c r="AK22" s="195"/>
      <c r="AL22" s="186"/>
      <c r="AM22" s="196"/>
      <c r="AN22" s="196"/>
      <c r="AO22" s="197"/>
      <c r="AP22" s="381"/>
      <c r="AQ22" s="381"/>
      <c r="AR22" s="381"/>
    </row>
    <row r="23" spans="1:44" x14ac:dyDescent="0.2">
      <c r="A23" s="418"/>
      <c r="B23" s="387"/>
      <c r="C23" s="387"/>
      <c r="D23" s="387"/>
      <c r="E23" s="390"/>
      <c r="F23" s="387"/>
      <c r="G23" s="360"/>
      <c r="H23" s="360"/>
      <c r="I23" s="360"/>
      <c r="J23" s="360"/>
      <c r="K23" s="360"/>
      <c r="L23" s="360"/>
      <c r="M23" s="360"/>
      <c r="N23" s="381"/>
      <c r="O23" s="367"/>
      <c r="P23" s="364"/>
      <c r="Q23" s="353"/>
      <c r="R23" s="364">
        <f>IF(NOT(ISERROR(MATCH(Q23,_xlfn.ANCHORARRAY(E34),0))),P36&amp;"Por favor no seleccionar los criterios de impacto",Q23)</f>
        <v>0</v>
      </c>
      <c r="S23" s="367"/>
      <c r="T23" s="364"/>
      <c r="U23" s="362"/>
      <c r="V23" s="214">
        <v>5</v>
      </c>
      <c r="W23" s="187"/>
      <c r="X23" s="189" t="str">
        <f t="shared" si="14"/>
        <v/>
      </c>
      <c r="Y23" s="190"/>
      <c r="Z23" s="190"/>
      <c r="AA23" s="191" t="str">
        <f t="shared" si="9"/>
        <v/>
      </c>
      <c r="AB23" s="190"/>
      <c r="AC23" s="190"/>
      <c r="AD23" s="190"/>
      <c r="AE23" s="192" t="str">
        <f t="shared" si="15"/>
        <v/>
      </c>
      <c r="AF23" s="193" t="str">
        <f t="shared" si="2"/>
        <v/>
      </c>
      <c r="AG23" s="191" t="str">
        <f t="shared" si="10"/>
        <v/>
      </c>
      <c r="AH23" s="193" t="str">
        <f t="shared" si="4"/>
        <v/>
      </c>
      <c r="AI23" s="191" t="str">
        <f t="shared" si="13"/>
        <v/>
      </c>
      <c r="AJ23" s="194" t="str">
        <f t="shared" ref="AJ23:AJ24" si="16">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
      </c>
      <c r="AK23" s="195"/>
      <c r="AL23" s="186"/>
      <c r="AM23" s="196"/>
      <c r="AN23" s="196"/>
      <c r="AO23" s="197"/>
      <c r="AP23" s="381"/>
      <c r="AQ23" s="381"/>
      <c r="AR23" s="381"/>
    </row>
    <row r="24" spans="1:44" x14ac:dyDescent="0.2">
      <c r="A24" s="418"/>
      <c r="B24" s="387"/>
      <c r="C24" s="387"/>
      <c r="D24" s="387"/>
      <c r="E24" s="390"/>
      <c r="F24" s="387"/>
      <c r="G24" s="373"/>
      <c r="H24" s="373"/>
      <c r="I24" s="373"/>
      <c r="J24" s="373"/>
      <c r="K24" s="373"/>
      <c r="L24" s="373"/>
      <c r="M24" s="373"/>
      <c r="N24" s="381"/>
      <c r="O24" s="367"/>
      <c r="P24" s="364"/>
      <c r="Q24" s="353"/>
      <c r="R24" s="364">
        <f>IF(NOT(ISERROR(MATCH(Q24,_xlfn.ANCHORARRAY(E35),0))),P37&amp;"Por favor no seleccionar los criterios de impacto",Q24)</f>
        <v>0</v>
      </c>
      <c r="S24" s="367"/>
      <c r="T24" s="364"/>
      <c r="U24" s="362"/>
      <c r="V24" s="214">
        <v>6</v>
      </c>
      <c r="W24" s="187"/>
      <c r="X24" s="189" t="str">
        <f t="shared" si="14"/>
        <v/>
      </c>
      <c r="Y24" s="190"/>
      <c r="Z24" s="190"/>
      <c r="AA24" s="191" t="str">
        <f t="shared" si="9"/>
        <v/>
      </c>
      <c r="AB24" s="190"/>
      <c r="AC24" s="190"/>
      <c r="AD24" s="190"/>
      <c r="AE24" s="192" t="str">
        <f t="shared" si="15"/>
        <v/>
      </c>
      <c r="AF24" s="193" t="str">
        <f t="shared" si="2"/>
        <v/>
      </c>
      <c r="AG24" s="191" t="str">
        <f t="shared" si="10"/>
        <v/>
      </c>
      <c r="AH24" s="193" t="str">
        <f t="shared" si="4"/>
        <v/>
      </c>
      <c r="AI24" s="191" t="str">
        <f t="shared" si="13"/>
        <v/>
      </c>
      <c r="AJ24" s="194" t="str">
        <f t="shared" si="16"/>
        <v/>
      </c>
      <c r="AK24" s="195"/>
      <c r="AL24" s="186"/>
      <c r="AM24" s="196"/>
      <c r="AN24" s="196"/>
      <c r="AO24" s="197"/>
      <c r="AP24" s="381"/>
      <c r="AQ24" s="381"/>
      <c r="AR24" s="381"/>
    </row>
    <row r="25" spans="1:44" x14ac:dyDescent="0.2">
      <c r="A25" s="418">
        <v>3</v>
      </c>
      <c r="B25" s="387"/>
      <c r="C25" s="387"/>
      <c r="D25" s="387"/>
      <c r="E25" s="390"/>
      <c r="F25" s="387"/>
      <c r="G25" s="392"/>
      <c r="H25" s="392"/>
      <c r="I25" s="392"/>
      <c r="J25" s="392"/>
      <c r="K25" s="392"/>
      <c r="L25" s="392"/>
      <c r="M25" s="392"/>
      <c r="N25" s="381"/>
      <c r="O25" s="367" t="str">
        <f>IF(N25&lt;=0,"",IF(N25&lt;=2,"Muy Baja",IF(N25&lt;=24,"Baja",IF(N25&lt;=500,"Media",IF(N25&lt;=5000,"Alta","Muy Alta")))))</f>
        <v/>
      </c>
      <c r="P25" s="364" t="str">
        <f>IF(O25="","",IF(O25="Muy Baja",0.2,IF(O25="Baja",0.4,IF(O25="Media",0.6,IF(O25="Alta",0.8,IF(O25="Muy Alta",1,))))))</f>
        <v/>
      </c>
      <c r="Q25" s="353"/>
      <c r="R25" s="364">
        <f>IF(NOT(ISERROR(MATCH(Q25,'Tabla Impacto'!$B$222:$B$224,0))),'Tabla Impacto'!$F$224&amp;"Por favor no seleccionar los criterios de impacto(Afectación Económica o presupuestal y Pérdida Reputacional)",Q25)</f>
        <v>0</v>
      </c>
      <c r="S25" s="367" t="str">
        <f>IF(OR(R25='Tabla Impacto'!$C$12,R25='Tabla Impacto'!$D$12),"Leve",IF(OR(R25='Tabla Impacto'!$C$13,R25='Tabla Impacto'!$D$13),"Menor",IF(OR(R25='Tabla Impacto'!$C$14,R25='Tabla Impacto'!$D$14),"Moderado",IF(OR(R25='Tabla Impacto'!$C$15,R25='Tabla Impacto'!$D$15),"Mayor",IF(OR(R25='Tabla Impacto'!$C$16,R25='Tabla Impacto'!$D$16),"Catastrófico","")))))</f>
        <v/>
      </c>
      <c r="T25" s="364" t="str">
        <f>IF(S25="","",IF(S25="Leve",0.2,IF(S25="Menor",0.4,IF(S25="Moderado",0.6,IF(S25="Mayor",0.8,IF(S25="Catastrófico",1,))))))</f>
        <v/>
      </c>
      <c r="U25" s="362" t="str">
        <f>IF(OR(AND(O25="Muy Baja",S25="Leve"),AND(O25="Muy Baja",S25="Menor"),AND(O25="Baja",S25="Leve")),"Bajo",IF(OR(AND(O25="Muy baja",S25="Moderado"),AND(O25="Baja",S25="Menor"),AND(O25="Baja",S25="Moderado"),AND(O25="Media",S25="Leve"),AND(O25="Media",S25="Menor"),AND(O25="Media",S25="Moderado"),AND(O25="Alta",S25="Leve"),AND(O25="Alta",S25="Menor")),"Moderado",IF(OR(AND(O25="Muy Baja",S25="Mayor"),AND(O25="Baja",S25="Mayor"),AND(O25="Media",S25="Mayor"),AND(O25="Alta",S25="Moderado"),AND(O25="Alta",S25="Mayor"),AND(O25="Muy Alta",S25="Leve"),AND(O25="Muy Alta",S25="Menor"),AND(O25="Muy Alta",S25="Moderado"),AND(O25="Muy Alta",S25="Mayor")),"Alto",IF(OR(AND(O25="Muy Baja",S25="Catastrófico"),AND(O25="Baja",S25="Catastrófico"),AND(O25="Media",S25="Catastrófico"),AND(O25="Alta",S25="Catastrófico"),AND(O25="Muy Alta",S25="Catastrófico")),"Extremo",""))))</f>
        <v/>
      </c>
      <c r="V25" s="214">
        <v>1</v>
      </c>
      <c r="W25" s="187"/>
      <c r="X25" s="189" t="str">
        <f>IF(OR(Y25="Preventivo",Y25="Detectivo"),"Probabilidad",IF(Y25="Correctivo","Impacto",""))</f>
        <v/>
      </c>
      <c r="Y25" s="190"/>
      <c r="Z25" s="190"/>
      <c r="AA25" s="191" t="str">
        <f>IF(AND(Y25="Preventivo",Z25="Automático"),"50%",IF(AND(Y25="Preventivo",Z25="Manual"),"40%",IF(AND(Y25="Detectivo",Z25="Automático"),"40%",IF(AND(Y25="Detectivo",Z25="Manual"),"30%",IF(AND(Y25="Correctivo",Z25="Automático"),"35%",IF(AND(Y25="Correctivo",Z25="Manual"),"25%",""))))))</f>
        <v/>
      </c>
      <c r="AB25" s="190"/>
      <c r="AC25" s="190"/>
      <c r="AD25" s="190"/>
      <c r="AE25" s="192" t="str">
        <f>IFERROR(IF(X25="Probabilidad",(P25-(+P25*AA25)),IF(X25="Impacto",P25,"")),"")</f>
        <v/>
      </c>
      <c r="AF25" s="193" t="str">
        <f>IFERROR(IF(AE25="","",IF(AE25&lt;=0.2,"Muy Baja",IF(AE25&lt;=0.4,"Baja",IF(AE25&lt;=0.6,"Media",IF(AE25&lt;=0.8,"Alta","Muy Alta"))))),"")</f>
        <v/>
      </c>
      <c r="AG25" s="191" t="str">
        <f>+AE25</f>
        <v/>
      </c>
      <c r="AH25" s="193" t="str">
        <f>IFERROR(IF(AI25="","",IF(AI25&lt;=0.2,"Leve",IF(AI25&lt;=0.4,"Menor",IF(AI25&lt;=0.6,"Moderado",IF(AI25&lt;=0.8,"Mayor","Catastrófico"))))),"")</f>
        <v/>
      </c>
      <c r="AI25" s="191" t="str">
        <f t="shared" ref="AI25" si="17">IFERROR(IF(X25="Impacto",(T25-(+T25*AA25)),IF(X25="Probabilidad",T25,"")),"")</f>
        <v/>
      </c>
      <c r="AJ25" s="194" t="str">
        <f>IFERROR(IF(OR(AND(AF25="Muy Baja",AH25="Leve"),AND(AF25="Muy Baja",AH25="Menor"),AND(AF25="Baja",AH25="Leve")),"Bajo",IF(OR(AND(AF25="Muy baja",AH25="Moderado"),AND(AF25="Baja",AH25="Menor"),AND(AF25="Baja",AH25="Moderado"),AND(AF25="Media",AH25="Leve"),AND(AF25="Media",AH25="Menor"),AND(AF25="Media",AH25="Moderado"),AND(AF25="Alta",AH25="Leve"),AND(AF25="Alta",AH25="Menor")),"Moderado",IF(OR(AND(AF25="Muy Baja",AH25="Mayor"),AND(AF25="Baja",AH25="Mayor"),AND(AF25="Media",AH25="Mayor"),AND(AF25="Alta",AH25="Moderado"),AND(AF25="Alta",AH25="Mayor"),AND(AF25="Muy Alta",AH25="Leve"),AND(AF25="Muy Alta",AH25="Menor"),AND(AF25="Muy Alta",AH25="Moderado"),AND(AF25="Muy Alta",AH25="Mayor")),"Alto",IF(OR(AND(AF25="Muy Baja",AH25="Catastrófico"),AND(AF25="Baja",AH25="Catastrófico"),AND(AF25="Media",AH25="Catastrófico"),AND(AF25="Alta",AH25="Catastrófico"),AND(AF25="Muy Alta",AH25="Catastrófico")),"Extremo","")))),"")</f>
        <v/>
      </c>
      <c r="AK25" s="195"/>
      <c r="AL25" s="186"/>
      <c r="AM25" s="196"/>
      <c r="AN25" s="196"/>
      <c r="AO25" s="197"/>
      <c r="AP25" s="381"/>
      <c r="AQ25" s="381"/>
      <c r="AR25" s="381"/>
    </row>
    <row r="26" spans="1:44" x14ac:dyDescent="0.2">
      <c r="A26" s="418"/>
      <c r="B26" s="387"/>
      <c r="C26" s="387"/>
      <c r="D26" s="387"/>
      <c r="E26" s="390"/>
      <c r="F26" s="387"/>
      <c r="G26" s="360"/>
      <c r="H26" s="360"/>
      <c r="I26" s="360"/>
      <c r="J26" s="360"/>
      <c r="K26" s="360"/>
      <c r="L26" s="360"/>
      <c r="M26" s="360"/>
      <c r="N26" s="381"/>
      <c r="O26" s="367"/>
      <c r="P26" s="364"/>
      <c r="Q26" s="353"/>
      <c r="R26" s="364">
        <f>IF(NOT(ISERROR(MATCH(Q26,_xlfn.ANCHORARRAY(E37),0))),P39&amp;"Por favor no seleccionar los criterios de impacto",Q26)</f>
        <v>0</v>
      </c>
      <c r="S26" s="367"/>
      <c r="T26" s="364"/>
      <c r="U26" s="362"/>
      <c r="V26" s="214">
        <v>2</v>
      </c>
      <c r="W26" s="187"/>
      <c r="X26" s="189" t="str">
        <f>IF(OR(Y26="Preventivo",Y26="Detectivo"),"Probabilidad",IF(Y26="Correctivo","Impacto",""))</f>
        <v/>
      </c>
      <c r="Y26" s="190"/>
      <c r="Z26" s="190"/>
      <c r="AA26" s="191" t="str">
        <f t="shared" ref="AA26:AA30" si="18">IF(AND(Y26="Preventivo",Z26="Automático"),"50%",IF(AND(Y26="Preventivo",Z26="Manual"),"40%",IF(AND(Y26="Detectivo",Z26="Automático"),"40%",IF(AND(Y26="Detectivo",Z26="Manual"),"30%",IF(AND(Y26="Correctivo",Z26="Automático"),"35%",IF(AND(Y26="Correctivo",Z26="Manual"),"25%",""))))))</f>
        <v/>
      </c>
      <c r="AB26" s="190"/>
      <c r="AC26" s="190"/>
      <c r="AD26" s="190"/>
      <c r="AE26" s="192" t="str">
        <f>IFERROR(IF(AND(X25="Probabilidad",X26="Probabilidad"),(AG25-(+AG25*AA26)),IF(X26="Probabilidad",(P25-(+P25*AA26)),IF(X26="Impacto",AG25,""))),"")</f>
        <v/>
      </c>
      <c r="AF26" s="193" t="str">
        <f t="shared" si="2"/>
        <v/>
      </c>
      <c r="AG26" s="191" t="str">
        <f t="shared" ref="AG26:AG30" si="19">+AE26</f>
        <v/>
      </c>
      <c r="AH26" s="193" t="str">
        <f t="shared" si="4"/>
        <v/>
      </c>
      <c r="AI26" s="191" t="str">
        <f t="shared" ref="AI26" si="20">IFERROR(IF(AND(X25="Impacto",X26="Impacto"),(AI25-(+AI25*AA26)),IF(X26="Impacto",($T$13-(+$T$13*AA26)),IF(X26="Probabilidad",AI25,""))),"")</f>
        <v/>
      </c>
      <c r="AJ26" s="194" t="str">
        <f t="shared" ref="AJ26:AJ27" si="21">IFERROR(IF(OR(AND(AF26="Muy Baja",AH26="Leve"),AND(AF26="Muy Baja",AH26="Menor"),AND(AF26="Baja",AH26="Leve")),"Bajo",IF(OR(AND(AF26="Muy baja",AH26="Moderado"),AND(AF26="Baja",AH26="Menor"),AND(AF26="Baja",AH26="Moderado"),AND(AF26="Media",AH26="Leve"),AND(AF26="Media",AH26="Menor"),AND(AF26="Media",AH26="Moderado"),AND(AF26="Alta",AH26="Leve"),AND(AF26="Alta",AH26="Menor")),"Moderado",IF(OR(AND(AF26="Muy Baja",AH26="Mayor"),AND(AF26="Baja",AH26="Mayor"),AND(AF26="Media",AH26="Mayor"),AND(AF26="Alta",AH26="Moderado"),AND(AF26="Alta",AH26="Mayor"),AND(AF26="Muy Alta",AH26="Leve"),AND(AF26="Muy Alta",AH26="Menor"),AND(AF26="Muy Alta",AH26="Moderado"),AND(AF26="Muy Alta",AH26="Mayor")),"Alto",IF(OR(AND(AF26="Muy Baja",AH26="Catastrófico"),AND(AF26="Baja",AH26="Catastrófico"),AND(AF26="Media",AH26="Catastrófico"),AND(AF26="Alta",AH26="Catastrófico"),AND(AF26="Muy Alta",AH26="Catastrófico")),"Extremo","")))),"")</f>
        <v/>
      </c>
      <c r="AK26" s="195"/>
      <c r="AL26" s="186"/>
      <c r="AM26" s="196"/>
      <c r="AN26" s="196"/>
      <c r="AO26" s="197"/>
      <c r="AP26" s="381"/>
      <c r="AQ26" s="381"/>
      <c r="AR26" s="381"/>
    </row>
    <row r="27" spans="1:44" x14ac:dyDescent="0.2">
      <c r="A27" s="418"/>
      <c r="B27" s="387"/>
      <c r="C27" s="387"/>
      <c r="D27" s="387"/>
      <c r="E27" s="390"/>
      <c r="F27" s="387"/>
      <c r="G27" s="360"/>
      <c r="H27" s="360"/>
      <c r="I27" s="360"/>
      <c r="J27" s="360"/>
      <c r="K27" s="360"/>
      <c r="L27" s="360"/>
      <c r="M27" s="360"/>
      <c r="N27" s="381"/>
      <c r="O27" s="367"/>
      <c r="P27" s="364"/>
      <c r="Q27" s="353"/>
      <c r="R27" s="364">
        <f>IF(NOT(ISERROR(MATCH(Q27,_xlfn.ANCHORARRAY(E38),0))),P40&amp;"Por favor no seleccionar los criterios de impacto",Q27)</f>
        <v>0</v>
      </c>
      <c r="S27" s="367"/>
      <c r="T27" s="364"/>
      <c r="U27" s="362"/>
      <c r="V27" s="214">
        <v>3</v>
      </c>
      <c r="W27" s="187"/>
      <c r="X27" s="189" t="str">
        <f>IF(OR(Y27="Preventivo",Y27="Detectivo"),"Probabilidad",IF(Y27="Correctivo","Impacto",""))</f>
        <v/>
      </c>
      <c r="Y27" s="190"/>
      <c r="Z27" s="190"/>
      <c r="AA27" s="191" t="str">
        <f t="shared" si="18"/>
        <v/>
      </c>
      <c r="AB27" s="190"/>
      <c r="AC27" s="190"/>
      <c r="AD27" s="190"/>
      <c r="AE27" s="192" t="str">
        <f>IFERROR(IF(AND(X26="Probabilidad",X27="Probabilidad"),(AG26-(+AG26*AA27)),IF(AND(X26="Impacto",X27="Probabilidad"),(AG25-(+AG25*AA27)),IF(X27="Impacto",AG26,""))),"")</f>
        <v/>
      </c>
      <c r="AF27" s="193" t="str">
        <f t="shared" si="2"/>
        <v/>
      </c>
      <c r="AG27" s="191" t="str">
        <f t="shared" si="19"/>
        <v/>
      </c>
      <c r="AH27" s="193" t="str">
        <f t="shared" si="4"/>
        <v/>
      </c>
      <c r="AI27" s="191" t="str">
        <f t="shared" ref="AI27" si="22">IFERROR(IF(AND(X26="Impacto",X27="Impacto"),(AI26-(+AI26*AA27)),IF(AND(X26="Probabilidad",X27="Impacto"),(AI25-(+AI25*AA27)),IF(X27="Probabilidad",AI26,""))),"")</f>
        <v/>
      </c>
      <c r="AJ27" s="194" t="str">
        <f t="shared" si="21"/>
        <v/>
      </c>
      <c r="AK27" s="195"/>
      <c r="AL27" s="186"/>
      <c r="AM27" s="196"/>
      <c r="AN27" s="196"/>
      <c r="AO27" s="197"/>
      <c r="AP27" s="381"/>
      <c r="AQ27" s="381"/>
      <c r="AR27" s="381"/>
    </row>
    <row r="28" spans="1:44" x14ac:dyDescent="0.2">
      <c r="A28" s="418"/>
      <c r="B28" s="387"/>
      <c r="C28" s="387"/>
      <c r="D28" s="387"/>
      <c r="E28" s="390"/>
      <c r="F28" s="387"/>
      <c r="G28" s="360"/>
      <c r="H28" s="360"/>
      <c r="I28" s="360"/>
      <c r="J28" s="360"/>
      <c r="K28" s="360"/>
      <c r="L28" s="360"/>
      <c r="M28" s="360"/>
      <c r="N28" s="381"/>
      <c r="O28" s="367"/>
      <c r="P28" s="364"/>
      <c r="Q28" s="353"/>
      <c r="R28" s="364">
        <f>IF(NOT(ISERROR(MATCH(Q28,_xlfn.ANCHORARRAY(E39),0))),P41&amp;"Por favor no seleccionar los criterios de impacto",Q28)</f>
        <v>0</v>
      </c>
      <c r="S28" s="367"/>
      <c r="T28" s="364"/>
      <c r="U28" s="362"/>
      <c r="V28" s="214">
        <v>4</v>
      </c>
      <c r="W28" s="187"/>
      <c r="X28" s="189" t="str">
        <f t="shared" ref="X28:X30" si="23">IF(OR(Y28="Preventivo",Y28="Detectivo"),"Probabilidad",IF(Y28="Correctivo","Impacto",""))</f>
        <v/>
      </c>
      <c r="Y28" s="190"/>
      <c r="Z28" s="190"/>
      <c r="AA28" s="191" t="str">
        <f t="shared" si="18"/>
        <v/>
      </c>
      <c r="AB28" s="190"/>
      <c r="AC28" s="190"/>
      <c r="AD28" s="190"/>
      <c r="AE28" s="192" t="str">
        <f t="shared" ref="AE28:AE30" si="24">IFERROR(IF(AND(X27="Probabilidad",X28="Probabilidad"),(AG27-(+AG27*AA28)),IF(AND(X27="Impacto",X28="Probabilidad"),(AG26-(+AG26*AA28)),IF(X28="Impacto",AG27,""))),"")</f>
        <v/>
      </c>
      <c r="AF28" s="193" t="str">
        <f t="shared" si="2"/>
        <v/>
      </c>
      <c r="AG28" s="191" t="str">
        <f t="shared" si="19"/>
        <v/>
      </c>
      <c r="AH28" s="193" t="str">
        <f t="shared" si="4"/>
        <v/>
      </c>
      <c r="AI28" s="191" t="str">
        <f t="shared" si="13"/>
        <v/>
      </c>
      <c r="AJ28" s="194" t="str">
        <f>IFERROR(IF(OR(AND(AF28="Muy Baja",AH28="Leve"),AND(AF28="Muy Baja",AH28="Menor"),AND(AF28="Baja",AH28="Leve")),"Bajo",IF(OR(AND(AF28="Muy baja",AH28="Moderado"),AND(AF28="Baja",AH28="Menor"),AND(AF28="Baja",AH28="Moderado"),AND(AF28="Media",AH28="Leve"),AND(AF28="Media",AH28="Menor"),AND(AF28="Media",AH28="Moderado"),AND(AF28="Alta",AH28="Leve"),AND(AF28="Alta",AH28="Menor")),"Moderado",IF(OR(AND(AF28="Muy Baja",AH28="Mayor"),AND(AF28="Baja",AH28="Mayor"),AND(AF28="Media",AH28="Mayor"),AND(AF28="Alta",AH28="Moderado"),AND(AF28="Alta",AH28="Mayor"),AND(AF28="Muy Alta",AH28="Leve"),AND(AF28="Muy Alta",AH28="Menor"),AND(AF28="Muy Alta",AH28="Moderado"),AND(AF28="Muy Alta",AH28="Mayor")),"Alto",IF(OR(AND(AF28="Muy Baja",AH28="Catastrófico"),AND(AF28="Baja",AH28="Catastrófico"),AND(AF28="Media",AH28="Catastrófico"),AND(AF28="Alta",AH28="Catastrófico"),AND(AF28="Muy Alta",AH28="Catastrófico")),"Extremo","")))),"")</f>
        <v/>
      </c>
      <c r="AK28" s="195"/>
      <c r="AL28" s="186"/>
      <c r="AM28" s="196"/>
      <c r="AN28" s="196"/>
      <c r="AO28" s="197"/>
      <c r="AP28" s="381"/>
      <c r="AQ28" s="381"/>
      <c r="AR28" s="381"/>
    </row>
    <row r="29" spans="1:44" x14ac:dyDescent="0.2">
      <c r="A29" s="418"/>
      <c r="B29" s="387"/>
      <c r="C29" s="387"/>
      <c r="D29" s="387"/>
      <c r="E29" s="390"/>
      <c r="F29" s="387"/>
      <c r="G29" s="360"/>
      <c r="H29" s="360"/>
      <c r="I29" s="360"/>
      <c r="J29" s="360"/>
      <c r="K29" s="360"/>
      <c r="L29" s="360"/>
      <c r="M29" s="360"/>
      <c r="N29" s="381"/>
      <c r="O29" s="367"/>
      <c r="P29" s="364"/>
      <c r="Q29" s="353"/>
      <c r="R29" s="364">
        <f>IF(NOT(ISERROR(MATCH(Q29,_xlfn.ANCHORARRAY(E40),0))),P42&amp;"Por favor no seleccionar los criterios de impacto",Q29)</f>
        <v>0</v>
      </c>
      <c r="S29" s="367"/>
      <c r="T29" s="364"/>
      <c r="U29" s="362"/>
      <c r="V29" s="214">
        <v>5</v>
      </c>
      <c r="W29" s="187"/>
      <c r="X29" s="189" t="str">
        <f t="shared" si="23"/>
        <v/>
      </c>
      <c r="Y29" s="190"/>
      <c r="Z29" s="190"/>
      <c r="AA29" s="191" t="str">
        <f t="shared" si="18"/>
        <v/>
      </c>
      <c r="AB29" s="190"/>
      <c r="AC29" s="190"/>
      <c r="AD29" s="190"/>
      <c r="AE29" s="192" t="str">
        <f t="shared" si="24"/>
        <v/>
      </c>
      <c r="AF29" s="193" t="str">
        <f t="shared" si="2"/>
        <v/>
      </c>
      <c r="AG29" s="191" t="str">
        <f t="shared" si="19"/>
        <v/>
      </c>
      <c r="AH29" s="193" t="str">
        <f t="shared" si="4"/>
        <v/>
      </c>
      <c r="AI29" s="191" t="str">
        <f t="shared" si="13"/>
        <v/>
      </c>
      <c r="AJ29" s="194" t="str">
        <f t="shared" ref="AJ29:AJ30" si="25">IFERROR(IF(OR(AND(AF29="Muy Baja",AH29="Leve"),AND(AF29="Muy Baja",AH29="Menor"),AND(AF29="Baja",AH29="Leve")),"Bajo",IF(OR(AND(AF29="Muy baja",AH29="Moderado"),AND(AF29="Baja",AH29="Menor"),AND(AF29="Baja",AH29="Moderado"),AND(AF29="Media",AH29="Leve"),AND(AF29="Media",AH29="Menor"),AND(AF29="Media",AH29="Moderado"),AND(AF29="Alta",AH29="Leve"),AND(AF29="Alta",AH29="Menor")),"Moderado",IF(OR(AND(AF29="Muy Baja",AH29="Mayor"),AND(AF29="Baja",AH29="Mayor"),AND(AF29="Media",AH29="Mayor"),AND(AF29="Alta",AH29="Moderado"),AND(AF29="Alta",AH29="Mayor"),AND(AF29="Muy Alta",AH29="Leve"),AND(AF29="Muy Alta",AH29="Menor"),AND(AF29="Muy Alta",AH29="Moderado"),AND(AF29="Muy Alta",AH29="Mayor")),"Alto",IF(OR(AND(AF29="Muy Baja",AH29="Catastrófico"),AND(AF29="Baja",AH29="Catastrófico"),AND(AF29="Media",AH29="Catastrófico"),AND(AF29="Alta",AH29="Catastrófico"),AND(AF29="Muy Alta",AH29="Catastrófico")),"Extremo","")))),"")</f>
        <v/>
      </c>
      <c r="AK29" s="195"/>
      <c r="AL29" s="186"/>
      <c r="AM29" s="196"/>
      <c r="AN29" s="196"/>
      <c r="AO29" s="197"/>
      <c r="AP29" s="381"/>
      <c r="AQ29" s="381"/>
      <c r="AR29" s="381"/>
    </row>
    <row r="30" spans="1:44" x14ac:dyDescent="0.2">
      <c r="A30" s="418"/>
      <c r="B30" s="387"/>
      <c r="C30" s="387"/>
      <c r="D30" s="387"/>
      <c r="E30" s="390"/>
      <c r="F30" s="387"/>
      <c r="G30" s="373"/>
      <c r="H30" s="373"/>
      <c r="I30" s="373"/>
      <c r="J30" s="373"/>
      <c r="K30" s="373"/>
      <c r="L30" s="373"/>
      <c r="M30" s="373"/>
      <c r="N30" s="381"/>
      <c r="O30" s="367"/>
      <c r="P30" s="364"/>
      <c r="Q30" s="353"/>
      <c r="R30" s="364">
        <f>IF(NOT(ISERROR(MATCH(Q30,_xlfn.ANCHORARRAY(E41),0))),P43&amp;"Por favor no seleccionar los criterios de impacto",Q30)</f>
        <v>0</v>
      </c>
      <c r="S30" s="367"/>
      <c r="T30" s="364"/>
      <c r="U30" s="362"/>
      <c r="V30" s="214">
        <v>6</v>
      </c>
      <c r="W30" s="187"/>
      <c r="X30" s="189" t="str">
        <f t="shared" si="23"/>
        <v/>
      </c>
      <c r="Y30" s="190"/>
      <c r="Z30" s="190"/>
      <c r="AA30" s="191" t="str">
        <f t="shared" si="18"/>
        <v/>
      </c>
      <c r="AB30" s="190"/>
      <c r="AC30" s="190"/>
      <c r="AD30" s="190"/>
      <c r="AE30" s="192" t="str">
        <f t="shared" si="24"/>
        <v/>
      </c>
      <c r="AF30" s="193" t="str">
        <f t="shared" si="2"/>
        <v/>
      </c>
      <c r="AG30" s="191" t="str">
        <f t="shared" si="19"/>
        <v/>
      </c>
      <c r="AH30" s="193" t="str">
        <f t="shared" si="4"/>
        <v/>
      </c>
      <c r="AI30" s="191" t="str">
        <f t="shared" si="13"/>
        <v/>
      </c>
      <c r="AJ30" s="194" t="str">
        <f t="shared" si="25"/>
        <v/>
      </c>
      <c r="AK30" s="195"/>
      <c r="AL30" s="186"/>
      <c r="AM30" s="196"/>
      <c r="AN30" s="196"/>
      <c r="AO30" s="197"/>
      <c r="AP30" s="381"/>
      <c r="AQ30" s="381"/>
      <c r="AR30" s="381"/>
    </row>
    <row r="31" spans="1:44" x14ac:dyDescent="0.2">
      <c r="A31" s="418">
        <v>4</v>
      </c>
      <c r="B31" s="387"/>
      <c r="C31" s="387"/>
      <c r="D31" s="387"/>
      <c r="E31" s="387"/>
      <c r="F31" s="387"/>
      <c r="G31" s="392"/>
      <c r="H31" s="392"/>
      <c r="I31" s="392"/>
      <c r="J31" s="392"/>
      <c r="K31" s="392"/>
      <c r="L31" s="392"/>
      <c r="M31" s="392"/>
      <c r="N31" s="381"/>
      <c r="O31" s="367" t="str">
        <f>IF(N31&lt;=0,"",IF(N31&lt;=2,"Muy Baja",IF(N31&lt;=24,"Baja",IF(N31&lt;=500,"Media",IF(N31&lt;=5000,"Alta","Muy Alta")))))</f>
        <v/>
      </c>
      <c r="P31" s="364" t="str">
        <f>IF(O31="","",IF(O31="Muy Baja",0.2,IF(O31="Baja",0.4,IF(O31="Media",0.6,IF(O31="Alta",0.8,IF(O31="Muy Alta",1,))))))</f>
        <v/>
      </c>
      <c r="Q31" s="353"/>
      <c r="R31" s="364">
        <f>IF(NOT(ISERROR(MATCH(Q31,'Tabla Impacto'!$B$222:$B$224,0))),'Tabla Impacto'!$F$224&amp;"Por favor no seleccionar los criterios de impacto(Afectación Económica o presupuestal y Pérdida Reputacional)",Q31)</f>
        <v>0</v>
      </c>
      <c r="S31" s="367" t="str">
        <f>IF(OR(R31='Tabla Impacto'!$C$12,R31='Tabla Impacto'!$D$12),"Leve",IF(OR(R31='Tabla Impacto'!$C$13,R31='Tabla Impacto'!$D$13),"Menor",IF(OR(R31='Tabla Impacto'!$C$14,R31='Tabla Impacto'!$D$14),"Moderado",IF(OR(R31='Tabla Impacto'!$C$15,R31='Tabla Impacto'!$D$15),"Mayor",IF(OR(R31='Tabla Impacto'!$C$16,R31='Tabla Impacto'!$D$16),"Catastrófico","")))))</f>
        <v/>
      </c>
      <c r="T31" s="364" t="str">
        <f>IF(S31="","",IF(S31="Leve",0.2,IF(S31="Menor",0.4,IF(S31="Moderado",0.6,IF(S31="Mayor",0.8,IF(S31="Catastrófico",1,))))))</f>
        <v/>
      </c>
      <c r="U31" s="362" t="str">
        <f>IF(OR(AND(O31="Muy Baja",S31="Leve"),AND(O31="Muy Baja",S31="Menor"),AND(O31="Baja",S31="Leve")),"Bajo",IF(OR(AND(O31="Muy baja",S31="Moderado"),AND(O31="Baja",S31="Menor"),AND(O31="Baja",S31="Moderado"),AND(O31="Media",S31="Leve"),AND(O31="Media",S31="Menor"),AND(O31="Media",S31="Moderado"),AND(O31="Alta",S31="Leve"),AND(O31="Alta",S31="Menor")),"Moderado",IF(OR(AND(O31="Muy Baja",S31="Mayor"),AND(O31="Baja",S31="Mayor"),AND(O31="Media",S31="Mayor"),AND(O31="Alta",S31="Moderado"),AND(O31="Alta",S31="Mayor"),AND(O31="Muy Alta",S31="Leve"),AND(O31="Muy Alta",S31="Menor"),AND(O31="Muy Alta",S31="Moderado"),AND(O31="Muy Alta",S31="Mayor")),"Alto",IF(OR(AND(O31="Muy Baja",S31="Catastrófico"),AND(O31="Baja",S31="Catastrófico"),AND(O31="Media",S31="Catastrófico"),AND(O31="Alta",S31="Catastrófico"),AND(O31="Muy Alta",S31="Catastrófico")),"Extremo",""))))</f>
        <v/>
      </c>
      <c r="V31" s="214">
        <v>1</v>
      </c>
      <c r="W31" s="187"/>
      <c r="X31" s="189" t="str">
        <f>IF(OR(Y31="Preventivo",Y31="Detectivo"),"Probabilidad",IF(Y31="Correctivo","Impacto",""))</f>
        <v/>
      </c>
      <c r="Y31" s="190"/>
      <c r="Z31" s="190"/>
      <c r="AA31" s="191" t="str">
        <f>IF(AND(Y31="Preventivo",Z31="Automático"),"50%",IF(AND(Y31="Preventivo",Z31="Manual"),"40%",IF(AND(Y31="Detectivo",Z31="Automático"),"40%",IF(AND(Y31="Detectivo",Z31="Manual"),"30%",IF(AND(Y31="Correctivo",Z31="Automático"),"35%",IF(AND(Y31="Correctivo",Z31="Manual"),"25%",""))))))</f>
        <v/>
      </c>
      <c r="AB31" s="190"/>
      <c r="AC31" s="190"/>
      <c r="AD31" s="190"/>
      <c r="AE31" s="192" t="str">
        <f>IFERROR(IF(X31="Probabilidad",(P31-(+P31*AA31)),IF(X31="Impacto",P31,"")),"")</f>
        <v/>
      </c>
      <c r="AF31" s="193" t="str">
        <f>IFERROR(IF(AE31="","",IF(AE31&lt;=0.2,"Muy Baja",IF(AE31&lt;=0.4,"Baja",IF(AE31&lt;=0.6,"Media",IF(AE31&lt;=0.8,"Alta","Muy Alta"))))),"")</f>
        <v/>
      </c>
      <c r="AG31" s="191" t="str">
        <f>+AE31</f>
        <v/>
      </c>
      <c r="AH31" s="193" t="str">
        <f>IFERROR(IF(AI31="","",IF(AI31&lt;=0.2,"Leve",IF(AI31&lt;=0.4,"Menor",IF(AI31&lt;=0.6,"Moderado",IF(AI31&lt;=0.8,"Mayor","Catastrófico"))))),"")</f>
        <v/>
      </c>
      <c r="AI31" s="191" t="str">
        <f t="shared" ref="AI31" si="26">IFERROR(IF(X31="Impacto",(T31-(+T31*AA31)),IF(X31="Probabilidad",T31,"")),"")</f>
        <v/>
      </c>
      <c r="AJ31" s="194" t="str">
        <f>IFERROR(IF(OR(AND(AF31="Muy Baja",AH31="Leve"),AND(AF31="Muy Baja",AH31="Menor"),AND(AF31="Baja",AH31="Leve")),"Bajo",IF(OR(AND(AF31="Muy baja",AH31="Moderado"),AND(AF31="Baja",AH31="Menor"),AND(AF31="Baja",AH31="Moderado"),AND(AF31="Media",AH31="Leve"),AND(AF31="Media",AH31="Menor"),AND(AF31="Media",AH31="Moderado"),AND(AF31="Alta",AH31="Leve"),AND(AF31="Alta",AH31="Menor")),"Moderado",IF(OR(AND(AF31="Muy Baja",AH31="Mayor"),AND(AF31="Baja",AH31="Mayor"),AND(AF31="Media",AH31="Mayor"),AND(AF31="Alta",AH31="Moderado"),AND(AF31="Alta",AH31="Mayor"),AND(AF31="Muy Alta",AH31="Leve"),AND(AF31="Muy Alta",AH31="Menor"),AND(AF31="Muy Alta",AH31="Moderado"),AND(AF31="Muy Alta",AH31="Mayor")),"Alto",IF(OR(AND(AF31="Muy Baja",AH31="Catastrófico"),AND(AF31="Baja",AH31="Catastrófico"),AND(AF31="Media",AH31="Catastrófico"),AND(AF31="Alta",AH31="Catastrófico"),AND(AF31="Muy Alta",AH31="Catastrófico")),"Extremo","")))),"")</f>
        <v/>
      </c>
      <c r="AK31" s="195"/>
      <c r="AL31" s="186"/>
      <c r="AM31" s="196"/>
      <c r="AN31" s="196"/>
      <c r="AO31" s="197"/>
      <c r="AP31" s="381"/>
      <c r="AQ31" s="381"/>
      <c r="AR31" s="381"/>
    </row>
    <row r="32" spans="1:44" x14ac:dyDescent="0.2">
      <c r="A32" s="418"/>
      <c r="B32" s="387"/>
      <c r="C32" s="387"/>
      <c r="D32" s="387"/>
      <c r="E32" s="387"/>
      <c r="F32" s="387"/>
      <c r="G32" s="360"/>
      <c r="H32" s="360"/>
      <c r="I32" s="360"/>
      <c r="J32" s="360"/>
      <c r="K32" s="360"/>
      <c r="L32" s="360"/>
      <c r="M32" s="360"/>
      <c r="N32" s="381"/>
      <c r="O32" s="367"/>
      <c r="P32" s="364"/>
      <c r="Q32" s="353"/>
      <c r="R32" s="364">
        <f>IF(NOT(ISERROR(MATCH(Q32,_xlfn.ANCHORARRAY(E43),0))),P45&amp;"Por favor no seleccionar los criterios de impacto",Q32)</f>
        <v>0</v>
      </c>
      <c r="S32" s="367"/>
      <c r="T32" s="364"/>
      <c r="U32" s="362"/>
      <c r="V32" s="214">
        <v>2</v>
      </c>
      <c r="W32" s="187"/>
      <c r="X32" s="189" t="str">
        <f>IF(OR(Y32="Preventivo",Y32="Detectivo"),"Probabilidad",IF(Y32="Correctivo","Impacto",""))</f>
        <v/>
      </c>
      <c r="Y32" s="190"/>
      <c r="Z32" s="190"/>
      <c r="AA32" s="191" t="str">
        <f t="shared" ref="AA32:AA36" si="27">IF(AND(Y32="Preventivo",Z32="Automático"),"50%",IF(AND(Y32="Preventivo",Z32="Manual"),"40%",IF(AND(Y32="Detectivo",Z32="Automático"),"40%",IF(AND(Y32="Detectivo",Z32="Manual"),"30%",IF(AND(Y32="Correctivo",Z32="Automático"),"35%",IF(AND(Y32="Correctivo",Z32="Manual"),"25%",""))))))</f>
        <v/>
      </c>
      <c r="AB32" s="190"/>
      <c r="AC32" s="190"/>
      <c r="AD32" s="190"/>
      <c r="AE32" s="192" t="str">
        <f>IFERROR(IF(AND(X31="Probabilidad",X32="Probabilidad"),(AG31-(+AG31*AA32)),IF(X32="Probabilidad",(P31-(+P31*AA32)),IF(X32="Impacto",AG31,""))),"")</f>
        <v/>
      </c>
      <c r="AF32" s="193" t="str">
        <f t="shared" si="2"/>
        <v/>
      </c>
      <c r="AG32" s="191" t="str">
        <f t="shared" ref="AG32:AG36" si="28">+AE32</f>
        <v/>
      </c>
      <c r="AH32" s="193" t="str">
        <f t="shared" si="4"/>
        <v/>
      </c>
      <c r="AI32" s="191" t="str">
        <f t="shared" ref="AI32" si="29">IFERROR(IF(AND(X31="Impacto",X32="Impacto"),(AI31-(+AI31*AA32)),IF(X32="Impacto",($T$13-(+$T$13*AA32)),IF(X32="Probabilidad",AI31,""))),"")</f>
        <v/>
      </c>
      <c r="AJ32" s="194" t="str">
        <f t="shared" ref="AJ32:AJ33" si="30">IFERROR(IF(OR(AND(AF32="Muy Baja",AH32="Leve"),AND(AF32="Muy Baja",AH32="Menor"),AND(AF32="Baja",AH32="Leve")),"Bajo",IF(OR(AND(AF32="Muy baja",AH32="Moderado"),AND(AF32="Baja",AH32="Menor"),AND(AF32="Baja",AH32="Moderado"),AND(AF32="Media",AH32="Leve"),AND(AF32="Media",AH32="Menor"),AND(AF32="Media",AH32="Moderado"),AND(AF32="Alta",AH32="Leve"),AND(AF32="Alta",AH32="Menor")),"Moderado",IF(OR(AND(AF32="Muy Baja",AH32="Mayor"),AND(AF32="Baja",AH32="Mayor"),AND(AF32="Media",AH32="Mayor"),AND(AF32="Alta",AH32="Moderado"),AND(AF32="Alta",AH32="Mayor"),AND(AF32="Muy Alta",AH32="Leve"),AND(AF32="Muy Alta",AH32="Menor"),AND(AF32="Muy Alta",AH32="Moderado"),AND(AF32="Muy Alta",AH32="Mayor")),"Alto",IF(OR(AND(AF32="Muy Baja",AH32="Catastrófico"),AND(AF32="Baja",AH32="Catastrófico"),AND(AF32="Media",AH32="Catastrófico"),AND(AF32="Alta",AH32="Catastrófico"),AND(AF32="Muy Alta",AH32="Catastrófico")),"Extremo","")))),"")</f>
        <v/>
      </c>
      <c r="AK32" s="195"/>
      <c r="AL32" s="186"/>
      <c r="AM32" s="196"/>
      <c r="AN32" s="196"/>
      <c r="AO32" s="197"/>
      <c r="AP32" s="381"/>
      <c r="AQ32" s="381"/>
      <c r="AR32" s="381"/>
    </row>
    <row r="33" spans="1:44" x14ac:dyDescent="0.2">
      <c r="A33" s="418"/>
      <c r="B33" s="387"/>
      <c r="C33" s="387"/>
      <c r="D33" s="387"/>
      <c r="E33" s="387"/>
      <c r="F33" s="387"/>
      <c r="G33" s="360"/>
      <c r="H33" s="360"/>
      <c r="I33" s="360"/>
      <c r="J33" s="360"/>
      <c r="K33" s="360"/>
      <c r="L33" s="360"/>
      <c r="M33" s="360"/>
      <c r="N33" s="381"/>
      <c r="O33" s="367"/>
      <c r="P33" s="364"/>
      <c r="Q33" s="353"/>
      <c r="R33" s="364">
        <f>IF(NOT(ISERROR(MATCH(Q33,_xlfn.ANCHORARRAY(E44),0))),P46&amp;"Por favor no seleccionar los criterios de impacto",Q33)</f>
        <v>0</v>
      </c>
      <c r="S33" s="367"/>
      <c r="T33" s="364"/>
      <c r="U33" s="362"/>
      <c r="V33" s="214">
        <v>3</v>
      </c>
      <c r="W33" s="188"/>
      <c r="X33" s="189" t="str">
        <f>IF(OR(Y33="Preventivo",Y33="Detectivo"),"Probabilidad",IF(Y33="Correctivo","Impacto",""))</f>
        <v/>
      </c>
      <c r="Y33" s="190"/>
      <c r="Z33" s="190"/>
      <c r="AA33" s="191" t="str">
        <f t="shared" si="27"/>
        <v/>
      </c>
      <c r="AB33" s="190"/>
      <c r="AC33" s="190"/>
      <c r="AD33" s="190"/>
      <c r="AE33" s="192" t="str">
        <f>IFERROR(IF(AND(X32="Probabilidad",X33="Probabilidad"),(AG32-(+AG32*AA33)),IF(AND(X32="Impacto",X33="Probabilidad"),(AG31-(+AG31*AA33)),IF(X33="Impacto",AG32,""))),"")</f>
        <v/>
      </c>
      <c r="AF33" s="193" t="str">
        <f t="shared" si="2"/>
        <v/>
      </c>
      <c r="AG33" s="191" t="str">
        <f t="shared" si="28"/>
        <v/>
      </c>
      <c r="AH33" s="193" t="str">
        <f t="shared" si="4"/>
        <v/>
      </c>
      <c r="AI33" s="191" t="str">
        <f t="shared" ref="AI33" si="31">IFERROR(IF(AND(X32="Impacto",X33="Impacto"),(AI32-(+AI32*AA33)),IF(AND(X32="Probabilidad",X33="Impacto"),(AI31-(+AI31*AA33)),IF(X33="Probabilidad",AI32,""))),"")</f>
        <v/>
      </c>
      <c r="AJ33" s="194" t="str">
        <f t="shared" si="30"/>
        <v/>
      </c>
      <c r="AK33" s="195"/>
      <c r="AL33" s="186"/>
      <c r="AM33" s="196"/>
      <c r="AN33" s="196"/>
      <c r="AO33" s="197"/>
      <c r="AP33" s="381"/>
      <c r="AQ33" s="381"/>
      <c r="AR33" s="381"/>
    </row>
    <row r="34" spans="1:44" x14ac:dyDescent="0.2">
      <c r="A34" s="418"/>
      <c r="B34" s="387"/>
      <c r="C34" s="387"/>
      <c r="D34" s="387"/>
      <c r="E34" s="387"/>
      <c r="F34" s="387"/>
      <c r="G34" s="360"/>
      <c r="H34" s="360"/>
      <c r="I34" s="360"/>
      <c r="J34" s="360"/>
      <c r="K34" s="360"/>
      <c r="L34" s="360"/>
      <c r="M34" s="360"/>
      <c r="N34" s="381"/>
      <c r="O34" s="367"/>
      <c r="P34" s="364"/>
      <c r="Q34" s="353"/>
      <c r="R34" s="364">
        <f>IF(NOT(ISERROR(MATCH(Q34,_xlfn.ANCHORARRAY(E45),0))),P47&amp;"Por favor no seleccionar los criterios de impacto",Q34)</f>
        <v>0</v>
      </c>
      <c r="S34" s="367"/>
      <c r="T34" s="364"/>
      <c r="U34" s="362"/>
      <c r="V34" s="214">
        <v>4</v>
      </c>
      <c r="W34" s="187"/>
      <c r="X34" s="189" t="str">
        <f t="shared" ref="X34:X36" si="32">IF(OR(Y34="Preventivo",Y34="Detectivo"),"Probabilidad",IF(Y34="Correctivo","Impacto",""))</f>
        <v/>
      </c>
      <c r="Y34" s="190"/>
      <c r="Z34" s="190"/>
      <c r="AA34" s="191" t="str">
        <f t="shared" si="27"/>
        <v/>
      </c>
      <c r="AB34" s="190"/>
      <c r="AC34" s="190"/>
      <c r="AD34" s="190"/>
      <c r="AE34" s="192" t="str">
        <f t="shared" ref="AE34:AE36" si="33">IFERROR(IF(AND(X33="Probabilidad",X34="Probabilidad"),(AG33-(+AG33*AA34)),IF(AND(X33="Impacto",X34="Probabilidad"),(AG32-(+AG32*AA34)),IF(X34="Impacto",AG33,""))),"")</f>
        <v/>
      </c>
      <c r="AF34" s="193" t="str">
        <f t="shared" si="2"/>
        <v/>
      </c>
      <c r="AG34" s="191" t="str">
        <f t="shared" si="28"/>
        <v/>
      </c>
      <c r="AH34" s="193" t="str">
        <f t="shared" si="4"/>
        <v/>
      </c>
      <c r="AI34" s="191" t="str">
        <f t="shared" si="13"/>
        <v/>
      </c>
      <c r="AJ34" s="194" t="str">
        <f>IFERROR(IF(OR(AND(AF34="Muy Baja",AH34="Leve"),AND(AF34="Muy Baja",AH34="Menor"),AND(AF34="Baja",AH34="Leve")),"Bajo",IF(OR(AND(AF34="Muy baja",AH34="Moderado"),AND(AF34="Baja",AH34="Menor"),AND(AF34="Baja",AH34="Moderado"),AND(AF34="Media",AH34="Leve"),AND(AF34="Media",AH34="Menor"),AND(AF34="Media",AH34="Moderado"),AND(AF34="Alta",AH34="Leve"),AND(AF34="Alta",AH34="Menor")),"Moderado",IF(OR(AND(AF34="Muy Baja",AH34="Mayor"),AND(AF34="Baja",AH34="Mayor"),AND(AF34="Media",AH34="Mayor"),AND(AF34="Alta",AH34="Moderado"),AND(AF34="Alta",AH34="Mayor"),AND(AF34="Muy Alta",AH34="Leve"),AND(AF34="Muy Alta",AH34="Menor"),AND(AF34="Muy Alta",AH34="Moderado"),AND(AF34="Muy Alta",AH34="Mayor")),"Alto",IF(OR(AND(AF34="Muy Baja",AH34="Catastrófico"),AND(AF34="Baja",AH34="Catastrófico"),AND(AF34="Media",AH34="Catastrófico"),AND(AF34="Alta",AH34="Catastrófico"),AND(AF34="Muy Alta",AH34="Catastrófico")),"Extremo","")))),"")</f>
        <v/>
      </c>
      <c r="AK34" s="195"/>
      <c r="AL34" s="186"/>
      <c r="AM34" s="196"/>
      <c r="AN34" s="196"/>
      <c r="AO34" s="197"/>
      <c r="AP34" s="381"/>
      <c r="AQ34" s="381"/>
      <c r="AR34" s="381"/>
    </row>
    <row r="35" spans="1:44" x14ac:dyDescent="0.2">
      <c r="A35" s="418"/>
      <c r="B35" s="387"/>
      <c r="C35" s="387"/>
      <c r="D35" s="387"/>
      <c r="E35" s="387"/>
      <c r="F35" s="387"/>
      <c r="G35" s="360"/>
      <c r="H35" s="360"/>
      <c r="I35" s="360"/>
      <c r="J35" s="360"/>
      <c r="K35" s="360"/>
      <c r="L35" s="360"/>
      <c r="M35" s="360"/>
      <c r="N35" s="381"/>
      <c r="O35" s="367"/>
      <c r="P35" s="364"/>
      <c r="Q35" s="353"/>
      <c r="R35" s="364">
        <f>IF(NOT(ISERROR(MATCH(Q35,_xlfn.ANCHORARRAY(E46),0))),P48&amp;"Por favor no seleccionar los criterios de impacto",Q35)</f>
        <v>0</v>
      </c>
      <c r="S35" s="367"/>
      <c r="T35" s="364"/>
      <c r="U35" s="362"/>
      <c r="V35" s="214">
        <v>5</v>
      </c>
      <c r="W35" s="187"/>
      <c r="X35" s="189" t="str">
        <f t="shared" si="32"/>
        <v/>
      </c>
      <c r="Y35" s="190"/>
      <c r="Z35" s="190"/>
      <c r="AA35" s="191" t="str">
        <f t="shared" si="27"/>
        <v/>
      </c>
      <c r="AB35" s="190"/>
      <c r="AC35" s="190"/>
      <c r="AD35" s="190"/>
      <c r="AE35" s="192" t="str">
        <f t="shared" si="33"/>
        <v/>
      </c>
      <c r="AF35" s="193" t="str">
        <f>IFERROR(IF(AE35="","",IF(AE35&lt;=0.2,"Muy Baja",IF(AE35&lt;=0.4,"Baja",IF(AE35&lt;=0.6,"Media",IF(AE35&lt;=0.8,"Alta","Muy Alta"))))),"")</f>
        <v/>
      </c>
      <c r="AG35" s="191" t="str">
        <f t="shared" si="28"/>
        <v/>
      </c>
      <c r="AH35" s="193" t="str">
        <f t="shared" si="4"/>
        <v/>
      </c>
      <c r="AI35" s="191" t="str">
        <f t="shared" si="13"/>
        <v/>
      </c>
      <c r="AJ35" s="194" t="str">
        <f t="shared" ref="AJ35:AJ36" si="34">IFERROR(IF(OR(AND(AF35="Muy Baja",AH35="Leve"),AND(AF35="Muy Baja",AH35="Menor"),AND(AF35="Baja",AH35="Leve")),"Bajo",IF(OR(AND(AF35="Muy baja",AH35="Moderado"),AND(AF35="Baja",AH35="Menor"),AND(AF35="Baja",AH35="Moderado"),AND(AF35="Media",AH35="Leve"),AND(AF35="Media",AH35="Menor"),AND(AF35="Media",AH35="Moderado"),AND(AF35="Alta",AH35="Leve"),AND(AF35="Alta",AH35="Menor")),"Moderado",IF(OR(AND(AF35="Muy Baja",AH35="Mayor"),AND(AF35="Baja",AH35="Mayor"),AND(AF35="Media",AH35="Mayor"),AND(AF35="Alta",AH35="Moderado"),AND(AF35="Alta",AH35="Mayor"),AND(AF35="Muy Alta",AH35="Leve"),AND(AF35="Muy Alta",AH35="Menor"),AND(AF35="Muy Alta",AH35="Moderado"),AND(AF35="Muy Alta",AH35="Mayor")),"Alto",IF(OR(AND(AF35="Muy Baja",AH35="Catastrófico"),AND(AF35="Baja",AH35="Catastrófico"),AND(AF35="Media",AH35="Catastrófico"),AND(AF35="Alta",AH35="Catastrófico"),AND(AF35="Muy Alta",AH35="Catastrófico")),"Extremo","")))),"")</f>
        <v/>
      </c>
      <c r="AK35" s="195"/>
      <c r="AL35" s="186"/>
      <c r="AM35" s="196"/>
      <c r="AN35" s="196"/>
      <c r="AO35" s="197"/>
      <c r="AP35" s="381"/>
      <c r="AQ35" s="381"/>
      <c r="AR35" s="381"/>
    </row>
    <row r="36" spans="1:44" x14ac:dyDescent="0.2">
      <c r="A36" s="418"/>
      <c r="B36" s="387"/>
      <c r="C36" s="387"/>
      <c r="D36" s="387"/>
      <c r="E36" s="387"/>
      <c r="F36" s="387"/>
      <c r="G36" s="373"/>
      <c r="H36" s="373"/>
      <c r="I36" s="373"/>
      <c r="J36" s="373"/>
      <c r="K36" s="373"/>
      <c r="L36" s="373"/>
      <c r="M36" s="373"/>
      <c r="N36" s="381"/>
      <c r="O36" s="367"/>
      <c r="P36" s="364"/>
      <c r="Q36" s="353"/>
      <c r="R36" s="364">
        <f>IF(NOT(ISERROR(MATCH(Q36,_xlfn.ANCHORARRAY(E47),0))),P49&amp;"Por favor no seleccionar los criterios de impacto",Q36)</f>
        <v>0</v>
      </c>
      <c r="S36" s="367"/>
      <c r="T36" s="364"/>
      <c r="U36" s="362"/>
      <c r="V36" s="214">
        <v>6</v>
      </c>
      <c r="W36" s="187"/>
      <c r="X36" s="189" t="str">
        <f t="shared" si="32"/>
        <v/>
      </c>
      <c r="Y36" s="190"/>
      <c r="Z36" s="190"/>
      <c r="AA36" s="191" t="str">
        <f t="shared" si="27"/>
        <v/>
      </c>
      <c r="AB36" s="190"/>
      <c r="AC36" s="190"/>
      <c r="AD36" s="190"/>
      <c r="AE36" s="192" t="str">
        <f t="shared" si="33"/>
        <v/>
      </c>
      <c r="AF36" s="193" t="str">
        <f t="shared" si="2"/>
        <v/>
      </c>
      <c r="AG36" s="191" t="str">
        <f t="shared" si="28"/>
        <v/>
      </c>
      <c r="AH36" s="193" t="str">
        <f t="shared" si="4"/>
        <v/>
      </c>
      <c r="AI36" s="191" t="str">
        <f t="shared" si="13"/>
        <v/>
      </c>
      <c r="AJ36" s="194" t="str">
        <f t="shared" si="34"/>
        <v/>
      </c>
      <c r="AK36" s="195"/>
      <c r="AL36" s="186"/>
      <c r="AM36" s="196"/>
      <c r="AN36" s="196"/>
      <c r="AO36" s="197"/>
      <c r="AP36" s="381"/>
      <c r="AQ36" s="381"/>
      <c r="AR36" s="381"/>
    </row>
    <row r="37" spans="1:44" x14ac:dyDescent="0.2">
      <c r="A37" s="418">
        <v>5</v>
      </c>
      <c r="B37" s="387"/>
      <c r="C37" s="387"/>
      <c r="D37" s="387"/>
      <c r="E37" s="387"/>
      <c r="F37" s="387"/>
      <c r="G37" s="392"/>
      <c r="H37" s="392"/>
      <c r="I37" s="392"/>
      <c r="J37" s="392"/>
      <c r="K37" s="392"/>
      <c r="L37" s="392"/>
      <c r="M37" s="392"/>
      <c r="N37" s="381"/>
      <c r="O37" s="367" t="str">
        <f>IF(N37&lt;=0,"",IF(N37&lt;=2,"Muy Baja",IF(N37&lt;=24,"Baja",IF(N37&lt;=500,"Media",IF(N37&lt;=5000,"Alta","Muy Alta")))))</f>
        <v/>
      </c>
      <c r="P37" s="364" t="str">
        <f>IF(O37="","",IF(O37="Muy Baja",0.2,IF(O37="Baja",0.4,IF(O37="Media",0.6,IF(O37="Alta",0.8,IF(O37="Muy Alta",1,))))))</f>
        <v/>
      </c>
      <c r="Q37" s="353"/>
      <c r="R37" s="364">
        <f>IF(NOT(ISERROR(MATCH(Q37,'Tabla Impacto'!$B$222:$B$224,0))),'Tabla Impacto'!$F$224&amp;"Por favor no seleccionar los criterios de impacto(Afectación Económica o presupuestal y Pérdida Reputacional)",Q37)</f>
        <v>0</v>
      </c>
      <c r="S37" s="367" t="str">
        <f>IF(OR(R37='Tabla Impacto'!$C$12,R37='Tabla Impacto'!$D$12),"Leve",IF(OR(R37='Tabla Impacto'!$C$13,R37='Tabla Impacto'!$D$13),"Menor",IF(OR(R37='Tabla Impacto'!$C$14,R37='Tabla Impacto'!$D$14),"Moderado",IF(OR(R37='Tabla Impacto'!$C$15,R37='Tabla Impacto'!$D$15),"Mayor",IF(OR(R37='Tabla Impacto'!$C$16,R37='Tabla Impacto'!$D$16),"Catastrófico","")))))</f>
        <v/>
      </c>
      <c r="T37" s="364" t="str">
        <f>IF(S37="","",IF(S37="Leve",0.2,IF(S37="Menor",0.4,IF(S37="Moderado",0.6,IF(S37="Mayor",0.8,IF(S37="Catastrófico",1,))))))</f>
        <v/>
      </c>
      <c r="U37" s="362" t="str">
        <f>IF(OR(AND(O37="Muy Baja",S37="Leve"),AND(O37="Muy Baja",S37="Menor"),AND(O37="Baja",S37="Leve")),"Bajo",IF(OR(AND(O37="Muy baja",S37="Moderado"),AND(O37="Baja",S37="Menor"),AND(O37="Baja",S37="Moderado"),AND(O37="Media",S37="Leve"),AND(O37="Media",S37="Menor"),AND(O37="Media",S37="Moderado"),AND(O37="Alta",S37="Leve"),AND(O37="Alta",S37="Menor")),"Moderado",IF(OR(AND(O37="Muy Baja",S37="Mayor"),AND(O37="Baja",S37="Mayor"),AND(O37="Media",S37="Mayor"),AND(O37="Alta",S37="Moderado"),AND(O37="Alta",S37="Mayor"),AND(O37="Muy Alta",S37="Leve"),AND(O37="Muy Alta",S37="Menor"),AND(O37="Muy Alta",S37="Moderado"),AND(O37="Muy Alta",S37="Mayor")),"Alto",IF(OR(AND(O37="Muy Baja",S37="Catastrófico"),AND(O37="Baja",S37="Catastrófico"),AND(O37="Media",S37="Catastrófico"),AND(O37="Alta",S37="Catastrófico"),AND(O37="Muy Alta",S37="Catastrófico")),"Extremo",""))))</f>
        <v/>
      </c>
      <c r="V37" s="214">
        <v>1</v>
      </c>
      <c r="W37" s="187"/>
      <c r="X37" s="189" t="str">
        <f>IF(OR(Y37="Preventivo",Y37="Detectivo"),"Probabilidad",IF(Y37="Correctivo","Impacto",""))</f>
        <v/>
      </c>
      <c r="Y37" s="190"/>
      <c r="Z37" s="190"/>
      <c r="AA37" s="191" t="str">
        <f>IF(AND(Y37="Preventivo",Z37="Automático"),"50%",IF(AND(Y37="Preventivo",Z37="Manual"),"40%",IF(AND(Y37="Detectivo",Z37="Automático"),"40%",IF(AND(Y37="Detectivo",Z37="Manual"),"30%",IF(AND(Y37="Correctivo",Z37="Automático"),"35%",IF(AND(Y37="Correctivo",Z37="Manual"),"25%",""))))))</f>
        <v/>
      </c>
      <c r="AB37" s="190"/>
      <c r="AC37" s="190"/>
      <c r="AD37" s="190"/>
      <c r="AE37" s="192" t="str">
        <f>IFERROR(IF(X37="Probabilidad",(P37-(+P37*AA37)),IF(X37="Impacto",P37,"")),"")</f>
        <v/>
      </c>
      <c r="AF37" s="193" t="str">
        <f>IFERROR(IF(AE37="","",IF(AE37&lt;=0.2,"Muy Baja",IF(AE37&lt;=0.4,"Baja",IF(AE37&lt;=0.6,"Media",IF(AE37&lt;=0.8,"Alta","Muy Alta"))))),"")</f>
        <v/>
      </c>
      <c r="AG37" s="191" t="str">
        <f>+AE37</f>
        <v/>
      </c>
      <c r="AH37" s="193" t="str">
        <f>IFERROR(IF(AI37="","",IF(AI37&lt;=0.2,"Leve",IF(AI37&lt;=0.4,"Menor",IF(AI37&lt;=0.6,"Moderado",IF(AI37&lt;=0.8,"Mayor","Catastrófico"))))),"")</f>
        <v/>
      </c>
      <c r="AI37" s="191" t="str">
        <f t="shared" ref="AI37" si="35">IFERROR(IF(X37="Impacto",(T37-(+T37*AA37)),IF(X37="Probabilidad",T37,"")),"")</f>
        <v/>
      </c>
      <c r="AJ37" s="194" t="str">
        <f>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195"/>
      <c r="AL37" s="186"/>
      <c r="AM37" s="196"/>
      <c r="AN37" s="196"/>
      <c r="AO37" s="197"/>
      <c r="AP37" s="381"/>
      <c r="AQ37" s="381"/>
      <c r="AR37" s="381"/>
    </row>
    <row r="38" spans="1:44" x14ac:dyDescent="0.2">
      <c r="A38" s="418"/>
      <c r="B38" s="387"/>
      <c r="C38" s="387"/>
      <c r="D38" s="387"/>
      <c r="E38" s="387"/>
      <c r="F38" s="387"/>
      <c r="G38" s="360"/>
      <c r="H38" s="360"/>
      <c r="I38" s="360"/>
      <c r="J38" s="360"/>
      <c r="K38" s="360"/>
      <c r="L38" s="360"/>
      <c r="M38" s="360"/>
      <c r="N38" s="381"/>
      <c r="O38" s="367"/>
      <c r="P38" s="364"/>
      <c r="Q38" s="353"/>
      <c r="R38" s="364">
        <f>IF(NOT(ISERROR(MATCH(Q38,_xlfn.ANCHORARRAY(E49),0))),P51&amp;"Por favor no seleccionar los criterios de impacto",Q38)</f>
        <v>0</v>
      </c>
      <c r="S38" s="367"/>
      <c r="T38" s="364"/>
      <c r="U38" s="362"/>
      <c r="V38" s="214">
        <v>2</v>
      </c>
      <c r="W38" s="187"/>
      <c r="X38" s="189" t="str">
        <f>IF(OR(Y38="Preventivo",Y38="Detectivo"),"Probabilidad",IF(Y38="Correctivo","Impacto",""))</f>
        <v/>
      </c>
      <c r="Y38" s="190"/>
      <c r="Z38" s="190"/>
      <c r="AA38" s="191" t="str">
        <f t="shared" ref="AA38:AA42" si="36">IF(AND(Y38="Preventivo",Z38="Automático"),"50%",IF(AND(Y38="Preventivo",Z38="Manual"),"40%",IF(AND(Y38="Detectivo",Z38="Automático"),"40%",IF(AND(Y38="Detectivo",Z38="Manual"),"30%",IF(AND(Y38="Correctivo",Z38="Automático"),"35%",IF(AND(Y38="Correctivo",Z38="Manual"),"25%",""))))))</f>
        <v/>
      </c>
      <c r="AB38" s="190"/>
      <c r="AC38" s="190"/>
      <c r="AD38" s="190"/>
      <c r="AE38" s="192" t="str">
        <f>IFERROR(IF(AND(X37="Probabilidad",X38="Probabilidad"),(AG37-(+AG37*AA38)),IF(X38="Probabilidad",(P37-(+P37*AA38)),IF(X38="Impacto",AG37,""))),"")</f>
        <v/>
      </c>
      <c r="AF38" s="193" t="str">
        <f t="shared" si="2"/>
        <v/>
      </c>
      <c r="AG38" s="191" t="str">
        <f t="shared" ref="AG38:AG42" si="37">+AE38</f>
        <v/>
      </c>
      <c r="AH38" s="193" t="str">
        <f t="shared" si="4"/>
        <v/>
      </c>
      <c r="AI38" s="191" t="str">
        <f t="shared" ref="AI38" si="38">IFERROR(IF(AND(X37="Impacto",X38="Impacto"),(AI37-(+AI37*AA38)),IF(X38="Impacto",($T$13-(+$T$13*AA38)),IF(X38="Probabilidad",AI37,""))),"")</f>
        <v/>
      </c>
      <c r="AJ38" s="194" t="str">
        <f t="shared" ref="AJ38:AJ39" si="39">IFERROR(IF(OR(AND(AF38="Muy Baja",AH38="Leve"),AND(AF38="Muy Baja",AH38="Menor"),AND(AF38="Baja",AH38="Leve")),"Bajo",IF(OR(AND(AF38="Muy baja",AH38="Moderado"),AND(AF38="Baja",AH38="Menor"),AND(AF38="Baja",AH38="Moderado"),AND(AF38="Media",AH38="Leve"),AND(AF38="Media",AH38="Menor"),AND(AF38="Media",AH38="Moderado"),AND(AF38="Alta",AH38="Leve"),AND(AF38="Alta",AH38="Menor")),"Moderado",IF(OR(AND(AF38="Muy Baja",AH38="Mayor"),AND(AF38="Baja",AH38="Mayor"),AND(AF38="Media",AH38="Mayor"),AND(AF38="Alta",AH38="Moderado"),AND(AF38="Alta",AH38="Mayor"),AND(AF38="Muy Alta",AH38="Leve"),AND(AF38="Muy Alta",AH38="Menor"),AND(AF38="Muy Alta",AH38="Moderado"),AND(AF38="Muy Alta",AH38="Mayor")),"Alto",IF(OR(AND(AF38="Muy Baja",AH38="Catastrófico"),AND(AF38="Baja",AH38="Catastrófico"),AND(AF38="Media",AH38="Catastrófico"),AND(AF38="Alta",AH38="Catastrófico"),AND(AF38="Muy Alta",AH38="Catastrófico")),"Extremo","")))),"")</f>
        <v/>
      </c>
      <c r="AK38" s="195"/>
      <c r="AL38" s="186"/>
      <c r="AM38" s="196"/>
      <c r="AN38" s="196"/>
      <c r="AO38" s="197"/>
      <c r="AP38" s="381"/>
      <c r="AQ38" s="381"/>
      <c r="AR38" s="381"/>
    </row>
    <row r="39" spans="1:44" x14ac:dyDescent="0.2">
      <c r="A39" s="418"/>
      <c r="B39" s="387"/>
      <c r="C39" s="387"/>
      <c r="D39" s="387"/>
      <c r="E39" s="387"/>
      <c r="F39" s="387"/>
      <c r="G39" s="360"/>
      <c r="H39" s="360"/>
      <c r="I39" s="360"/>
      <c r="J39" s="360"/>
      <c r="K39" s="360"/>
      <c r="L39" s="360"/>
      <c r="M39" s="360"/>
      <c r="N39" s="381"/>
      <c r="O39" s="367"/>
      <c r="P39" s="364"/>
      <c r="Q39" s="353"/>
      <c r="R39" s="364">
        <f>IF(NOT(ISERROR(MATCH(Q39,_xlfn.ANCHORARRAY(E50),0))),P52&amp;"Por favor no seleccionar los criterios de impacto",Q39)</f>
        <v>0</v>
      </c>
      <c r="S39" s="367"/>
      <c r="T39" s="364"/>
      <c r="U39" s="362"/>
      <c r="V39" s="214">
        <v>3</v>
      </c>
      <c r="W39" s="188"/>
      <c r="X39" s="189" t="str">
        <f>IF(OR(Y39="Preventivo",Y39="Detectivo"),"Probabilidad",IF(Y39="Correctivo","Impacto",""))</f>
        <v/>
      </c>
      <c r="Y39" s="190"/>
      <c r="Z39" s="190"/>
      <c r="AA39" s="191" t="str">
        <f t="shared" si="36"/>
        <v/>
      </c>
      <c r="AB39" s="190"/>
      <c r="AC39" s="190"/>
      <c r="AD39" s="190"/>
      <c r="AE39" s="192" t="str">
        <f>IFERROR(IF(AND(X38="Probabilidad",X39="Probabilidad"),(AG38-(+AG38*AA39)),IF(AND(X38="Impacto",X39="Probabilidad"),(AG37-(+AG37*AA39)),IF(X39="Impacto",AG38,""))),"")</f>
        <v/>
      </c>
      <c r="AF39" s="193" t="str">
        <f t="shared" si="2"/>
        <v/>
      </c>
      <c r="AG39" s="191" t="str">
        <f t="shared" si="37"/>
        <v/>
      </c>
      <c r="AH39" s="193" t="str">
        <f t="shared" si="4"/>
        <v/>
      </c>
      <c r="AI39" s="191" t="str">
        <f t="shared" ref="AI39" si="40">IFERROR(IF(AND(X38="Impacto",X39="Impacto"),(AI38-(+AI38*AA39)),IF(AND(X38="Probabilidad",X39="Impacto"),(AI37-(+AI37*AA39)),IF(X39="Probabilidad",AI38,""))),"")</f>
        <v/>
      </c>
      <c r="AJ39" s="194" t="str">
        <f t="shared" si="39"/>
        <v/>
      </c>
      <c r="AK39" s="195"/>
      <c r="AL39" s="186"/>
      <c r="AM39" s="196"/>
      <c r="AN39" s="196"/>
      <c r="AO39" s="197"/>
      <c r="AP39" s="381"/>
      <c r="AQ39" s="381"/>
      <c r="AR39" s="381"/>
    </row>
    <row r="40" spans="1:44" x14ac:dyDescent="0.2">
      <c r="A40" s="418"/>
      <c r="B40" s="387"/>
      <c r="C40" s="387"/>
      <c r="D40" s="387"/>
      <c r="E40" s="387"/>
      <c r="F40" s="387"/>
      <c r="G40" s="360"/>
      <c r="H40" s="360"/>
      <c r="I40" s="360"/>
      <c r="J40" s="360"/>
      <c r="K40" s="360"/>
      <c r="L40" s="360"/>
      <c r="M40" s="360"/>
      <c r="N40" s="381"/>
      <c r="O40" s="367"/>
      <c r="P40" s="364"/>
      <c r="Q40" s="353"/>
      <c r="R40" s="364">
        <f>IF(NOT(ISERROR(MATCH(Q40,_xlfn.ANCHORARRAY(E51),0))),P53&amp;"Por favor no seleccionar los criterios de impacto",Q40)</f>
        <v>0</v>
      </c>
      <c r="S40" s="367"/>
      <c r="T40" s="364"/>
      <c r="U40" s="362"/>
      <c r="V40" s="214">
        <v>4</v>
      </c>
      <c r="W40" s="187"/>
      <c r="X40" s="189" t="str">
        <f t="shared" ref="X40:X42" si="41">IF(OR(Y40="Preventivo",Y40="Detectivo"),"Probabilidad",IF(Y40="Correctivo","Impacto",""))</f>
        <v/>
      </c>
      <c r="Y40" s="190"/>
      <c r="Z40" s="190"/>
      <c r="AA40" s="191" t="str">
        <f t="shared" si="36"/>
        <v/>
      </c>
      <c r="AB40" s="190"/>
      <c r="AC40" s="190"/>
      <c r="AD40" s="190"/>
      <c r="AE40" s="192" t="str">
        <f t="shared" ref="AE40:AE42" si="42">IFERROR(IF(AND(X39="Probabilidad",X40="Probabilidad"),(AG39-(+AG39*AA40)),IF(AND(X39="Impacto",X40="Probabilidad"),(AG38-(+AG38*AA40)),IF(X40="Impacto",AG39,""))),"")</f>
        <v/>
      </c>
      <c r="AF40" s="193" t="str">
        <f t="shared" si="2"/>
        <v/>
      </c>
      <c r="AG40" s="191" t="str">
        <f t="shared" si="37"/>
        <v/>
      </c>
      <c r="AH40" s="193" t="str">
        <f t="shared" si="4"/>
        <v/>
      </c>
      <c r="AI40" s="191" t="str">
        <f t="shared" si="13"/>
        <v/>
      </c>
      <c r="AJ40" s="194" t="str">
        <f>IFERROR(IF(OR(AND(AF40="Muy Baja",AH40="Leve"),AND(AF40="Muy Baja",AH40="Menor"),AND(AF40="Baja",AH40="Leve")),"Bajo",IF(OR(AND(AF40="Muy baja",AH40="Moderado"),AND(AF40="Baja",AH40="Menor"),AND(AF40="Baja",AH40="Moderado"),AND(AF40="Media",AH40="Leve"),AND(AF40="Media",AH40="Menor"),AND(AF40="Media",AH40="Moderado"),AND(AF40="Alta",AH40="Leve"),AND(AF40="Alta",AH40="Menor")),"Moderado",IF(OR(AND(AF40="Muy Baja",AH40="Mayor"),AND(AF40="Baja",AH40="Mayor"),AND(AF40="Media",AH40="Mayor"),AND(AF40="Alta",AH40="Moderado"),AND(AF40="Alta",AH40="Mayor"),AND(AF40="Muy Alta",AH40="Leve"),AND(AF40="Muy Alta",AH40="Menor"),AND(AF40="Muy Alta",AH40="Moderado"),AND(AF40="Muy Alta",AH40="Mayor")),"Alto",IF(OR(AND(AF40="Muy Baja",AH40="Catastrófico"),AND(AF40="Baja",AH40="Catastrófico"),AND(AF40="Media",AH40="Catastrófico"),AND(AF40="Alta",AH40="Catastrófico"),AND(AF40="Muy Alta",AH40="Catastrófico")),"Extremo","")))),"")</f>
        <v/>
      </c>
      <c r="AK40" s="195"/>
      <c r="AL40" s="186"/>
      <c r="AM40" s="196"/>
      <c r="AN40" s="196"/>
      <c r="AO40" s="197"/>
      <c r="AP40" s="381"/>
      <c r="AQ40" s="381"/>
      <c r="AR40" s="381"/>
    </row>
    <row r="41" spans="1:44" x14ac:dyDescent="0.2">
      <c r="A41" s="418"/>
      <c r="B41" s="387"/>
      <c r="C41" s="387"/>
      <c r="D41" s="387"/>
      <c r="E41" s="387"/>
      <c r="F41" s="387"/>
      <c r="G41" s="360"/>
      <c r="H41" s="360"/>
      <c r="I41" s="360"/>
      <c r="J41" s="360"/>
      <c r="K41" s="360"/>
      <c r="L41" s="360"/>
      <c r="M41" s="360"/>
      <c r="N41" s="381"/>
      <c r="O41" s="367"/>
      <c r="P41" s="364"/>
      <c r="Q41" s="353"/>
      <c r="R41" s="364">
        <f>IF(NOT(ISERROR(MATCH(Q41,_xlfn.ANCHORARRAY(E52),0))),P54&amp;"Por favor no seleccionar los criterios de impacto",Q41)</f>
        <v>0</v>
      </c>
      <c r="S41" s="367"/>
      <c r="T41" s="364"/>
      <c r="U41" s="362"/>
      <c r="V41" s="214">
        <v>5</v>
      </c>
      <c r="W41" s="187"/>
      <c r="X41" s="189" t="str">
        <f t="shared" si="41"/>
        <v/>
      </c>
      <c r="Y41" s="190"/>
      <c r="Z41" s="190"/>
      <c r="AA41" s="191" t="str">
        <f t="shared" si="36"/>
        <v/>
      </c>
      <c r="AB41" s="190"/>
      <c r="AC41" s="190"/>
      <c r="AD41" s="190"/>
      <c r="AE41" s="192" t="str">
        <f t="shared" si="42"/>
        <v/>
      </c>
      <c r="AF41" s="193" t="str">
        <f t="shared" si="2"/>
        <v/>
      </c>
      <c r="AG41" s="191" t="str">
        <f t="shared" si="37"/>
        <v/>
      </c>
      <c r="AH41" s="193" t="str">
        <f t="shared" si="4"/>
        <v/>
      </c>
      <c r="AI41" s="191" t="str">
        <f t="shared" si="13"/>
        <v/>
      </c>
      <c r="AJ41" s="194" t="str">
        <f t="shared" ref="AJ41:AJ42" si="43">IFERROR(IF(OR(AND(AF41="Muy Baja",AH41="Leve"),AND(AF41="Muy Baja",AH41="Menor"),AND(AF41="Baja",AH41="Leve")),"Bajo",IF(OR(AND(AF41="Muy baja",AH41="Moderado"),AND(AF41="Baja",AH41="Menor"),AND(AF41="Baja",AH41="Moderado"),AND(AF41="Media",AH41="Leve"),AND(AF41="Media",AH41="Menor"),AND(AF41="Media",AH41="Moderado"),AND(AF41="Alta",AH41="Leve"),AND(AF41="Alta",AH41="Menor")),"Moderado",IF(OR(AND(AF41="Muy Baja",AH41="Mayor"),AND(AF41="Baja",AH41="Mayor"),AND(AF41="Media",AH41="Mayor"),AND(AF41="Alta",AH41="Moderado"),AND(AF41="Alta",AH41="Mayor"),AND(AF41="Muy Alta",AH41="Leve"),AND(AF41="Muy Alta",AH41="Menor"),AND(AF41="Muy Alta",AH41="Moderado"),AND(AF41="Muy Alta",AH41="Mayor")),"Alto",IF(OR(AND(AF41="Muy Baja",AH41="Catastrófico"),AND(AF41="Baja",AH41="Catastrófico"),AND(AF41="Media",AH41="Catastrófico"),AND(AF41="Alta",AH41="Catastrófico"),AND(AF41="Muy Alta",AH41="Catastrófico")),"Extremo","")))),"")</f>
        <v/>
      </c>
      <c r="AK41" s="195"/>
      <c r="AL41" s="186"/>
      <c r="AM41" s="196"/>
      <c r="AN41" s="196"/>
      <c r="AO41" s="197"/>
      <c r="AP41" s="381"/>
      <c r="AQ41" s="381"/>
      <c r="AR41" s="381"/>
    </row>
    <row r="42" spans="1:44" x14ac:dyDescent="0.2">
      <c r="A42" s="418"/>
      <c r="B42" s="387"/>
      <c r="C42" s="387"/>
      <c r="D42" s="387"/>
      <c r="E42" s="387"/>
      <c r="F42" s="387"/>
      <c r="G42" s="373"/>
      <c r="H42" s="373"/>
      <c r="I42" s="373"/>
      <c r="J42" s="373"/>
      <c r="K42" s="373"/>
      <c r="L42" s="373"/>
      <c r="M42" s="373"/>
      <c r="N42" s="381"/>
      <c r="O42" s="367"/>
      <c r="P42" s="364"/>
      <c r="Q42" s="353"/>
      <c r="R42" s="364">
        <f>IF(NOT(ISERROR(MATCH(Q42,_xlfn.ANCHORARRAY(E53),0))),P55&amp;"Por favor no seleccionar los criterios de impacto",Q42)</f>
        <v>0</v>
      </c>
      <c r="S42" s="367"/>
      <c r="T42" s="364"/>
      <c r="U42" s="362"/>
      <c r="V42" s="214">
        <v>6</v>
      </c>
      <c r="W42" s="187"/>
      <c r="X42" s="189" t="str">
        <f t="shared" si="41"/>
        <v/>
      </c>
      <c r="Y42" s="190"/>
      <c r="Z42" s="190"/>
      <c r="AA42" s="191" t="str">
        <f t="shared" si="36"/>
        <v/>
      </c>
      <c r="AB42" s="190"/>
      <c r="AC42" s="190"/>
      <c r="AD42" s="190"/>
      <c r="AE42" s="192" t="str">
        <f t="shared" si="42"/>
        <v/>
      </c>
      <c r="AF42" s="193" t="str">
        <f t="shared" si="2"/>
        <v/>
      </c>
      <c r="AG42" s="191" t="str">
        <f t="shared" si="37"/>
        <v/>
      </c>
      <c r="AH42" s="193" t="str">
        <f t="shared" si="4"/>
        <v/>
      </c>
      <c r="AI42" s="191" t="str">
        <f t="shared" si="13"/>
        <v/>
      </c>
      <c r="AJ42" s="194" t="str">
        <f t="shared" si="43"/>
        <v/>
      </c>
      <c r="AK42" s="195"/>
      <c r="AL42" s="186"/>
      <c r="AM42" s="196"/>
      <c r="AN42" s="196"/>
      <c r="AO42" s="197"/>
      <c r="AP42" s="381"/>
      <c r="AQ42" s="381"/>
      <c r="AR42" s="381"/>
    </row>
    <row r="43" spans="1:44" x14ac:dyDescent="0.2">
      <c r="A43" s="418">
        <v>6</v>
      </c>
      <c r="B43" s="387"/>
      <c r="C43" s="387"/>
      <c r="D43" s="387"/>
      <c r="E43" s="392"/>
      <c r="F43" s="387"/>
      <c r="G43" s="392"/>
      <c r="H43" s="392"/>
      <c r="I43" s="392"/>
      <c r="J43" s="392"/>
      <c r="K43" s="392"/>
      <c r="L43" s="392"/>
      <c r="M43" s="392"/>
      <c r="N43" s="381"/>
      <c r="O43" s="367" t="str">
        <f>IF(N43&lt;=0,"",IF(N43&lt;=2,"Muy Baja",IF(N43&lt;=24,"Baja",IF(N43&lt;=500,"Media",IF(N43&lt;=5000,"Alta","Muy Alta")))))</f>
        <v/>
      </c>
      <c r="P43" s="364" t="str">
        <f>IF(O43="","",IF(O43="Muy Baja",0.2,IF(O43="Baja",0.4,IF(O43="Media",0.6,IF(O43="Alta",0.8,IF(O43="Muy Alta",1,))))))</f>
        <v/>
      </c>
      <c r="Q43" s="353"/>
      <c r="R43" s="364">
        <f>IF(NOT(ISERROR(MATCH(Q43,'Tabla Impacto'!$B$222:$B$224,0))),'Tabla Impacto'!$F$224&amp;"Por favor no seleccionar los criterios de impacto(Afectación Económica o presupuestal y Pérdida Reputacional)",Q43)</f>
        <v>0</v>
      </c>
      <c r="S43" s="367" t="str">
        <f>IF(OR(R43='Tabla Impacto'!$C$12,R43='Tabla Impacto'!$D$12),"Leve",IF(OR(R43='Tabla Impacto'!$C$13,R43='Tabla Impacto'!$D$13),"Menor",IF(OR(R43='Tabla Impacto'!$C$14,R43='Tabla Impacto'!$D$14),"Moderado",IF(OR(R43='Tabla Impacto'!$C$15,R43='Tabla Impacto'!$D$15),"Mayor",IF(OR(R43='Tabla Impacto'!$C$16,R43='Tabla Impacto'!$D$16),"Catastrófico","")))))</f>
        <v/>
      </c>
      <c r="T43" s="364" t="str">
        <f>IF(S43="","",IF(S43="Leve",0.2,IF(S43="Menor",0.4,IF(S43="Moderado",0.6,IF(S43="Mayor",0.8,IF(S43="Catastrófico",1,))))))</f>
        <v/>
      </c>
      <c r="U43" s="362" t="str">
        <f>IF(OR(AND(O43="Muy Baja",S43="Leve"),AND(O43="Muy Baja",S43="Menor"),AND(O43="Baja",S43="Leve")),"Bajo",IF(OR(AND(O43="Muy baja",S43="Moderado"),AND(O43="Baja",S43="Menor"),AND(O43="Baja",S43="Moderado"),AND(O43="Media",S43="Leve"),AND(O43="Media",S43="Menor"),AND(O43="Media",S43="Moderado"),AND(O43="Alta",S43="Leve"),AND(O43="Alta",S43="Menor")),"Moderado",IF(OR(AND(O43="Muy Baja",S43="Mayor"),AND(O43="Baja",S43="Mayor"),AND(O43="Media",S43="Mayor"),AND(O43="Alta",S43="Moderado"),AND(O43="Alta",S43="Mayor"),AND(O43="Muy Alta",S43="Leve"),AND(O43="Muy Alta",S43="Menor"),AND(O43="Muy Alta",S43="Moderado"),AND(O43="Muy Alta",S43="Mayor")),"Alto",IF(OR(AND(O43="Muy Baja",S43="Catastrófico"),AND(O43="Baja",S43="Catastrófico"),AND(O43="Media",S43="Catastrófico"),AND(O43="Alta",S43="Catastrófico"),AND(O43="Muy Alta",S43="Catastrófico")),"Extremo",""))))</f>
        <v/>
      </c>
      <c r="V43" s="214">
        <v>1</v>
      </c>
      <c r="W43" s="187"/>
      <c r="X43" s="189" t="str">
        <f>IF(OR(Y43="Preventivo",Y43="Detectivo"),"Probabilidad",IF(Y43="Correctivo","Impacto",""))</f>
        <v/>
      </c>
      <c r="Y43" s="190"/>
      <c r="Z43" s="190"/>
      <c r="AA43" s="191" t="str">
        <f>IF(AND(Y43="Preventivo",Z43="Automático"),"50%",IF(AND(Y43="Preventivo",Z43="Manual"),"40%",IF(AND(Y43="Detectivo",Z43="Automático"),"40%",IF(AND(Y43="Detectivo",Z43="Manual"),"30%",IF(AND(Y43="Correctivo",Z43="Automático"),"35%",IF(AND(Y43="Correctivo",Z43="Manual"),"25%",""))))))</f>
        <v/>
      </c>
      <c r="AB43" s="190"/>
      <c r="AC43" s="190"/>
      <c r="AD43" s="190"/>
      <c r="AE43" s="192" t="str">
        <f>IFERROR(IF(X43="Probabilidad",(P43-(+P43*AA43)),IF(X43="Impacto",P43,"")),"")</f>
        <v/>
      </c>
      <c r="AF43" s="193" t="str">
        <f>IFERROR(IF(AE43="","",IF(AE43&lt;=0.2,"Muy Baja",IF(AE43&lt;=0.4,"Baja",IF(AE43&lt;=0.6,"Media",IF(AE43&lt;=0.8,"Alta","Muy Alta"))))),"")</f>
        <v/>
      </c>
      <c r="AG43" s="191" t="str">
        <f>+AE43</f>
        <v/>
      </c>
      <c r="AH43" s="193" t="str">
        <f>IFERROR(IF(AI43="","",IF(AI43&lt;=0.2,"Leve",IF(AI43&lt;=0.4,"Menor",IF(AI43&lt;=0.6,"Moderado",IF(AI43&lt;=0.8,"Mayor","Catastrófico"))))),"")</f>
        <v/>
      </c>
      <c r="AI43" s="191" t="str">
        <f t="shared" ref="AI43" si="44">IFERROR(IF(X43="Impacto",(T43-(+T43*AA43)),IF(X43="Probabilidad",T43,"")),"")</f>
        <v/>
      </c>
      <c r="AJ43" s="194" t="str">
        <f>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
      </c>
      <c r="AK43" s="190"/>
      <c r="AL43" s="186"/>
      <c r="AM43" s="196"/>
      <c r="AN43" s="196"/>
      <c r="AO43" s="197"/>
      <c r="AP43" s="381"/>
      <c r="AQ43" s="381"/>
      <c r="AR43" s="381"/>
    </row>
    <row r="44" spans="1:44" x14ac:dyDescent="0.2">
      <c r="A44" s="418"/>
      <c r="B44" s="387"/>
      <c r="C44" s="387"/>
      <c r="D44" s="387"/>
      <c r="E44" s="360"/>
      <c r="F44" s="387"/>
      <c r="G44" s="360"/>
      <c r="H44" s="360"/>
      <c r="I44" s="360"/>
      <c r="J44" s="360"/>
      <c r="K44" s="360"/>
      <c r="L44" s="360"/>
      <c r="M44" s="360"/>
      <c r="N44" s="381"/>
      <c r="O44" s="367"/>
      <c r="P44" s="364"/>
      <c r="Q44" s="353"/>
      <c r="R44" s="364">
        <f>IF(NOT(ISERROR(MATCH(Q44,_xlfn.ANCHORARRAY(E55),0))),P57&amp;"Por favor no seleccionar los criterios de impacto",Q44)</f>
        <v>0</v>
      </c>
      <c r="S44" s="367"/>
      <c r="T44" s="364"/>
      <c r="U44" s="362"/>
      <c r="V44" s="214">
        <v>2</v>
      </c>
      <c r="W44" s="187"/>
      <c r="X44" s="189" t="str">
        <f>IF(OR(Y44="Preventivo",Y44="Detectivo"),"Probabilidad",IF(Y44="Correctivo","Impacto",""))</f>
        <v/>
      </c>
      <c r="Y44" s="190"/>
      <c r="Z44" s="190"/>
      <c r="AA44" s="191" t="str">
        <f t="shared" ref="AA44:AA48" si="45">IF(AND(Y44="Preventivo",Z44="Automático"),"50%",IF(AND(Y44="Preventivo",Z44="Manual"),"40%",IF(AND(Y44="Detectivo",Z44="Automático"),"40%",IF(AND(Y44="Detectivo",Z44="Manual"),"30%",IF(AND(Y44="Correctivo",Z44="Automático"),"35%",IF(AND(Y44="Correctivo",Z44="Manual"),"25%",""))))))</f>
        <v/>
      </c>
      <c r="AB44" s="190"/>
      <c r="AC44" s="190"/>
      <c r="AD44" s="190"/>
      <c r="AE44" s="192" t="str">
        <f>IFERROR(IF(AND(X43="Probabilidad",X44="Probabilidad"),(AG43-(+AG43*AA44)),IF(X44="Probabilidad",(P43-(+P43*AA44)),IF(X44="Impacto",AG43,""))),"")</f>
        <v/>
      </c>
      <c r="AF44" s="193" t="str">
        <f t="shared" si="2"/>
        <v/>
      </c>
      <c r="AG44" s="191" t="str">
        <f t="shared" ref="AG44:AG48" si="46">+AE44</f>
        <v/>
      </c>
      <c r="AH44" s="193" t="str">
        <f t="shared" si="4"/>
        <v/>
      </c>
      <c r="AI44" s="191" t="str">
        <f t="shared" ref="AI44" si="47">IFERROR(IF(AND(X43="Impacto",X44="Impacto"),(AI43-(+AI43*AA44)),IF(X44="Impacto",($T$13-(+$T$13*AA44)),IF(X44="Probabilidad",AI43,""))),"")</f>
        <v/>
      </c>
      <c r="AJ44" s="194" t="str">
        <f t="shared" ref="AJ44:AJ45" si="48">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
      </c>
      <c r="AK44" s="195"/>
      <c r="AL44" s="186"/>
      <c r="AM44" s="196"/>
      <c r="AN44" s="196"/>
      <c r="AO44" s="197"/>
      <c r="AP44" s="381"/>
      <c r="AQ44" s="381"/>
      <c r="AR44" s="381"/>
    </row>
    <row r="45" spans="1:44" x14ac:dyDescent="0.2">
      <c r="A45" s="418"/>
      <c r="B45" s="387"/>
      <c r="C45" s="387"/>
      <c r="D45" s="387"/>
      <c r="E45" s="360"/>
      <c r="F45" s="387"/>
      <c r="G45" s="360"/>
      <c r="H45" s="360"/>
      <c r="I45" s="360"/>
      <c r="J45" s="360"/>
      <c r="K45" s="360"/>
      <c r="L45" s="360"/>
      <c r="M45" s="360"/>
      <c r="N45" s="381"/>
      <c r="O45" s="367"/>
      <c r="P45" s="364"/>
      <c r="Q45" s="353"/>
      <c r="R45" s="364">
        <f>IF(NOT(ISERROR(MATCH(Q45,_xlfn.ANCHORARRAY(E56),0))),P58&amp;"Por favor no seleccionar los criterios de impacto",Q45)</f>
        <v>0</v>
      </c>
      <c r="S45" s="367"/>
      <c r="T45" s="364"/>
      <c r="U45" s="362"/>
      <c r="V45" s="214">
        <v>3</v>
      </c>
      <c r="W45" s="188"/>
      <c r="X45" s="189" t="str">
        <f>IF(OR(Y45="Preventivo",Y45="Detectivo"),"Probabilidad",IF(Y45="Correctivo","Impacto",""))</f>
        <v/>
      </c>
      <c r="Y45" s="190"/>
      <c r="Z45" s="190"/>
      <c r="AA45" s="191" t="str">
        <f t="shared" si="45"/>
        <v/>
      </c>
      <c r="AB45" s="190"/>
      <c r="AC45" s="190"/>
      <c r="AD45" s="190"/>
      <c r="AE45" s="192" t="str">
        <f>IFERROR(IF(AND(X44="Probabilidad",X45="Probabilidad"),(AG44-(+AG44*AA45)),IF(AND(X44="Impacto",X45="Probabilidad"),(AG43-(+AG43*AA45)),IF(X45="Impacto",AG44,""))),"")</f>
        <v/>
      </c>
      <c r="AF45" s="193" t="str">
        <f t="shared" si="2"/>
        <v/>
      </c>
      <c r="AG45" s="191" t="str">
        <f t="shared" si="46"/>
        <v/>
      </c>
      <c r="AH45" s="193" t="str">
        <f t="shared" si="4"/>
        <v/>
      </c>
      <c r="AI45" s="191" t="str">
        <f t="shared" ref="AI45" si="49">IFERROR(IF(AND(X44="Impacto",X45="Impacto"),(AI44-(+AI44*AA45)),IF(AND(X44="Probabilidad",X45="Impacto"),(AI43-(+AI43*AA45)),IF(X45="Probabilidad",AI44,""))),"")</f>
        <v/>
      </c>
      <c r="AJ45" s="194" t="str">
        <f t="shared" si="48"/>
        <v/>
      </c>
      <c r="AK45" s="195"/>
      <c r="AL45" s="186"/>
      <c r="AM45" s="196"/>
      <c r="AN45" s="196"/>
      <c r="AO45" s="197"/>
      <c r="AP45" s="381"/>
      <c r="AQ45" s="381"/>
      <c r="AR45" s="381"/>
    </row>
    <row r="46" spans="1:44" x14ac:dyDescent="0.2">
      <c r="A46" s="418"/>
      <c r="B46" s="387"/>
      <c r="C46" s="387"/>
      <c r="D46" s="387"/>
      <c r="E46" s="360"/>
      <c r="F46" s="387"/>
      <c r="G46" s="360"/>
      <c r="H46" s="360"/>
      <c r="I46" s="360"/>
      <c r="J46" s="360"/>
      <c r="K46" s="360"/>
      <c r="L46" s="360"/>
      <c r="M46" s="360"/>
      <c r="N46" s="381"/>
      <c r="O46" s="367"/>
      <c r="P46" s="364"/>
      <c r="Q46" s="353"/>
      <c r="R46" s="364">
        <f>IF(NOT(ISERROR(MATCH(Q46,_xlfn.ANCHORARRAY(E57),0))),P59&amp;"Por favor no seleccionar los criterios de impacto",Q46)</f>
        <v>0</v>
      </c>
      <c r="S46" s="367"/>
      <c r="T46" s="364"/>
      <c r="U46" s="362"/>
      <c r="V46" s="214">
        <v>4</v>
      </c>
      <c r="W46" s="187"/>
      <c r="X46" s="189" t="str">
        <f t="shared" ref="X46:X48" si="50">IF(OR(Y46="Preventivo",Y46="Detectivo"),"Probabilidad",IF(Y46="Correctivo","Impacto",""))</f>
        <v/>
      </c>
      <c r="Y46" s="190"/>
      <c r="Z46" s="190"/>
      <c r="AA46" s="191" t="str">
        <f t="shared" si="45"/>
        <v/>
      </c>
      <c r="AB46" s="190"/>
      <c r="AC46" s="190"/>
      <c r="AD46" s="190"/>
      <c r="AE46" s="192" t="str">
        <f t="shared" ref="AE46:AE48" si="51">IFERROR(IF(AND(X45="Probabilidad",X46="Probabilidad"),(AG45-(+AG45*AA46)),IF(AND(X45="Impacto",X46="Probabilidad"),(AG44-(+AG44*AA46)),IF(X46="Impacto",AG45,""))),"")</f>
        <v/>
      </c>
      <c r="AF46" s="193" t="str">
        <f t="shared" si="2"/>
        <v/>
      </c>
      <c r="AG46" s="191" t="str">
        <f t="shared" si="46"/>
        <v/>
      </c>
      <c r="AH46" s="193" t="str">
        <f t="shared" si="4"/>
        <v/>
      </c>
      <c r="AI46" s="191" t="str">
        <f t="shared" si="13"/>
        <v/>
      </c>
      <c r="AJ46" s="194" t="str">
        <f>IFERROR(IF(OR(AND(AF46="Muy Baja",AH46="Leve"),AND(AF46="Muy Baja",AH46="Menor"),AND(AF46="Baja",AH46="Leve")),"Bajo",IF(OR(AND(AF46="Muy baja",AH46="Moderado"),AND(AF46="Baja",AH46="Menor"),AND(AF46="Baja",AH46="Moderado"),AND(AF46="Media",AH46="Leve"),AND(AF46="Media",AH46="Menor"),AND(AF46="Media",AH46="Moderado"),AND(AF46="Alta",AH46="Leve"),AND(AF46="Alta",AH46="Menor")),"Moderado",IF(OR(AND(AF46="Muy Baja",AH46="Mayor"),AND(AF46="Baja",AH46="Mayor"),AND(AF46="Media",AH46="Mayor"),AND(AF46="Alta",AH46="Moderado"),AND(AF46="Alta",AH46="Mayor"),AND(AF46="Muy Alta",AH46="Leve"),AND(AF46="Muy Alta",AH46="Menor"),AND(AF46="Muy Alta",AH46="Moderado"),AND(AF46="Muy Alta",AH46="Mayor")),"Alto",IF(OR(AND(AF46="Muy Baja",AH46="Catastrófico"),AND(AF46="Baja",AH46="Catastrófico"),AND(AF46="Media",AH46="Catastrófico"),AND(AF46="Alta",AH46="Catastrófico"),AND(AF46="Muy Alta",AH46="Catastrófico")),"Extremo","")))),"")</f>
        <v/>
      </c>
      <c r="AK46" s="195"/>
      <c r="AL46" s="186"/>
      <c r="AM46" s="196"/>
      <c r="AN46" s="196"/>
      <c r="AO46" s="197"/>
      <c r="AP46" s="381"/>
      <c r="AQ46" s="381"/>
      <c r="AR46" s="381"/>
    </row>
    <row r="47" spans="1:44" x14ac:dyDescent="0.2">
      <c r="A47" s="418"/>
      <c r="B47" s="387"/>
      <c r="C47" s="387"/>
      <c r="D47" s="387"/>
      <c r="E47" s="360"/>
      <c r="F47" s="387"/>
      <c r="G47" s="360"/>
      <c r="H47" s="360"/>
      <c r="I47" s="360"/>
      <c r="J47" s="360"/>
      <c r="K47" s="360"/>
      <c r="L47" s="360"/>
      <c r="M47" s="360"/>
      <c r="N47" s="381"/>
      <c r="O47" s="367"/>
      <c r="P47" s="364"/>
      <c r="Q47" s="353"/>
      <c r="R47" s="364">
        <f>IF(NOT(ISERROR(MATCH(Q47,_xlfn.ANCHORARRAY(E58),0))),P60&amp;"Por favor no seleccionar los criterios de impacto",Q47)</f>
        <v>0</v>
      </c>
      <c r="S47" s="367"/>
      <c r="T47" s="364"/>
      <c r="U47" s="362"/>
      <c r="V47" s="214">
        <v>5</v>
      </c>
      <c r="W47" s="187"/>
      <c r="X47" s="189" t="str">
        <f t="shared" si="50"/>
        <v/>
      </c>
      <c r="Y47" s="190"/>
      <c r="Z47" s="190"/>
      <c r="AA47" s="191" t="str">
        <f t="shared" si="45"/>
        <v/>
      </c>
      <c r="AB47" s="190"/>
      <c r="AC47" s="190"/>
      <c r="AD47" s="190"/>
      <c r="AE47" s="192" t="str">
        <f t="shared" si="51"/>
        <v/>
      </c>
      <c r="AF47" s="193" t="str">
        <f t="shared" si="2"/>
        <v/>
      </c>
      <c r="AG47" s="191" t="str">
        <f t="shared" si="46"/>
        <v/>
      </c>
      <c r="AH47" s="193" t="str">
        <f t="shared" si="4"/>
        <v/>
      </c>
      <c r="AI47" s="191" t="str">
        <f t="shared" si="13"/>
        <v/>
      </c>
      <c r="AJ47" s="194" t="str">
        <f t="shared" ref="AJ47" si="52">IFERROR(IF(OR(AND(AF47="Muy Baja",AH47="Leve"),AND(AF47="Muy Baja",AH47="Menor"),AND(AF47="Baja",AH47="Leve")),"Bajo",IF(OR(AND(AF47="Muy baja",AH47="Moderado"),AND(AF47="Baja",AH47="Menor"),AND(AF47="Baja",AH47="Moderado"),AND(AF47="Media",AH47="Leve"),AND(AF47="Media",AH47="Menor"),AND(AF47="Media",AH47="Moderado"),AND(AF47="Alta",AH47="Leve"),AND(AF47="Alta",AH47="Menor")),"Moderado",IF(OR(AND(AF47="Muy Baja",AH47="Mayor"),AND(AF47="Baja",AH47="Mayor"),AND(AF47="Media",AH47="Mayor"),AND(AF47="Alta",AH47="Moderado"),AND(AF47="Alta",AH47="Mayor"),AND(AF47="Muy Alta",AH47="Leve"),AND(AF47="Muy Alta",AH47="Menor"),AND(AF47="Muy Alta",AH47="Moderado"),AND(AF47="Muy Alta",AH47="Mayor")),"Alto",IF(OR(AND(AF47="Muy Baja",AH47="Catastrófico"),AND(AF47="Baja",AH47="Catastrófico"),AND(AF47="Media",AH47="Catastrófico"),AND(AF47="Alta",AH47="Catastrófico"),AND(AF47="Muy Alta",AH47="Catastrófico")),"Extremo","")))),"")</f>
        <v/>
      </c>
      <c r="AK47" s="195"/>
      <c r="AL47" s="186"/>
      <c r="AM47" s="196"/>
      <c r="AN47" s="196"/>
      <c r="AO47" s="197"/>
      <c r="AP47" s="381"/>
      <c r="AQ47" s="381"/>
      <c r="AR47" s="381"/>
    </row>
    <row r="48" spans="1:44" x14ac:dyDescent="0.2">
      <c r="A48" s="418"/>
      <c r="B48" s="387"/>
      <c r="C48" s="387"/>
      <c r="D48" s="387"/>
      <c r="E48" s="373"/>
      <c r="F48" s="387"/>
      <c r="G48" s="373"/>
      <c r="H48" s="373"/>
      <c r="I48" s="373"/>
      <c r="J48" s="373"/>
      <c r="K48" s="373"/>
      <c r="L48" s="373"/>
      <c r="M48" s="373"/>
      <c r="N48" s="381"/>
      <c r="O48" s="367"/>
      <c r="P48" s="364"/>
      <c r="Q48" s="353"/>
      <c r="R48" s="364">
        <f>IF(NOT(ISERROR(MATCH(Q48,_xlfn.ANCHORARRAY(E59),0))),P61&amp;"Por favor no seleccionar los criterios de impacto",Q48)</f>
        <v>0</v>
      </c>
      <c r="S48" s="367"/>
      <c r="T48" s="364"/>
      <c r="U48" s="362"/>
      <c r="V48" s="214">
        <v>6</v>
      </c>
      <c r="W48" s="187"/>
      <c r="X48" s="189" t="str">
        <f t="shared" si="50"/>
        <v/>
      </c>
      <c r="Y48" s="190"/>
      <c r="Z48" s="190"/>
      <c r="AA48" s="191" t="str">
        <f t="shared" si="45"/>
        <v/>
      </c>
      <c r="AB48" s="190"/>
      <c r="AC48" s="190"/>
      <c r="AD48" s="190"/>
      <c r="AE48" s="192" t="str">
        <f t="shared" si="51"/>
        <v/>
      </c>
      <c r="AF48" s="193" t="str">
        <f t="shared" si="2"/>
        <v/>
      </c>
      <c r="AG48" s="191" t="str">
        <f t="shared" si="46"/>
        <v/>
      </c>
      <c r="AH48" s="193" t="str">
        <f>IFERROR(IF(AI48="","",IF(AI48&lt;=0.2,"Leve",IF(AI48&lt;=0.4,"Menor",IF(AI48&lt;=0.6,"Moderado",IF(AI48&lt;=0.8,"Mayor","Catastrófico"))))),"")</f>
        <v/>
      </c>
      <c r="AI48" s="191" t="str">
        <f t="shared" si="13"/>
        <v/>
      </c>
      <c r="AJ48" s="194" t="str">
        <f>IFERROR(IF(OR(AND(AF48="Muy Baja",AH48="Leve"),AND(AF48="Muy Baja",AH48="Menor"),AND(AF48="Baja",AH48="Leve")),"Bajo",IF(OR(AND(AF48="Muy baja",AH48="Moderado"),AND(AF48="Baja",AH48="Menor"),AND(AF48="Baja",AH48="Moderado"),AND(AF48="Media",AH48="Leve"),AND(AF48="Media",AH48="Menor"),AND(AF48="Media",AH48="Moderado"),AND(AF48="Alta",AH48="Leve"),AND(AF48="Alta",AH48="Menor")),"Moderado",IF(OR(AND(AF48="Muy Baja",AH48="Mayor"),AND(AF48="Baja",AH48="Mayor"),AND(AF48="Media",AH48="Mayor"),AND(AF48="Alta",AH48="Moderado"),AND(AF48="Alta",AH48="Mayor"),AND(AF48="Muy Alta",AH48="Leve"),AND(AF48="Muy Alta",AH48="Menor"),AND(AF48="Muy Alta",AH48="Moderado"),AND(AF48="Muy Alta",AH48="Mayor")),"Alto",IF(OR(AND(AF48="Muy Baja",AH48="Catastrófico"),AND(AF48="Baja",AH48="Catastrófico"),AND(AF48="Media",AH48="Catastrófico"),AND(AF48="Alta",AH48="Catastrófico"),AND(AF48="Muy Alta",AH48="Catastrófico")),"Extremo","")))),"")</f>
        <v/>
      </c>
      <c r="AK48" s="195"/>
      <c r="AL48" s="186"/>
      <c r="AM48" s="196"/>
      <c r="AN48" s="196"/>
      <c r="AO48" s="197"/>
      <c r="AP48" s="381"/>
      <c r="AQ48" s="381"/>
      <c r="AR48" s="381"/>
    </row>
    <row r="49" spans="1:44" x14ac:dyDescent="0.2">
      <c r="A49" s="418">
        <v>7</v>
      </c>
      <c r="B49" s="387"/>
      <c r="C49" s="387"/>
      <c r="D49" s="421"/>
      <c r="E49" s="387"/>
      <c r="F49" s="387"/>
      <c r="G49" s="392"/>
      <c r="H49" s="392"/>
      <c r="I49" s="392"/>
      <c r="J49" s="392"/>
      <c r="K49" s="392"/>
      <c r="L49" s="392"/>
      <c r="M49" s="392"/>
      <c r="N49" s="381"/>
      <c r="O49" s="367" t="str">
        <f>IF(N49&lt;=0,"",IF(N49&lt;=2,"Muy Baja",IF(N49&lt;=24,"Baja",IF(N49&lt;=500,"Media",IF(N49&lt;=5000,"Alta","Muy Alta")))))</f>
        <v/>
      </c>
      <c r="P49" s="364" t="str">
        <f>IF(O49="","",IF(O49="Muy Baja",0.2,IF(O49="Baja",0.4,IF(O49="Media",0.6,IF(O49="Alta",0.8,IF(O49="Muy Alta",1,))))))</f>
        <v/>
      </c>
      <c r="Q49" s="353"/>
      <c r="R49" s="364">
        <f>IF(NOT(ISERROR(MATCH(Q49,'Tabla Impacto'!$B$222:$B$224,0))),'Tabla Impacto'!$F$224&amp;"Por favor no seleccionar los criterios de impacto(Afectación Económica o presupuestal y Pérdida Reputacional)",Q49)</f>
        <v>0</v>
      </c>
      <c r="S49" s="367" t="str">
        <f>IF(OR(R49='Tabla Impacto'!$C$12,R49='Tabla Impacto'!$D$12),"Leve",IF(OR(R49='Tabla Impacto'!$C$13,R49='Tabla Impacto'!$D$13),"Menor",IF(OR(R49='Tabla Impacto'!$C$14,R49='Tabla Impacto'!$D$14),"Moderado",IF(OR(R49='Tabla Impacto'!$C$15,R49='Tabla Impacto'!$D$15),"Mayor",IF(OR(R49='Tabla Impacto'!$C$16,R49='Tabla Impacto'!$D$16),"Catastrófico","")))))</f>
        <v/>
      </c>
      <c r="T49" s="364" t="str">
        <f>IF(S49="","",IF(S49="Leve",0.2,IF(S49="Menor",0.4,IF(S49="Moderado",0.6,IF(S49="Mayor",0.8,IF(S49="Catastrófico",1,))))))</f>
        <v/>
      </c>
      <c r="U49" s="362" t="str">
        <f>IF(OR(AND(O49="Muy Baja",S49="Leve"),AND(O49="Muy Baja",S49="Menor"),AND(O49="Baja",S49="Leve")),"Bajo",IF(OR(AND(O49="Muy baja",S49="Moderado"),AND(O49="Baja",S49="Menor"),AND(O49="Baja",S49="Moderado"),AND(O49="Media",S49="Leve"),AND(O49="Media",S49="Menor"),AND(O49="Media",S49="Moderado"),AND(O49="Alta",S49="Leve"),AND(O49="Alta",S49="Menor")),"Moderado",IF(OR(AND(O49="Muy Baja",S49="Mayor"),AND(O49="Baja",S49="Mayor"),AND(O49="Media",S49="Mayor"),AND(O49="Alta",S49="Moderado"),AND(O49="Alta",S49="Mayor"),AND(O49="Muy Alta",S49="Leve"),AND(O49="Muy Alta",S49="Menor"),AND(O49="Muy Alta",S49="Moderado"),AND(O49="Muy Alta",S49="Mayor")),"Alto",IF(OR(AND(O49="Muy Baja",S49="Catastrófico"),AND(O49="Baja",S49="Catastrófico"),AND(O49="Media",S49="Catastrófico"),AND(O49="Alta",S49="Catastrófico"),AND(O49="Muy Alta",S49="Catastrófico")),"Extremo",""))))</f>
        <v/>
      </c>
      <c r="V49" s="214">
        <v>1</v>
      </c>
      <c r="W49" s="199"/>
      <c r="X49" s="189" t="str">
        <f>IF(OR(Y49="Preventivo",Y49="Detectivo"),"Probabilidad",IF(Y49="Correctivo","Impacto",""))</f>
        <v/>
      </c>
      <c r="Y49" s="190"/>
      <c r="Z49" s="190"/>
      <c r="AA49" s="191" t="str">
        <f>IF(AND(Y49="Preventivo",Z49="Automático"),"50%",IF(AND(Y49="Preventivo",Z49="Manual"),"40%",IF(AND(Y49="Detectivo",Z49="Automático"),"40%",IF(AND(Y49="Detectivo",Z49="Manual"),"30%",IF(AND(Y49="Correctivo",Z49="Automático"),"35%",IF(AND(Y49="Correctivo",Z49="Manual"),"25%",""))))))</f>
        <v/>
      </c>
      <c r="AB49" s="190"/>
      <c r="AC49" s="190"/>
      <c r="AD49" s="190"/>
      <c r="AE49" s="192" t="str">
        <f>IFERROR(IF(X49="Probabilidad",(P49-(+P49*AA49)),IF(X49="Impacto",P49,"")),"")</f>
        <v/>
      </c>
      <c r="AF49" s="193" t="str">
        <f>IFERROR(IF(AE49="","",IF(AE49&lt;=0.2,"Muy Baja",IF(AE49&lt;=0.4,"Baja",IF(AE49&lt;=0.6,"Media",IF(AE49&lt;=0.8,"Alta","Muy Alta"))))),"")</f>
        <v/>
      </c>
      <c r="AG49" s="191" t="str">
        <f>+AE49</f>
        <v/>
      </c>
      <c r="AH49" s="193" t="str">
        <f>IFERROR(IF(AI49="","",IF(AI49&lt;=0.2,"Leve",IF(AI49&lt;=0.4,"Menor",IF(AI49&lt;=0.6,"Moderado",IF(AI49&lt;=0.8,"Mayor","Catastrófico"))))),"")</f>
        <v/>
      </c>
      <c r="AI49" s="191" t="str">
        <f t="shared" ref="AI49" si="53">IFERROR(IF(X49="Impacto",(T49-(+T49*AA49)),IF(X49="Probabilidad",T49,"")),"")</f>
        <v/>
      </c>
      <c r="AJ49" s="194" t="str">
        <f>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
      </c>
      <c r="AK49" s="195"/>
      <c r="AL49" s="186"/>
      <c r="AM49" s="196"/>
      <c r="AN49" s="196"/>
      <c r="AO49" s="197"/>
      <c r="AP49" s="381"/>
      <c r="AQ49" s="381"/>
      <c r="AR49" s="381"/>
    </row>
    <row r="50" spans="1:44" x14ac:dyDescent="0.2">
      <c r="A50" s="418"/>
      <c r="B50" s="387"/>
      <c r="C50" s="387"/>
      <c r="D50" s="421"/>
      <c r="E50" s="387"/>
      <c r="F50" s="387"/>
      <c r="G50" s="360"/>
      <c r="H50" s="360"/>
      <c r="I50" s="360"/>
      <c r="J50" s="360"/>
      <c r="K50" s="360"/>
      <c r="L50" s="360"/>
      <c r="M50" s="360"/>
      <c r="N50" s="381"/>
      <c r="O50" s="367"/>
      <c r="P50" s="364"/>
      <c r="Q50" s="353"/>
      <c r="R50" s="364">
        <f>IF(NOT(ISERROR(MATCH(Q50,_xlfn.ANCHORARRAY(E61),0))),P63&amp;"Por favor no seleccionar los criterios de impacto",Q50)</f>
        <v>0</v>
      </c>
      <c r="S50" s="367"/>
      <c r="T50" s="364"/>
      <c r="U50" s="362"/>
      <c r="V50" s="214">
        <v>2</v>
      </c>
      <c r="W50" s="187"/>
      <c r="X50" s="189" t="str">
        <f>IF(OR(Y50="Preventivo",Y50="Detectivo"),"Probabilidad",IF(Y50="Correctivo","Impacto",""))</f>
        <v/>
      </c>
      <c r="Y50" s="190"/>
      <c r="Z50" s="190"/>
      <c r="AA50" s="191" t="str">
        <f t="shared" ref="AA50:AA54" si="54">IF(AND(Y50="Preventivo",Z50="Automático"),"50%",IF(AND(Y50="Preventivo",Z50="Manual"),"40%",IF(AND(Y50="Detectivo",Z50="Automático"),"40%",IF(AND(Y50="Detectivo",Z50="Manual"),"30%",IF(AND(Y50="Correctivo",Z50="Automático"),"35%",IF(AND(Y50="Correctivo",Z50="Manual"),"25%",""))))))</f>
        <v/>
      </c>
      <c r="AB50" s="190"/>
      <c r="AC50" s="190"/>
      <c r="AD50" s="190"/>
      <c r="AE50" s="192" t="str">
        <f>IFERROR(IF(AND(X49="Probabilidad",X50="Probabilidad"),(AG49-(+AG49*AA50)),IF(X50="Probabilidad",(P49-(+P49*AA50)),IF(X50="Impacto",AG49,""))),"")</f>
        <v/>
      </c>
      <c r="AF50" s="193" t="str">
        <f t="shared" si="2"/>
        <v/>
      </c>
      <c r="AG50" s="191" t="str">
        <f t="shared" ref="AG50:AG54" si="55">+AE50</f>
        <v/>
      </c>
      <c r="AH50" s="193" t="str">
        <f t="shared" si="4"/>
        <v/>
      </c>
      <c r="AI50" s="191" t="str">
        <f t="shared" ref="AI50" si="56">IFERROR(IF(AND(X49="Impacto",X50="Impacto"),(AI49-(+AI49*AA50)),IF(X50="Impacto",($T$13-(+$T$13*AA50)),IF(X50="Probabilidad",AI49,""))),"")</f>
        <v/>
      </c>
      <c r="AJ50" s="194" t="str">
        <f t="shared" ref="AJ50:AJ51" si="57">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
      </c>
      <c r="AK50" s="195"/>
      <c r="AL50" s="186"/>
      <c r="AM50" s="196"/>
      <c r="AN50" s="196"/>
      <c r="AO50" s="197"/>
      <c r="AP50" s="381"/>
      <c r="AQ50" s="381"/>
      <c r="AR50" s="381"/>
    </row>
    <row r="51" spans="1:44" x14ac:dyDescent="0.2">
      <c r="A51" s="418"/>
      <c r="B51" s="387"/>
      <c r="C51" s="387"/>
      <c r="D51" s="421"/>
      <c r="E51" s="387"/>
      <c r="F51" s="387"/>
      <c r="G51" s="360"/>
      <c r="H51" s="360"/>
      <c r="I51" s="360"/>
      <c r="J51" s="360"/>
      <c r="K51" s="360"/>
      <c r="L51" s="360"/>
      <c r="M51" s="360"/>
      <c r="N51" s="381"/>
      <c r="O51" s="367"/>
      <c r="P51" s="364"/>
      <c r="Q51" s="353"/>
      <c r="R51" s="364">
        <f>IF(NOT(ISERROR(MATCH(Q51,_xlfn.ANCHORARRAY(E62),0))),P64&amp;"Por favor no seleccionar los criterios de impacto",Q51)</f>
        <v>0</v>
      </c>
      <c r="S51" s="367"/>
      <c r="T51" s="364"/>
      <c r="U51" s="362"/>
      <c r="V51" s="214">
        <v>3</v>
      </c>
      <c r="W51" s="188"/>
      <c r="X51" s="189" t="str">
        <f>IF(OR(Y51="Preventivo",Y51="Detectivo"),"Probabilidad",IF(Y51="Correctivo","Impacto",""))</f>
        <v/>
      </c>
      <c r="Y51" s="190"/>
      <c r="Z51" s="190"/>
      <c r="AA51" s="191" t="str">
        <f t="shared" si="54"/>
        <v/>
      </c>
      <c r="AB51" s="190"/>
      <c r="AC51" s="190"/>
      <c r="AD51" s="190"/>
      <c r="AE51" s="192" t="str">
        <f>IFERROR(IF(AND(X50="Probabilidad",X51="Probabilidad"),(AG50-(+AG50*AA51)),IF(AND(X50="Impacto",X51="Probabilidad"),(AG49-(+AG49*AA51)),IF(X51="Impacto",AG50,""))),"")</f>
        <v/>
      </c>
      <c r="AF51" s="193" t="str">
        <f t="shared" si="2"/>
        <v/>
      </c>
      <c r="AG51" s="191" t="str">
        <f t="shared" si="55"/>
        <v/>
      </c>
      <c r="AH51" s="193" t="str">
        <f t="shared" si="4"/>
        <v/>
      </c>
      <c r="AI51" s="191" t="str">
        <f t="shared" ref="AI51" si="58">IFERROR(IF(AND(X50="Impacto",X51="Impacto"),(AI50-(+AI50*AA51)),IF(AND(X50="Probabilidad",X51="Impacto"),(AI49-(+AI49*AA51)),IF(X51="Probabilidad",AI50,""))),"")</f>
        <v/>
      </c>
      <c r="AJ51" s="194" t="str">
        <f t="shared" si="57"/>
        <v/>
      </c>
      <c r="AK51" s="195"/>
      <c r="AL51" s="186"/>
      <c r="AM51" s="196"/>
      <c r="AN51" s="196"/>
      <c r="AO51" s="197"/>
      <c r="AP51" s="381"/>
      <c r="AQ51" s="381"/>
      <c r="AR51" s="381"/>
    </row>
    <row r="52" spans="1:44" x14ac:dyDescent="0.2">
      <c r="A52" s="418"/>
      <c r="B52" s="387"/>
      <c r="C52" s="387"/>
      <c r="D52" s="421"/>
      <c r="E52" s="387"/>
      <c r="F52" s="387"/>
      <c r="G52" s="360"/>
      <c r="H52" s="360"/>
      <c r="I52" s="360"/>
      <c r="J52" s="360"/>
      <c r="K52" s="360"/>
      <c r="L52" s="360"/>
      <c r="M52" s="360"/>
      <c r="N52" s="381"/>
      <c r="O52" s="367"/>
      <c r="P52" s="364"/>
      <c r="Q52" s="353"/>
      <c r="R52" s="364">
        <f>IF(NOT(ISERROR(MATCH(Q52,_xlfn.ANCHORARRAY(E63),0))),P65&amp;"Por favor no seleccionar los criterios de impacto",Q52)</f>
        <v>0</v>
      </c>
      <c r="S52" s="367"/>
      <c r="T52" s="364"/>
      <c r="U52" s="362"/>
      <c r="V52" s="214">
        <v>4</v>
      </c>
      <c r="W52" s="187"/>
      <c r="X52" s="189" t="str">
        <f t="shared" ref="X52:X54" si="59">IF(OR(Y52="Preventivo",Y52="Detectivo"),"Probabilidad",IF(Y52="Correctivo","Impacto",""))</f>
        <v/>
      </c>
      <c r="Y52" s="190"/>
      <c r="Z52" s="190"/>
      <c r="AA52" s="191" t="str">
        <f t="shared" si="54"/>
        <v/>
      </c>
      <c r="AB52" s="190"/>
      <c r="AC52" s="190"/>
      <c r="AD52" s="190"/>
      <c r="AE52" s="192" t="str">
        <f t="shared" ref="AE52:AE54" si="60">IFERROR(IF(AND(X51="Probabilidad",X52="Probabilidad"),(AG51-(+AG51*AA52)),IF(AND(X51="Impacto",X52="Probabilidad"),(AG50-(+AG50*AA52)),IF(X52="Impacto",AG51,""))),"")</f>
        <v/>
      </c>
      <c r="AF52" s="193" t="str">
        <f t="shared" si="2"/>
        <v/>
      </c>
      <c r="AG52" s="191" t="str">
        <f t="shared" si="55"/>
        <v/>
      </c>
      <c r="AH52" s="193" t="str">
        <f t="shared" si="4"/>
        <v/>
      </c>
      <c r="AI52" s="191" t="str">
        <f t="shared" si="13"/>
        <v/>
      </c>
      <c r="AJ52" s="194" t="str">
        <f>IFERROR(IF(OR(AND(AF52="Muy Baja",AH52="Leve"),AND(AF52="Muy Baja",AH52="Menor"),AND(AF52="Baja",AH52="Leve")),"Bajo",IF(OR(AND(AF52="Muy baja",AH52="Moderado"),AND(AF52="Baja",AH52="Menor"),AND(AF52="Baja",AH52="Moderado"),AND(AF52="Media",AH52="Leve"),AND(AF52="Media",AH52="Menor"),AND(AF52="Media",AH52="Moderado"),AND(AF52="Alta",AH52="Leve"),AND(AF52="Alta",AH52="Menor")),"Moderado",IF(OR(AND(AF52="Muy Baja",AH52="Mayor"),AND(AF52="Baja",AH52="Mayor"),AND(AF52="Media",AH52="Mayor"),AND(AF52="Alta",AH52="Moderado"),AND(AF52="Alta",AH52="Mayor"),AND(AF52="Muy Alta",AH52="Leve"),AND(AF52="Muy Alta",AH52="Menor"),AND(AF52="Muy Alta",AH52="Moderado"),AND(AF52="Muy Alta",AH52="Mayor")),"Alto",IF(OR(AND(AF52="Muy Baja",AH52="Catastrófico"),AND(AF52="Baja",AH52="Catastrófico"),AND(AF52="Media",AH52="Catastrófico"),AND(AF52="Alta",AH52="Catastrófico"),AND(AF52="Muy Alta",AH52="Catastrófico")),"Extremo","")))),"")</f>
        <v/>
      </c>
      <c r="AK52" s="195"/>
      <c r="AL52" s="186"/>
      <c r="AM52" s="196"/>
      <c r="AN52" s="196"/>
      <c r="AO52" s="197"/>
      <c r="AP52" s="381"/>
      <c r="AQ52" s="381"/>
      <c r="AR52" s="381"/>
    </row>
    <row r="53" spans="1:44" x14ac:dyDescent="0.2">
      <c r="A53" s="418"/>
      <c r="B53" s="387"/>
      <c r="C53" s="387"/>
      <c r="D53" s="421"/>
      <c r="E53" s="387"/>
      <c r="F53" s="387"/>
      <c r="G53" s="360"/>
      <c r="H53" s="360"/>
      <c r="I53" s="360"/>
      <c r="J53" s="360"/>
      <c r="K53" s="360"/>
      <c r="L53" s="360"/>
      <c r="M53" s="360"/>
      <c r="N53" s="381"/>
      <c r="O53" s="367"/>
      <c r="P53" s="364"/>
      <c r="Q53" s="353"/>
      <c r="R53" s="364">
        <f>IF(NOT(ISERROR(MATCH(Q53,_xlfn.ANCHORARRAY(E64),0))),P66&amp;"Por favor no seleccionar los criterios de impacto",Q53)</f>
        <v>0</v>
      </c>
      <c r="S53" s="367"/>
      <c r="T53" s="364"/>
      <c r="U53" s="362"/>
      <c r="V53" s="214">
        <v>5</v>
      </c>
      <c r="W53" s="187"/>
      <c r="X53" s="189" t="str">
        <f t="shared" si="59"/>
        <v/>
      </c>
      <c r="Y53" s="190"/>
      <c r="Z53" s="190"/>
      <c r="AA53" s="191" t="str">
        <f t="shared" si="54"/>
        <v/>
      </c>
      <c r="AB53" s="190"/>
      <c r="AC53" s="190"/>
      <c r="AD53" s="190"/>
      <c r="AE53" s="192" t="str">
        <f t="shared" si="60"/>
        <v/>
      </c>
      <c r="AF53" s="193" t="str">
        <f t="shared" si="2"/>
        <v/>
      </c>
      <c r="AG53" s="191" t="str">
        <f t="shared" si="55"/>
        <v/>
      </c>
      <c r="AH53" s="193" t="str">
        <f t="shared" si="4"/>
        <v/>
      </c>
      <c r="AI53" s="191" t="str">
        <f t="shared" si="13"/>
        <v/>
      </c>
      <c r="AJ53" s="194" t="str">
        <f t="shared" ref="AJ53:AJ54" si="61">IFERROR(IF(OR(AND(AF53="Muy Baja",AH53="Leve"),AND(AF53="Muy Baja",AH53="Menor"),AND(AF53="Baja",AH53="Leve")),"Bajo",IF(OR(AND(AF53="Muy baja",AH53="Moderado"),AND(AF53="Baja",AH53="Menor"),AND(AF53="Baja",AH53="Moderado"),AND(AF53="Media",AH53="Leve"),AND(AF53="Media",AH53="Menor"),AND(AF53="Media",AH53="Moderado"),AND(AF53="Alta",AH53="Leve"),AND(AF53="Alta",AH53="Menor")),"Moderado",IF(OR(AND(AF53="Muy Baja",AH53="Mayor"),AND(AF53="Baja",AH53="Mayor"),AND(AF53="Media",AH53="Mayor"),AND(AF53="Alta",AH53="Moderado"),AND(AF53="Alta",AH53="Mayor"),AND(AF53="Muy Alta",AH53="Leve"),AND(AF53="Muy Alta",AH53="Menor"),AND(AF53="Muy Alta",AH53="Moderado"),AND(AF53="Muy Alta",AH53="Mayor")),"Alto",IF(OR(AND(AF53="Muy Baja",AH53="Catastrófico"),AND(AF53="Baja",AH53="Catastrófico"),AND(AF53="Media",AH53="Catastrófico"),AND(AF53="Alta",AH53="Catastrófico"),AND(AF53="Muy Alta",AH53="Catastrófico")),"Extremo","")))),"")</f>
        <v/>
      </c>
      <c r="AK53" s="195"/>
      <c r="AL53" s="186"/>
      <c r="AM53" s="196"/>
      <c r="AN53" s="196"/>
      <c r="AO53" s="197"/>
      <c r="AP53" s="381"/>
      <c r="AQ53" s="381"/>
      <c r="AR53" s="381"/>
    </row>
    <row r="54" spans="1:44" x14ac:dyDescent="0.2">
      <c r="A54" s="418"/>
      <c r="B54" s="387"/>
      <c r="C54" s="387"/>
      <c r="D54" s="421"/>
      <c r="E54" s="387"/>
      <c r="F54" s="387"/>
      <c r="G54" s="373"/>
      <c r="H54" s="373"/>
      <c r="I54" s="373"/>
      <c r="J54" s="373"/>
      <c r="K54" s="373"/>
      <c r="L54" s="373"/>
      <c r="M54" s="373"/>
      <c r="N54" s="381"/>
      <c r="O54" s="367"/>
      <c r="P54" s="364"/>
      <c r="Q54" s="353"/>
      <c r="R54" s="364">
        <f>IF(NOT(ISERROR(MATCH(Q54,_xlfn.ANCHORARRAY(E65),0))),P67&amp;"Por favor no seleccionar los criterios de impacto",Q54)</f>
        <v>0</v>
      </c>
      <c r="S54" s="367"/>
      <c r="T54" s="364"/>
      <c r="U54" s="362"/>
      <c r="V54" s="214">
        <v>6</v>
      </c>
      <c r="W54" s="187"/>
      <c r="X54" s="189" t="str">
        <f t="shared" si="59"/>
        <v/>
      </c>
      <c r="Y54" s="190"/>
      <c r="Z54" s="190"/>
      <c r="AA54" s="191" t="str">
        <f t="shared" si="54"/>
        <v/>
      </c>
      <c r="AB54" s="190"/>
      <c r="AC54" s="190"/>
      <c r="AD54" s="190"/>
      <c r="AE54" s="192" t="str">
        <f t="shared" si="60"/>
        <v/>
      </c>
      <c r="AF54" s="193" t="str">
        <f t="shared" si="2"/>
        <v/>
      </c>
      <c r="AG54" s="191" t="str">
        <f t="shared" si="55"/>
        <v/>
      </c>
      <c r="AH54" s="193" t="str">
        <f t="shared" si="4"/>
        <v/>
      </c>
      <c r="AI54" s="191" t="str">
        <f t="shared" si="13"/>
        <v/>
      </c>
      <c r="AJ54" s="194" t="str">
        <f t="shared" si="61"/>
        <v/>
      </c>
      <c r="AK54" s="195"/>
      <c r="AL54" s="186"/>
      <c r="AM54" s="196"/>
      <c r="AN54" s="196"/>
      <c r="AO54" s="197"/>
      <c r="AP54" s="381"/>
      <c r="AQ54" s="381"/>
      <c r="AR54" s="381"/>
    </row>
    <row r="55" spans="1:44" x14ac:dyDescent="0.2">
      <c r="A55" s="418">
        <v>8</v>
      </c>
      <c r="B55" s="387"/>
      <c r="C55" s="387"/>
      <c r="D55" s="387"/>
      <c r="E55" s="387"/>
      <c r="F55" s="387"/>
      <c r="G55" s="392"/>
      <c r="H55" s="392"/>
      <c r="I55" s="392"/>
      <c r="J55" s="392"/>
      <c r="K55" s="392"/>
      <c r="L55" s="392"/>
      <c r="M55" s="392"/>
      <c r="N55" s="381"/>
      <c r="O55" s="367" t="str">
        <f>IF(N55&lt;=0,"",IF(N55&lt;=2,"Muy Baja",IF(N55&lt;=24,"Baja",IF(N55&lt;=500,"Media",IF(N55&lt;=5000,"Alta","Muy Alta")))))</f>
        <v/>
      </c>
      <c r="P55" s="364" t="str">
        <f>IF(O55="","",IF(O55="Muy Baja",0.2,IF(O55="Baja",0.4,IF(O55="Media",0.6,IF(O55="Alta",0.8,IF(O55="Muy Alta",1,))))))</f>
        <v/>
      </c>
      <c r="Q55" s="353"/>
      <c r="R55" s="364">
        <f>IF(NOT(ISERROR(MATCH(Q55,'Tabla Impacto'!$B$222:$B$224,0))),'Tabla Impacto'!$F$224&amp;"Por favor no seleccionar los criterios de impacto(Afectación Económica o presupuestal y Pérdida Reputacional)",Q55)</f>
        <v>0</v>
      </c>
      <c r="S55" s="367" t="str">
        <f>IF(OR(R55='Tabla Impacto'!$C$12,R55='Tabla Impacto'!$D$12),"Leve",IF(OR(R55='Tabla Impacto'!$C$13,R55='Tabla Impacto'!$D$13),"Menor",IF(OR(R55='Tabla Impacto'!$C$14,R55='Tabla Impacto'!$D$14),"Moderado",IF(OR(R55='Tabla Impacto'!$C$15,R55='Tabla Impacto'!$D$15),"Mayor",IF(OR(R55='Tabla Impacto'!$C$16,R55='Tabla Impacto'!$D$16),"Catastrófico","")))))</f>
        <v/>
      </c>
      <c r="T55" s="364" t="str">
        <f>IF(S55="","",IF(S55="Leve",0.2,IF(S55="Menor",0.4,IF(S55="Moderado",0.6,IF(S55="Mayor",0.8,IF(S55="Catastrófico",1,))))))</f>
        <v/>
      </c>
      <c r="U55" s="362" t="str">
        <f>IF(OR(AND(O55="Muy Baja",S55="Leve"),AND(O55="Muy Baja",S55="Menor"),AND(O55="Baja",S55="Leve")),"Bajo",IF(OR(AND(O55="Muy baja",S55="Moderado"),AND(O55="Baja",S55="Menor"),AND(O55="Baja",S55="Moderado"),AND(O55="Media",S55="Leve"),AND(O55="Media",S55="Menor"),AND(O55="Media",S55="Moderado"),AND(O55="Alta",S55="Leve"),AND(O55="Alta",S55="Menor")),"Moderado",IF(OR(AND(O55="Muy Baja",S55="Mayor"),AND(O55="Baja",S55="Mayor"),AND(O55="Media",S55="Mayor"),AND(O55="Alta",S55="Moderado"),AND(O55="Alta",S55="Mayor"),AND(O55="Muy Alta",S55="Leve"),AND(O55="Muy Alta",S55="Menor"),AND(O55="Muy Alta",S55="Moderado"),AND(O55="Muy Alta",S55="Mayor")),"Alto",IF(OR(AND(O55="Muy Baja",S55="Catastrófico"),AND(O55="Baja",S55="Catastrófico"),AND(O55="Media",S55="Catastrófico"),AND(O55="Alta",S55="Catastrófico"),AND(O55="Muy Alta",S55="Catastrófico")),"Extremo",""))))</f>
        <v/>
      </c>
      <c r="V55" s="214">
        <v>1</v>
      </c>
      <c r="W55" s="187"/>
      <c r="X55" s="189" t="str">
        <f>IF(OR(Y55="Preventivo",Y55="Detectivo"),"Probabilidad",IF(Y55="Correctivo","Impacto",""))</f>
        <v/>
      </c>
      <c r="Y55" s="190"/>
      <c r="Z55" s="190"/>
      <c r="AA55" s="191" t="str">
        <f>IF(AND(Y55="Preventivo",Z55="Automático"),"50%",IF(AND(Y55="Preventivo",Z55="Manual"),"40%",IF(AND(Y55="Detectivo",Z55="Automático"),"40%",IF(AND(Y55="Detectivo",Z55="Manual"),"30%",IF(AND(Y55="Correctivo",Z55="Automático"),"35%",IF(AND(Y55="Correctivo",Z55="Manual"),"25%",""))))))</f>
        <v/>
      </c>
      <c r="AB55" s="190"/>
      <c r="AC55" s="190"/>
      <c r="AD55" s="190"/>
      <c r="AE55" s="192" t="str">
        <f>IFERROR(IF(X55="Probabilidad",(P55-(+P55*AA55)),IF(X55="Impacto",P55,"")),"")</f>
        <v/>
      </c>
      <c r="AF55" s="193" t="str">
        <f>IFERROR(IF(AE55="","",IF(AE55&lt;=0.2,"Muy Baja",IF(AE55&lt;=0.4,"Baja",IF(AE55&lt;=0.6,"Media",IF(AE55&lt;=0.8,"Alta","Muy Alta"))))),"")</f>
        <v/>
      </c>
      <c r="AG55" s="191" t="str">
        <f>+AE55</f>
        <v/>
      </c>
      <c r="AH55" s="193" t="str">
        <f>IFERROR(IF(AI55="","",IF(AI55&lt;=0.2,"Leve",IF(AI55&lt;=0.4,"Menor",IF(AI55&lt;=0.6,"Moderado",IF(AI55&lt;=0.8,"Mayor","Catastrófico"))))),"")</f>
        <v/>
      </c>
      <c r="AI55" s="191" t="str">
        <f t="shared" ref="AI55" si="62">IFERROR(IF(X55="Impacto",(T55-(+T55*AA55)),IF(X55="Probabilidad",T55,"")),"")</f>
        <v/>
      </c>
      <c r="AJ55" s="194" t="str">
        <f>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
      </c>
      <c r="AK55" s="195"/>
      <c r="AL55" s="186"/>
      <c r="AM55" s="196"/>
      <c r="AN55" s="196"/>
      <c r="AO55" s="197"/>
      <c r="AP55" s="381"/>
      <c r="AQ55" s="381"/>
      <c r="AR55" s="381"/>
    </row>
    <row r="56" spans="1:44" x14ac:dyDescent="0.2">
      <c r="A56" s="418"/>
      <c r="B56" s="387"/>
      <c r="C56" s="387"/>
      <c r="D56" s="387"/>
      <c r="E56" s="387"/>
      <c r="F56" s="387"/>
      <c r="G56" s="360"/>
      <c r="H56" s="360"/>
      <c r="I56" s="360"/>
      <c r="J56" s="360"/>
      <c r="K56" s="360"/>
      <c r="L56" s="360"/>
      <c r="M56" s="360"/>
      <c r="N56" s="381"/>
      <c r="O56" s="367"/>
      <c r="P56" s="364"/>
      <c r="Q56" s="353"/>
      <c r="R56" s="364">
        <f>IF(NOT(ISERROR(MATCH(Q56,_xlfn.ANCHORARRAY(E67),0))),P69&amp;"Por favor no seleccionar los criterios de impacto",Q56)</f>
        <v>0</v>
      </c>
      <c r="S56" s="367"/>
      <c r="T56" s="364"/>
      <c r="U56" s="362"/>
      <c r="V56" s="214">
        <v>2</v>
      </c>
      <c r="W56" s="187"/>
      <c r="X56" s="189" t="str">
        <f>IF(OR(Y56="Preventivo",Y56="Detectivo"),"Probabilidad",IF(Y56="Correctivo","Impacto",""))</f>
        <v/>
      </c>
      <c r="Y56" s="190"/>
      <c r="Z56" s="190"/>
      <c r="AA56" s="191" t="str">
        <f t="shared" ref="AA56:AA60" si="63">IF(AND(Y56="Preventivo",Z56="Automático"),"50%",IF(AND(Y56="Preventivo",Z56="Manual"),"40%",IF(AND(Y56="Detectivo",Z56="Automático"),"40%",IF(AND(Y56="Detectivo",Z56="Manual"),"30%",IF(AND(Y56="Correctivo",Z56="Automático"),"35%",IF(AND(Y56="Correctivo",Z56="Manual"),"25%",""))))))</f>
        <v/>
      </c>
      <c r="AB56" s="190"/>
      <c r="AC56" s="190"/>
      <c r="AD56" s="190"/>
      <c r="AE56" s="192" t="str">
        <f>IFERROR(IF(AND(X55="Probabilidad",X56="Probabilidad"),(AG55-(+AG55*AA56)),IF(X56="Probabilidad",(P55-(+P55*AA56)),IF(X56="Impacto",AG55,""))),"")</f>
        <v/>
      </c>
      <c r="AF56" s="193" t="str">
        <f t="shared" si="2"/>
        <v/>
      </c>
      <c r="AG56" s="191" t="str">
        <f t="shared" ref="AG56:AG60" si="64">+AE56</f>
        <v/>
      </c>
      <c r="AH56" s="193" t="str">
        <f t="shared" si="4"/>
        <v/>
      </c>
      <c r="AI56" s="191" t="str">
        <f t="shared" ref="AI56" si="65">IFERROR(IF(AND(X55="Impacto",X56="Impacto"),(AI55-(+AI55*AA56)),IF(X56="Impacto",($T$13-(+$T$13*AA56)),IF(X56="Probabilidad",AI55,""))),"")</f>
        <v/>
      </c>
      <c r="AJ56" s="194" t="str">
        <f t="shared" ref="AJ56:AJ57" si="66">IFERROR(IF(OR(AND(AF56="Muy Baja",AH56="Leve"),AND(AF56="Muy Baja",AH56="Menor"),AND(AF56="Baja",AH56="Leve")),"Bajo",IF(OR(AND(AF56="Muy baja",AH56="Moderado"),AND(AF56="Baja",AH56="Menor"),AND(AF56="Baja",AH56="Moderado"),AND(AF56="Media",AH56="Leve"),AND(AF56="Media",AH56="Menor"),AND(AF56="Media",AH56="Moderado"),AND(AF56="Alta",AH56="Leve"),AND(AF56="Alta",AH56="Menor")),"Moderado",IF(OR(AND(AF56="Muy Baja",AH56="Mayor"),AND(AF56="Baja",AH56="Mayor"),AND(AF56="Media",AH56="Mayor"),AND(AF56="Alta",AH56="Moderado"),AND(AF56="Alta",AH56="Mayor"),AND(AF56="Muy Alta",AH56="Leve"),AND(AF56="Muy Alta",AH56="Menor"),AND(AF56="Muy Alta",AH56="Moderado"),AND(AF56="Muy Alta",AH56="Mayor")),"Alto",IF(OR(AND(AF56="Muy Baja",AH56="Catastrófico"),AND(AF56="Baja",AH56="Catastrófico"),AND(AF56="Media",AH56="Catastrófico"),AND(AF56="Alta",AH56="Catastrófico"),AND(AF56="Muy Alta",AH56="Catastrófico")),"Extremo","")))),"")</f>
        <v/>
      </c>
      <c r="AK56" s="195"/>
      <c r="AL56" s="186"/>
      <c r="AM56" s="196"/>
      <c r="AN56" s="196"/>
      <c r="AO56" s="197"/>
      <c r="AP56" s="381"/>
      <c r="AQ56" s="381"/>
      <c r="AR56" s="381"/>
    </row>
    <row r="57" spans="1:44" x14ac:dyDescent="0.2">
      <c r="A57" s="418"/>
      <c r="B57" s="387"/>
      <c r="C57" s="387"/>
      <c r="D57" s="387"/>
      <c r="E57" s="387"/>
      <c r="F57" s="387"/>
      <c r="G57" s="360"/>
      <c r="H57" s="360"/>
      <c r="I57" s="360"/>
      <c r="J57" s="360"/>
      <c r="K57" s="360"/>
      <c r="L57" s="360"/>
      <c r="M57" s="360"/>
      <c r="N57" s="381"/>
      <c r="O57" s="367"/>
      <c r="P57" s="364"/>
      <c r="Q57" s="353"/>
      <c r="R57" s="364">
        <f>IF(NOT(ISERROR(MATCH(Q57,_xlfn.ANCHORARRAY(E68),0))),P70&amp;"Por favor no seleccionar los criterios de impacto",Q57)</f>
        <v>0</v>
      </c>
      <c r="S57" s="367"/>
      <c r="T57" s="364"/>
      <c r="U57" s="362"/>
      <c r="V57" s="214">
        <v>3</v>
      </c>
      <c r="W57" s="188"/>
      <c r="X57" s="189" t="str">
        <f>IF(OR(Y57="Preventivo",Y57="Detectivo"),"Probabilidad",IF(Y57="Correctivo","Impacto",""))</f>
        <v/>
      </c>
      <c r="Y57" s="190"/>
      <c r="Z57" s="190"/>
      <c r="AA57" s="191" t="str">
        <f t="shared" si="63"/>
        <v/>
      </c>
      <c r="AB57" s="190"/>
      <c r="AC57" s="190"/>
      <c r="AD57" s="190"/>
      <c r="AE57" s="192" t="str">
        <f>IFERROR(IF(AND(X56="Probabilidad",X57="Probabilidad"),(AG56-(+AG56*AA57)),IF(AND(X56="Impacto",X57="Probabilidad"),(AG55-(+AG55*AA57)),IF(X57="Impacto",AG56,""))),"")</f>
        <v/>
      </c>
      <c r="AF57" s="193" t="str">
        <f t="shared" si="2"/>
        <v/>
      </c>
      <c r="AG57" s="191" t="str">
        <f t="shared" si="64"/>
        <v/>
      </c>
      <c r="AH57" s="193" t="str">
        <f t="shared" si="4"/>
        <v/>
      </c>
      <c r="AI57" s="191" t="str">
        <f t="shared" ref="AI57" si="67">IFERROR(IF(AND(X56="Impacto",X57="Impacto"),(AI56-(+AI56*AA57)),IF(AND(X56="Probabilidad",X57="Impacto"),(AI55-(+AI55*AA57)),IF(X57="Probabilidad",AI56,""))),"")</f>
        <v/>
      </c>
      <c r="AJ57" s="194" t="str">
        <f t="shared" si="66"/>
        <v/>
      </c>
      <c r="AK57" s="195"/>
      <c r="AL57" s="186"/>
      <c r="AM57" s="196"/>
      <c r="AN57" s="196"/>
      <c r="AO57" s="197"/>
      <c r="AP57" s="381"/>
      <c r="AQ57" s="381"/>
      <c r="AR57" s="381"/>
    </row>
    <row r="58" spans="1:44" x14ac:dyDescent="0.2">
      <c r="A58" s="418"/>
      <c r="B58" s="387"/>
      <c r="C58" s="387"/>
      <c r="D58" s="387"/>
      <c r="E58" s="387"/>
      <c r="F58" s="387"/>
      <c r="G58" s="360"/>
      <c r="H58" s="360"/>
      <c r="I58" s="360"/>
      <c r="J58" s="360"/>
      <c r="K58" s="360"/>
      <c r="L58" s="360"/>
      <c r="M58" s="360"/>
      <c r="N58" s="381"/>
      <c r="O58" s="367"/>
      <c r="P58" s="364"/>
      <c r="Q58" s="353"/>
      <c r="R58" s="364">
        <f>IF(NOT(ISERROR(MATCH(Q58,_xlfn.ANCHORARRAY(E69),0))),P71&amp;"Por favor no seleccionar los criterios de impacto",Q58)</f>
        <v>0</v>
      </c>
      <c r="S58" s="367"/>
      <c r="T58" s="364"/>
      <c r="U58" s="362"/>
      <c r="V58" s="214">
        <v>4</v>
      </c>
      <c r="W58" s="187"/>
      <c r="X58" s="189" t="str">
        <f t="shared" ref="X58:X60" si="68">IF(OR(Y58="Preventivo",Y58="Detectivo"),"Probabilidad",IF(Y58="Correctivo","Impacto",""))</f>
        <v/>
      </c>
      <c r="Y58" s="190"/>
      <c r="Z58" s="190"/>
      <c r="AA58" s="191" t="str">
        <f t="shared" si="63"/>
        <v/>
      </c>
      <c r="AB58" s="190"/>
      <c r="AC58" s="190"/>
      <c r="AD58" s="190"/>
      <c r="AE58" s="192" t="str">
        <f t="shared" ref="AE58:AE60" si="69">IFERROR(IF(AND(X57="Probabilidad",X58="Probabilidad"),(AG57-(+AG57*AA58)),IF(AND(X57="Impacto",X58="Probabilidad"),(AG56-(+AG56*AA58)),IF(X58="Impacto",AG57,""))),"")</f>
        <v/>
      </c>
      <c r="AF58" s="193" t="str">
        <f t="shared" si="2"/>
        <v/>
      </c>
      <c r="AG58" s="191" t="str">
        <f t="shared" si="64"/>
        <v/>
      </c>
      <c r="AH58" s="193" t="str">
        <f t="shared" si="4"/>
        <v/>
      </c>
      <c r="AI58" s="191" t="str">
        <f t="shared" si="13"/>
        <v/>
      </c>
      <c r="AJ58" s="194" t="str">
        <f>IFERROR(IF(OR(AND(AF58="Muy Baja",AH58="Leve"),AND(AF58="Muy Baja",AH58="Menor"),AND(AF58="Baja",AH58="Leve")),"Bajo",IF(OR(AND(AF58="Muy baja",AH58="Moderado"),AND(AF58="Baja",AH58="Menor"),AND(AF58="Baja",AH58="Moderado"),AND(AF58="Media",AH58="Leve"),AND(AF58="Media",AH58="Menor"),AND(AF58="Media",AH58="Moderado"),AND(AF58="Alta",AH58="Leve"),AND(AF58="Alta",AH58="Menor")),"Moderado",IF(OR(AND(AF58="Muy Baja",AH58="Mayor"),AND(AF58="Baja",AH58="Mayor"),AND(AF58="Media",AH58="Mayor"),AND(AF58="Alta",AH58="Moderado"),AND(AF58="Alta",AH58="Mayor"),AND(AF58="Muy Alta",AH58="Leve"),AND(AF58="Muy Alta",AH58="Menor"),AND(AF58="Muy Alta",AH58="Moderado"),AND(AF58="Muy Alta",AH58="Mayor")),"Alto",IF(OR(AND(AF58="Muy Baja",AH58="Catastrófico"),AND(AF58="Baja",AH58="Catastrófico"),AND(AF58="Media",AH58="Catastrófico"),AND(AF58="Alta",AH58="Catastrófico"),AND(AF58="Muy Alta",AH58="Catastrófico")),"Extremo","")))),"")</f>
        <v/>
      </c>
      <c r="AK58" s="195"/>
      <c r="AL58" s="186"/>
      <c r="AM58" s="196"/>
      <c r="AN58" s="196"/>
      <c r="AO58" s="197"/>
      <c r="AP58" s="381"/>
      <c r="AQ58" s="381"/>
      <c r="AR58" s="381"/>
    </row>
    <row r="59" spans="1:44" x14ac:dyDescent="0.2">
      <c r="A59" s="418"/>
      <c r="B59" s="387"/>
      <c r="C59" s="387"/>
      <c r="D59" s="387"/>
      <c r="E59" s="387"/>
      <c r="F59" s="387"/>
      <c r="G59" s="360"/>
      <c r="H59" s="360"/>
      <c r="I59" s="360"/>
      <c r="J59" s="360"/>
      <c r="K59" s="360"/>
      <c r="L59" s="360"/>
      <c r="M59" s="360"/>
      <c r="N59" s="381"/>
      <c r="O59" s="367"/>
      <c r="P59" s="364"/>
      <c r="Q59" s="353"/>
      <c r="R59" s="364">
        <f>IF(NOT(ISERROR(MATCH(Q59,_xlfn.ANCHORARRAY(E70),0))),P72&amp;"Por favor no seleccionar los criterios de impacto",Q59)</f>
        <v>0</v>
      </c>
      <c r="S59" s="367"/>
      <c r="T59" s="364"/>
      <c r="U59" s="362"/>
      <c r="V59" s="214">
        <v>5</v>
      </c>
      <c r="W59" s="187"/>
      <c r="X59" s="189" t="str">
        <f t="shared" si="68"/>
        <v/>
      </c>
      <c r="Y59" s="190"/>
      <c r="Z59" s="190"/>
      <c r="AA59" s="191" t="str">
        <f t="shared" si="63"/>
        <v/>
      </c>
      <c r="AB59" s="190"/>
      <c r="AC59" s="190"/>
      <c r="AD59" s="190"/>
      <c r="AE59" s="192" t="str">
        <f t="shared" si="69"/>
        <v/>
      </c>
      <c r="AF59" s="193" t="str">
        <f t="shared" si="2"/>
        <v/>
      </c>
      <c r="AG59" s="191" t="str">
        <f t="shared" si="64"/>
        <v/>
      </c>
      <c r="AH59" s="193" t="str">
        <f t="shared" si="4"/>
        <v/>
      </c>
      <c r="AI59" s="191" t="str">
        <f t="shared" si="13"/>
        <v/>
      </c>
      <c r="AJ59" s="194" t="str">
        <f t="shared" ref="AJ59:AJ60" si="70">IFERROR(IF(OR(AND(AF59="Muy Baja",AH59="Leve"),AND(AF59="Muy Baja",AH59="Menor"),AND(AF59="Baja",AH59="Leve")),"Bajo",IF(OR(AND(AF59="Muy baja",AH59="Moderado"),AND(AF59="Baja",AH59="Menor"),AND(AF59="Baja",AH59="Moderado"),AND(AF59="Media",AH59="Leve"),AND(AF59="Media",AH59="Menor"),AND(AF59="Media",AH59="Moderado"),AND(AF59="Alta",AH59="Leve"),AND(AF59="Alta",AH59="Menor")),"Moderado",IF(OR(AND(AF59="Muy Baja",AH59="Mayor"),AND(AF59="Baja",AH59="Mayor"),AND(AF59="Media",AH59="Mayor"),AND(AF59="Alta",AH59="Moderado"),AND(AF59="Alta",AH59="Mayor"),AND(AF59="Muy Alta",AH59="Leve"),AND(AF59="Muy Alta",AH59="Menor"),AND(AF59="Muy Alta",AH59="Moderado"),AND(AF59="Muy Alta",AH59="Mayor")),"Alto",IF(OR(AND(AF59="Muy Baja",AH59="Catastrófico"),AND(AF59="Baja",AH59="Catastrófico"),AND(AF59="Media",AH59="Catastrófico"),AND(AF59="Alta",AH59="Catastrófico"),AND(AF59="Muy Alta",AH59="Catastrófico")),"Extremo","")))),"")</f>
        <v/>
      </c>
      <c r="AK59" s="195"/>
      <c r="AL59" s="186"/>
      <c r="AM59" s="196"/>
      <c r="AN59" s="196"/>
      <c r="AO59" s="197"/>
      <c r="AP59" s="381"/>
      <c r="AQ59" s="381"/>
      <c r="AR59" s="381"/>
    </row>
    <row r="60" spans="1:44" x14ac:dyDescent="0.2">
      <c r="A60" s="418"/>
      <c r="B60" s="387"/>
      <c r="C60" s="387"/>
      <c r="D60" s="387"/>
      <c r="E60" s="387"/>
      <c r="F60" s="387"/>
      <c r="G60" s="373"/>
      <c r="H60" s="373"/>
      <c r="I60" s="373"/>
      <c r="J60" s="373"/>
      <c r="K60" s="373"/>
      <c r="L60" s="373"/>
      <c r="M60" s="373"/>
      <c r="N60" s="381"/>
      <c r="O60" s="367"/>
      <c r="P60" s="364"/>
      <c r="Q60" s="353"/>
      <c r="R60" s="364">
        <f>IF(NOT(ISERROR(MATCH(Q60,_xlfn.ANCHORARRAY(E71),0))),Q73&amp;"Por favor no seleccionar los criterios de impacto",Q60)</f>
        <v>0</v>
      </c>
      <c r="S60" s="367"/>
      <c r="T60" s="364"/>
      <c r="U60" s="362"/>
      <c r="V60" s="214">
        <v>6</v>
      </c>
      <c r="W60" s="187"/>
      <c r="X60" s="189" t="str">
        <f t="shared" si="68"/>
        <v/>
      </c>
      <c r="Y60" s="190"/>
      <c r="Z60" s="190"/>
      <c r="AA60" s="191" t="str">
        <f t="shared" si="63"/>
        <v/>
      </c>
      <c r="AB60" s="190"/>
      <c r="AC60" s="190"/>
      <c r="AD60" s="190"/>
      <c r="AE60" s="192" t="str">
        <f t="shared" si="69"/>
        <v/>
      </c>
      <c r="AF60" s="193" t="str">
        <f t="shared" si="2"/>
        <v/>
      </c>
      <c r="AG60" s="191" t="str">
        <f t="shared" si="64"/>
        <v/>
      </c>
      <c r="AH60" s="193" t="str">
        <f t="shared" si="4"/>
        <v/>
      </c>
      <c r="AI60" s="191" t="str">
        <f t="shared" si="13"/>
        <v/>
      </c>
      <c r="AJ60" s="194" t="str">
        <f t="shared" si="70"/>
        <v/>
      </c>
      <c r="AK60" s="195"/>
      <c r="AL60" s="186"/>
      <c r="AM60" s="196"/>
      <c r="AN60" s="196"/>
      <c r="AO60" s="197"/>
      <c r="AP60" s="381"/>
      <c r="AQ60" s="381"/>
      <c r="AR60" s="381"/>
    </row>
    <row r="61" spans="1:44" x14ac:dyDescent="0.2">
      <c r="A61" s="418">
        <v>9</v>
      </c>
      <c r="B61" s="387"/>
      <c r="C61" s="387"/>
      <c r="D61" s="387"/>
      <c r="E61" s="387"/>
      <c r="F61" s="387"/>
      <c r="G61" s="392"/>
      <c r="H61" s="392"/>
      <c r="I61" s="221"/>
      <c r="J61" s="221"/>
      <c r="K61" s="221"/>
      <c r="L61" s="392"/>
      <c r="M61" s="392"/>
      <c r="N61" s="381"/>
      <c r="O61" s="367" t="str">
        <f>IF(N61&lt;=0,"",IF(N61&lt;=2,"Muy Baja",IF(N61&lt;=24,"Baja",IF(N61&lt;=500,"Media",IF(N61&lt;=5000,"Alta","Muy Alta")))))</f>
        <v/>
      </c>
      <c r="P61" s="364" t="str">
        <f>IF(O61="","",IF(O61="Muy Baja",0.2,IF(O61="Baja",0.4,IF(O61="Media",0.6,IF(O61="Alta",0.8,IF(O61="Muy Alta",1,))))))</f>
        <v/>
      </c>
      <c r="Q61" s="353"/>
      <c r="R61" s="364">
        <f>IF(NOT(ISERROR(MATCH(Q61,'Tabla Impacto'!$B$222:$B$224,0))),'Tabla Impacto'!$F$224&amp;"Por favor no seleccionar los criterios de impacto(Afectación Económica o presupuestal y Pérdida Reputacional)",Q61)</f>
        <v>0</v>
      </c>
      <c r="S61" s="367" t="str">
        <f>IF(OR(R61='Tabla Impacto'!$C$12,R61='Tabla Impacto'!$D$12),"Leve",IF(OR(R61='Tabla Impacto'!$C$13,R61='Tabla Impacto'!$D$13),"Menor",IF(OR(R61='Tabla Impacto'!$C$14,R61='Tabla Impacto'!$D$14),"Moderado",IF(OR(R61='Tabla Impacto'!$C$15,R61='Tabla Impacto'!$D$15),"Mayor",IF(OR(R61='Tabla Impacto'!$C$16,R61='Tabla Impacto'!$D$16),"Catastrófico","")))))</f>
        <v/>
      </c>
      <c r="T61" s="364" t="str">
        <f>IF(S61="","",IF(S61="Leve",0.2,IF(S61="Menor",0.4,IF(S61="Moderado",0.6,IF(S61="Mayor",0.8,IF(S61="Catastrófico",1,))))))</f>
        <v/>
      </c>
      <c r="U61" s="362" t="str">
        <f>IF(OR(AND(O61="Muy Baja",S61="Leve"),AND(O61="Muy Baja",S61="Menor"),AND(O61="Baja",S61="Leve")),"Bajo",IF(OR(AND(O61="Muy baja",S61="Moderado"),AND(O61="Baja",S61="Menor"),AND(O61="Baja",S61="Moderado"),AND(O61="Media",S61="Leve"),AND(O61="Media",S61="Menor"),AND(O61="Media",S61="Moderado"),AND(O61="Alta",S61="Leve"),AND(O61="Alta",S61="Menor")),"Moderado",IF(OR(AND(O61="Muy Baja",S61="Mayor"),AND(O61="Baja",S61="Mayor"),AND(O61="Media",S61="Mayor"),AND(O61="Alta",S61="Moderado"),AND(O61="Alta",S61="Mayor"),AND(O61="Muy Alta",S61="Leve"),AND(O61="Muy Alta",S61="Menor"),AND(O61="Muy Alta",S61="Moderado"),AND(O61="Muy Alta",S61="Mayor")),"Alto",IF(OR(AND(O61="Muy Baja",S61="Catastrófico"),AND(O61="Baja",S61="Catastrófico"),AND(O61="Media",S61="Catastrófico"),AND(O61="Alta",S61="Catastrófico"),AND(O61="Muy Alta",S61="Catastrófico")),"Extremo",""))))</f>
        <v/>
      </c>
      <c r="V61" s="214">
        <v>1</v>
      </c>
      <c r="W61" s="187"/>
      <c r="X61" s="189" t="str">
        <f>IF(OR(Y61="Preventivo",Y61="Detectivo"),"Probabilidad",IF(Y61="Correctivo","Impacto",""))</f>
        <v/>
      </c>
      <c r="Y61" s="190"/>
      <c r="Z61" s="190"/>
      <c r="AA61" s="191" t="str">
        <f>IF(AND(Y61="Preventivo",Z61="Automático"),"50%",IF(AND(Y61="Preventivo",Z61="Manual"),"40%",IF(AND(Y61="Detectivo",Z61="Automático"),"40%",IF(AND(Y61="Detectivo",Z61="Manual"),"30%",IF(AND(Y61="Correctivo",Z61="Automático"),"35%",IF(AND(Y61="Correctivo",Z61="Manual"),"25%",""))))))</f>
        <v/>
      </c>
      <c r="AB61" s="190"/>
      <c r="AC61" s="190"/>
      <c r="AD61" s="190"/>
      <c r="AE61" s="192" t="str">
        <f>IFERROR(IF(X61="Probabilidad",(P61-(+P61*AA61)),IF(X61="Impacto",P61,"")),"")</f>
        <v/>
      </c>
      <c r="AF61" s="193" t="str">
        <f>IFERROR(IF(AE61="","",IF(AE61&lt;=0.2,"Muy Baja",IF(AE61&lt;=0.4,"Baja",IF(AE61&lt;=0.6,"Media",IF(AE61&lt;=0.8,"Alta","Muy Alta"))))),"")</f>
        <v/>
      </c>
      <c r="AG61" s="191" t="str">
        <f>+AE61</f>
        <v/>
      </c>
      <c r="AH61" s="193" t="str">
        <f>IFERROR(IF(AI61="","",IF(AI61&lt;=0.2,"Leve",IF(AI61&lt;=0.4,"Menor",IF(AI61&lt;=0.6,"Moderado",IF(AI61&lt;=0.8,"Mayor","Catastrófico"))))),"")</f>
        <v/>
      </c>
      <c r="AI61" s="191" t="str">
        <f t="shared" ref="AI61" si="71">IFERROR(IF(X61="Impacto",(T61-(+T61*AA61)),IF(X61="Probabilidad",T61,"")),"")</f>
        <v/>
      </c>
      <c r="AJ61" s="194" t="str">
        <f>IFERROR(IF(OR(AND(AF61="Muy Baja",AH61="Leve"),AND(AF61="Muy Baja",AH61="Menor"),AND(AF61="Baja",AH61="Leve")),"Bajo",IF(OR(AND(AF61="Muy baja",AH61="Moderado"),AND(AF61="Baja",AH61="Menor"),AND(AF61="Baja",AH61="Moderado"),AND(AF61="Media",AH61="Leve"),AND(AF61="Media",AH61="Menor"),AND(AF61="Media",AH61="Moderado"),AND(AF61="Alta",AH61="Leve"),AND(AF61="Alta",AH61="Menor")),"Moderado",IF(OR(AND(AF61="Muy Baja",AH61="Mayor"),AND(AF61="Baja",AH61="Mayor"),AND(AF61="Media",AH61="Mayor"),AND(AF61="Alta",AH61="Moderado"),AND(AF61="Alta",AH61="Mayor"),AND(AF61="Muy Alta",AH61="Leve"),AND(AF61="Muy Alta",AH61="Menor"),AND(AF61="Muy Alta",AH61="Moderado"),AND(AF61="Muy Alta",AH61="Mayor")),"Alto",IF(OR(AND(AF61="Muy Baja",AH61="Catastrófico"),AND(AF61="Baja",AH61="Catastrófico"),AND(AF61="Media",AH61="Catastrófico"),AND(AF61="Alta",AH61="Catastrófico"),AND(AF61="Muy Alta",AH61="Catastrófico")),"Extremo","")))),"")</f>
        <v/>
      </c>
      <c r="AK61" s="195"/>
      <c r="AL61" s="186"/>
      <c r="AM61" s="196"/>
      <c r="AN61" s="196"/>
      <c r="AO61" s="197"/>
      <c r="AP61" s="381"/>
      <c r="AQ61" s="381"/>
      <c r="AR61" s="381"/>
    </row>
    <row r="62" spans="1:44" x14ac:dyDescent="0.2">
      <c r="A62" s="418"/>
      <c r="B62" s="387"/>
      <c r="C62" s="387"/>
      <c r="D62" s="387"/>
      <c r="E62" s="387"/>
      <c r="F62" s="387"/>
      <c r="G62" s="360"/>
      <c r="H62" s="360"/>
      <c r="I62" s="222"/>
      <c r="J62" s="222"/>
      <c r="K62" s="222"/>
      <c r="L62" s="360"/>
      <c r="M62" s="360"/>
      <c r="N62" s="381"/>
      <c r="O62" s="367"/>
      <c r="P62" s="364"/>
      <c r="Q62" s="353"/>
      <c r="R62" s="364">
        <f>IF(NOT(ISERROR(MATCH(Q62,_xlfn.ANCHORARRAY(F73),0))),Q75&amp;"Por favor no seleccionar los criterios de impacto",Q62)</f>
        <v>0</v>
      </c>
      <c r="S62" s="367"/>
      <c r="T62" s="364"/>
      <c r="U62" s="362"/>
      <c r="V62" s="214">
        <v>2</v>
      </c>
      <c r="W62" s="187"/>
      <c r="X62" s="189" t="str">
        <f>IF(OR(Y62="Preventivo",Y62="Detectivo"),"Probabilidad",IF(Y62="Correctivo","Impacto",""))</f>
        <v/>
      </c>
      <c r="Y62" s="190"/>
      <c r="Z62" s="190"/>
      <c r="AA62" s="191" t="str">
        <f t="shared" ref="AA62:AA66" si="72">IF(AND(Y62="Preventivo",Z62="Automático"),"50%",IF(AND(Y62="Preventivo",Z62="Manual"),"40%",IF(AND(Y62="Detectivo",Z62="Automático"),"40%",IF(AND(Y62="Detectivo",Z62="Manual"),"30%",IF(AND(Y62="Correctivo",Z62="Automático"),"35%",IF(AND(Y62="Correctivo",Z62="Manual"),"25%",""))))))</f>
        <v/>
      </c>
      <c r="AB62" s="190"/>
      <c r="AC62" s="190"/>
      <c r="AD62" s="190"/>
      <c r="AE62" s="192" t="str">
        <f>IFERROR(IF(AND(X61="Probabilidad",X62="Probabilidad"),(AG61-(+AG61*AA62)),IF(X62="Probabilidad",(P61-(+P61*AA62)),IF(X62="Impacto",AG61,""))),"")</f>
        <v/>
      </c>
      <c r="AF62" s="193" t="str">
        <f t="shared" si="2"/>
        <v/>
      </c>
      <c r="AG62" s="191" t="str">
        <f t="shared" ref="AG62:AG66" si="73">+AE62</f>
        <v/>
      </c>
      <c r="AH62" s="193" t="str">
        <f t="shared" si="4"/>
        <v/>
      </c>
      <c r="AI62" s="191" t="str">
        <f t="shared" ref="AI62" si="74">IFERROR(IF(AND(X61="Impacto",X62="Impacto"),(AI61-(+AI61*AA62)),IF(X62="Impacto",($T$13-(+$T$13*AA62)),IF(X62="Probabilidad",AI61,""))),"")</f>
        <v/>
      </c>
      <c r="AJ62" s="194" t="str">
        <f t="shared" ref="AJ62:AJ63" si="75">IFERROR(IF(OR(AND(AF62="Muy Baja",AH62="Leve"),AND(AF62="Muy Baja",AH62="Menor"),AND(AF62="Baja",AH62="Leve")),"Bajo",IF(OR(AND(AF62="Muy baja",AH62="Moderado"),AND(AF62="Baja",AH62="Menor"),AND(AF62="Baja",AH62="Moderado"),AND(AF62="Media",AH62="Leve"),AND(AF62="Media",AH62="Menor"),AND(AF62="Media",AH62="Moderado"),AND(AF62="Alta",AH62="Leve"),AND(AF62="Alta",AH62="Menor")),"Moderado",IF(OR(AND(AF62="Muy Baja",AH62="Mayor"),AND(AF62="Baja",AH62="Mayor"),AND(AF62="Media",AH62="Mayor"),AND(AF62="Alta",AH62="Moderado"),AND(AF62="Alta",AH62="Mayor"),AND(AF62="Muy Alta",AH62="Leve"),AND(AF62="Muy Alta",AH62="Menor"),AND(AF62="Muy Alta",AH62="Moderado"),AND(AF62="Muy Alta",AH62="Mayor")),"Alto",IF(OR(AND(AF62="Muy Baja",AH62="Catastrófico"),AND(AF62="Baja",AH62="Catastrófico"),AND(AF62="Media",AH62="Catastrófico"),AND(AF62="Alta",AH62="Catastrófico"),AND(AF62="Muy Alta",AH62="Catastrófico")),"Extremo","")))),"")</f>
        <v/>
      </c>
      <c r="AK62" s="195"/>
      <c r="AL62" s="186"/>
      <c r="AM62" s="196"/>
      <c r="AN62" s="196"/>
      <c r="AO62" s="197"/>
      <c r="AP62" s="381"/>
      <c r="AQ62" s="381"/>
      <c r="AR62" s="381"/>
    </row>
    <row r="63" spans="1:44" x14ac:dyDescent="0.2">
      <c r="A63" s="418"/>
      <c r="B63" s="387"/>
      <c r="C63" s="387"/>
      <c r="D63" s="387"/>
      <c r="E63" s="387"/>
      <c r="F63" s="387"/>
      <c r="G63" s="360"/>
      <c r="H63" s="360"/>
      <c r="I63" s="222"/>
      <c r="J63" s="222"/>
      <c r="K63" s="222"/>
      <c r="L63" s="360"/>
      <c r="M63" s="360"/>
      <c r="N63" s="381"/>
      <c r="O63" s="367"/>
      <c r="P63" s="364"/>
      <c r="Q63" s="353"/>
      <c r="R63" s="364">
        <f>IF(NOT(ISERROR(MATCH(Q63,_xlfn.ANCHORARRAY(F74),0))),Q76&amp;"Por favor no seleccionar los criterios de impacto",Q63)</f>
        <v>0</v>
      </c>
      <c r="S63" s="367"/>
      <c r="T63" s="364"/>
      <c r="U63" s="362"/>
      <c r="V63" s="214">
        <v>3</v>
      </c>
      <c r="W63" s="187"/>
      <c r="X63" s="189" t="str">
        <f>IF(OR(Y63="Preventivo",Y63="Detectivo"),"Probabilidad",IF(Y63="Correctivo","Impacto",""))</f>
        <v/>
      </c>
      <c r="Y63" s="190"/>
      <c r="Z63" s="190"/>
      <c r="AA63" s="191" t="str">
        <f t="shared" si="72"/>
        <v/>
      </c>
      <c r="AB63" s="190"/>
      <c r="AC63" s="190"/>
      <c r="AD63" s="190"/>
      <c r="AE63" s="192" t="str">
        <f>IFERROR(IF(AND(X62="Probabilidad",X63="Probabilidad"),(AG62-(+AG62*AA63)),IF(AND(X62="Impacto",X63="Probabilidad"),(AG61-(+AG61*AA63)),IF(X63="Impacto",AG62,""))),"")</f>
        <v/>
      </c>
      <c r="AF63" s="193" t="str">
        <f t="shared" si="2"/>
        <v/>
      </c>
      <c r="AG63" s="191" t="str">
        <f t="shared" si="73"/>
        <v/>
      </c>
      <c r="AH63" s="193" t="str">
        <f t="shared" si="4"/>
        <v/>
      </c>
      <c r="AI63" s="191" t="str">
        <f t="shared" ref="AI63" si="76">IFERROR(IF(AND(X62="Impacto",X63="Impacto"),(AI62-(+AI62*AA63)),IF(AND(X62="Probabilidad",X63="Impacto"),(AI61-(+AI61*AA63)),IF(X63="Probabilidad",AI62,""))),"")</f>
        <v/>
      </c>
      <c r="AJ63" s="194" t="str">
        <f t="shared" si="75"/>
        <v/>
      </c>
      <c r="AK63" s="195"/>
      <c r="AL63" s="186"/>
      <c r="AM63" s="196"/>
      <c r="AN63" s="196"/>
      <c r="AO63" s="197"/>
      <c r="AP63" s="381"/>
      <c r="AQ63" s="381"/>
      <c r="AR63" s="381"/>
    </row>
    <row r="64" spans="1:44" x14ac:dyDescent="0.2">
      <c r="A64" s="418"/>
      <c r="B64" s="387"/>
      <c r="C64" s="387"/>
      <c r="D64" s="387"/>
      <c r="E64" s="387"/>
      <c r="F64" s="387"/>
      <c r="G64" s="360"/>
      <c r="H64" s="360"/>
      <c r="I64" s="222"/>
      <c r="J64" s="222"/>
      <c r="K64" s="222"/>
      <c r="L64" s="360"/>
      <c r="M64" s="360"/>
      <c r="N64" s="381"/>
      <c r="O64" s="367"/>
      <c r="P64" s="364"/>
      <c r="Q64" s="353"/>
      <c r="R64" s="364">
        <f>IF(NOT(ISERROR(MATCH(Q64,_xlfn.ANCHORARRAY(F75),0))),Q77&amp;"Por favor no seleccionar los criterios de impacto",Q64)</f>
        <v>0</v>
      </c>
      <c r="S64" s="367"/>
      <c r="T64" s="364"/>
      <c r="U64" s="362"/>
      <c r="V64" s="214">
        <v>4</v>
      </c>
      <c r="W64" s="187"/>
      <c r="X64" s="189" t="str">
        <f t="shared" ref="X64:X66" si="77">IF(OR(Y64="Preventivo",Y64="Detectivo"),"Probabilidad",IF(Y64="Correctivo","Impacto",""))</f>
        <v/>
      </c>
      <c r="Y64" s="190"/>
      <c r="Z64" s="190"/>
      <c r="AA64" s="191" t="str">
        <f t="shared" si="72"/>
        <v/>
      </c>
      <c r="AB64" s="190"/>
      <c r="AC64" s="190"/>
      <c r="AD64" s="190"/>
      <c r="AE64" s="192" t="str">
        <f t="shared" ref="AE64:AE66" si="78">IFERROR(IF(AND(X63="Probabilidad",X64="Probabilidad"),(AG63-(+AG63*AA64)),IF(AND(X63="Impacto",X64="Probabilidad"),(AG62-(+AG62*AA64)),IF(X64="Impacto",AG63,""))),"")</f>
        <v/>
      </c>
      <c r="AF64" s="193" t="str">
        <f t="shared" si="2"/>
        <v/>
      </c>
      <c r="AG64" s="191" t="str">
        <f t="shared" si="73"/>
        <v/>
      </c>
      <c r="AH64" s="193" t="str">
        <f t="shared" si="4"/>
        <v/>
      </c>
      <c r="AI64" s="191" t="str">
        <f t="shared" si="13"/>
        <v/>
      </c>
      <c r="AJ64" s="194" t="str">
        <f>IFERROR(IF(OR(AND(AF64="Muy Baja",AH64="Leve"),AND(AF64="Muy Baja",AH64="Menor"),AND(AF64="Baja",AH64="Leve")),"Bajo",IF(OR(AND(AF64="Muy baja",AH64="Moderado"),AND(AF64="Baja",AH64="Menor"),AND(AF64="Baja",AH64="Moderado"),AND(AF64="Media",AH64="Leve"),AND(AF64="Media",AH64="Menor"),AND(AF64="Media",AH64="Moderado"),AND(AF64="Alta",AH64="Leve"),AND(AF64="Alta",AH64="Menor")),"Moderado",IF(OR(AND(AF64="Muy Baja",AH64="Mayor"),AND(AF64="Baja",AH64="Mayor"),AND(AF64="Media",AH64="Mayor"),AND(AF64="Alta",AH64="Moderado"),AND(AF64="Alta",AH64="Mayor"),AND(AF64="Muy Alta",AH64="Leve"),AND(AF64="Muy Alta",AH64="Menor"),AND(AF64="Muy Alta",AH64="Moderado"),AND(AF64="Muy Alta",AH64="Mayor")),"Alto",IF(OR(AND(AF64="Muy Baja",AH64="Catastrófico"),AND(AF64="Baja",AH64="Catastrófico"),AND(AF64="Media",AH64="Catastrófico"),AND(AF64="Alta",AH64="Catastrófico"),AND(AF64="Muy Alta",AH64="Catastrófico")),"Extremo","")))),"")</f>
        <v/>
      </c>
      <c r="AK64" s="195"/>
      <c r="AL64" s="186"/>
      <c r="AM64" s="196"/>
      <c r="AN64" s="196"/>
      <c r="AO64" s="197"/>
      <c r="AP64" s="381"/>
      <c r="AQ64" s="381"/>
      <c r="AR64" s="381"/>
    </row>
    <row r="65" spans="1:44" x14ac:dyDescent="0.2">
      <c r="A65" s="418"/>
      <c r="B65" s="387"/>
      <c r="C65" s="387"/>
      <c r="D65" s="387"/>
      <c r="E65" s="387"/>
      <c r="F65" s="387"/>
      <c r="G65" s="360"/>
      <c r="H65" s="360"/>
      <c r="I65" s="222"/>
      <c r="J65" s="222"/>
      <c r="K65" s="222"/>
      <c r="L65" s="360"/>
      <c r="M65" s="360"/>
      <c r="N65" s="381"/>
      <c r="O65" s="367"/>
      <c r="P65" s="364"/>
      <c r="Q65" s="353"/>
      <c r="R65" s="364">
        <f>IF(NOT(ISERROR(MATCH(Q65,_xlfn.ANCHORARRAY(F76),0))),Q78&amp;"Por favor no seleccionar los criterios de impacto",Q65)</f>
        <v>0</v>
      </c>
      <c r="S65" s="367"/>
      <c r="T65" s="364"/>
      <c r="U65" s="362"/>
      <c r="V65" s="214">
        <v>5</v>
      </c>
      <c r="W65" s="187"/>
      <c r="X65" s="189" t="str">
        <f t="shared" si="77"/>
        <v/>
      </c>
      <c r="Y65" s="190"/>
      <c r="Z65" s="190"/>
      <c r="AA65" s="191" t="str">
        <f t="shared" si="72"/>
        <v/>
      </c>
      <c r="AB65" s="190"/>
      <c r="AC65" s="190"/>
      <c r="AD65" s="190"/>
      <c r="AE65" s="192" t="str">
        <f t="shared" si="78"/>
        <v/>
      </c>
      <c r="AF65" s="193" t="str">
        <f t="shared" si="2"/>
        <v/>
      </c>
      <c r="AG65" s="191" t="str">
        <f t="shared" si="73"/>
        <v/>
      </c>
      <c r="AH65" s="193" t="str">
        <f t="shared" si="4"/>
        <v/>
      </c>
      <c r="AI65" s="191" t="str">
        <f t="shared" si="13"/>
        <v/>
      </c>
      <c r="AJ65" s="194" t="str">
        <f t="shared" ref="AJ65:AJ66" si="79">IFERROR(IF(OR(AND(AF65="Muy Baja",AH65="Leve"),AND(AF65="Muy Baja",AH65="Menor"),AND(AF65="Baja",AH65="Leve")),"Bajo",IF(OR(AND(AF65="Muy baja",AH65="Moderado"),AND(AF65="Baja",AH65="Menor"),AND(AF65="Baja",AH65="Moderado"),AND(AF65="Media",AH65="Leve"),AND(AF65="Media",AH65="Menor"),AND(AF65="Media",AH65="Moderado"),AND(AF65="Alta",AH65="Leve"),AND(AF65="Alta",AH65="Menor")),"Moderado",IF(OR(AND(AF65="Muy Baja",AH65="Mayor"),AND(AF65="Baja",AH65="Mayor"),AND(AF65="Media",AH65="Mayor"),AND(AF65="Alta",AH65="Moderado"),AND(AF65="Alta",AH65="Mayor"),AND(AF65="Muy Alta",AH65="Leve"),AND(AF65="Muy Alta",AH65="Menor"),AND(AF65="Muy Alta",AH65="Moderado"),AND(AF65="Muy Alta",AH65="Mayor")),"Alto",IF(OR(AND(AF65="Muy Baja",AH65="Catastrófico"),AND(AF65="Baja",AH65="Catastrófico"),AND(AF65="Media",AH65="Catastrófico"),AND(AF65="Alta",AH65="Catastrófico"),AND(AF65="Muy Alta",AH65="Catastrófico")),"Extremo","")))),"")</f>
        <v/>
      </c>
      <c r="AK65" s="195"/>
      <c r="AL65" s="186"/>
      <c r="AM65" s="196"/>
      <c r="AN65" s="196"/>
      <c r="AO65" s="197"/>
      <c r="AP65" s="381"/>
      <c r="AQ65" s="381"/>
      <c r="AR65" s="381"/>
    </row>
    <row r="66" spans="1:44" x14ac:dyDescent="0.2">
      <c r="A66" s="418"/>
      <c r="B66" s="387"/>
      <c r="C66" s="387"/>
      <c r="D66" s="387"/>
      <c r="E66" s="387"/>
      <c r="F66" s="387"/>
      <c r="G66" s="373"/>
      <c r="H66" s="373"/>
      <c r="I66" s="223"/>
      <c r="J66" s="223"/>
      <c r="K66" s="223"/>
      <c r="L66" s="373"/>
      <c r="M66" s="373"/>
      <c r="N66" s="381"/>
      <c r="O66" s="367"/>
      <c r="P66" s="364"/>
      <c r="Q66" s="353"/>
      <c r="R66" s="364">
        <f>IF(NOT(ISERROR(MATCH(Q66,_xlfn.ANCHORARRAY(F77),0))),Q79&amp;"Por favor no seleccionar los criterios de impacto",Q66)</f>
        <v>0</v>
      </c>
      <c r="S66" s="367"/>
      <c r="T66" s="364"/>
      <c r="U66" s="362"/>
      <c r="V66" s="214">
        <v>6</v>
      </c>
      <c r="W66" s="187"/>
      <c r="X66" s="189" t="str">
        <f t="shared" si="77"/>
        <v/>
      </c>
      <c r="Y66" s="190"/>
      <c r="Z66" s="190"/>
      <c r="AA66" s="191" t="str">
        <f t="shared" si="72"/>
        <v/>
      </c>
      <c r="AB66" s="190"/>
      <c r="AC66" s="190"/>
      <c r="AD66" s="190"/>
      <c r="AE66" s="192" t="str">
        <f t="shared" si="78"/>
        <v/>
      </c>
      <c r="AF66" s="193" t="str">
        <f t="shared" si="2"/>
        <v/>
      </c>
      <c r="AG66" s="191" t="str">
        <f t="shared" si="73"/>
        <v/>
      </c>
      <c r="AH66" s="193" t="str">
        <f t="shared" si="4"/>
        <v/>
      </c>
      <c r="AI66" s="191" t="str">
        <f t="shared" si="13"/>
        <v/>
      </c>
      <c r="AJ66" s="194" t="str">
        <f t="shared" si="79"/>
        <v/>
      </c>
      <c r="AK66" s="195"/>
      <c r="AL66" s="186"/>
      <c r="AM66" s="196"/>
      <c r="AN66" s="196"/>
      <c r="AO66" s="197"/>
      <c r="AP66" s="381"/>
      <c r="AQ66" s="381"/>
      <c r="AR66" s="381"/>
    </row>
    <row r="67" spans="1:44" x14ac:dyDescent="0.2">
      <c r="A67" s="418">
        <v>10</v>
      </c>
      <c r="B67" s="387"/>
      <c r="C67" s="387"/>
      <c r="D67" s="387"/>
      <c r="E67" s="387"/>
      <c r="F67" s="387"/>
      <c r="G67" s="392"/>
      <c r="H67" s="392"/>
      <c r="I67" s="221"/>
      <c r="J67" s="221"/>
      <c r="K67" s="221"/>
      <c r="L67" s="392"/>
      <c r="M67" s="392"/>
      <c r="N67" s="381"/>
      <c r="O67" s="367" t="str">
        <f>IF(N67&lt;=0,"",IF(N67&lt;=2,"Muy Baja",IF(N67&lt;=24,"Baja",IF(N67&lt;=500,"Media",IF(N67&lt;=5000,"Alta","Muy Alta")))))</f>
        <v/>
      </c>
      <c r="P67" s="364" t="str">
        <f>IF(O67="","",IF(O67="Muy Baja",0.2,IF(O67="Baja",0.4,IF(O67="Media",0.6,IF(O67="Alta",0.8,IF(O67="Muy Alta",1,))))))</f>
        <v/>
      </c>
      <c r="Q67" s="353"/>
      <c r="R67" s="364">
        <f>IF(NOT(ISERROR(MATCH(Q67,'Tabla Impacto'!$B$222:$B$224,0))),'Tabla Impacto'!$F$224&amp;"Por favor no seleccionar los criterios de impacto(Afectación Económica o presupuestal y Pérdida Reputacional)",Q67)</f>
        <v>0</v>
      </c>
      <c r="S67" s="367" t="str">
        <f>IF(OR(R67='Tabla Impacto'!$C$12,R67='Tabla Impacto'!$D$12),"Leve",IF(OR(R67='Tabla Impacto'!$C$13,R67='Tabla Impacto'!$D$13),"Menor",IF(OR(R67='Tabla Impacto'!$C$14,R67='Tabla Impacto'!$D$14),"Moderado",IF(OR(R67='Tabla Impacto'!$C$15,R67='Tabla Impacto'!$D$15),"Mayor",IF(OR(R67='Tabla Impacto'!$C$16,R67='Tabla Impacto'!$D$16),"Catastrófico","")))))</f>
        <v/>
      </c>
      <c r="T67" s="364" t="str">
        <f>IF(S67="","",IF(S67="Leve",0.2,IF(S67="Menor",0.4,IF(S67="Moderado",0.6,IF(S67="Mayor",0.8,IF(S67="Catastrófico",1,))))))</f>
        <v/>
      </c>
      <c r="U67" s="362" t="str">
        <f>IF(OR(AND(O67="Muy Baja",S67="Leve"),AND(O67="Muy Baja",S67="Menor"),AND(O67="Baja",S67="Leve")),"Bajo",IF(OR(AND(O67="Muy baja",S67="Moderado"),AND(O67="Baja",S67="Menor"),AND(O67="Baja",S67="Moderado"),AND(O67="Media",S67="Leve"),AND(O67="Media",S67="Menor"),AND(O67="Media",S67="Moderado"),AND(O67="Alta",S67="Leve"),AND(O67="Alta",S67="Menor")),"Moderado",IF(OR(AND(O67="Muy Baja",S67="Mayor"),AND(O67="Baja",S67="Mayor"),AND(O67="Media",S67="Mayor"),AND(O67="Alta",S67="Moderado"),AND(O67="Alta",S67="Mayor"),AND(O67="Muy Alta",S67="Leve"),AND(O67="Muy Alta",S67="Menor"),AND(O67="Muy Alta",S67="Moderado"),AND(O67="Muy Alta",S67="Mayor")),"Alto",IF(OR(AND(O67="Muy Baja",S67="Catastrófico"),AND(O67="Baja",S67="Catastrófico"),AND(O67="Media",S67="Catastrófico"),AND(O67="Alta",S67="Catastrófico"),AND(O67="Muy Alta",S67="Catastrófico")),"Extremo",""))))</f>
        <v/>
      </c>
      <c r="V67" s="214">
        <v>1</v>
      </c>
      <c r="W67" s="187"/>
      <c r="X67" s="189" t="str">
        <f>IF(OR(Y67="Preventivo",Y67="Detectivo"),"Probabilidad",IF(Y67="Correctivo","Impacto",""))</f>
        <v/>
      </c>
      <c r="Y67" s="190"/>
      <c r="Z67" s="190"/>
      <c r="AA67" s="191" t="str">
        <f>IF(AND(Y67="Preventivo",Z67="Automático"),"50%",IF(AND(Y67="Preventivo",Z67="Manual"),"40%",IF(AND(Y67="Detectivo",Z67="Automático"),"40%",IF(AND(Y67="Detectivo",Z67="Manual"),"30%",IF(AND(Y67="Correctivo",Z67="Automático"),"35%",IF(AND(Y67="Correctivo",Z67="Manual"),"25%",""))))))</f>
        <v/>
      </c>
      <c r="AB67" s="190"/>
      <c r="AC67" s="190"/>
      <c r="AD67" s="190"/>
      <c r="AE67" s="192" t="str">
        <f>IFERROR(IF(X67="Probabilidad",(P67-(+P67*AA67)),IF(X67="Impacto",P67,"")),"")</f>
        <v/>
      </c>
      <c r="AF67" s="193" t="str">
        <f>IFERROR(IF(AE67="","",IF(AE67&lt;=0.2,"Muy Baja",IF(AE67&lt;=0.4,"Baja",IF(AE67&lt;=0.6,"Media",IF(AE67&lt;=0.8,"Alta","Muy Alta"))))),"")</f>
        <v/>
      </c>
      <c r="AG67" s="191" t="str">
        <f>+AE67</f>
        <v/>
      </c>
      <c r="AH67" s="193" t="str">
        <f>IFERROR(IF(AI67="","",IF(AI67&lt;=0.2,"Leve",IF(AI67&lt;=0.4,"Menor",IF(AI67&lt;=0.6,"Moderado",IF(AI67&lt;=0.8,"Mayor","Catastrófico"))))),"")</f>
        <v/>
      </c>
      <c r="AI67" s="191" t="str">
        <f t="shared" ref="AI67" si="80">IFERROR(IF(X67="Impacto",(T67-(+T67*AA67)),IF(X67="Probabilidad",T67,"")),"")</f>
        <v/>
      </c>
      <c r="AJ67" s="194" t="str">
        <f>IFERROR(IF(OR(AND(AF67="Muy Baja",AH67="Leve"),AND(AF67="Muy Baja",AH67="Menor"),AND(AF67="Baja",AH67="Leve")),"Bajo",IF(OR(AND(AF67="Muy baja",AH67="Moderado"),AND(AF67="Baja",AH67="Menor"),AND(AF67="Baja",AH67="Moderado"),AND(AF67="Media",AH67="Leve"),AND(AF67="Media",AH67="Menor"),AND(AF67="Media",AH67="Moderado"),AND(AF67="Alta",AH67="Leve"),AND(AF67="Alta",AH67="Menor")),"Moderado",IF(OR(AND(AF67="Muy Baja",AH67="Mayor"),AND(AF67="Baja",AH67="Mayor"),AND(AF67="Media",AH67="Mayor"),AND(AF67="Alta",AH67="Moderado"),AND(AF67="Alta",AH67="Mayor"),AND(AF67="Muy Alta",AH67="Leve"),AND(AF67="Muy Alta",AH67="Menor"),AND(AF67="Muy Alta",AH67="Moderado"),AND(AF67="Muy Alta",AH67="Mayor")),"Alto",IF(OR(AND(AF67="Muy Baja",AH67="Catastrófico"),AND(AF67="Baja",AH67="Catastrófico"),AND(AF67="Media",AH67="Catastrófico"),AND(AF67="Alta",AH67="Catastrófico"),AND(AF67="Muy Alta",AH67="Catastrófico")),"Extremo","")))),"")</f>
        <v/>
      </c>
      <c r="AK67" s="195"/>
      <c r="AL67" s="186"/>
      <c r="AM67" s="196"/>
      <c r="AN67" s="196"/>
      <c r="AO67" s="197"/>
      <c r="AP67" s="381"/>
      <c r="AQ67" s="381"/>
      <c r="AR67" s="381"/>
    </row>
    <row r="68" spans="1:44" x14ac:dyDescent="0.2">
      <c r="A68" s="418"/>
      <c r="B68" s="387"/>
      <c r="C68" s="387"/>
      <c r="D68" s="387"/>
      <c r="E68" s="387"/>
      <c r="F68" s="387"/>
      <c r="G68" s="360"/>
      <c r="H68" s="360"/>
      <c r="I68" s="222"/>
      <c r="J68" s="222"/>
      <c r="K68" s="222"/>
      <c r="L68" s="360"/>
      <c r="M68" s="360"/>
      <c r="N68" s="381"/>
      <c r="O68" s="367"/>
      <c r="P68" s="364"/>
      <c r="Q68" s="353"/>
      <c r="R68" s="364">
        <f>IF(NOT(ISERROR(MATCH(Q68,_xlfn.ANCHORARRAY(F79),0))),Q81&amp;"Por favor no seleccionar los criterios de impacto",Q68)</f>
        <v>0</v>
      </c>
      <c r="S68" s="367"/>
      <c r="T68" s="364"/>
      <c r="U68" s="362"/>
      <c r="V68" s="214">
        <v>2</v>
      </c>
      <c r="W68" s="187"/>
      <c r="X68" s="189" t="str">
        <f>IF(OR(Y68="Preventivo",Y68="Detectivo"),"Probabilidad",IF(Y68="Correctivo","Impacto",""))</f>
        <v/>
      </c>
      <c r="Y68" s="190"/>
      <c r="Z68" s="190"/>
      <c r="AA68" s="191" t="str">
        <f t="shared" ref="AA68:AA72" si="81">IF(AND(Y68="Preventivo",Z68="Automático"),"50%",IF(AND(Y68="Preventivo",Z68="Manual"),"40%",IF(AND(Y68="Detectivo",Z68="Automático"),"40%",IF(AND(Y68="Detectivo",Z68="Manual"),"30%",IF(AND(Y68="Correctivo",Z68="Automático"),"35%",IF(AND(Y68="Correctivo",Z68="Manual"),"25%",""))))))</f>
        <v/>
      </c>
      <c r="AB68" s="190"/>
      <c r="AC68" s="190"/>
      <c r="AD68" s="190"/>
      <c r="AE68" s="192" t="str">
        <f>IFERROR(IF(AND(X67="Probabilidad",X68="Probabilidad"),(AG67-(+AG67*AA68)),IF(X68="Probabilidad",(P67-(+P67*AA68)),IF(X68="Impacto",AG67,""))),"")</f>
        <v/>
      </c>
      <c r="AF68" s="193" t="str">
        <f t="shared" si="2"/>
        <v/>
      </c>
      <c r="AG68" s="191" t="str">
        <f t="shared" ref="AG68:AG72" si="82">+AE68</f>
        <v/>
      </c>
      <c r="AH68" s="193" t="str">
        <f t="shared" si="4"/>
        <v/>
      </c>
      <c r="AI68" s="191" t="str">
        <f t="shared" ref="AI68" si="83">IFERROR(IF(AND(X67="Impacto",X68="Impacto"),(AI67-(+AI67*AA68)),IF(X68="Impacto",($T$13-(+$T$13*AA68)),IF(X68="Probabilidad",AI67,""))),"")</f>
        <v/>
      </c>
      <c r="AJ68" s="194" t="str">
        <f t="shared" ref="AJ68:AJ69" si="84">IFERROR(IF(OR(AND(AF68="Muy Baja",AH68="Leve"),AND(AF68="Muy Baja",AH68="Menor"),AND(AF68="Baja",AH68="Leve")),"Bajo",IF(OR(AND(AF68="Muy baja",AH68="Moderado"),AND(AF68="Baja",AH68="Menor"),AND(AF68="Baja",AH68="Moderado"),AND(AF68="Media",AH68="Leve"),AND(AF68="Media",AH68="Menor"),AND(AF68="Media",AH68="Moderado"),AND(AF68="Alta",AH68="Leve"),AND(AF68="Alta",AH68="Menor")),"Moderado",IF(OR(AND(AF68="Muy Baja",AH68="Mayor"),AND(AF68="Baja",AH68="Mayor"),AND(AF68="Media",AH68="Mayor"),AND(AF68="Alta",AH68="Moderado"),AND(AF68="Alta",AH68="Mayor"),AND(AF68="Muy Alta",AH68="Leve"),AND(AF68="Muy Alta",AH68="Menor"),AND(AF68="Muy Alta",AH68="Moderado"),AND(AF68="Muy Alta",AH68="Mayor")),"Alto",IF(OR(AND(AF68="Muy Baja",AH68="Catastrófico"),AND(AF68="Baja",AH68="Catastrófico"),AND(AF68="Media",AH68="Catastrófico"),AND(AF68="Alta",AH68="Catastrófico"),AND(AF68="Muy Alta",AH68="Catastrófico")),"Extremo","")))),"")</f>
        <v/>
      </c>
      <c r="AK68" s="195"/>
      <c r="AL68" s="186"/>
      <c r="AM68" s="196"/>
      <c r="AN68" s="196"/>
      <c r="AO68" s="197"/>
      <c r="AP68" s="381"/>
      <c r="AQ68" s="381"/>
      <c r="AR68" s="381"/>
    </row>
    <row r="69" spans="1:44" x14ac:dyDescent="0.2">
      <c r="A69" s="418"/>
      <c r="B69" s="387"/>
      <c r="C69" s="387"/>
      <c r="D69" s="387"/>
      <c r="E69" s="387"/>
      <c r="F69" s="387"/>
      <c r="G69" s="360"/>
      <c r="H69" s="360"/>
      <c r="I69" s="222"/>
      <c r="J69" s="222"/>
      <c r="K69" s="222"/>
      <c r="L69" s="360"/>
      <c r="M69" s="360"/>
      <c r="N69" s="381"/>
      <c r="O69" s="367"/>
      <c r="P69" s="364"/>
      <c r="Q69" s="353"/>
      <c r="R69" s="364">
        <f>IF(NOT(ISERROR(MATCH(Q69,_xlfn.ANCHORARRAY(F80),0))),Q82&amp;"Por favor no seleccionar los criterios de impacto",Q69)</f>
        <v>0</v>
      </c>
      <c r="S69" s="367"/>
      <c r="T69" s="364"/>
      <c r="U69" s="362"/>
      <c r="V69" s="214">
        <v>3</v>
      </c>
      <c r="W69" s="187"/>
      <c r="X69" s="189" t="str">
        <f>IF(OR(Y69="Preventivo",Y69="Detectivo"),"Probabilidad",IF(Y69="Correctivo","Impacto",""))</f>
        <v/>
      </c>
      <c r="Y69" s="190"/>
      <c r="Z69" s="190"/>
      <c r="AA69" s="191" t="str">
        <f t="shared" si="81"/>
        <v/>
      </c>
      <c r="AB69" s="190"/>
      <c r="AC69" s="190"/>
      <c r="AD69" s="190"/>
      <c r="AE69" s="192" t="str">
        <f>IFERROR(IF(AND(X68="Probabilidad",X69="Probabilidad"),(AG68-(+AG68*AA69)),IF(AND(X68="Impacto",X69="Probabilidad"),(AG67-(+AG67*AA69)),IF(X69="Impacto",AG68,""))),"")</f>
        <v/>
      </c>
      <c r="AF69" s="193" t="str">
        <f t="shared" si="2"/>
        <v/>
      </c>
      <c r="AG69" s="191" t="str">
        <f t="shared" si="82"/>
        <v/>
      </c>
      <c r="AH69" s="193" t="str">
        <f t="shared" si="4"/>
        <v/>
      </c>
      <c r="AI69" s="191" t="str">
        <f t="shared" ref="AI69" si="85">IFERROR(IF(AND(X68="Impacto",X69="Impacto"),(AI68-(+AI68*AA69)),IF(AND(X68="Probabilidad",X69="Impacto"),(AI67-(+AI67*AA69)),IF(X69="Probabilidad",AI68,""))),"")</f>
        <v/>
      </c>
      <c r="AJ69" s="194" t="str">
        <f t="shared" si="84"/>
        <v/>
      </c>
      <c r="AK69" s="195"/>
      <c r="AL69" s="186"/>
      <c r="AM69" s="196"/>
      <c r="AN69" s="196"/>
      <c r="AO69" s="197"/>
      <c r="AP69" s="381"/>
      <c r="AQ69" s="381"/>
      <c r="AR69" s="381"/>
    </row>
    <row r="70" spans="1:44" x14ac:dyDescent="0.2">
      <c r="A70" s="418"/>
      <c r="B70" s="387"/>
      <c r="C70" s="387"/>
      <c r="D70" s="387"/>
      <c r="E70" s="387"/>
      <c r="F70" s="387"/>
      <c r="G70" s="360"/>
      <c r="H70" s="360"/>
      <c r="I70" s="222"/>
      <c r="J70" s="222"/>
      <c r="K70" s="222"/>
      <c r="L70" s="360"/>
      <c r="M70" s="360"/>
      <c r="N70" s="381"/>
      <c r="O70" s="367"/>
      <c r="P70" s="364"/>
      <c r="Q70" s="353"/>
      <c r="R70" s="364">
        <f>IF(NOT(ISERROR(MATCH(Q70,_xlfn.ANCHORARRAY(F81),0))),Q83&amp;"Por favor no seleccionar los criterios de impacto",Q70)</f>
        <v>0</v>
      </c>
      <c r="S70" s="367"/>
      <c r="T70" s="364"/>
      <c r="U70" s="362"/>
      <c r="V70" s="214">
        <v>4</v>
      </c>
      <c r="W70" s="187"/>
      <c r="X70" s="189" t="str">
        <f t="shared" ref="X70:X72" si="86">IF(OR(Y70="Preventivo",Y70="Detectivo"),"Probabilidad",IF(Y70="Correctivo","Impacto",""))</f>
        <v/>
      </c>
      <c r="Y70" s="190"/>
      <c r="Z70" s="190"/>
      <c r="AA70" s="191" t="str">
        <f t="shared" si="81"/>
        <v/>
      </c>
      <c r="AB70" s="190"/>
      <c r="AC70" s="190"/>
      <c r="AD70" s="190"/>
      <c r="AE70" s="192" t="str">
        <f t="shared" ref="AE70:AE72" si="87">IFERROR(IF(AND(X69="Probabilidad",X70="Probabilidad"),(AG69-(+AG69*AA70)),IF(AND(X69="Impacto",X70="Probabilidad"),(AG68-(+AG68*AA70)),IF(X70="Impacto",AG69,""))),"")</f>
        <v/>
      </c>
      <c r="AF70" s="193" t="str">
        <f t="shared" si="2"/>
        <v/>
      </c>
      <c r="AG70" s="191" t="str">
        <f t="shared" si="82"/>
        <v/>
      </c>
      <c r="AH70" s="193" t="str">
        <f t="shared" si="4"/>
        <v/>
      </c>
      <c r="AI70" s="191" t="str">
        <f t="shared" si="13"/>
        <v/>
      </c>
      <c r="AJ70" s="194" t="str">
        <f>IFERROR(IF(OR(AND(AF70="Muy Baja",AH70="Leve"),AND(AF70="Muy Baja",AH70="Menor"),AND(AF70="Baja",AH70="Leve")),"Bajo",IF(OR(AND(AF70="Muy baja",AH70="Moderado"),AND(AF70="Baja",AH70="Menor"),AND(AF70="Baja",AH70="Moderado"),AND(AF70="Media",AH70="Leve"),AND(AF70="Media",AH70="Menor"),AND(AF70="Media",AH70="Moderado"),AND(AF70="Alta",AH70="Leve"),AND(AF70="Alta",AH70="Menor")),"Moderado",IF(OR(AND(AF70="Muy Baja",AH70="Mayor"),AND(AF70="Baja",AH70="Mayor"),AND(AF70="Media",AH70="Mayor"),AND(AF70="Alta",AH70="Moderado"),AND(AF70="Alta",AH70="Mayor"),AND(AF70="Muy Alta",AH70="Leve"),AND(AF70="Muy Alta",AH70="Menor"),AND(AF70="Muy Alta",AH70="Moderado"),AND(AF70="Muy Alta",AH70="Mayor")),"Alto",IF(OR(AND(AF70="Muy Baja",AH70="Catastrófico"),AND(AF70="Baja",AH70="Catastrófico"),AND(AF70="Media",AH70="Catastrófico"),AND(AF70="Alta",AH70="Catastrófico"),AND(AF70="Muy Alta",AH70="Catastrófico")),"Extremo","")))),"")</f>
        <v/>
      </c>
      <c r="AK70" s="195"/>
      <c r="AL70" s="186"/>
      <c r="AM70" s="196"/>
      <c r="AN70" s="196"/>
      <c r="AO70" s="197"/>
      <c r="AP70" s="381"/>
      <c r="AQ70" s="381"/>
      <c r="AR70" s="381"/>
    </row>
    <row r="71" spans="1:44" x14ac:dyDescent="0.2">
      <c r="A71" s="418"/>
      <c r="B71" s="387"/>
      <c r="C71" s="387"/>
      <c r="D71" s="387"/>
      <c r="E71" s="387"/>
      <c r="F71" s="387"/>
      <c r="G71" s="360"/>
      <c r="H71" s="360"/>
      <c r="I71" s="222"/>
      <c r="J71" s="222"/>
      <c r="K71" s="222"/>
      <c r="L71" s="360"/>
      <c r="M71" s="360"/>
      <c r="N71" s="381"/>
      <c r="O71" s="367"/>
      <c r="P71" s="364"/>
      <c r="Q71" s="353"/>
      <c r="R71" s="364">
        <f>IF(NOT(ISERROR(MATCH(Q71,_xlfn.ANCHORARRAY(F82),0))),Q84&amp;"Por favor no seleccionar los criterios de impacto",Q71)</f>
        <v>0</v>
      </c>
      <c r="S71" s="367"/>
      <c r="T71" s="364"/>
      <c r="U71" s="362"/>
      <c r="V71" s="214">
        <v>5</v>
      </c>
      <c r="W71" s="187"/>
      <c r="X71" s="189" t="str">
        <f t="shared" si="86"/>
        <v/>
      </c>
      <c r="Y71" s="190"/>
      <c r="Z71" s="190"/>
      <c r="AA71" s="191" t="str">
        <f t="shared" si="81"/>
        <v/>
      </c>
      <c r="AB71" s="190"/>
      <c r="AC71" s="190"/>
      <c r="AD71" s="190"/>
      <c r="AE71" s="192" t="str">
        <f t="shared" si="87"/>
        <v/>
      </c>
      <c r="AF71" s="193" t="str">
        <f t="shared" si="2"/>
        <v/>
      </c>
      <c r="AG71" s="191" t="str">
        <f t="shared" si="82"/>
        <v/>
      </c>
      <c r="AH71" s="193" t="str">
        <f t="shared" si="4"/>
        <v/>
      </c>
      <c r="AI71" s="191" t="str">
        <f t="shared" si="13"/>
        <v/>
      </c>
      <c r="AJ71" s="194" t="str">
        <f t="shared" ref="AJ71:AJ72" si="88">IFERROR(IF(OR(AND(AF71="Muy Baja",AH71="Leve"),AND(AF71="Muy Baja",AH71="Menor"),AND(AF71="Baja",AH71="Leve")),"Bajo",IF(OR(AND(AF71="Muy baja",AH71="Moderado"),AND(AF71="Baja",AH71="Menor"),AND(AF71="Baja",AH71="Moderado"),AND(AF71="Media",AH71="Leve"),AND(AF71="Media",AH71="Menor"),AND(AF71="Media",AH71="Moderado"),AND(AF71="Alta",AH71="Leve"),AND(AF71="Alta",AH71="Menor")),"Moderado",IF(OR(AND(AF71="Muy Baja",AH71="Mayor"),AND(AF71="Baja",AH71="Mayor"),AND(AF71="Media",AH71="Mayor"),AND(AF71="Alta",AH71="Moderado"),AND(AF71="Alta",AH71="Mayor"),AND(AF71="Muy Alta",AH71="Leve"),AND(AF71="Muy Alta",AH71="Menor"),AND(AF71="Muy Alta",AH71="Moderado"),AND(AF71="Muy Alta",AH71="Mayor")),"Alto",IF(OR(AND(AF71="Muy Baja",AH71="Catastrófico"),AND(AF71="Baja",AH71="Catastrófico"),AND(AF71="Media",AH71="Catastrófico"),AND(AF71="Alta",AH71="Catastrófico"),AND(AF71="Muy Alta",AH71="Catastrófico")),"Extremo","")))),"")</f>
        <v/>
      </c>
      <c r="AK71" s="195"/>
      <c r="AL71" s="186"/>
      <c r="AM71" s="196"/>
      <c r="AN71" s="196"/>
      <c r="AO71" s="197"/>
      <c r="AP71" s="381"/>
      <c r="AQ71" s="381"/>
      <c r="AR71" s="381"/>
    </row>
    <row r="72" spans="1:44" x14ac:dyDescent="0.2">
      <c r="A72" s="418"/>
      <c r="B72" s="387"/>
      <c r="C72" s="387"/>
      <c r="D72" s="387"/>
      <c r="E72" s="387"/>
      <c r="F72" s="387"/>
      <c r="G72" s="373"/>
      <c r="H72" s="373"/>
      <c r="I72" s="223"/>
      <c r="J72" s="223"/>
      <c r="K72" s="223"/>
      <c r="L72" s="373"/>
      <c r="M72" s="373"/>
      <c r="N72" s="381"/>
      <c r="O72" s="367"/>
      <c r="P72" s="364"/>
      <c r="Q72" s="353"/>
      <c r="R72" s="364">
        <f>IF(NOT(ISERROR(MATCH(Q72,_xlfn.ANCHORARRAY(F83),0))),Q85&amp;"Por favor no seleccionar los criterios de impacto",Q72)</f>
        <v>0</v>
      </c>
      <c r="S72" s="367"/>
      <c r="T72" s="364"/>
      <c r="U72" s="362"/>
      <c r="V72" s="214">
        <v>6</v>
      </c>
      <c r="W72" s="187"/>
      <c r="X72" s="189" t="str">
        <f t="shared" si="86"/>
        <v/>
      </c>
      <c r="Y72" s="190"/>
      <c r="Z72" s="190"/>
      <c r="AA72" s="191" t="str">
        <f t="shared" si="81"/>
        <v/>
      </c>
      <c r="AB72" s="190"/>
      <c r="AC72" s="190"/>
      <c r="AD72" s="190"/>
      <c r="AE72" s="192" t="str">
        <f t="shared" si="87"/>
        <v/>
      </c>
      <c r="AF72" s="193" t="str">
        <f t="shared" si="2"/>
        <v/>
      </c>
      <c r="AG72" s="191" t="str">
        <f t="shared" si="82"/>
        <v/>
      </c>
      <c r="AH72" s="193" t="str">
        <f t="shared" si="4"/>
        <v/>
      </c>
      <c r="AI72" s="191" t="str">
        <f t="shared" si="13"/>
        <v/>
      </c>
      <c r="AJ72" s="194" t="str">
        <f t="shared" si="88"/>
        <v/>
      </c>
      <c r="AK72" s="195"/>
      <c r="AL72" s="186"/>
      <c r="AM72" s="196"/>
      <c r="AN72" s="196"/>
      <c r="AO72" s="197"/>
      <c r="AP72" s="381"/>
      <c r="AQ72" s="381"/>
      <c r="AR72" s="381"/>
    </row>
    <row r="73" spans="1:44" ht="49.5" customHeight="1" x14ac:dyDescent="0.2">
      <c r="A73" s="216"/>
      <c r="B73" s="422" t="s">
        <v>261</v>
      </c>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row>
    <row r="75" spans="1:44" ht="15.75" x14ac:dyDescent="0.2">
      <c r="A75" s="198"/>
      <c r="B75" s="206" t="s">
        <v>262</v>
      </c>
      <c r="C75" s="198"/>
      <c r="D75" s="198"/>
      <c r="E75" s="198"/>
      <c r="N75" s="198"/>
    </row>
  </sheetData>
  <dataConsolidate/>
  <mergeCells count="299">
    <mergeCell ref="A6:B6"/>
    <mergeCell ref="W6:Y6"/>
    <mergeCell ref="Z6:AR6"/>
    <mergeCell ref="A7:B7"/>
    <mergeCell ref="Z7:AR7"/>
    <mergeCell ref="A1:C4"/>
    <mergeCell ref="X1:AR2"/>
    <mergeCell ref="X3:AL3"/>
    <mergeCell ref="AM3:AR3"/>
    <mergeCell ref="X4:AR4"/>
    <mergeCell ref="D3:I3"/>
    <mergeCell ref="D1:T2"/>
    <mergeCell ref="J3:T3"/>
    <mergeCell ref="D4:T4"/>
    <mergeCell ref="C6:T6"/>
    <mergeCell ref="C7:T7"/>
    <mergeCell ref="A8:B8"/>
    <mergeCell ref="Z8:AR8"/>
    <mergeCell ref="A10:F10"/>
    <mergeCell ref="G10:K10"/>
    <mergeCell ref="P10:V10"/>
    <mergeCell ref="W10:AE10"/>
    <mergeCell ref="AF10:AJ10"/>
    <mergeCell ref="AK10:AO10"/>
    <mergeCell ref="AP10:AR10"/>
    <mergeCell ref="C8:T8"/>
    <mergeCell ref="A11:A12"/>
    <mergeCell ref="B11:B12"/>
    <mergeCell ref="C11:C12"/>
    <mergeCell ref="D11:D12"/>
    <mergeCell ref="E11:E12"/>
    <mergeCell ref="F11:F12"/>
    <mergeCell ref="G11:G12"/>
    <mergeCell ref="H11:H12"/>
    <mergeCell ref="I11:I12"/>
    <mergeCell ref="U13:U18"/>
    <mergeCell ref="AP13:AP18"/>
    <mergeCell ref="AQ13:AQ18"/>
    <mergeCell ref="AR11:AR12"/>
    <mergeCell ref="A13:A18"/>
    <mergeCell ref="B13:B18"/>
    <mergeCell ref="C13:C18"/>
    <mergeCell ref="D13:D18"/>
    <mergeCell ref="E13:E18"/>
    <mergeCell ref="F13:F18"/>
    <mergeCell ref="AI11:AI12"/>
    <mergeCell ref="AJ11:AJ12"/>
    <mergeCell ref="AK11:AK12"/>
    <mergeCell ref="AL11:AL12"/>
    <mergeCell ref="AM11:AM12"/>
    <mergeCell ref="AN11:AN12"/>
    <mergeCell ref="X11:X12"/>
    <mergeCell ref="Y11:AD11"/>
    <mergeCell ref="AE11:AE12"/>
    <mergeCell ref="AF11:AF12"/>
    <mergeCell ref="AG11:AG12"/>
    <mergeCell ref="AH11:AH12"/>
    <mergeCell ref="R11:R12"/>
    <mergeCell ref="S11:S12"/>
    <mergeCell ref="AO11:AO12"/>
    <mergeCell ref="AP11:AP12"/>
    <mergeCell ref="AQ11:AQ12"/>
    <mergeCell ref="W11:W12"/>
    <mergeCell ref="J11:J12"/>
    <mergeCell ref="K11:K12"/>
    <mergeCell ref="N11:N12"/>
    <mergeCell ref="O11:O12"/>
    <mergeCell ref="P11:P12"/>
    <mergeCell ref="Q11:Q12"/>
    <mergeCell ref="T11:T12"/>
    <mergeCell ref="U11:U12"/>
    <mergeCell ref="V11:V12"/>
    <mergeCell ref="AR13:AR18"/>
    <mergeCell ref="M13:M18"/>
    <mergeCell ref="N13:N18"/>
    <mergeCell ref="O13:O18"/>
    <mergeCell ref="P13:P18"/>
    <mergeCell ref="Q13:Q18"/>
    <mergeCell ref="R13:R18"/>
    <mergeCell ref="G19:G24"/>
    <mergeCell ref="H19:H24"/>
    <mergeCell ref="I19:I24"/>
    <mergeCell ref="J19:J24"/>
    <mergeCell ref="K19:K24"/>
    <mergeCell ref="L19:L24"/>
    <mergeCell ref="AP19:AP24"/>
    <mergeCell ref="AQ19:AQ24"/>
    <mergeCell ref="AR19:AR24"/>
    <mergeCell ref="G13:G18"/>
    <mergeCell ref="H13:H18"/>
    <mergeCell ref="I13:I18"/>
    <mergeCell ref="J13:J18"/>
    <mergeCell ref="K13:K18"/>
    <mergeCell ref="L13:L18"/>
    <mergeCell ref="S13:S18"/>
    <mergeCell ref="T13:T18"/>
    <mergeCell ref="A19:A24"/>
    <mergeCell ref="B19:B24"/>
    <mergeCell ref="C19:C24"/>
    <mergeCell ref="D19:D24"/>
    <mergeCell ref="E19:E24"/>
    <mergeCell ref="F19:F24"/>
    <mergeCell ref="S19:S24"/>
    <mergeCell ref="T19:T24"/>
    <mergeCell ref="U19:U24"/>
    <mergeCell ref="M19:M24"/>
    <mergeCell ref="N19:N24"/>
    <mergeCell ref="O19:O24"/>
    <mergeCell ref="P19:P24"/>
    <mergeCell ref="Q19:Q24"/>
    <mergeCell ref="R19:R24"/>
    <mergeCell ref="G25:G30"/>
    <mergeCell ref="H25:H30"/>
    <mergeCell ref="I25:I30"/>
    <mergeCell ref="J25:J30"/>
    <mergeCell ref="K25:K30"/>
    <mergeCell ref="L25:L30"/>
    <mergeCell ref="A25:A30"/>
    <mergeCell ref="B25:B30"/>
    <mergeCell ref="C25:C30"/>
    <mergeCell ref="D25:D30"/>
    <mergeCell ref="E25:E30"/>
    <mergeCell ref="F25:F30"/>
    <mergeCell ref="S25:S30"/>
    <mergeCell ref="T25:T30"/>
    <mergeCell ref="U25:U30"/>
    <mergeCell ref="AP25:AP30"/>
    <mergeCell ref="AQ25:AQ30"/>
    <mergeCell ref="AR25:AR30"/>
    <mergeCell ref="M25:M30"/>
    <mergeCell ref="N25:N30"/>
    <mergeCell ref="O25:O30"/>
    <mergeCell ref="P25:P30"/>
    <mergeCell ref="Q25:Q30"/>
    <mergeCell ref="R25:R30"/>
    <mergeCell ref="G31:G36"/>
    <mergeCell ref="H31:H36"/>
    <mergeCell ref="I31:I36"/>
    <mergeCell ref="J31:J36"/>
    <mergeCell ref="K31:K36"/>
    <mergeCell ref="L31:L36"/>
    <mergeCell ref="A31:A36"/>
    <mergeCell ref="B31:B36"/>
    <mergeCell ref="C31:C36"/>
    <mergeCell ref="D31:D36"/>
    <mergeCell ref="E31:E36"/>
    <mergeCell ref="F31:F36"/>
    <mergeCell ref="S31:S36"/>
    <mergeCell ref="T31:T36"/>
    <mergeCell ref="U31:U36"/>
    <mergeCell ref="AP31:AP36"/>
    <mergeCell ref="AQ31:AQ36"/>
    <mergeCell ref="AR31:AR36"/>
    <mergeCell ref="M31:M36"/>
    <mergeCell ref="N31:N36"/>
    <mergeCell ref="O31:O36"/>
    <mergeCell ref="P31:P36"/>
    <mergeCell ref="Q31:Q36"/>
    <mergeCell ref="R31:R36"/>
    <mergeCell ref="G37:G42"/>
    <mergeCell ref="H37:H42"/>
    <mergeCell ref="I37:I42"/>
    <mergeCell ref="J37:J42"/>
    <mergeCell ref="K37:K42"/>
    <mergeCell ref="L37:L42"/>
    <mergeCell ref="A37:A42"/>
    <mergeCell ref="B37:B42"/>
    <mergeCell ref="C37:C42"/>
    <mergeCell ref="D37:D42"/>
    <mergeCell ref="E37:E42"/>
    <mergeCell ref="F37:F42"/>
    <mergeCell ref="S37:S42"/>
    <mergeCell ref="T37:T42"/>
    <mergeCell ref="U37:U42"/>
    <mergeCell ref="AP37:AP42"/>
    <mergeCell ref="AQ37:AQ42"/>
    <mergeCell ref="AR37:AR42"/>
    <mergeCell ref="M37:M42"/>
    <mergeCell ref="N37:N42"/>
    <mergeCell ref="O37:O42"/>
    <mergeCell ref="P37:P42"/>
    <mergeCell ref="Q37:Q42"/>
    <mergeCell ref="R37:R42"/>
    <mergeCell ref="G43:G48"/>
    <mergeCell ref="H43:H48"/>
    <mergeCell ref="I43:I48"/>
    <mergeCell ref="J43:J48"/>
    <mergeCell ref="K43:K48"/>
    <mergeCell ref="L43:L48"/>
    <mergeCell ref="A43:A48"/>
    <mergeCell ref="B43:B48"/>
    <mergeCell ref="C43:C48"/>
    <mergeCell ref="D43:D48"/>
    <mergeCell ref="E43:E48"/>
    <mergeCell ref="F43:F48"/>
    <mergeCell ref="S43:S48"/>
    <mergeCell ref="T43:T48"/>
    <mergeCell ref="U43:U48"/>
    <mergeCell ref="AP43:AP48"/>
    <mergeCell ref="AQ43:AQ48"/>
    <mergeCell ref="AR43:AR48"/>
    <mergeCell ref="M43:M48"/>
    <mergeCell ref="N43:N48"/>
    <mergeCell ref="O43:O48"/>
    <mergeCell ref="P43:P48"/>
    <mergeCell ref="Q43:Q48"/>
    <mergeCell ref="R43:R48"/>
    <mergeCell ref="G49:G54"/>
    <mergeCell ref="H49:H54"/>
    <mergeCell ref="I49:I54"/>
    <mergeCell ref="J49:J54"/>
    <mergeCell ref="K49:K54"/>
    <mergeCell ref="L49:L54"/>
    <mergeCell ref="A49:A54"/>
    <mergeCell ref="B49:B54"/>
    <mergeCell ref="C49:C54"/>
    <mergeCell ref="D49:D54"/>
    <mergeCell ref="E49:E54"/>
    <mergeCell ref="F49:F54"/>
    <mergeCell ref="S49:S54"/>
    <mergeCell ref="T49:T54"/>
    <mergeCell ref="U49:U54"/>
    <mergeCell ref="AP49:AP54"/>
    <mergeCell ref="AQ49:AQ54"/>
    <mergeCell ref="AR49:AR54"/>
    <mergeCell ref="M49:M54"/>
    <mergeCell ref="N49:N54"/>
    <mergeCell ref="O49:O54"/>
    <mergeCell ref="P49:P54"/>
    <mergeCell ref="Q49:Q54"/>
    <mergeCell ref="R49:R54"/>
    <mergeCell ref="G55:G60"/>
    <mergeCell ref="H55:H60"/>
    <mergeCell ref="I55:I60"/>
    <mergeCell ref="J55:J60"/>
    <mergeCell ref="K55:K60"/>
    <mergeCell ref="L55:L60"/>
    <mergeCell ref="A55:A60"/>
    <mergeCell ref="B55:B60"/>
    <mergeCell ref="C55:C60"/>
    <mergeCell ref="D55:D60"/>
    <mergeCell ref="E55:E60"/>
    <mergeCell ref="F55:F60"/>
    <mergeCell ref="T55:T60"/>
    <mergeCell ref="U55:U60"/>
    <mergeCell ref="AP55:AP60"/>
    <mergeCell ref="AQ55:AQ60"/>
    <mergeCell ref="AR55:AR60"/>
    <mergeCell ref="M55:M60"/>
    <mergeCell ref="N55:N60"/>
    <mergeCell ref="O55:O60"/>
    <mergeCell ref="P55:P60"/>
    <mergeCell ref="Q55:Q60"/>
    <mergeCell ref="R55:R60"/>
    <mergeCell ref="A67:A72"/>
    <mergeCell ref="B67:B72"/>
    <mergeCell ref="C67:C72"/>
    <mergeCell ref="D67:D72"/>
    <mergeCell ref="E67:E72"/>
    <mergeCell ref="F67:F72"/>
    <mergeCell ref="G67:G72"/>
    <mergeCell ref="P61:P66"/>
    <mergeCell ref="Q61:Q66"/>
    <mergeCell ref="G61:G66"/>
    <mergeCell ref="H61:H66"/>
    <mergeCell ref="L61:L66"/>
    <mergeCell ref="M61:M66"/>
    <mergeCell ref="N61:N66"/>
    <mergeCell ref="O61:O66"/>
    <mergeCell ref="A61:A66"/>
    <mergeCell ref="B61:B66"/>
    <mergeCell ref="C61:C66"/>
    <mergeCell ref="D61:D66"/>
    <mergeCell ref="E61:E66"/>
    <mergeCell ref="F61:F66"/>
    <mergeCell ref="AQ67:AQ72"/>
    <mergeCell ref="AR67:AR72"/>
    <mergeCell ref="B73:AP73"/>
    <mergeCell ref="L10:M11"/>
    <mergeCell ref="Q67:Q72"/>
    <mergeCell ref="R67:R72"/>
    <mergeCell ref="S67:S72"/>
    <mergeCell ref="T67:T72"/>
    <mergeCell ref="U67:U72"/>
    <mergeCell ref="AP67:AP72"/>
    <mergeCell ref="H67:H72"/>
    <mergeCell ref="L67:L72"/>
    <mergeCell ref="M67:M72"/>
    <mergeCell ref="N67:N72"/>
    <mergeCell ref="O67:O72"/>
    <mergeCell ref="P67:P72"/>
    <mergeCell ref="AP61:AP66"/>
    <mergeCell ref="AQ61:AQ66"/>
    <mergeCell ref="AR61:AR66"/>
    <mergeCell ref="R61:R66"/>
    <mergeCell ref="S61:S66"/>
    <mergeCell ref="T61:T66"/>
    <mergeCell ref="U61:U66"/>
    <mergeCell ref="S55:S60"/>
  </mergeCells>
  <conditionalFormatting sqref="O13 O19">
    <cfRule type="cellIs" dxfId="469" priority="227" operator="equal">
      <formula>"Muy Alta"</formula>
    </cfRule>
    <cfRule type="cellIs" dxfId="468" priority="228" operator="equal">
      <formula>"Alta"</formula>
    </cfRule>
    <cfRule type="cellIs" dxfId="467" priority="229" operator="equal">
      <formula>"Media"</formula>
    </cfRule>
    <cfRule type="cellIs" dxfId="466" priority="230" operator="equal">
      <formula>"Baja"</formula>
    </cfRule>
    <cfRule type="cellIs" dxfId="465" priority="231" operator="equal">
      <formula>"Muy Baja"</formula>
    </cfRule>
  </conditionalFormatting>
  <conditionalFormatting sqref="S13 S19 S25 S31 S37 S43 S49 S55 S61 S67">
    <cfRule type="cellIs" dxfId="464" priority="222" operator="equal">
      <formula>"Catastrófico"</formula>
    </cfRule>
    <cfRule type="cellIs" dxfId="463" priority="223" operator="equal">
      <formula>"Mayor"</formula>
    </cfRule>
    <cfRule type="cellIs" dxfId="462" priority="224" operator="equal">
      <formula>"Moderado"</formula>
    </cfRule>
    <cfRule type="cellIs" dxfId="461" priority="225" operator="equal">
      <formula>"Menor"</formula>
    </cfRule>
    <cfRule type="cellIs" dxfId="460" priority="226" operator="equal">
      <formula>"Leve"</formula>
    </cfRule>
  </conditionalFormatting>
  <conditionalFormatting sqref="U13">
    <cfRule type="cellIs" dxfId="459" priority="218" operator="equal">
      <formula>"Extremo"</formula>
    </cfRule>
    <cfRule type="cellIs" dxfId="458" priority="219" operator="equal">
      <formula>"Alto"</formula>
    </cfRule>
    <cfRule type="cellIs" dxfId="457" priority="220" operator="equal">
      <formula>"Moderado"</formula>
    </cfRule>
    <cfRule type="cellIs" dxfId="456" priority="221" operator="equal">
      <formula>"Bajo"</formula>
    </cfRule>
  </conditionalFormatting>
  <conditionalFormatting sqref="AF13:AF18">
    <cfRule type="cellIs" dxfId="455" priority="213" operator="equal">
      <formula>"Muy Alta"</formula>
    </cfRule>
    <cfRule type="cellIs" dxfId="454" priority="214" operator="equal">
      <formula>"Alta"</formula>
    </cfRule>
    <cfRule type="cellIs" dxfId="453" priority="215" operator="equal">
      <formula>"Media"</formula>
    </cfRule>
    <cfRule type="cellIs" dxfId="452" priority="216" operator="equal">
      <formula>"Baja"</formula>
    </cfRule>
    <cfRule type="cellIs" dxfId="451" priority="217" operator="equal">
      <formula>"Muy Baja"</formula>
    </cfRule>
  </conditionalFormatting>
  <conditionalFormatting sqref="AH13:AH18">
    <cfRule type="cellIs" dxfId="450" priority="208" operator="equal">
      <formula>"Catastrófico"</formula>
    </cfRule>
    <cfRule type="cellIs" dxfId="449" priority="209" operator="equal">
      <formula>"Mayor"</formula>
    </cfRule>
    <cfRule type="cellIs" dxfId="448" priority="210" operator="equal">
      <formula>"Moderado"</formula>
    </cfRule>
    <cfRule type="cellIs" dxfId="447" priority="211" operator="equal">
      <formula>"Menor"</formula>
    </cfRule>
    <cfRule type="cellIs" dxfId="446" priority="212" operator="equal">
      <formula>"Leve"</formula>
    </cfRule>
  </conditionalFormatting>
  <conditionalFormatting sqref="AJ13:AJ18">
    <cfRule type="cellIs" dxfId="445" priority="204" operator="equal">
      <formula>"Extremo"</formula>
    </cfRule>
    <cfRule type="cellIs" dxfId="444" priority="205" operator="equal">
      <formula>"Alto"</formula>
    </cfRule>
    <cfRule type="cellIs" dxfId="443" priority="206" operator="equal">
      <formula>"Moderado"</formula>
    </cfRule>
    <cfRule type="cellIs" dxfId="442" priority="207" operator="equal">
      <formula>"Bajo"</formula>
    </cfRule>
  </conditionalFormatting>
  <conditionalFormatting sqref="O61">
    <cfRule type="cellIs" dxfId="441" priority="48" operator="equal">
      <formula>"Muy Alta"</formula>
    </cfRule>
    <cfRule type="cellIs" dxfId="440" priority="49" operator="equal">
      <formula>"Alta"</formula>
    </cfRule>
    <cfRule type="cellIs" dxfId="439" priority="50" operator="equal">
      <formula>"Media"</formula>
    </cfRule>
    <cfRule type="cellIs" dxfId="438" priority="51" operator="equal">
      <formula>"Baja"</formula>
    </cfRule>
    <cfRule type="cellIs" dxfId="437" priority="52" operator="equal">
      <formula>"Muy Baja"</formula>
    </cfRule>
  </conditionalFormatting>
  <conditionalFormatting sqref="U19">
    <cfRule type="cellIs" dxfId="436" priority="200" operator="equal">
      <formula>"Extremo"</formula>
    </cfRule>
    <cfRule type="cellIs" dxfId="435" priority="201" operator="equal">
      <formula>"Alto"</formula>
    </cfRule>
    <cfRule type="cellIs" dxfId="434" priority="202" operator="equal">
      <formula>"Moderado"</formula>
    </cfRule>
    <cfRule type="cellIs" dxfId="433" priority="203" operator="equal">
      <formula>"Bajo"</formula>
    </cfRule>
  </conditionalFormatting>
  <conditionalFormatting sqref="AF19:AF24">
    <cfRule type="cellIs" dxfId="432" priority="195" operator="equal">
      <formula>"Muy Alta"</formula>
    </cfRule>
    <cfRule type="cellIs" dxfId="431" priority="196" operator="equal">
      <formula>"Alta"</formula>
    </cfRule>
    <cfRule type="cellIs" dxfId="430" priority="197" operator="equal">
      <formula>"Media"</formula>
    </cfRule>
    <cfRule type="cellIs" dxfId="429" priority="198" operator="equal">
      <formula>"Baja"</formula>
    </cfRule>
    <cfRule type="cellIs" dxfId="428" priority="199" operator="equal">
      <formula>"Muy Baja"</formula>
    </cfRule>
  </conditionalFormatting>
  <conditionalFormatting sqref="AH19:AH24">
    <cfRule type="cellIs" dxfId="427" priority="190" operator="equal">
      <formula>"Catastrófico"</formula>
    </cfRule>
    <cfRule type="cellIs" dxfId="426" priority="191" operator="equal">
      <formula>"Mayor"</formula>
    </cfRule>
    <cfRule type="cellIs" dxfId="425" priority="192" operator="equal">
      <formula>"Moderado"</formula>
    </cfRule>
    <cfRule type="cellIs" dxfId="424" priority="193" operator="equal">
      <formula>"Menor"</formula>
    </cfRule>
    <cfRule type="cellIs" dxfId="423" priority="194" operator="equal">
      <formula>"Leve"</formula>
    </cfRule>
  </conditionalFormatting>
  <conditionalFormatting sqref="AJ19:AJ24">
    <cfRule type="cellIs" dxfId="422" priority="186" operator="equal">
      <formula>"Extremo"</formula>
    </cfRule>
    <cfRule type="cellIs" dxfId="421" priority="187" operator="equal">
      <formula>"Alto"</formula>
    </cfRule>
    <cfRule type="cellIs" dxfId="420" priority="188" operator="equal">
      <formula>"Moderado"</formula>
    </cfRule>
    <cfRule type="cellIs" dxfId="419" priority="189" operator="equal">
      <formula>"Bajo"</formula>
    </cfRule>
  </conditionalFormatting>
  <conditionalFormatting sqref="O25">
    <cfRule type="cellIs" dxfId="418" priority="181" operator="equal">
      <formula>"Muy Alta"</formula>
    </cfRule>
    <cfRule type="cellIs" dxfId="417" priority="182" operator="equal">
      <formula>"Alta"</formula>
    </cfRule>
    <cfRule type="cellIs" dxfId="416" priority="183" operator="equal">
      <formula>"Media"</formula>
    </cfRule>
    <cfRule type="cellIs" dxfId="415" priority="184" operator="equal">
      <formula>"Baja"</formula>
    </cfRule>
    <cfRule type="cellIs" dxfId="414" priority="185" operator="equal">
      <formula>"Muy Baja"</formula>
    </cfRule>
  </conditionalFormatting>
  <conditionalFormatting sqref="U25">
    <cfRule type="cellIs" dxfId="413" priority="177" operator="equal">
      <formula>"Extremo"</formula>
    </cfRule>
    <cfRule type="cellIs" dxfId="412" priority="178" operator="equal">
      <formula>"Alto"</formula>
    </cfRule>
    <cfRule type="cellIs" dxfId="411" priority="179" operator="equal">
      <formula>"Moderado"</formula>
    </cfRule>
    <cfRule type="cellIs" dxfId="410" priority="180" operator="equal">
      <formula>"Bajo"</formula>
    </cfRule>
  </conditionalFormatting>
  <conditionalFormatting sqref="AF25:AF30">
    <cfRule type="cellIs" dxfId="409" priority="172" operator="equal">
      <formula>"Muy Alta"</formula>
    </cfRule>
    <cfRule type="cellIs" dxfId="408" priority="173" operator="equal">
      <formula>"Alta"</formula>
    </cfRule>
    <cfRule type="cellIs" dxfId="407" priority="174" operator="equal">
      <formula>"Media"</formula>
    </cfRule>
    <cfRule type="cellIs" dxfId="406" priority="175" operator="equal">
      <formula>"Baja"</formula>
    </cfRule>
    <cfRule type="cellIs" dxfId="405" priority="176" operator="equal">
      <formula>"Muy Baja"</formula>
    </cfRule>
  </conditionalFormatting>
  <conditionalFormatting sqref="AH25:AH30">
    <cfRule type="cellIs" dxfId="404" priority="167" operator="equal">
      <formula>"Catastrófico"</formula>
    </cfRule>
    <cfRule type="cellIs" dxfId="403" priority="168" operator="equal">
      <formula>"Mayor"</formula>
    </cfRule>
    <cfRule type="cellIs" dxfId="402" priority="169" operator="equal">
      <formula>"Moderado"</formula>
    </cfRule>
    <cfRule type="cellIs" dxfId="401" priority="170" operator="equal">
      <formula>"Menor"</formula>
    </cfRule>
    <cfRule type="cellIs" dxfId="400" priority="171" operator="equal">
      <formula>"Leve"</formula>
    </cfRule>
  </conditionalFormatting>
  <conditionalFormatting sqref="AJ25:AJ30">
    <cfRule type="cellIs" dxfId="399" priority="163" operator="equal">
      <formula>"Extremo"</formula>
    </cfRule>
    <cfRule type="cellIs" dxfId="398" priority="164" operator="equal">
      <formula>"Alto"</formula>
    </cfRule>
    <cfRule type="cellIs" dxfId="397" priority="165" operator="equal">
      <formula>"Moderado"</formula>
    </cfRule>
    <cfRule type="cellIs" dxfId="396" priority="166" operator="equal">
      <formula>"Bajo"</formula>
    </cfRule>
  </conditionalFormatting>
  <conditionalFormatting sqref="O31">
    <cfRule type="cellIs" dxfId="395" priority="158" operator="equal">
      <formula>"Muy Alta"</formula>
    </cfRule>
    <cfRule type="cellIs" dxfId="394" priority="159" operator="equal">
      <formula>"Alta"</formula>
    </cfRule>
    <cfRule type="cellIs" dxfId="393" priority="160" operator="equal">
      <formula>"Media"</formula>
    </cfRule>
    <cfRule type="cellIs" dxfId="392" priority="161" operator="equal">
      <formula>"Baja"</formula>
    </cfRule>
    <cfRule type="cellIs" dxfId="391" priority="162" operator="equal">
      <formula>"Muy Baja"</formula>
    </cfRule>
  </conditionalFormatting>
  <conditionalFormatting sqref="U31">
    <cfRule type="cellIs" dxfId="390" priority="154" operator="equal">
      <formula>"Extremo"</formula>
    </cfRule>
    <cfRule type="cellIs" dxfId="389" priority="155" operator="equal">
      <formula>"Alto"</formula>
    </cfRule>
    <cfRule type="cellIs" dxfId="388" priority="156" operator="equal">
      <formula>"Moderado"</formula>
    </cfRule>
    <cfRule type="cellIs" dxfId="387" priority="157" operator="equal">
      <formula>"Bajo"</formula>
    </cfRule>
  </conditionalFormatting>
  <conditionalFormatting sqref="AF31:AF36">
    <cfRule type="cellIs" dxfId="386" priority="149" operator="equal">
      <formula>"Muy Alta"</formula>
    </cfRule>
    <cfRule type="cellIs" dxfId="385" priority="150" operator="equal">
      <formula>"Alta"</formula>
    </cfRule>
    <cfRule type="cellIs" dxfId="384" priority="151" operator="equal">
      <formula>"Media"</formula>
    </cfRule>
    <cfRule type="cellIs" dxfId="383" priority="152" operator="equal">
      <formula>"Baja"</formula>
    </cfRule>
    <cfRule type="cellIs" dxfId="382" priority="153" operator="equal">
      <formula>"Muy Baja"</formula>
    </cfRule>
  </conditionalFormatting>
  <conditionalFormatting sqref="AH31:AH36">
    <cfRule type="cellIs" dxfId="381" priority="144" operator="equal">
      <formula>"Catastrófico"</formula>
    </cfRule>
    <cfRule type="cellIs" dxfId="380" priority="145" operator="equal">
      <formula>"Mayor"</formula>
    </cfRule>
    <cfRule type="cellIs" dxfId="379" priority="146" operator="equal">
      <formula>"Moderado"</formula>
    </cfRule>
    <cfRule type="cellIs" dxfId="378" priority="147" operator="equal">
      <formula>"Menor"</formula>
    </cfRule>
    <cfRule type="cellIs" dxfId="377" priority="148" operator="equal">
      <formula>"Leve"</formula>
    </cfRule>
  </conditionalFormatting>
  <conditionalFormatting sqref="AJ31:AJ36">
    <cfRule type="cellIs" dxfId="376" priority="140" operator="equal">
      <formula>"Extremo"</formula>
    </cfRule>
    <cfRule type="cellIs" dxfId="375" priority="141" operator="equal">
      <formula>"Alto"</formula>
    </cfRule>
    <cfRule type="cellIs" dxfId="374" priority="142" operator="equal">
      <formula>"Moderado"</formula>
    </cfRule>
    <cfRule type="cellIs" dxfId="373" priority="143" operator="equal">
      <formula>"Bajo"</formula>
    </cfRule>
  </conditionalFormatting>
  <conditionalFormatting sqref="O37">
    <cfRule type="cellIs" dxfId="372" priority="135" operator="equal">
      <formula>"Muy Alta"</formula>
    </cfRule>
    <cfRule type="cellIs" dxfId="371" priority="136" operator="equal">
      <formula>"Alta"</formula>
    </cfRule>
    <cfRule type="cellIs" dxfId="370" priority="137" operator="equal">
      <formula>"Media"</formula>
    </cfRule>
    <cfRule type="cellIs" dxfId="369" priority="138" operator="equal">
      <formula>"Baja"</formula>
    </cfRule>
    <cfRule type="cellIs" dxfId="368" priority="139" operator="equal">
      <formula>"Muy Baja"</formula>
    </cfRule>
  </conditionalFormatting>
  <conditionalFormatting sqref="U37">
    <cfRule type="cellIs" dxfId="367" priority="131" operator="equal">
      <formula>"Extremo"</formula>
    </cfRule>
    <cfRule type="cellIs" dxfId="366" priority="132" operator="equal">
      <formula>"Alto"</formula>
    </cfRule>
    <cfRule type="cellIs" dxfId="365" priority="133" operator="equal">
      <formula>"Moderado"</formula>
    </cfRule>
    <cfRule type="cellIs" dxfId="364" priority="134" operator="equal">
      <formula>"Bajo"</formula>
    </cfRule>
  </conditionalFormatting>
  <conditionalFormatting sqref="AF37:AF42">
    <cfRule type="cellIs" dxfId="363" priority="126" operator="equal">
      <formula>"Muy Alta"</formula>
    </cfRule>
    <cfRule type="cellIs" dxfId="362" priority="127" operator="equal">
      <formula>"Alta"</formula>
    </cfRule>
    <cfRule type="cellIs" dxfId="361" priority="128" operator="equal">
      <formula>"Media"</formula>
    </cfRule>
    <cfRule type="cellIs" dxfId="360" priority="129" operator="equal">
      <formula>"Baja"</formula>
    </cfRule>
    <cfRule type="cellIs" dxfId="359" priority="130" operator="equal">
      <formula>"Muy Baja"</formula>
    </cfRule>
  </conditionalFormatting>
  <conditionalFormatting sqref="AH37:AH42">
    <cfRule type="cellIs" dxfId="358" priority="121" operator="equal">
      <formula>"Catastrófico"</formula>
    </cfRule>
    <cfRule type="cellIs" dxfId="357" priority="122" operator="equal">
      <formula>"Mayor"</formula>
    </cfRule>
    <cfRule type="cellIs" dxfId="356" priority="123" operator="equal">
      <formula>"Moderado"</formula>
    </cfRule>
    <cfRule type="cellIs" dxfId="355" priority="124" operator="equal">
      <formula>"Menor"</formula>
    </cfRule>
    <cfRule type="cellIs" dxfId="354" priority="125" operator="equal">
      <formula>"Leve"</formula>
    </cfRule>
  </conditionalFormatting>
  <conditionalFormatting sqref="AJ37:AJ42">
    <cfRule type="cellIs" dxfId="353" priority="117" operator="equal">
      <formula>"Extremo"</formula>
    </cfRule>
    <cfRule type="cellIs" dxfId="352" priority="118" operator="equal">
      <formula>"Alto"</formula>
    </cfRule>
    <cfRule type="cellIs" dxfId="351" priority="119" operator="equal">
      <formula>"Moderado"</formula>
    </cfRule>
    <cfRule type="cellIs" dxfId="350" priority="120" operator="equal">
      <formula>"Bajo"</formula>
    </cfRule>
  </conditionalFormatting>
  <conditionalFormatting sqref="O43">
    <cfRule type="cellIs" dxfId="349" priority="112" operator="equal">
      <formula>"Muy Alta"</formula>
    </cfRule>
    <cfRule type="cellIs" dxfId="348" priority="113" operator="equal">
      <formula>"Alta"</formula>
    </cfRule>
    <cfRule type="cellIs" dxfId="347" priority="114" operator="equal">
      <formula>"Media"</formula>
    </cfRule>
    <cfRule type="cellIs" dxfId="346" priority="115" operator="equal">
      <formula>"Baja"</formula>
    </cfRule>
    <cfRule type="cellIs" dxfId="345" priority="116" operator="equal">
      <formula>"Muy Baja"</formula>
    </cfRule>
  </conditionalFormatting>
  <conditionalFormatting sqref="U43">
    <cfRule type="cellIs" dxfId="344" priority="108" operator="equal">
      <formula>"Extremo"</formula>
    </cfRule>
    <cfRule type="cellIs" dxfId="343" priority="109" operator="equal">
      <formula>"Alto"</formula>
    </cfRule>
    <cfRule type="cellIs" dxfId="342" priority="110" operator="equal">
      <formula>"Moderado"</formula>
    </cfRule>
    <cfRule type="cellIs" dxfId="341" priority="111" operator="equal">
      <formula>"Bajo"</formula>
    </cfRule>
  </conditionalFormatting>
  <conditionalFormatting sqref="AF43:AF48">
    <cfRule type="cellIs" dxfId="340" priority="103" operator="equal">
      <formula>"Muy Alta"</formula>
    </cfRule>
    <cfRule type="cellIs" dxfId="339" priority="104" operator="equal">
      <formula>"Alta"</formula>
    </cfRule>
    <cfRule type="cellIs" dxfId="338" priority="105" operator="equal">
      <formula>"Media"</formula>
    </cfRule>
    <cfRule type="cellIs" dxfId="337" priority="106" operator="equal">
      <formula>"Baja"</formula>
    </cfRule>
    <cfRule type="cellIs" dxfId="336" priority="107" operator="equal">
      <formula>"Muy Baja"</formula>
    </cfRule>
  </conditionalFormatting>
  <conditionalFormatting sqref="AH43:AH48">
    <cfRule type="cellIs" dxfId="335" priority="98" operator="equal">
      <formula>"Catastrófico"</formula>
    </cfRule>
    <cfRule type="cellIs" dxfId="334" priority="99" operator="equal">
      <formula>"Mayor"</formula>
    </cfRule>
    <cfRule type="cellIs" dxfId="333" priority="100" operator="equal">
      <formula>"Moderado"</formula>
    </cfRule>
    <cfRule type="cellIs" dxfId="332" priority="101" operator="equal">
      <formula>"Menor"</formula>
    </cfRule>
    <cfRule type="cellIs" dxfId="331" priority="102" operator="equal">
      <formula>"Leve"</formula>
    </cfRule>
  </conditionalFormatting>
  <conditionalFormatting sqref="AJ43:AJ48">
    <cfRule type="cellIs" dxfId="330" priority="94" operator="equal">
      <formula>"Extremo"</formula>
    </cfRule>
    <cfRule type="cellIs" dxfId="329" priority="95" operator="equal">
      <formula>"Alto"</formula>
    </cfRule>
    <cfRule type="cellIs" dxfId="328" priority="96" operator="equal">
      <formula>"Moderado"</formula>
    </cfRule>
    <cfRule type="cellIs" dxfId="327" priority="97" operator="equal">
      <formula>"Bajo"</formula>
    </cfRule>
  </conditionalFormatting>
  <conditionalFormatting sqref="O49">
    <cfRule type="cellIs" dxfId="326" priority="89" operator="equal">
      <formula>"Muy Alta"</formula>
    </cfRule>
    <cfRule type="cellIs" dxfId="325" priority="90" operator="equal">
      <formula>"Alta"</formula>
    </cfRule>
    <cfRule type="cellIs" dxfId="324" priority="91" operator="equal">
      <formula>"Media"</formula>
    </cfRule>
    <cfRule type="cellIs" dxfId="323" priority="92" operator="equal">
      <formula>"Baja"</formula>
    </cfRule>
    <cfRule type="cellIs" dxfId="322" priority="93" operator="equal">
      <formula>"Muy Baja"</formula>
    </cfRule>
  </conditionalFormatting>
  <conditionalFormatting sqref="U49">
    <cfRule type="cellIs" dxfId="321" priority="85" operator="equal">
      <formula>"Extremo"</formula>
    </cfRule>
    <cfRule type="cellIs" dxfId="320" priority="86" operator="equal">
      <formula>"Alto"</formula>
    </cfRule>
    <cfRule type="cellIs" dxfId="319" priority="87" operator="equal">
      <formula>"Moderado"</formula>
    </cfRule>
    <cfRule type="cellIs" dxfId="318" priority="88" operator="equal">
      <formula>"Bajo"</formula>
    </cfRule>
  </conditionalFormatting>
  <conditionalFormatting sqref="AF49:AF54">
    <cfRule type="cellIs" dxfId="317" priority="80" operator="equal">
      <formula>"Muy Alta"</formula>
    </cfRule>
    <cfRule type="cellIs" dxfId="316" priority="81" operator="equal">
      <formula>"Alta"</formula>
    </cfRule>
    <cfRule type="cellIs" dxfId="315" priority="82" operator="equal">
      <formula>"Media"</formula>
    </cfRule>
    <cfRule type="cellIs" dxfId="314" priority="83" operator="equal">
      <formula>"Baja"</formula>
    </cfRule>
    <cfRule type="cellIs" dxfId="313" priority="84" operator="equal">
      <formula>"Muy Baja"</formula>
    </cfRule>
  </conditionalFormatting>
  <conditionalFormatting sqref="AH49:AH54">
    <cfRule type="cellIs" dxfId="312" priority="75" operator="equal">
      <formula>"Catastrófico"</formula>
    </cfRule>
    <cfRule type="cellIs" dxfId="311" priority="76" operator="equal">
      <formula>"Mayor"</formula>
    </cfRule>
    <cfRule type="cellIs" dxfId="310" priority="77" operator="equal">
      <formula>"Moderado"</formula>
    </cfRule>
    <cfRule type="cellIs" dxfId="309" priority="78" operator="equal">
      <formula>"Menor"</formula>
    </cfRule>
    <cfRule type="cellIs" dxfId="308" priority="79" operator="equal">
      <formula>"Leve"</formula>
    </cfRule>
  </conditionalFormatting>
  <conditionalFormatting sqref="AJ49:AJ54">
    <cfRule type="cellIs" dxfId="307" priority="71" operator="equal">
      <formula>"Extremo"</formula>
    </cfRule>
    <cfRule type="cellIs" dxfId="306" priority="72" operator="equal">
      <formula>"Alto"</formula>
    </cfRule>
    <cfRule type="cellIs" dxfId="305" priority="73" operator="equal">
      <formula>"Moderado"</formula>
    </cfRule>
    <cfRule type="cellIs" dxfId="304" priority="74" operator="equal">
      <formula>"Bajo"</formula>
    </cfRule>
  </conditionalFormatting>
  <conditionalFormatting sqref="U55">
    <cfRule type="cellIs" dxfId="303" priority="67" operator="equal">
      <formula>"Extremo"</formula>
    </cfRule>
    <cfRule type="cellIs" dxfId="302" priority="68" operator="equal">
      <formula>"Alto"</formula>
    </cfRule>
    <cfRule type="cellIs" dxfId="301" priority="69" operator="equal">
      <formula>"Moderado"</formula>
    </cfRule>
    <cfRule type="cellIs" dxfId="300" priority="70" operator="equal">
      <formula>"Bajo"</formula>
    </cfRule>
  </conditionalFormatting>
  <conditionalFormatting sqref="AF55:AF60">
    <cfRule type="cellIs" dxfId="299" priority="62" operator="equal">
      <formula>"Muy Alta"</formula>
    </cfRule>
    <cfRule type="cellIs" dxfId="298" priority="63" operator="equal">
      <formula>"Alta"</formula>
    </cfRule>
    <cfRule type="cellIs" dxfId="297" priority="64" operator="equal">
      <formula>"Media"</formula>
    </cfRule>
    <cfRule type="cellIs" dxfId="296" priority="65" operator="equal">
      <formula>"Baja"</formula>
    </cfRule>
    <cfRule type="cellIs" dxfId="295" priority="66" operator="equal">
      <formula>"Muy Baja"</formula>
    </cfRule>
  </conditionalFormatting>
  <conditionalFormatting sqref="AH55:AH60">
    <cfRule type="cellIs" dxfId="294" priority="57" operator="equal">
      <formula>"Catastrófico"</formula>
    </cfRule>
    <cfRule type="cellIs" dxfId="293" priority="58" operator="equal">
      <formula>"Mayor"</formula>
    </cfRule>
    <cfRule type="cellIs" dxfId="292" priority="59" operator="equal">
      <formula>"Moderado"</formula>
    </cfRule>
    <cfRule type="cellIs" dxfId="291" priority="60" operator="equal">
      <formula>"Menor"</formula>
    </cfRule>
    <cfRule type="cellIs" dxfId="290" priority="61" operator="equal">
      <formula>"Leve"</formula>
    </cfRule>
  </conditionalFormatting>
  <conditionalFormatting sqref="AJ55:AJ60">
    <cfRule type="cellIs" dxfId="289" priority="53" operator="equal">
      <formula>"Extremo"</formula>
    </cfRule>
    <cfRule type="cellIs" dxfId="288" priority="54" operator="equal">
      <formula>"Alto"</formula>
    </cfRule>
    <cfRule type="cellIs" dxfId="287" priority="55" operator="equal">
      <formula>"Moderado"</formula>
    </cfRule>
    <cfRule type="cellIs" dxfId="286" priority="56" operator="equal">
      <formula>"Bajo"</formula>
    </cfRule>
  </conditionalFormatting>
  <conditionalFormatting sqref="U61">
    <cfRule type="cellIs" dxfId="285" priority="44" operator="equal">
      <formula>"Extremo"</formula>
    </cfRule>
    <cfRule type="cellIs" dxfId="284" priority="45" operator="equal">
      <formula>"Alto"</formula>
    </cfRule>
    <cfRule type="cellIs" dxfId="283" priority="46" operator="equal">
      <formula>"Moderado"</formula>
    </cfRule>
    <cfRule type="cellIs" dxfId="282" priority="47" operator="equal">
      <formula>"Bajo"</formula>
    </cfRule>
  </conditionalFormatting>
  <conditionalFormatting sqref="AF61:AF66">
    <cfRule type="cellIs" dxfId="281" priority="39" operator="equal">
      <formula>"Muy Alta"</formula>
    </cfRule>
    <cfRule type="cellIs" dxfId="280" priority="40" operator="equal">
      <formula>"Alta"</formula>
    </cfRule>
    <cfRule type="cellIs" dxfId="279" priority="41" operator="equal">
      <formula>"Media"</formula>
    </cfRule>
    <cfRule type="cellIs" dxfId="278" priority="42" operator="equal">
      <formula>"Baja"</formula>
    </cfRule>
    <cfRule type="cellIs" dxfId="277" priority="43" operator="equal">
      <formula>"Muy Baja"</formula>
    </cfRule>
  </conditionalFormatting>
  <conditionalFormatting sqref="AH61:AH66">
    <cfRule type="cellIs" dxfId="276" priority="34" operator="equal">
      <formula>"Catastrófico"</formula>
    </cfRule>
    <cfRule type="cellIs" dxfId="275" priority="35" operator="equal">
      <formula>"Mayor"</formula>
    </cfRule>
    <cfRule type="cellIs" dxfId="274" priority="36" operator="equal">
      <formula>"Moderado"</formula>
    </cfRule>
    <cfRule type="cellIs" dxfId="273" priority="37" operator="equal">
      <formula>"Menor"</formula>
    </cfRule>
    <cfRule type="cellIs" dxfId="272" priority="38" operator="equal">
      <formula>"Leve"</formula>
    </cfRule>
  </conditionalFormatting>
  <conditionalFormatting sqref="AJ61:AJ66">
    <cfRule type="cellIs" dxfId="271" priority="30" operator="equal">
      <formula>"Extremo"</formula>
    </cfRule>
    <cfRule type="cellIs" dxfId="270" priority="31" operator="equal">
      <formula>"Alto"</formula>
    </cfRule>
    <cfRule type="cellIs" dxfId="269" priority="32" operator="equal">
      <formula>"Moderado"</formula>
    </cfRule>
    <cfRule type="cellIs" dxfId="268" priority="33" operator="equal">
      <formula>"Bajo"</formula>
    </cfRule>
  </conditionalFormatting>
  <conditionalFormatting sqref="O67">
    <cfRule type="cellIs" dxfId="267" priority="25" operator="equal">
      <formula>"Muy Alta"</formula>
    </cfRule>
    <cfRule type="cellIs" dxfId="266" priority="26" operator="equal">
      <formula>"Alta"</formula>
    </cfRule>
    <cfRule type="cellIs" dxfId="265" priority="27" operator="equal">
      <formula>"Media"</formula>
    </cfRule>
    <cfRule type="cellIs" dxfId="264" priority="28" operator="equal">
      <formula>"Baja"</formula>
    </cfRule>
    <cfRule type="cellIs" dxfId="263" priority="29" operator="equal">
      <formula>"Muy Baja"</formula>
    </cfRule>
  </conditionalFormatting>
  <conditionalFormatting sqref="U67">
    <cfRule type="cellIs" dxfId="262" priority="21" operator="equal">
      <formula>"Extremo"</formula>
    </cfRule>
    <cfRule type="cellIs" dxfId="261" priority="22" operator="equal">
      <formula>"Alto"</formula>
    </cfRule>
    <cfRule type="cellIs" dxfId="260" priority="23" operator="equal">
      <formula>"Moderado"</formula>
    </cfRule>
    <cfRule type="cellIs" dxfId="259" priority="24" operator="equal">
      <formula>"Bajo"</formula>
    </cfRule>
  </conditionalFormatting>
  <conditionalFormatting sqref="AF67:AF72">
    <cfRule type="cellIs" dxfId="258" priority="16" operator="equal">
      <formula>"Muy Alta"</formula>
    </cfRule>
    <cfRule type="cellIs" dxfId="257" priority="17" operator="equal">
      <formula>"Alta"</formula>
    </cfRule>
    <cfRule type="cellIs" dxfId="256" priority="18" operator="equal">
      <formula>"Media"</formula>
    </cfRule>
    <cfRule type="cellIs" dxfId="255" priority="19" operator="equal">
      <formula>"Baja"</formula>
    </cfRule>
    <cfRule type="cellIs" dxfId="254" priority="20" operator="equal">
      <formula>"Muy Baja"</formula>
    </cfRule>
  </conditionalFormatting>
  <conditionalFormatting sqref="AH67:AH72">
    <cfRule type="cellIs" dxfId="253" priority="11" operator="equal">
      <formula>"Catastrófico"</formula>
    </cfRule>
    <cfRule type="cellIs" dxfId="252" priority="12" operator="equal">
      <formula>"Mayor"</formula>
    </cfRule>
    <cfRule type="cellIs" dxfId="251" priority="13" operator="equal">
      <formula>"Moderado"</formula>
    </cfRule>
    <cfRule type="cellIs" dxfId="250" priority="14" operator="equal">
      <formula>"Menor"</formula>
    </cfRule>
    <cfRule type="cellIs" dxfId="249" priority="15" operator="equal">
      <formula>"Leve"</formula>
    </cfRule>
  </conditionalFormatting>
  <conditionalFormatting sqref="AJ67:AJ72">
    <cfRule type="cellIs" dxfId="248" priority="7" operator="equal">
      <formula>"Extremo"</formula>
    </cfRule>
    <cfRule type="cellIs" dxfId="247" priority="8" operator="equal">
      <formula>"Alto"</formula>
    </cfRule>
    <cfRule type="cellIs" dxfId="246" priority="9" operator="equal">
      <formula>"Moderado"</formula>
    </cfRule>
    <cfRule type="cellIs" dxfId="245" priority="10" operator="equal">
      <formula>"Bajo"</formula>
    </cfRule>
  </conditionalFormatting>
  <conditionalFormatting sqref="R13:R72">
    <cfRule type="containsText" dxfId="244" priority="6" operator="containsText" text="❌">
      <formula>NOT(ISERROR(SEARCH("❌",R13)))</formula>
    </cfRule>
  </conditionalFormatting>
  <conditionalFormatting sqref="O55">
    <cfRule type="cellIs" dxfId="243" priority="1" operator="equal">
      <formula>"Muy Alta"</formula>
    </cfRule>
    <cfRule type="cellIs" dxfId="242" priority="2" operator="equal">
      <formula>"Alta"</formula>
    </cfRule>
    <cfRule type="cellIs" dxfId="241" priority="3" operator="equal">
      <formula>"Media"</formula>
    </cfRule>
    <cfRule type="cellIs" dxfId="240" priority="4" operator="equal">
      <formula>"Baja"</formula>
    </cfRule>
    <cfRule type="cellIs" dxfId="239"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&amp;LAvenida Calle 26 No. 69-76,Edificio Elemento ,   Torre Aire , Piso 3, CP-111071
PBX:(+57) 601-3779555 - Información: Línea 195
Sede Operativa - Atención al Ciudadano: Calle 22D No. 120-40 
www.umv.gov.co&amp;CDESI-FM-018
Página &amp;P de &amp;N</oddFooter>
  </headerFooter>
  <rowBreaks count="1" manualBreakCount="1">
    <brk id="30" max="43" man="1"/>
  </rowBreaks>
  <colBreaks count="1" manualBreakCount="1">
    <brk id="20" min="3" max="65"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600-000000000000}">
          <x14:formula1>
            <xm:f>Listas!$H$14:$H$18</xm:f>
          </x14:formula1>
          <xm:sqref>M13:M72</xm:sqref>
        </x14:dataValidation>
        <x14:dataValidation type="list" allowBlank="1" showInputMessage="1" showErrorMessage="1" xr:uid="{00000000-0002-0000-0600-000001000000}">
          <x14:formula1>
            <xm:f>Listas!$H$8:$H$12</xm:f>
          </x14:formula1>
          <xm:sqref>L13:L72</xm:sqref>
        </x14:dataValidation>
        <x14:dataValidation type="list" allowBlank="1" showInputMessage="1" showErrorMessage="1" xr:uid="{00000000-0002-0000-0600-000002000000}">
          <x14:formula1>
            <xm:f>Intructivo!$C$300:$C$316</xm:f>
          </x14:formula1>
          <xm:sqref>C6 T6:V6</xm:sqref>
        </x14:dataValidation>
        <x14:dataValidation type="list" allowBlank="1" showInputMessage="1" showErrorMessage="1" xr:uid="{00000000-0002-0000-0600-000003000000}">
          <x14:formula1>
            <xm:f>Listas!$F$8:$F$9</xm:f>
          </x14:formula1>
          <xm:sqref>G13:G72</xm:sqref>
        </x14:dataValidation>
        <x14:dataValidation type="list" allowBlank="1" showInputMessage="1" showErrorMessage="1" xr:uid="{00000000-0002-0000-0600-000004000000}">
          <x14:formula1>
            <xm:f>Listas!$B$17:$B$19</xm:f>
          </x14:formula1>
          <xm:sqref>F13:F72</xm:sqref>
        </x14:dataValidation>
        <x14:dataValidation type="custom" allowBlank="1" showInputMessage="1" showErrorMessage="1" error="Recuerde que las acciones se generan bajo la medida de mitigar el riesgo" xr:uid="{00000000-0002-0000-0600-000005000000}">
          <x14:formula1>
            <xm:f>IF(OR(#REF!=Listas!$B$2,#REF!=Listas!$B$3,#REF!=Listas!$B$4),ISBLANK(#REF!),ISTEXT(#REF!))</xm:f>
          </x14:formula1>
          <xm:sqref>AP19:AR19 AP67:AR67 AP61:AR61 AP55:AR55 AP49:AR49 AP43:AR43 AP37:AR37 AP31:AR31 AP25:AR25</xm:sqref>
        </x14:dataValidation>
        <x14:dataValidation type="list" allowBlank="1" showInputMessage="1" showErrorMessage="1" xr:uid="{00000000-0002-0000-0600-000006000000}">
          <x14:formula1>
            <xm:f>Listas!$B$2:$B$5</xm:f>
          </x14:formula1>
          <xm:sqref>AK13:AK72</xm:sqref>
        </x14:dataValidation>
        <x14:dataValidation type="list" allowBlank="1" showInputMessage="1" showErrorMessage="1" xr:uid="{00000000-0002-0000-0600-000007000000}">
          <x14:formula1>
            <xm:f>Listas!$E$2:$E$4</xm:f>
          </x14:formula1>
          <xm:sqref>B13:B72</xm:sqref>
        </x14:dataValidation>
        <x14:dataValidation type="list" allowBlank="1" showInputMessage="1" showErrorMessage="1" xr:uid="{00000000-0002-0000-0600-000008000000}">
          <x14:formula1>
            <xm:f>'Tabla Valoración controles'!$D$13:$D$14</xm:f>
          </x14:formula1>
          <xm:sqref>AD13:AD72</xm:sqref>
        </x14:dataValidation>
        <x14:dataValidation type="list" allowBlank="1" showInputMessage="1" showErrorMessage="1" xr:uid="{00000000-0002-0000-0600-000009000000}">
          <x14:formula1>
            <xm:f>'Tabla Valoración controles'!$D$11:$D$12</xm:f>
          </x14:formula1>
          <xm:sqref>AC13:AC72</xm:sqref>
        </x14:dataValidation>
        <x14:dataValidation type="list" allowBlank="1" showInputMessage="1" showErrorMessage="1" xr:uid="{00000000-0002-0000-0600-00000A000000}">
          <x14:formula1>
            <xm:f>'Tabla Valoración controles'!$D$9:$D$10</xm:f>
          </x14:formula1>
          <xm:sqref>AB13:AB72</xm:sqref>
        </x14:dataValidation>
        <x14:dataValidation type="list" allowBlank="1" showInputMessage="1" showErrorMessage="1" xr:uid="{00000000-0002-0000-0600-00000B000000}">
          <x14:formula1>
            <xm:f>'Tabla Valoración controles'!$D$7:$D$8</xm:f>
          </x14:formula1>
          <xm:sqref>Z13:Z72</xm:sqref>
        </x14:dataValidation>
        <x14:dataValidation type="list" allowBlank="1" showInputMessage="1" showErrorMessage="1" xr:uid="{00000000-0002-0000-0600-00000C000000}">
          <x14:formula1>
            <xm:f>'Tabla Valoración controles'!$D$4:$D$6</xm:f>
          </x14:formula1>
          <xm:sqref>Y13:Y72</xm:sqref>
        </x14:dataValidation>
        <x14:dataValidation type="list" allowBlank="1" showInputMessage="1" showErrorMessage="1" xr:uid="{00000000-0002-0000-0600-00000D000000}">
          <x14:formula1>
            <xm:f>'Tabla Impacto'!$F$220:$F$222</xm:f>
          </x14:formula1>
          <xm:sqref>Q13:Q72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29"/>
  <sheetViews>
    <sheetView zoomScaleNormal="100" zoomScaleSheetLayoutView="90" workbookViewId="0">
      <selection activeCell="B25" sqref="B25:F25"/>
    </sheetView>
  </sheetViews>
  <sheetFormatPr baseColWidth="10" defaultColWidth="11.42578125" defaultRowHeight="14.25" x14ac:dyDescent="0.25"/>
  <cols>
    <col min="1" max="1" width="2.140625" style="148" customWidth="1"/>
    <col min="2" max="2" width="11.42578125" style="148"/>
    <col min="3" max="3" width="34.28515625" style="148" customWidth="1"/>
    <col min="4" max="4" width="36.42578125" style="148" customWidth="1"/>
    <col min="5" max="6" width="13.85546875" style="148" customWidth="1"/>
    <col min="7" max="7" width="1.28515625" style="148" customWidth="1"/>
    <col min="8" max="16384" width="11.42578125" style="148"/>
  </cols>
  <sheetData>
    <row r="1" spans="2:6" ht="11.25" customHeight="1" thickBot="1" x14ac:dyDescent="0.3"/>
    <row r="2" spans="2:6" ht="18.75" customHeight="1" thickBot="1" x14ac:dyDescent="0.3">
      <c r="B2" s="599" t="s">
        <v>282</v>
      </c>
      <c r="C2" s="600"/>
      <c r="D2" s="600"/>
      <c r="E2" s="600"/>
      <c r="F2" s="601"/>
    </row>
    <row r="3" spans="2:6" ht="31.9" customHeight="1" x14ac:dyDescent="0.25">
      <c r="B3" s="602" t="s">
        <v>283</v>
      </c>
      <c r="C3" s="604" t="s">
        <v>284</v>
      </c>
      <c r="D3" s="604"/>
      <c r="E3" s="604" t="s">
        <v>285</v>
      </c>
      <c r="F3" s="606"/>
    </row>
    <row r="4" spans="2:6" ht="28.15" customHeight="1" thickBot="1" x14ac:dyDescent="0.3">
      <c r="B4" s="603"/>
      <c r="C4" s="605"/>
      <c r="D4" s="605"/>
      <c r="E4" s="158" t="s">
        <v>286</v>
      </c>
      <c r="F4" s="159" t="s">
        <v>287</v>
      </c>
    </row>
    <row r="5" spans="2:6" ht="23.25" customHeight="1" x14ac:dyDescent="0.25">
      <c r="B5" s="149">
        <v>1</v>
      </c>
      <c r="C5" s="607" t="s">
        <v>288</v>
      </c>
      <c r="D5" s="607"/>
      <c r="E5" s="178"/>
      <c r="F5" s="179"/>
    </row>
    <row r="6" spans="2:6" ht="33" customHeight="1" x14ac:dyDescent="0.25">
      <c r="B6" s="150">
        <v>2</v>
      </c>
      <c r="C6" s="598" t="s">
        <v>289</v>
      </c>
      <c r="D6" s="598"/>
      <c r="E6" s="180"/>
      <c r="F6" s="181"/>
    </row>
    <row r="7" spans="2:6" ht="39" customHeight="1" x14ac:dyDescent="0.25">
      <c r="B7" s="150">
        <v>3</v>
      </c>
      <c r="C7" s="598" t="s">
        <v>290</v>
      </c>
      <c r="D7" s="598"/>
      <c r="E7" s="180"/>
      <c r="F7" s="181"/>
    </row>
    <row r="8" spans="2:6" ht="24.75" customHeight="1" x14ac:dyDescent="0.25">
      <c r="B8" s="150">
        <v>4</v>
      </c>
      <c r="C8" s="598" t="s">
        <v>291</v>
      </c>
      <c r="D8" s="598"/>
      <c r="E8" s="180"/>
      <c r="F8" s="181"/>
    </row>
    <row r="9" spans="2:6" ht="23.25" customHeight="1" x14ac:dyDescent="0.25">
      <c r="B9" s="150">
        <v>5</v>
      </c>
      <c r="C9" s="598" t="s">
        <v>292</v>
      </c>
      <c r="D9" s="598"/>
      <c r="E9" s="180"/>
      <c r="F9" s="181"/>
    </row>
    <row r="10" spans="2:6" ht="23.25" customHeight="1" x14ac:dyDescent="0.25">
      <c r="B10" s="150">
        <v>6</v>
      </c>
      <c r="C10" s="598" t="s">
        <v>293</v>
      </c>
      <c r="D10" s="598"/>
      <c r="E10" s="180"/>
      <c r="F10" s="181"/>
    </row>
    <row r="11" spans="2:6" ht="23.25" customHeight="1" x14ac:dyDescent="0.25">
      <c r="B11" s="150">
        <v>7</v>
      </c>
      <c r="C11" s="598" t="s">
        <v>294</v>
      </c>
      <c r="D11" s="598"/>
      <c r="E11" s="180"/>
      <c r="F11" s="181"/>
    </row>
    <row r="12" spans="2:6" ht="25.5" customHeight="1" x14ac:dyDescent="0.25">
      <c r="B12" s="150">
        <v>8</v>
      </c>
      <c r="C12" s="598" t="s">
        <v>295</v>
      </c>
      <c r="D12" s="598"/>
      <c r="E12" s="151"/>
      <c r="F12" s="152"/>
    </row>
    <row r="13" spans="2:6" ht="23.25" customHeight="1" x14ac:dyDescent="0.25">
      <c r="B13" s="150">
        <v>9</v>
      </c>
      <c r="C13" s="598" t="s">
        <v>296</v>
      </c>
      <c r="D13" s="598"/>
      <c r="E13" s="151"/>
      <c r="F13" s="152"/>
    </row>
    <row r="14" spans="2:6" ht="23.25" customHeight="1" x14ac:dyDescent="0.25">
      <c r="B14" s="150">
        <v>10</v>
      </c>
      <c r="C14" s="598" t="s">
        <v>297</v>
      </c>
      <c r="D14" s="598"/>
      <c r="E14" s="151"/>
      <c r="F14" s="152"/>
    </row>
    <row r="15" spans="2:6" ht="23.25" customHeight="1" x14ac:dyDescent="0.25">
      <c r="B15" s="150">
        <v>11</v>
      </c>
      <c r="C15" s="598" t="s">
        <v>298</v>
      </c>
      <c r="D15" s="598"/>
      <c r="E15" s="151"/>
      <c r="F15" s="152"/>
    </row>
    <row r="16" spans="2:6" ht="23.25" customHeight="1" x14ac:dyDescent="0.25">
      <c r="B16" s="150">
        <v>12</v>
      </c>
      <c r="C16" s="598" t="s">
        <v>299</v>
      </c>
      <c r="D16" s="598"/>
      <c r="E16" s="151"/>
      <c r="F16" s="152"/>
    </row>
    <row r="17" spans="2:6" ht="23.25" customHeight="1" x14ac:dyDescent="0.25">
      <c r="B17" s="150">
        <v>13</v>
      </c>
      <c r="C17" s="598" t="s">
        <v>300</v>
      </c>
      <c r="D17" s="598"/>
      <c r="E17" s="151"/>
      <c r="F17" s="152"/>
    </row>
    <row r="18" spans="2:6" ht="23.25" customHeight="1" x14ac:dyDescent="0.25">
      <c r="B18" s="150">
        <v>14</v>
      </c>
      <c r="C18" s="598" t="s">
        <v>301</v>
      </c>
      <c r="D18" s="598"/>
      <c r="E18" s="151"/>
      <c r="F18" s="152"/>
    </row>
    <row r="19" spans="2:6" ht="23.25" customHeight="1" x14ac:dyDescent="0.25">
      <c r="B19" s="150">
        <v>15</v>
      </c>
      <c r="C19" s="598" t="s">
        <v>302</v>
      </c>
      <c r="D19" s="598"/>
      <c r="E19" s="151"/>
      <c r="F19" s="152"/>
    </row>
    <row r="20" spans="2:6" ht="23.25" customHeight="1" x14ac:dyDescent="0.25">
      <c r="B20" s="150">
        <v>16</v>
      </c>
      <c r="C20" s="598" t="s">
        <v>303</v>
      </c>
      <c r="D20" s="598"/>
      <c r="E20" s="151"/>
      <c r="F20" s="152"/>
    </row>
    <row r="21" spans="2:6" ht="23.25" customHeight="1" x14ac:dyDescent="0.25">
      <c r="B21" s="150">
        <v>17</v>
      </c>
      <c r="C21" s="598" t="s">
        <v>304</v>
      </c>
      <c r="D21" s="598"/>
      <c r="E21" s="151"/>
      <c r="F21" s="152"/>
    </row>
    <row r="22" spans="2:6" ht="23.25" customHeight="1" x14ac:dyDescent="0.25">
      <c r="B22" s="150">
        <v>18</v>
      </c>
      <c r="C22" s="612" t="s">
        <v>305</v>
      </c>
      <c r="D22" s="612"/>
      <c r="E22" s="151"/>
      <c r="F22" s="152"/>
    </row>
    <row r="23" spans="2:6" ht="23.25" customHeight="1" thickBot="1" x14ac:dyDescent="0.3">
      <c r="B23" s="150">
        <v>19</v>
      </c>
      <c r="C23" s="598" t="s">
        <v>306</v>
      </c>
      <c r="D23" s="598"/>
      <c r="E23" s="151"/>
      <c r="F23" s="152"/>
    </row>
    <row r="24" spans="2:6" ht="15.75" customHeight="1" thickBot="1" x14ac:dyDescent="0.3">
      <c r="B24" s="613" t="s">
        <v>307</v>
      </c>
      <c r="C24" s="608"/>
      <c r="D24" s="608"/>
      <c r="E24" s="608">
        <f>COUNTIF(E5:E23,"X")</f>
        <v>0</v>
      </c>
      <c r="F24" s="609"/>
    </row>
    <row r="25" spans="2:6" ht="45.75" customHeight="1" x14ac:dyDescent="0.25">
      <c r="B25" s="610" t="s">
        <v>308</v>
      </c>
      <c r="C25" s="610"/>
      <c r="D25" s="610"/>
      <c r="E25" s="610"/>
      <c r="F25" s="610"/>
    </row>
    <row r="26" spans="2:6" ht="9.75" customHeight="1" x14ac:dyDescent="0.25">
      <c r="B26" s="611"/>
      <c r="C26" s="611"/>
      <c r="D26" s="611"/>
      <c r="E26" s="611"/>
      <c r="F26" s="611"/>
    </row>
    <row r="27" spans="2:6" x14ac:dyDescent="0.25">
      <c r="B27" s="247"/>
    </row>
    <row r="28" spans="2:6" x14ac:dyDescent="0.25">
      <c r="B28" s="247"/>
    </row>
    <row r="29" spans="2:6" x14ac:dyDescent="0.25">
      <c r="B29" s="247"/>
    </row>
  </sheetData>
  <mergeCells count="27">
    <mergeCell ref="E24:F24"/>
    <mergeCell ref="B25:F25"/>
    <mergeCell ref="B26:F26"/>
    <mergeCell ref="C19:D19"/>
    <mergeCell ref="C20:D20"/>
    <mergeCell ref="C21:D21"/>
    <mergeCell ref="C22:D22"/>
    <mergeCell ref="C23:D23"/>
    <mergeCell ref="B24:D24"/>
    <mergeCell ref="C18:D18"/>
    <mergeCell ref="C7:D7"/>
    <mergeCell ref="C8:D8"/>
    <mergeCell ref="C9:D9"/>
    <mergeCell ref="C10:D10"/>
    <mergeCell ref="C11:D11"/>
    <mergeCell ref="C12:D12"/>
    <mergeCell ref="C13:D13"/>
    <mergeCell ref="C14:D14"/>
    <mergeCell ref="C15:D15"/>
    <mergeCell ref="C16:D16"/>
    <mergeCell ref="C17:D17"/>
    <mergeCell ref="C6:D6"/>
    <mergeCell ref="B2:F2"/>
    <mergeCell ref="B3:B4"/>
    <mergeCell ref="C3:D4"/>
    <mergeCell ref="E3:F3"/>
    <mergeCell ref="C5:D5"/>
  </mergeCells>
  <dataValidations count="1">
    <dataValidation type="list" allowBlank="1" showInputMessage="1" showErrorMessage="1" sqref="E5:F23" xr:uid="{00000000-0002-0000-0700-000000000000}">
      <formula1>"X"</formula1>
    </dataValidation>
  </dataValidations>
  <printOptions horizontalCentered="1"/>
  <pageMargins left="0.25" right="0.25"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JP75"/>
  <sheetViews>
    <sheetView zoomScale="70" zoomScaleNormal="70" zoomScaleSheetLayoutView="50" zoomScalePageLayoutView="60" workbookViewId="0">
      <selection activeCell="Z13" sqref="A13:XFD72"/>
    </sheetView>
  </sheetViews>
  <sheetFormatPr baseColWidth="10" defaultColWidth="11.42578125" defaultRowHeight="15" x14ac:dyDescent="0.2"/>
  <cols>
    <col min="1" max="1" width="6.5703125" style="218" customWidth="1"/>
    <col min="2" max="2" width="16" style="218" customWidth="1"/>
    <col min="3" max="3" width="19.140625" style="218" customWidth="1"/>
    <col min="4" max="4" width="25.28515625" style="218" customWidth="1"/>
    <col min="5" max="5" width="40.140625" style="218" customWidth="1"/>
    <col min="6" max="10" width="17.7109375" style="198" customWidth="1"/>
    <col min="11" max="11" width="16" style="198" customWidth="1"/>
    <col min="12" max="12" width="24.28515625" style="198" customWidth="1"/>
    <col min="13" max="14" width="29.42578125" style="198" customWidth="1"/>
    <col min="15" max="15" width="24.28515625" style="198" customWidth="1"/>
    <col min="16" max="16" width="19.42578125" style="198" customWidth="1"/>
    <col min="17" max="17" width="20.5703125" style="198" customWidth="1"/>
    <col min="18" max="18" width="16.7109375" style="219" customWidth="1"/>
    <col min="19" max="19" width="16.7109375" style="198" customWidth="1"/>
    <col min="20" max="20" width="20.42578125" style="198" customWidth="1"/>
    <col min="21" max="21" width="12.85546875" style="198" customWidth="1"/>
    <col min="22" max="22" width="35.85546875" style="198" hidden="1" customWidth="1"/>
    <col min="23" max="23" width="30.5703125" style="198" hidden="1" customWidth="1"/>
    <col min="24" max="24" width="17.5703125" style="198" customWidth="1"/>
    <col min="25" max="25" width="15" style="198" customWidth="1"/>
    <col min="26" max="26" width="16" style="198" customWidth="1"/>
    <col min="27" max="27" width="32.7109375" style="198" customWidth="1"/>
    <col min="28" max="28" width="26.85546875" style="198" hidden="1" customWidth="1"/>
    <col min="29" max="29" width="5.85546875" style="198" customWidth="1"/>
    <col min="30" max="30" width="6.85546875" style="198" customWidth="1"/>
    <col min="31" max="31" width="5" style="198" hidden="1" customWidth="1"/>
    <col min="32" max="32" width="5.5703125" style="198" customWidth="1"/>
    <col min="33" max="33" width="7.140625" style="198" customWidth="1"/>
    <col min="34" max="34" width="6.7109375" style="198" customWidth="1"/>
    <col min="35" max="35" width="7.5703125" style="198" hidden="1" customWidth="1"/>
    <col min="36" max="36" width="8.5703125" style="198" customWidth="1"/>
    <col min="37" max="41" width="10.85546875" style="198" customWidth="1"/>
    <col min="42" max="42" width="10.85546875" style="217" customWidth="1"/>
    <col min="43" max="43" width="23" style="198" customWidth="1"/>
    <col min="44" max="44" width="18.85546875" style="198" customWidth="1"/>
    <col min="45" max="45" width="21.5703125" style="198" customWidth="1"/>
    <col min="46" max="46" width="22.42578125" style="198" customWidth="1"/>
    <col min="47" max="47" width="16.42578125" style="198" customWidth="1"/>
    <col min="48" max="48" width="20.5703125" style="198" customWidth="1"/>
    <col min="49" max="16384" width="11.42578125" style="198"/>
  </cols>
  <sheetData>
    <row r="1" spans="1:276" s="201" customFormat="1" ht="20.25" x14ac:dyDescent="0.3">
      <c r="A1" s="453"/>
      <c r="B1" s="454"/>
      <c r="C1" s="455"/>
      <c r="D1" s="443" t="s">
        <v>208</v>
      </c>
      <c r="E1" s="444"/>
      <c r="F1" s="444"/>
      <c r="G1" s="444"/>
      <c r="H1" s="444"/>
      <c r="I1" s="444"/>
      <c r="J1" s="444"/>
      <c r="K1" s="444"/>
      <c r="L1" s="444"/>
      <c r="M1" s="444"/>
      <c r="N1" s="444"/>
      <c r="O1" s="444"/>
      <c r="P1" s="444"/>
      <c r="Q1" s="444"/>
      <c r="R1" s="444"/>
      <c r="S1" s="444"/>
      <c r="T1" s="445"/>
      <c r="U1" s="252"/>
      <c r="V1" s="252"/>
      <c r="W1" s="252"/>
      <c r="X1" s="425"/>
      <c r="Y1" s="425"/>
      <c r="Z1" s="425"/>
      <c r="AA1" s="425"/>
      <c r="AB1" s="425"/>
      <c r="AC1" s="425"/>
      <c r="AD1" s="425"/>
      <c r="AE1" s="425"/>
      <c r="AF1" s="425"/>
      <c r="AG1" s="425"/>
      <c r="AH1" s="425"/>
      <c r="AI1" s="425"/>
      <c r="AJ1" s="425"/>
      <c r="AK1" s="425"/>
      <c r="AL1" s="425"/>
      <c r="AM1" s="425"/>
      <c r="AN1" s="425"/>
      <c r="AO1" s="425"/>
      <c r="AP1" s="425"/>
      <c r="AQ1" s="425"/>
      <c r="AR1" s="425"/>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row>
    <row r="2" spans="1:276" s="201" customFormat="1" ht="21" thickBot="1" x14ac:dyDescent="0.35">
      <c r="A2" s="456"/>
      <c r="B2" s="457"/>
      <c r="C2" s="458"/>
      <c r="D2" s="446"/>
      <c r="E2" s="447"/>
      <c r="F2" s="447"/>
      <c r="G2" s="447"/>
      <c r="H2" s="447"/>
      <c r="I2" s="447"/>
      <c r="J2" s="447"/>
      <c r="K2" s="447"/>
      <c r="L2" s="447"/>
      <c r="M2" s="447"/>
      <c r="N2" s="447"/>
      <c r="O2" s="447"/>
      <c r="P2" s="447"/>
      <c r="Q2" s="447"/>
      <c r="R2" s="447"/>
      <c r="S2" s="447"/>
      <c r="T2" s="448"/>
      <c r="U2" s="252"/>
      <c r="V2" s="252"/>
      <c r="W2" s="252"/>
      <c r="X2" s="425"/>
      <c r="Y2" s="425"/>
      <c r="Z2" s="425"/>
      <c r="AA2" s="425"/>
      <c r="AB2" s="425"/>
      <c r="AC2" s="425"/>
      <c r="AD2" s="425"/>
      <c r="AE2" s="425"/>
      <c r="AF2" s="425"/>
      <c r="AG2" s="425"/>
      <c r="AH2" s="425"/>
      <c r="AI2" s="425"/>
      <c r="AJ2" s="425"/>
      <c r="AK2" s="425"/>
      <c r="AL2" s="425"/>
      <c r="AM2" s="425"/>
      <c r="AN2" s="425"/>
      <c r="AO2" s="425"/>
      <c r="AP2" s="425"/>
      <c r="AQ2" s="425"/>
      <c r="AR2" s="425"/>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276" s="201" customFormat="1" ht="27.75" customHeight="1" thickBot="1" x14ac:dyDescent="0.35">
      <c r="A3" s="456"/>
      <c r="B3" s="457"/>
      <c r="C3" s="458"/>
      <c r="D3" s="449" t="s">
        <v>209</v>
      </c>
      <c r="E3" s="450"/>
      <c r="F3" s="450"/>
      <c r="G3" s="450"/>
      <c r="H3" s="450"/>
      <c r="I3" s="451"/>
      <c r="J3" s="449"/>
      <c r="K3" s="450"/>
      <c r="L3" s="450"/>
      <c r="M3" s="450"/>
      <c r="N3" s="450"/>
      <c r="O3" s="450"/>
      <c r="P3" s="450"/>
      <c r="Q3" s="450"/>
      <c r="R3" s="450"/>
      <c r="S3" s="450" t="s">
        <v>210</v>
      </c>
      <c r="T3" s="451"/>
      <c r="U3" s="253"/>
      <c r="V3" s="253"/>
      <c r="W3" s="252"/>
      <c r="X3" s="426"/>
      <c r="Y3" s="426"/>
      <c r="Z3" s="426"/>
      <c r="AA3" s="426"/>
      <c r="AB3" s="426"/>
      <c r="AC3" s="426"/>
      <c r="AD3" s="426"/>
      <c r="AE3" s="426"/>
      <c r="AF3" s="426"/>
      <c r="AG3" s="426"/>
      <c r="AH3" s="426"/>
      <c r="AI3" s="426"/>
      <c r="AJ3" s="426"/>
      <c r="AK3" s="426"/>
      <c r="AL3" s="426"/>
      <c r="AM3" s="426"/>
      <c r="AN3" s="426"/>
      <c r="AO3" s="426"/>
      <c r="AP3" s="426"/>
      <c r="AQ3" s="426"/>
      <c r="AR3" s="426"/>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row>
    <row r="4" spans="1:276" s="201" customFormat="1" ht="27.75" customHeight="1" thickBot="1" x14ac:dyDescent="0.35">
      <c r="A4" s="459"/>
      <c r="B4" s="460"/>
      <c r="C4" s="461"/>
      <c r="D4" s="449" t="s">
        <v>422</v>
      </c>
      <c r="E4" s="450"/>
      <c r="F4" s="450"/>
      <c r="G4" s="450"/>
      <c r="H4" s="450"/>
      <c r="I4" s="450"/>
      <c r="J4" s="450"/>
      <c r="K4" s="450"/>
      <c r="L4" s="450"/>
      <c r="M4" s="450"/>
      <c r="N4" s="450"/>
      <c r="O4" s="450"/>
      <c r="P4" s="450"/>
      <c r="Q4" s="450"/>
      <c r="R4" s="450"/>
      <c r="S4" s="450"/>
      <c r="T4" s="451"/>
      <c r="U4" s="252"/>
      <c r="V4" s="252"/>
      <c r="W4" s="252"/>
      <c r="X4" s="426"/>
      <c r="Y4" s="426"/>
      <c r="Z4" s="426"/>
      <c r="AA4" s="426"/>
      <c r="AB4" s="426"/>
      <c r="AC4" s="426"/>
      <c r="AD4" s="426"/>
      <c r="AE4" s="426"/>
      <c r="AF4" s="426"/>
      <c r="AG4" s="426"/>
      <c r="AH4" s="426"/>
      <c r="AI4" s="426"/>
      <c r="AJ4" s="426"/>
      <c r="AK4" s="426"/>
      <c r="AL4" s="426"/>
      <c r="AM4" s="426"/>
      <c r="AN4" s="426"/>
      <c r="AO4" s="426"/>
      <c r="AP4" s="426"/>
      <c r="AQ4" s="426"/>
      <c r="AR4" s="426"/>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row>
    <row r="5" spans="1:276" ht="15.75" thickBot="1" x14ac:dyDescent="0.25">
      <c r="A5" s="202"/>
      <c r="B5" s="203"/>
      <c r="C5" s="202"/>
      <c r="D5" s="202"/>
      <c r="E5" s="202"/>
      <c r="F5" s="204"/>
      <c r="G5" s="204"/>
      <c r="H5" s="204"/>
      <c r="I5" s="204"/>
      <c r="J5" s="204"/>
      <c r="K5" s="204"/>
      <c r="L5" s="204"/>
      <c r="M5" s="204"/>
      <c r="N5" s="205"/>
      <c r="O5" s="204"/>
      <c r="P5" s="204"/>
      <c r="Q5" s="204"/>
      <c r="R5" s="204"/>
      <c r="S5" s="204"/>
      <c r="T5" s="204"/>
      <c r="U5" s="204"/>
      <c r="V5" s="204"/>
      <c r="W5" s="204"/>
      <c r="X5" s="204"/>
      <c r="Y5" s="204"/>
      <c r="Z5" s="204"/>
      <c r="AA5" s="204"/>
      <c r="AB5" s="204"/>
      <c r="AC5" s="204"/>
      <c r="AD5" s="204"/>
      <c r="AE5" s="204"/>
      <c r="AF5" s="204"/>
      <c r="AG5" s="204"/>
      <c r="AH5" s="204"/>
      <c r="AI5" s="204"/>
      <c r="AJ5" s="204"/>
      <c r="AK5" s="204"/>
      <c r="AL5" s="25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row>
    <row r="6" spans="1:276" ht="27" customHeight="1" thickBot="1" x14ac:dyDescent="0.25">
      <c r="A6" s="427" t="s">
        <v>211</v>
      </c>
      <c r="B6" s="428"/>
      <c r="C6" s="434"/>
      <c r="D6" s="435"/>
      <c r="E6" s="435"/>
      <c r="F6" s="435"/>
      <c r="G6" s="435"/>
      <c r="H6" s="435"/>
      <c r="I6" s="435"/>
      <c r="J6" s="435"/>
      <c r="K6" s="435"/>
      <c r="L6" s="435"/>
      <c r="M6" s="435"/>
      <c r="N6" s="435"/>
      <c r="O6" s="435"/>
      <c r="P6" s="435"/>
      <c r="Q6" s="435"/>
      <c r="R6" s="435"/>
      <c r="S6" s="435"/>
      <c r="T6" s="436"/>
      <c r="U6" s="255"/>
      <c r="V6" s="255"/>
      <c r="W6" s="433"/>
      <c r="X6" s="433"/>
      <c r="Y6" s="433"/>
      <c r="Z6" s="424"/>
      <c r="AA6" s="424"/>
      <c r="AB6" s="424"/>
      <c r="AC6" s="424"/>
      <c r="AD6" s="424"/>
      <c r="AE6" s="424"/>
      <c r="AF6" s="424"/>
      <c r="AG6" s="424"/>
      <c r="AH6" s="424"/>
      <c r="AI6" s="424"/>
      <c r="AJ6" s="424"/>
      <c r="AK6" s="424"/>
      <c r="AL6" s="424"/>
      <c r="AM6" s="424"/>
      <c r="AN6" s="424"/>
      <c r="AO6" s="424"/>
      <c r="AP6" s="424"/>
      <c r="AQ6" s="424"/>
      <c r="AR6" s="42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276" ht="27" customHeight="1" thickBot="1" x14ac:dyDescent="0.3">
      <c r="A7" s="429" t="s">
        <v>212</v>
      </c>
      <c r="B7" s="430"/>
      <c r="C7" s="437"/>
      <c r="D7" s="438"/>
      <c r="E7" s="438"/>
      <c r="F7" s="438"/>
      <c r="G7" s="438"/>
      <c r="H7" s="438"/>
      <c r="I7" s="438"/>
      <c r="J7" s="438"/>
      <c r="K7" s="438"/>
      <c r="L7" s="438"/>
      <c r="M7" s="438"/>
      <c r="N7" s="438"/>
      <c r="O7" s="438"/>
      <c r="P7" s="438"/>
      <c r="Q7" s="438"/>
      <c r="R7" s="438"/>
      <c r="S7" s="438"/>
      <c r="T7" s="439"/>
      <c r="U7" s="256"/>
      <c r="V7" s="256"/>
      <c r="W7" s="257"/>
      <c r="X7" s="257"/>
      <c r="Y7" s="257"/>
      <c r="Z7" s="424"/>
      <c r="AA7" s="424"/>
      <c r="AB7" s="424"/>
      <c r="AC7" s="424"/>
      <c r="AD7" s="424"/>
      <c r="AE7" s="424"/>
      <c r="AF7" s="424"/>
      <c r="AG7" s="424"/>
      <c r="AH7" s="424"/>
      <c r="AI7" s="424"/>
      <c r="AJ7" s="424"/>
      <c r="AK7" s="424"/>
      <c r="AL7" s="424"/>
      <c r="AM7" s="424"/>
      <c r="AN7" s="424"/>
      <c r="AO7" s="424"/>
      <c r="AP7" s="424"/>
      <c r="AQ7" s="424"/>
      <c r="AR7" s="42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row>
    <row r="8" spans="1:276" ht="27" customHeight="1" thickBot="1" x14ac:dyDescent="0.3">
      <c r="A8" s="431" t="s">
        <v>213</v>
      </c>
      <c r="B8" s="432"/>
      <c r="C8" s="437"/>
      <c r="D8" s="438"/>
      <c r="E8" s="438"/>
      <c r="F8" s="438"/>
      <c r="G8" s="438"/>
      <c r="H8" s="438"/>
      <c r="I8" s="438"/>
      <c r="J8" s="438"/>
      <c r="K8" s="438"/>
      <c r="L8" s="438"/>
      <c r="M8" s="438"/>
      <c r="N8" s="438"/>
      <c r="O8" s="438"/>
      <c r="P8" s="438"/>
      <c r="Q8" s="438"/>
      <c r="R8" s="438"/>
      <c r="S8" s="438"/>
      <c r="T8" s="439"/>
      <c r="U8" s="256"/>
      <c r="V8" s="256"/>
      <c r="W8" s="257"/>
      <c r="X8" s="257"/>
      <c r="Y8" s="257"/>
      <c r="Z8" s="424"/>
      <c r="AA8" s="424"/>
      <c r="AB8" s="424"/>
      <c r="AC8" s="424"/>
      <c r="AD8" s="424"/>
      <c r="AE8" s="424"/>
      <c r="AF8" s="424"/>
      <c r="AG8" s="424"/>
      <c r="AH8" s="424"/>
      <c r="AI8" s="424"/>
      <c r="AJ8" s="424"/>
      <c r="AK8" s="424"/>
      <c r="AL8" s="424"/>
      <c r="AM8" s="424"/>
      <c r="AN8" s="424"/>
      <c r="AO8" s="424"/>
      <c r="AP8" s="424"/>
      <c r="AQ8" s="424"/>
      <c r="AR8" s="42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row>
    <row r="9" spans="1:276" ht="15.75" x14ac:dyDescent="0.25">
      <c r="A9" s="206"/>
      <c r="B9" s="206"/>
      <c r="C9" s="207"/>
      <c r="D9" s="207"/>
      <c r="E9" s="207"/>
      <c r="F9" s="207"/>
      <c r="G9" s="207"/>
      <c r="H9" s="207"/>
      <c r="I9" s="207"/>
      <c r="J9" s="207"/>
      <c r="K9" s="207"/>
      <c r="L9" s="207"/>
      <c r="M9" s="207"/>
      <c r="N9" s="207"/>
      <c r="O9" s="207"/>
      <c r="P9" s="207"/>
      <c r="Q9" s="207"/>
      <c r="R9" s="207"/>
      <c r="S9" s="207"/>
      <c r="T9" s="207"/>
      <c r="U9" s="207"/>
      <c r="V9" s="207"/>
      <c r="W9" s="208"/>
      <c r="X9" s="208"/>
      <c r="Y9" s="208"/>
      <c r="Z9" s="209"/>
      <c r="AA9" s="209"/>
      <c r="AB9" s="209"/>
      <c r="AC9" s="209"/>
      <c r="AD9" s="209"/>
      <c r="AE9" s="209"/>
      <c r="AF9" s="209"/>
      <c r="AG9" s="209"/>
      <c r="AH9" s="209"/>
      <c r="AI9" s="209"/>
      <c r="AJ9" s="209"/>
      <c r="AK9" s="209"/>
      <c r="AL9" s="209"/>
      <c r="AM9" s="209"/>
      <c r="AN9" s="209"/>
      <c r="AO9" s="209"/>
      <c r="AP9" s="209"/>
      <c r="AQ9" s="209"/>
      <c r="AR9" s="209"/>
    </row>
    <row r="10" spans="1:276" ht="39" customHeight="1" x14ac:dyDescent="0.2">
      <c r="A10" s="440" t="s">
        <v>214</v>
      </c>
      <c r="B10" s="441"/>
      <c r="C10" s="441"/>
      <c r="D10" s="441"/>
      <c r="E10" s="441"/>
      <c r="F10" s="441"/>
      <c r="G10" s="441"/>
      <c r="H10" s="441"/>
      <c r="I10" s="441"/>
      <c r="J10" s="442"/>
      <c r="K10" s="383" t="s">
        <v>215</v>
      </c>
      <c r="L10" s="384"/>
      <c r="M10" s="384"/>
      <c r="N10" s="384"/>
      <c r="O10" s="385"/>
      <c r="P10" s="617" t="s">
        <v>216</v>
      </c>
      <c r="Q10" s="618"/>
      <c r="R10" s="224"/>
      <c r="S10" s="224"/>
      <c r="T10" s="376" t="s">
        <v>217</v>
      </c>
      <c r="U10" s="376"/>
      <c r="V10" s="376"/>
      <c r="W10" s="376"/>
      <c r="X10" s="376"/>
      <c r="Y10" s="376"/>
      <c r="Z10" s="376"/>
      <c r="AA10" s="376" t="s">
        <v>218</v>
      </c>
      <c r="AB10" s="376"/>
      <c r="AC10" s="376"/>
      <c r="AD10" s="376"/>
      <c r="AE10" s="376"/>
      <c r="AF10" s="376"/>
      <c r="AG10" s="376"/>
      <c r="AH10" s="376"/>
      <c r="AI10" s="376"/>
      <c r="AJ10" s="356" t="s">
        <v>219</v>
      </c>
      <c r="AK10" s="357"/>
      <c r="AL10" s="357"/>
      <c r="AM10" s="357"/>
      <c r="AN10" s="358"/>
      <c r="AO10" s="356" t="s">
        <v>220</v>
      </c>
      <c r="AP10" s="357"/>
      <c r="AQ10" s="357"/>
      <c r="AR10" s="357"/>
      <c r="AS10" s="358"/>
      <c r="AT10" s="356" t="s">
        <v>221</v>
      </c>
      <c r="AU10" s="357"/>
      <c r="AV10" s="358"/>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row>
    <row r="11" spans="1:276" ht="26.25" customHeight="1" x14ac:dyDescent="0.2">
      <c r="A11" s="409" t="s">
        <v>222</v>
      </c>
      <c r="B11" s="411" t="s">
        <v>15</v>
      </c>
      <c r="C11" s="413" t="s">
        <v>17</v>
      </c>
      <c r="D11" s="413" t="s">
        <v>19</v>
      </c>
      <c r="E11" s="411" t="s">
        <v>21</v>
      </c>
      <c r="F11" s="413" t="s">
        <v>23</v>
      </c>
      <c r="G11" s="614" t="s">
        <v>309</v>
      </c>
      <c r="H11" s="616" t="s">
        <v>310</v>
      </c>
      <c r="I11" s="616" t="s">
        <v>311</v>
      </c>
      <c r="J11" s="616" t="s">
        <v>312</v>
      </c>
      <c r="K11" s="416" t="s">
        <v>124</v>
      </c>
      <c r="L11" s="416" t="s">
        <v>280</v>
      </c>
      <c r="M11" s="416" t="s">
        <v>224</v>
      </c>
      <c r="N11" s="416" t="s">
        <v>225</v>
      </c>
      <c r="O11" s="416" t="s">
        <v>226</v>
      </c>
      <c r="P11" s="251"/>
      <c r="Q11" s="251"/>
      <c r="R11" s="351" t="s">
        <v>227</v>
      </c>
      <c r="S11" s="351" t="s">
        <v>228</v>
      </c>
      <c r="T11" s="396" t="s">
        <v>229</v>
      </c>
      <c r="U11" s="351" t="s">
        <v>230</v>
      </c>
      <c r="V11" s="351" t="s">
        <v>231</v>
      </c>
      <c r="W11" s="351" t="s">
        <v>232</v>
      </c>
      <c r="X11" s="396" t="s">
        <v>229</v>
      </c>
      <c r="Y11" s="351" t="s">
        <v>29</v>
      </c>
      <c r="Z11" s="371" t="s">
        <v>233</v>
      </c>
      <c r="AA11" s="351" t="s">
        <v>31</v>
      </c>
      <c r="AB11" s="351" t="s">
        <v>33</v>
      </c>
      <c r="AC11" s="351" t="s">
        <v>234</v>
      </c>
      <c r="AD11" s="351"/>
      <c r="AE11" s="351"/>
      <c r="AF11" s="351"/>
      <c r="AG11" s="351"/>
      <c r="AH11" s="351"/>
      <c r="AI11" s="371" t="s">
        <v>235</v>
      </c>
      <c r="AJ11" s="371" t="s">
        <v>236</v>
      </c>
      <c r="AK11" s="371" t="s">
        <v>229</v>
      </c>
      <c r="AL11" s="371" t="s">
        <v>237</v>
      </c>
      <c r="AM11" s="371" t="s">
        <v>229</v>
      </c>
      <c r="AN11" s="371" t="s">
        <v>238</v>
      </c>
      <c r="AO11" s="371" t="s">
        <v>49</v>
      </c>
      <c r="AP11" s="351" t="s">
        <v>239</v>
      </c>
      <c r="AQ11" s="351" t="s">
        <v>240</v>
      </c>
      <c r="AR11" s="351" t="s">
        <v>241</v>
      </c>
      <c r="AS11" s="351" t="s">
        <v>242</v>
      </c>
      <c r="AT11" s="351" t="s">
        <v>243</v>
      </c>
      <c r="AU11" s="351" t="s">
        <v>244</v>
      </c>
      <c r="AV11" s="351" t="s">
        <v>245</v>
      </c>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row>
    <row r="12" spans="1:276" s="213" customFormat="1" ht="73.5" customHeight="1" x14ac:dyDescent="0.25">
      <c r="A12" s="409"/>
      <c r="B12" s="411"/>
      <c r="C12" s="413"/>
      <c r="D12" s="413"/>
      <c r="E12" s="411"/>
      <c r="F12" s="413"/>
      <c r="G12" s="615"/>
      <c r="H12" s="616"/>
      <c r="I12" s="616"/>
      <c r="J12" s="616"/>
      <c r="K12" s="597"/>
      <c r="L12" s="597"/>
      <c r="M12" s="597"/>
      <c r="N12" s="597"/>
      <c r="O12" s="597"/>
      <c r="P12" s="250" t="s">
        <v>425</v>
      </c>
      <c r="Q12" s="250" t="s">
        <v>246</v>
      </c>
      <c r="R12" s="351"/>
      <c r="S12" s="351"/>
      <c r="T12" s="396"/>
      <c r="U12" s="351"/>
      <c r="V12" s="351"/>
      <c r="W12" s="396"/>
      <c r="X12" s="396"/>
      <c r="Y12" s="351"/>
      <c r="Z12" s="371"/>
      <c r="AA12" s="351"/>
      <c r="AB12" s="351"/>
      <c r="AC12" s="210" t="s">
        <v>247</v>
      </c>
      <c r="AD12" s="210" t="s">
        <v>248</v>
      </c>
      <c r="AE12" s="210" t="s">
        <v>249</v>
      </c>
      <c r="AF12" s="210" t="s">
        <v>250</v>
      </c>
      <c r="AG12" s="210" t="s">
        <v>251</v>
      </c>
      <c r="AH12" s="210" t="s">
        <v>252</v>
      </c>
      <c r="AI12" s="371"/>
      <c r="AJ12" s="371"/>
      <c r="AK12" s="371"/>
      <c r="AL12" s="371"/>
      <c r="AM12" s="371"/>
      <c r="AN12" s="371"/>
      <c r="AO12" s="371"/>
      <c r="AP12" s="351"/>
      <c r="AQ12" s="351"/>
      <c r="AR12" s="351"/>
      <c r="AS12" s="351"/>
      <c r="AT12" s="351"/>
      <c r="AU12" s="351"/>
      <c r="AV12" s="35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c r="JM12" s="212"/>
      <c r="JN12" s="212"/>
      <c r="JO12" s="212"/>
      <c r="JP12" s="212"/>
    </row>
    <row r="13" spans="1:276" s="215" customFormat="1" x14ac:dyDescent="0.25">
      <c r="A13" s="418">
        <v>1</v>
      </c>
      <c r="B13" s="387"/>
      <c r="C13" s="387"/>
      <c r="D13" s="387"/>
      <c r="E13" s="390"/>
      <c r="F13" s="387"/>
      <c r="G13" s="392"/>
      <c r="H13" s="392"/>
      <c r="I13" s="392"/>
      <c r="J13" s="392"/>
      <c r="K13" s="392"/>
      <c r="L13" s="392"/>
      <c r="M13" s="392"/>
      <c r="N13" s="392"/>
      <c r="O13" s="392"/>
      <c r="P13" s="392"/>
      <c r="Q13" s="392"/>
      <c r="R13" s="381"/>
      <c r="S13" s="367" t="str">
        <f>IF(R13&lt;=0,"",IF(R13&lt;=2,"Muy Baja",IF(R13&lt;=24,"Baja",IF(R13&lt;=500,"Media",IF(R13&lt;=5000,"Alta","Muy Alta")))))</f>
        <v/>
      </c>
      <c r="T13" s="364" t="str">
        <f>IF(S13="","",IF(S13="Muy Baja",0.2,IF(S13="Baja",0.4,IF(S13="Media",0.6,IF(S13="Alta",0.8,IF(S13="Muy Alta",1,))))))</f>
        <v/>
      </c>
      <c r="U13" s="353"/>
      <c r="V13" s="364">
        <f>IF(NOT(ISERROR(MATCH(U13,'Tabla Impacto'!$B$222:$B$224,0))),'Tabla Impacto'!$F$224&amp;"Por favor no seleccionar los criterios de impacto(Afectación Económica o presupuestal y Pérdida Reputacional)",U13)</f>
        <v>0</v>
      </c>
      <c r="W13" s="367" t="str">
        <f>IF(OR(V13='Tabla Impacto'!$C$12,V13='Tabla Impacto'!$D$12),"Leve",IF(OR(V13='Tabla Impacto'!$C$13,V13='Tabla Impacto'!$D$13),"Menor",IF(OR(V13='Tabla Impacto'!$C$14,V13='Tabla Impacto'!$D$14),"Moderado",IF(OR(V13='Tabla Impacto'!$C$15,V13='Tabla Impacto'!$D$15),"Mayor",IF(OR(V13='Tabla Impacto'!$C$16,V13='Tabla Impacto'!$D$16),"Catastrófico","")))))</f>
        <v/>
      </c>
      <c r="X13" s="364" t="str">
        <f>IF(W13="","",IF(W13="Leve",0.2,IF(W13="Menor",0.4,IF(W13="Moderado",0.6,IF(W13="Mayor",0.8,IF(W13="Catastrófico",1,))))))</f>
        <v/>
      </c>
      <c r="Y13" s="362" t="str">
        <f>IF(OR(AND(S13="Muy Baja",W13="Leve"),AND(S13="Muy Baja",W13="Menor"),AND(S13="Baja",W13="Leve")),"Bajo",IF(OR(AND(S13="Muy baja",W13="Moderado"),AND(S13="Baja",W13="Menor"),AND(S13="Baja",W13="Moderado"),AND(S13="Media",W13="Leve"),AND(S13="Media",W13="Menor"),AND(S13="Media",W13="Moderado"),AND(S13="Alta",W13="Leve"),AND(S13="Alta",W13="Menor")),"Moderado",IF(OR(AND(S13="Muy Baja",W13="Mayor"),AND(S13="Baja",W13="Mayor"),AND(S13="Media",W13="Mayor"),AND(S13="Alta",W13="Moderado"),AND(S13="Alta",W13="Mayor"),AND(S13="Muy Alta",W13="Leve"),AND(S13="Muy Alta",W13="Menor"),AND(S13="Muy Alta",W13="Moderado"),AND(S13="Muy Alta",W13="Mayor")),"Alto",IF(OR(AND(S13="Muy Baja",W13="Catastrófico"),AND(S13="Baja",W13="Catastrófico"),AND(S13="Media",W13="Catastrófico"),AND(S13="Alta",W13="Catastrófico"),AND(S13="Muy Alta",W13="Catastrófico")),"Extremo",""))))</f>
        <v/>
      </c>
      <c r="Z13" s="214">
        <v>1</v>
      </c>
      <c r="AA13" s="240"/>
      <c r="AB13" s="189" t="str">
        <f t="shared" ref="AB13:AB18" si="0">IF(OR(AC13="Preventivo",AC13="Detectivo"),"Probabilidad",IF(AC13="Correctivo","Impacto",""))</f>
        <v/>
      </c>
      <c r="AC13" s="190"/>
      <c r="AD13" s="190"/>
      <c r="AE13" s="191" t="str">
        <f>IF(AND(AC13="Preventivo",AD13="Automático"),"50%",IF(AND(AC13="Preventivo",AD13="Manual"),"40%",IF(AND(AC13="Detectivo",AD13="Automático"),"40%",IF(AND(AC13="Detectivo",AD13="Manual"),"30%",IF(AND(AC13="Correctivo",AD13="Automático"),"35%",IF(AND(AC13="Correctivo",AD13="Manual"),"25%",""))))))</f>
        <v/>
      </c>
      <c r="AF13" s="190"/>
      <c r="AG13" s="190"/>
      <c r="AH13" s="190"/>
      <c r="AI13" s="192" t="str">
        <f>IFERROR(IF(AB13="Probabilidad",(T13-(+T13*AE13)),IF(AB13="Impacto",T13,"")),"")</f>
        <v/>
      </c>
      <c r="AJ13" s="193" t="str">
        <f>IFERROR(IF(AI13="","",IF(AI13&lt;=0.2,"Muy Baja",IF(AI13&lt;=0.4,"Baja",IF(AI13&lt;=0.6,"Media",IF(AI13&lt;=0.8,"Alta","Muy Alta"))))),"")</f>
        <v/>
      </c>
      <c r="AK13" s="191" t="str">
        <f>+AI13</f>
        <v/>
      </c>
      <c r="AL13" s="193" t="str">
        <f>IFERROR(IF(AM13="","",IF(AM13&lt;=0.2,"Leve",IF(AM13&lt;=0.4,"Menor",IF(AM13&lt;=0.6,"Moderado",IF(AM13&lt;=0.8,"Mayor","Catastrófico"))))),"")</f>
        <v/>
      </c>
      <c r="AM13" s="191" t="str">
        <f>IFERROR(IF(AB13="Impacto",(X13-(+X13*AE13)),IF(AB13="Probabilidad",X13,"")),"")</f>
        <v/>
      </c>
      <c r="AN13" s="194"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
      </c>
      <c r="AO13" s="195"/>
      <c r="AP13" s="186"/>
      <c r="AQ13" s="196"/>
      <c r="AR13" s="196"/>
      <c r="AS13" s="197"/>
      <c r="AT13" s="387"/>
      <c r="AU13" s="387"/>
      <c r="AV13" s="387"/>
    </row>
    <row r="14" spans="1:276" x14ac:dyDescent="0.2">
      <c r="A14" s="418"/>
      <c r="B14" s="387"/>
      <c r="C14" s="387"/>
      <c r="D14" s="387"/>
      <c r="E14" s="390"/>
      <c r="F14" s="387"/>
      <c r="G14" s="360"/>
      <c r="H14" s="360"/>
      <c r="I14" s="360"/>
      <c r="J14" s="360"/>
      <c r="K14" s="360"/>
      <c r="L14" s="360"/>
      <c r="M14" s="360"/>
      <c r="N14" s="360"/>
      <c r="O14" s="360"/>
      <c r="P14" s="360"/>
      <c r="Q14" s="360"/>
      <c r="R14" s="381"/>
      <c r="S14" s="367"/>
      <c r="T14" s="364"/>
      <c r="U14" s="353"/>
      <c r="V14" s="364">
        <f>IF(NOT(ISERROR(MATCH(U14,_xlfn.ANCHORARRAY(E25),0))),T27&amp;"Por favor no seleccionar los criterios de impacto",U14)</f>
        <v>0</v>
      </c>
      <c r="W14" s="367"/>
      <c r="X14" s="364"/>
      <c r="Y14" s="362"/>
      <c r="Z14" s="214">
        <v>2</v>
      </c>
      <c r="AA14" s="240"/>
      <c r="AB14" s="189" t="str">
        <f t="shared" si="0"/>
        <v/>
      </c>
      <c r="AC14" s="190"/>
      <c r="AD14" s="190"/>
      <c r="AE14" s="191" t="str">
        <f t="shared" ref="AE14:AE18" si="1">IF(AND(AC14="Preventivo",AD14="Automático"),"50%",IF(AND(AC14="Preventivo",AD14="Manual"),"40%",IF(AND(AC14="Detectivo",AD14="Automático"),"40%",IF(AND(AC14="Detectivo",AD14="Manual"),"30%",IF(AND(AC14="Correctivo",AD14="Automático"),"35%",IF(AND(AC14="Correctivo",AD14="Manual"),"25%",""))))))</f>
        <v/>
      </c>
      <c r="AF14" s="190"/>
      <c r="AG14" s="190"/>
      <c r="AH14" s="190"/>
      <c r="AI14" s="192" t="str">
        <f>IFERROR(IF(AND(AB13="Probabilidad",AB14="Probabilidad"),(AK13-(+AK13*AE14)),IF(AB14="Probabilidad",(T13-(+T13*AE14)),IF(AB14="Impacto",AK13,""))),"")</f>
        <v/>
      </c>
      <c r="AJ14" s="193" t="str">
        <f t="shared" ref="AJ14:AJ72" si="2">IFERROR(IF(AI14="","",IF(AI14&lt;=0.2,"Muy Baja",IF(AI14&lt;=0.4,"Baja",IF(AI14&lt;=0.6,"Media",IF(AI14&lt;=0.8,"Alta","Muy Alta"))))),"")</f>
        <v/>
      </c>
      <c r="AK14" s="191" t="str">
        <f t="shared" ref="AK14:AK18" si="3">+AI14</f>
        <v/>
      </c>
      <c r="AL14" s="193" t="str">
        <f t="shared" ref="AL14:AL72" si="4">IFERROR(IF(AM14="","",IF(AM14&lt;=0.2,"Leve",IF(AM14&lt;=0.4,"Menor",IF(AM14&lt;=0.6,"Moderado",IF(AM14&lt;=0.8,"Mayor","Catastrófico"))))),"")</f>
        <v/>
      </c>
      <c r="AM14" s="191" t="str">
        <f>IFERROR(IF(AND(AB13="Impacto",AB14="Impacto"),(AM13-(+AM13*AE14)),IF(AB14="Impacto",($X$13-(+$X$13*AE14)),IF(AB14="Probabilidad",AM13,""))),"")</f>
        <v/>
      </c>
      <c r="AN14" s="194" t="str">
        <f t="shared" ref="AN14:AN18" si="5">IFERROR(IF(OR(AND(AJ14="Muy Baja",AL14="Leve"),AND(AJ14="Muy Baja",AL14="Menor"),AND(AJ14="Baja",AL14="Leve")),"Bajo",IF(OR(AND(AJ14="Muy baja",AL14="Moderado"),AND(AJ14="Baja",AL14="Menor"),AND(AJ14="Baja",AL14="Moderado"),AND(AJ14="Media",AL14="Leve"),AND(AJ14="Media",AL14="Menor"),AND(AJ14="Media",AL14="Moderado"),AND(AJ14="Alta",AL14="Leve"),AND(AJ14="Alta",AL14="Menor")),"Moderado",IF(OR(AND(AJ14="Muy Baja",AL14="Mayor"),AND(AJ14="Baja",AL14="Mayor"),AND(AJ14="Media",AL14="Mayor"),AND(AJ14="Alta",AL14="Moderado"),AND(AJ14="Alta",AL14="Mayor"),AND(AJ14="Muy Alta",AL14="Leve"),AND(AJ14="Muy Alta",AL14="Menor"),AND(AJ14="Muy Alta",AL14="Moderado"),AND(AJ14="Muy Alta",AL14="Mayor")),"Alto",IF(OR(AND(AJ14="Muy Baja",AL14="Catastrófico"),AND(AJ14="Baja",AL14="Catastrófico"),AND(AJ14="Media",AL14="Catastrófico"),AND(AJ14="Alta",AL14="Catastrófico"),AND(AJ14="Muy Alta",AL14="Catastrófico")),"Extremo","")))),"")</f>
        <v/>
      </c>
      <c r="AO14" s="195"/>
      <c r="AP14" s="186"/>
      <c r="AQ14" s="196"/>
      <c r="AR14" s="186"/>
      <c r="AS14" s="197"/>
      <c r="AT14" s="387"/>
      <c r="AU14" s="387"/>
      <c r="AV14" s="387"/>
    </row>
    <row r="15" spans="1:276" x14ac:dyDescent="0.2">
      <c r="A15" s="418"/>
      <c r="B15" s="387"/>
      <c r="C15" s="387"/>
      <c r="D15" s="387"/>
      <c r="E15" s="390"/>
      <c r="F15" s="387"/>
      <c r="G15" s="360"/>
      <c r="H15" s="360"/>
      <c r="I15" s="360"/>
      <c r="J15" s="360"/>
      <c r="K15" s="360"/>
      <c r="L15" s="360"/>
      <c r="M15" s="360"/>
      <c r="N15" s="360"/>
      <c r="O15" s="360"/>
      <c r="P15" s="360"/>
      <c r="Q15" s="360"/>
      <c r="R15" s="381"/>
      <c r="S15" s="367"/>
      <c r="T15" s="364"/>
      <c r="U15" s="353"/>
      <c r="V15" s="364">
        <f>IF(NOT(ISERROR(MATCH(U15,_xlfn.ANCHORARRAY(E26),0))),T28&amp;"Por favor no seleccionar los criterios de impacto",U15)</f>
        <v>0</v>
      </c>
      <c r="W15" s="367"/>
      <c r="X15" s="364"/>
      <c r="Y15" s="362"/>
      <c r="Z15" s="214">
        <v>3</v>
      </c>
      <c r="AA15" s="188"/>
      <c r="AB15" s="189" t="str">
        <f t="shared" si="0"/>
        <v/>
      </c>
      <c r="AC15" s="190"/>
      <c r="AD15" s="190"/>
      <c r="AE15" s="191" t="str">
        <f t="shared" si="1"/>
        <v/>
      </c>
      <c r="AF15" s="190"/>
      <c r="AG15" s="190"/>
      <c r="AH15" s="190"/>
      <c r="AI15" s="192" t="str">
        <f>IFERROR(IF(AND(AB14="Probabilidad",AB15="Probabilidad"),(AK14-(+AK14*AE15)),IF(AND(AB14="Impacto",AB15="Probabilidad"),(AK13-(+AK13*AE15)),IF(AB15="Impacto",AK14,""))),"")</f>
        <v/>
      </c>
      <c r="AJ15" s="193" t="str">
        <f t="shared" si="2"/>
        <v/>
      </c>
      <c r="AK15" s="191" t="str">
        <f t="shared" si="3"/>
        <v/>
      </c>
      <c r="AL15" s="193" t="str">
        <f t="shared" si="4"/>
        <v/>
      </c>
      <c r="AM15" s="191" t="str">
        <f>IFERROR(IF(AND(AB14="Impacto",AB15="Impacto"),(AM14-(+AM14*AE15)),IF(AND(AB14="Probabilidad",AB15="Impacto"),(AM13-(+AM13*AE15)),IF(AB15="Probabilidad",AM14,""))),"")</f>
        <v/>
      </c>
      <c r="AN15" s="194" t="str">
        <f t="shared" si="5"/>
        <v/>
      </c>
      <c r="AO15" s="195"/>
      <c r="AP15" s="186"/>
      <c r="AQ15" s="196"/>
      <c r="AR15" s="196"/>
      <c r="AS15" s="197"/>
      <c r="AT15" s="387"/>
      <c r="AU15" s="387"/>
      <c r="AV15" s="387"/>
    </row>
    <row r="16" spans="1:276" x14ac:dyDescent="0.2">
      <c r="A16" s="418"/>
      <c r="B16" s="387"/>
      <c r="C16" s="387"/>
      <c r="D16" s="387"/>
      <c r="E16" s="390"/>
      <c r="F16" s="387"/>
      <c r="G16" s="360"/>
      <c r="H16" s="360"/>
      <c r="I16" s="360"/>
      <c r="J16" s="360"/>
      <c r="K16" s="360"/>
      <c r="L16" s="360"/>
      <c r="M16" s="360"/>
      <c r="N16" s="360"/>
      <c r="O16" s="360"/>
      <c r="P16" s="360"/>
      <c r="Q16" s="360"/>
      <c r="R16" s="381"/>
      <c r="S16" s="367"/>
      <c r="T16" s="364"/>
      <c r="U16" s="353"/>
      <c r="V16" s="364">
        <f>IF(NOT(ISERROR(MATCH(U16,_xlfn.ANCHORARRAY(E27),0))),T29&amp;"Por favor no seleccionar los criterios de impacto",U16)</f>
        <v>0</v>
      </c>
      <c r="W16" s="367"/>
      <c r="X16" s="364"/>
      <c r="Y16" s="362"/>
      <c r="Z16" s="214">
        <v>4</v>
      </c>
      <c r="AA16" s="187"/>
      <c r="AB16" s="189" t="str">
        <f t="shared" si="0"/>
        <v/>
      </c>
      <c r="AC16" s="190"/>
      <c r="AD16" s="190"/>
      <c r="AE16" s="191" t="str">
        <f t="shared" si="1"/>
        <v/>
      </c>
      <c r="AF16" s="190"/>
      <c r="AG16" s="190"/>
      <c r="AH16" s="190"/>
      <c r="AI16" s="192" t="str">
        <f t="shared" ref="AI16:AI18" si="6">IFERROR(IF(AND(AB15="Probabilidad",AB16="Probabilidad"),(AK15-(+AK15*AE16)),IF(AND(AB15="Impacto",AB16="Probabilidad"),(AK14-(+AK14*AE16)),IF(AB16="Impacto",AK15,""))),"")</f>
        <v/>
      </c>
      <c r="AJ16" s="193" t="str">
        <f t="shared" si="2"/>
        <v/>
      </c>
      <c r="AK16" s="191" t="str">
        <f t="shared" si="3"/>
        <v/>
      </c>
      <c r="AL16" s="193" t="str">
        <f t="shared" si="4"/>
        <v/>
      </c>
      <c r="AM16" s="191" t="str">
        <f t="shared" ref="AM16:AM18" si="7">IFERROR(IF(AND(AB15="Impacto",AB16="Impacto"),(AM15-(+AM15*AE16)),IF(AND(AB15="Probabilidad",AB16="Impacto"),(AM14-(+AM14*AE16)),IF(AB16="Probabilidad",AM15,""))),"")</f>
        <v/>
      </c>
      <c r="AN16" s="194"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
      </c>
      <c r="AO16" s="195"/>
      <c r="AP16" s="186"/>
      <c r="AQ16" s="196"/>
      <c r="AR16" s="196"/>
      <c r="AS16" s="197"/>
      <c r="AT16" s="387"/>
      <c r="AU16" s="387"/>
      <c r="AV16" s="387"/>
    </row>
    <row r="17" spans="1:48" x14ac:dyDescent="0.2">
      <c r="A17" s="418"/>
      <c r="B17" s="387"/>
      <c r="C17" s="387"/>
      <c r="D17" s="387"/>
      <c r="E17" s="390"/>
      <c r="F17" s="387"/>
      <c r="G17" s="360"/>
      <c r="H17" s="360"/>
      <c r="I17" s="360"/>
      <c r="J17" s="360"/>
      <c r="K17" s="360"/>
      <c r="L17" s="360"/>
      <c r="M17" s="360"/>
      <c r="N17" s="360"/>
      <c r="O17" s="360"/>
      <c r="P17" s="360"/>
      <c r="Q17" s="360"/>
      <c r="R17" s="381"/>
      <c r="S17" s="367"/>
      <c r="T17" s="364"/>
      <c r="U17" s="353"/>
      <c r="V17" s="364">
        <f>IF(NOT(ISERROR(MATCH(U17,_xlfn.ANCHORARRAY(E28),0))),T30&amp;"Por favor no seleccionar los criterios de impacto",U17)</f>
        <v>0</v>
      </c>
      <c r="W17" s="367"/>
      <c r="X17" s="364"/>
      <c r="Y17" s="362"/>
      <c r="Z17" s="214">
        <v>5</v>
      </c>
      <c r="AA17" s="187"/>
      <c r="AB17" s="189" t="str">
        <f t="shared" si="0"/>
        <v/>
      </c>
      <c r="AC17" s="190"/>
      <c r="AD17" s="190"/>
      <c r="AE17" s="191" t="str">
        <f t="shared" si="1"/>
        <v/>
      </c>
      <c r="AF17" s="190"/>
      <c r="AG17" s="190"/>
      <c r="AH17" s="190"/>
      <c r="AI17" s="192" t="str">
        <f t="shared" si="6"/>
        <v/>
      </c>
      <c r="AJ17" s="193" t="str">
        <f t="shared" si="2"/>
        <v/>
      </c>
      <c r="AK17" s="191" t="str">
        <f t="shared" si="3"/>
        <v/>
      </c>
      <c r="AL17" s="193" t="str">
        <f t="shared" si="4"/>
        <v/>
      </c>
      <c r="AM17" s="191" t="str">
        <f t="shared" si="7"/>
        <v/>
      </c>
      <c r="AN17" s="194" t="str">
        <f t="shared" si="5"/>
        <v/>
      </c>
      <c r="AO17" s="195"/>
      <c r="AP17" s="186"/>
      <c r="AQ17" s="196"/>
      <c r="AR17" s="196"/>
      <c r="AS17" s="197"/>
      <c r="AT17" s="387"/>
      <c r="AU17" s="387"/>
      <c r="AV17" s="387"/>
    </row>
    <row r="18" spans="1:48" x14ac:dyDescent="0.2">
      <c r="A18" s="418"/>
      <c r="B18" s="387"/>
      <c r="C18" s="387"/>
      <c r="D18" s="387"/>
      <c r="E18" s="390"/>
      <c r="F18" s="387"/>
      <c r="G18" s="373"/>
      <c r="H18" s="373"/>
      <c r="I18" s="373"/>
      <c r="J18" s="373"/>
      <c r="K18" s="373"/>
      <c r="L18" s="373"/>
      <c r="M18" s="373"/>
      <c r="N18" s="373"/>
      <c r="O18" s="373"/>
      <c r="P18" s="373"/>
      <c r="Q18" s="373"/>
      <c r="R18" s="381"/>
      <c r="S18" s="367"/>
      <c r="T18" s="364"/>
      <c r="U18" s="353"/>
      <c r="V18" s="364">
        <f>IF(NOT(ISERROR(MATCH(U18,_xlfn.ANCHORARRAY(E29),0))),T31&amp;"Por favor no seleccionar los criterios de impacto",U18)</f>
        <v>0</v>
      </c>
      <c r="W18" s="367"/>
      <c r="X18" s="364"/>
      <c r="Y18" s="362"/>
      <c r="Z18" s="214">
        <v>6</v>
      </c>
      <c r="AA18" s="187"/>
      <c r="AB18" s="189" t="str">
        <f t="shared" si="0"/>
        <v/>
      </c>
      <c r="AC18" s="190"/>
      <c r="AD18" s="190"/>
      <c r="AE18" s="191" t="str">
        <f t="shared" si="1"/>
        <v/>
      </c>
      <c r="AF18" s="190"/>
      <c r="AG18" s="190"/>
      <c r="AH18" s="190"/>
      <c r="AI18" s="192" t="str">
        <f t="shared" si="6"/>
        <v/>
      </c>
      <c r="AJ18" s="193" t="str">
        <f t="shared" si="2"/>
        <v/>
      </c>
      <c r="AK18" s="191" t="str">
        <f t="shared" si="3"/>
        <v/>
      </c>
      <c r="AL18" s="193" t="str">
        <f t="shared" si="4"/>
        <v/>
      </c>
      <c r="AM18" s="191" t="str">
        <f t="shared" si="7"/>
        <v/>
      </c>
      <c r="AN18" s="194" t="str">
        <f t="shared" si="5"/>
        <v/>
      </c>
      <c r="AO18" s="195"/>
      <c r="AP18" s="186"/>
      <c r="AQ18" s="196"/>
      <c r="AR18" s="196"/>
      <c r="AS18" s="197"/>
      <c r="AT18" s="387"/>
      <c r="AU18" s="387"/>
      <c r="AV18" s="387"/>
    </row>
    <row r="19" spans="1:48" x14ac:dyDescent="0.2">
      <c r="A19" s="418">
        <v>2</v>
      </c>
      <c r="B19" s="387"/>
      <c r="C19" s="387"/>
      <c r="D19" s="387"/>
      <c r="E19" s="390"/>
      <c r="F19" s="387"/>
      <c r="G19" s="392"/>
      <c r="H19" s="392"/>
      <c r="I19" s="392"/>
      <c r="J19" s="392"/>
      <c r="K19" s="392"/>
      <c r="L19" s="392"/>
      <c r="M19" s="392"/>
      <c r="N19" s="392"/>
      <c r="O19" s="392"/>
      <c r="P19" s="392"/>
      <c r="Q19" s="392"/>
      <c r="R19" s="381"/>
      <c r="S19" s="367" t="str">
        <f>IF(R19&lt;=0,"",IF(R19&lt;=2,"Muy Baja",IF(R19&lt;=24,"Baja",IF(R19&lt;=500,"Media",IF(R19&lt;=5000,"Alta","Muy Alta")))))</f>
        <v/>
      </c>
      <c r="T19" s="364" t="str">
        <f>IF(S19="","",IF(S19="Muy Baja",0.2,IF(S19="Baja",0.4,IF(S19="Media",0.6,IF(S19="Alta",0.8,IF(S19="Muy Alta",1,))))))</f>
        <v/>
      </c>
      <c r="U19" s="353"/>
      <c r="V19" s="364">
        <f>IF(NOT(ISERROR(MATCH(U19,'Tabla Impacto'!$B$222:$B$224,0))),'Tabla Impacto'!$F$224&amp;"Por favor no seleccionar los criterios de impacto(Afectación Económica o presupuestal y Pérdida Reputacional)",U19)</f>
        <v>0</v>
      </c>
      <c r="W19" s="367" t="str">
        <f>IF(OR(V19='Tabla Impacto'!$C$12,V19='Tabla Impacto'!$D$12),"Leve",IF(OR(V19='Tabla Impacto'!$C$13,V19='Tabla Impacto'!$D$13),"Menor",IF(OR(V19='Tabla Impacto'!$C$14,V19='Tabla Impacto'!$D$14),"Moderado",IF(OR(V19='Tabla Impacto'!$C$15,V19='Tabla Impacto'!$D$15),"Mayor",IF(OR(V19='Tabla Impacto'!$C$16,V19='Tabla Impacto'!$D$16),"Catastrófico","")))))</f>
        <v/>
      </c>
      <c r="X19" s="364" t="str">
        <f>IF(W19="","",IF(W19="Leve",0.2,IF(W19="Menor",0.4,IF(W19="Moderado",0.6,IF(W19="Mayor",0.8,IF(W19="Catastrófico",1,))))))</f>
        <v/>
      </c>
      <c r="Y19" s="362" t="str">
        <f>IF(OR(AND(S19="Muy Baja",W19="Leve"),AND(S19="Muy Baja",W19="Menor"),AND(S19="Baja",W19="Leve")),"Bajo",IF(OR(AND(S19="Muy baja",W19="Moderado"),AND(S19="Baja",W19="Menor"),AND(S19="Baja",W19="Moderado"),AND(S19="Media",W19="Leve"),AND(S19="Media",W19="Menor"),AND(S19="Media",W19="Moderado"),AND(S19="Alta",W19="Leve"),AND(S19="Alta",W19="Menor")),"Moderado",IF(OR(AND(S19="Muy Baja",W19="Mayor"),AND(S19="Baja",W19="Mayor"),AND(S19="Media",W19="Mayor"),AND(S19="Alta",W19="Moderado"),AND(S19="Alta",W19="Mayor"),AND(S19="Muy Alta",W19="Leve"),AND(S19="Muy Alta",W19="Menor"),AND(S19="Muy Alta",W19="Moderado"),AND(S19="Muy Alta",W19="Mayor")),"Alto",IF(OR(AND(S19="Muy Baja",W19="Catastrófico"),AND(S19="Baja",W19="Catastrófico"),AND(S19="Media",W19="Catastrófico"),AND(S19="Alta",W19="Catastrófico"),AND(S19="Muy Alta",W19="Catastrófico")),"Extremo",""))))</f>
        <v/>
      </c>
      <c r="Z19" s="214">
        <v>1</v>
      </c>
      <c r="AA19" s="187"/>
      <c r="AB19" s="189" t="str">
        <f>IF(OR(AC19="Preventivo",AC19="Detectivo"),"Probabilidad",IF(AC19="Correctivo","Impacto",""))</f>
        <v/>
      </c>
      <c r="AC19" s="190"/>
      <c r="AD19" s="190"/>
      <c r="AE19" s="191" t="str">
        <f>IF(AND(AC19="Preventivo",AD19="Automático"),"50%",IF(AND(AC19="Preventivo",AD19="Manual"),"40%",IF(AND(AC19="Detectivo",AD19="Automático"),"40%",IF(AND(AC19="Detectivo",AD19="Manual"),"30%",IF(AND(AC19="Correctivo",AD19="Automático"),"35%",IF(AND(AC19="Correctivo",AD19="Manual"),"25%",""))))))</f>
        <v/>
      </c>
      <c r="AF19" s="190"/>
      <c r="AG19" s="190"/>
      <c r="AH19" s="190"/>
      <c r="AI19" s="192" t="str">
        <f>IFERROR(IF(AB19="Probabilidad",(T19-(+T19*AE19)),IF(AB19="Impacto",T19,"")),"")</f>
        <v/>
      </c>
      <c r="AJ19" s="193" t="str">
        <f>IFERROR(IF(AI19="","",IF(AI19&lt;=0.2,"Muy Baja",IF(AI19&lt;=0.4,"Baja",IF(AI19&lt;=0.6,"Media",IF(AI19&lt;=0.8,"Alta","Muy Alta"))))),"")</f>
        <v/>
      </c>
      <c r="AK19" s="191" t="str">
        <f>+AI19</f>
        <v/>
      </c>
      <c r="AL19" s="193" t="str">
        <f>IFERROR(IF(AM19="","",IF(AM19&lt;=0.2,"Leve",IF(AM19&lt;=0.4,"Menor",IF(AM19&lt;=0.6,"Moderado",IF(AM19&lt;=0.8,"Mayor","Catastrófico"))))),"")</f>
        <v/>
      </c>
      <c r="AM19" s="191" t="str">
        <f t="shared" ref="AM19" si="8">IFERROR(IF(AB19="Impacto",(X19-(+X19*AE19)),IF(AB19="Probabilidad",X19,"")),"")</f>
        <v/>
      </c>
      <c r="AN19" s="194"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195"/>
      <c r="AP19" s="186"/>
      <c r="AQ19" s="196"/>
      <c r="AR19" s="196"/>
      <c r="AS19" s="197"/>
      <c r="AT19" s="381"/>
      <c r="AU19" s="381"/>
      <c r="AV19" s="381"/>
    </row>
    <row r="20" spans="1:48" x14ac:dyDescent="0.2">
      <c r="A20" s="418"/>
      <c r="B20" s="387"/>
      <c r="C20" s="387"/>
      <c r="D20" s="387"/>
      <c r="E20" s="390"/>
      <c r="F20" s="387"/>
      <c r="G20" s="360"/>
      <c r="H20" s="360"/>
      <c r="I20" s="360"/>
      <c r="J20" s="360"/>
      <c r="K20" s="360"/>
      <c r="L20" s="360"/>
      <c r="M20" s="360"/>
      <c r="N20" s="360"/>
      <c r="O20" s="360"/>
      <c r="P20" s="360"/>
      <c r="Q20" s="360"/>
      <c r="R20" s="381"/>
      <c r="S20" s="367"/>
      <c r="T20" s="364"/>
      <c r="U20" s="353"/>
      <c r="V20" s="364">
        <f>IF(NOT(ISERROR(MATCH(U20,_xlfn.ANCHORARRAY(E31),0))),T33&amp;"Por favor no seleccionar los criterios de impacto",U20)</f>
        <v>0</v>
      </c>
      <c r="W20" s="367"/>
      <c r="X20" s="364"/>
      <c r="Y20" s="362"/>
      <c r="Z20" s="214">
        <v>2</v>
      </c>
      <c r="AA20" s="187"/>
      <c r="AB20" s="189" t="str">
        <f>IF(OR(AC20="Preventivo",AC20="Detectivo"),"Probabilidad",IF(AC20="Correctivo","Impacto",""))</f>
        <v/>
      </c>
      <c r="AC20" s="190"/>
      <c r="AD20" s="190"/>
      <c r="AE20" s="191" t="str">
        <f t="shared" ref="AE20:AE24" si="9">IF(AND(AC20="Preventivo",AD20="Automático"),"50%",IF(AND(AC20="Preventivo",AD20="Manual"),"40%",IF(AND(AC20="Detectivo",AD20="Automático"),"40%",IF(AND(AC20="Detectivo",AD20="Manual"),"30%",IF(AND(AC20="Correctivo",AD20="Automático"),"35%",IF(AND(AC20="Correctivo",AD20="Manual"),"25%",""))))))</f>
        <v/>
      </c>
      <c r="AF20" s="190"/>
      <c r="AG20" s="190"/>
      <c r="AH20" s="190"/>
      <c r="AI20" s="192" t="str">
        <f>IFERROR(IF(AND(AB19="Probabilidad",AB20="Probabilidad"),(AK19-(+AK19*AE20)),IF(AB20="Probabilidad",(T19-(+T19*AE20)),IF(AB20="Impacto",AK19,""))),"")</f>
        <v/>
      </c>
      <c r="AJ20" s="193" t="str">
        <f t="shared" si="2"/>
        <v/>
      </c>
      <c r="AK20" s="191" t="str">
        <f t="shared" ref="AK20:AK24" si="10">+AI20</f>
        <v/>
      </c>
      <c r="AL20" s="193" t="str">
        <f t="shared" si="4"/>
        <v/>
      </c>
      <c r="AM20" s="191" t="str">
        <f t="shared" ref="AM20" si="11">IFERROR(IF(AND(AB19="Impacto",AB20="Impacto"),(AM19-(+AM19*AE20)),IF(AB20="Impacto",($X$13-(+$X$13*AE20)),IF(AB20="Probabilidad",AM19,""))),"")</f>
        <v/>
      </c>
      <c r="AN20" s="194" t="str">
        <f t="shared" ref="AN20:AN21" si="12">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
      </c>
      <c r="AO20" s="195"/>
      <c r="AP20" s="186"/>
      <c r="AQ20" s="196"/>
      <c r="AR20" s="186"/>
      <c r="AS20" s="197"/>
      <c r="AT20" s="381"/>
      <c r="AU20" s="381"/>
      <c r="AV20" s="381"/>
    </row>
    <row r="21" spans="1:48" x14ac:dyDescent="0.2">
      <c r="A21" s="418"/>
      <c r="B21" s="387"/>
      <c r="C21" s="387"/>
      <c r="D21" s="387"/>
      <c r="E21" s="390"/>
      <c r="F21" s="387"/>
      <c r="G21" s="360"/>
      <c r="H21" s="360"/>
      <c r="I21" s="360"/>
      <c r="J21" s="360"/>
      <c r="K21" s="360"/>
      <c r="L21" s="360"/>
      <c r="M21" s="360"/>
      <c r="N21" s="360"/>
      <c r="O21" s="360"/>
      <c r="P21" s="360"/>
      <c r="Q21" s="360"/>
      <c r="R21" s="381"/>
      <c r="S21" s="367"/>
      <c r="T21" s="364"/>
      <c r="U21" s="353"/>
      <c r="V21" s="364">
        <f>IF(NOT(ISERROR(MATCH(U21,_xlfn.ANCHORARRAY(E32),0))),T34&amp;"Por favor no seleccionar los criterios de impacto",U21)</f>
        <v>0</v>
      </c>
      <c r="W21" s="367"/>
      <c r="X21" s="364"/>
      <c r="Y21" s="362"/>
      <c r="Z21" s="214">
        <v>3</v>
      </c>
      <c r="AA21" s="188"/>
      <c r="AB21" s="189" t="str">
        <f>IF(OR(AC21="Preventivo",AC21="Detectivo"),"Probabilidad",IF(AC21="Correctivo","Impacto",""))</f>
        <v/>
      </c>
      <c r="AC21" s="190"/>
      <c r="AD21" s="190"/>
      <c r="AE21" s="191" t="str">
        <f t="shared" si="9"/>
        <v/>
      </c>
      <c r="AF21" s="190"/>
      <c r="AG21" s="190"/>
      <c r="AH21" s="190"/>
      <c r="AI21" s="192" t="str">
        <f>IFERROR(IF(AND(AB20="Probabilidad",AB21="Probabilidad"),(AK20-(+AK20*AE21)),IF(AND(AB20="Impacto",AB21="Probabilidad"),(AK19-(+AK19*AE21)),IF(AB21="Impacto",AK20,""))),"")</f>
        <v/>
      </c>
      <c r="AJ21" s="193" t="str">
        <f t="shared" si="2"/>
        <v/>
      </c>
      <c r="AK21" s="191" t="str">
        <f t="shared" si="10"/>
        <v/>
      </c>
      <c r="AL21" s="193" t="str">
        <f t="shared" si="4"/>
        <v/>
      </c>
      <c r="AM21" s="191" t="str">
        <f t="shared" ref="AM21:AM72" si="13">IFERROR(IF(AND(AB20="Impacto",AB21="Impacto"),(AM20-(+AM20*AE21)),IF(AND(AB20="Probabilidad",AB21="Impacto"),(AM19-(+AM19*AE21)),IF(AB21="Probabilidad",AM20,""))),"")</f>
        <v/>
      </c>
      <c r="AN21" s="194" t="str">
        <f t="shared" si="12"/>
        <v/>
      </c>
      <c r="AO21" s="195"/>
      <c r="AP21" s="186"/>
      <c r="AQ21" s="196"/>
      <c r="AR21" s="196"/>
      <c r="AS21" s="197"/>
      <c r="AT21" s="381"/>
      <c r="AU21" s="381"/>
      <c r="AV21" s="381"/>
    </row>
    <row r="22" spans="1:48" x14ac:dyDescent="0.2">
      <c r="A22" s="418"/>
      <c r="B22" s="387"/>
      <c r="C22" s="387"/>
      <c r="D22" s="387"/>
      <c r="E22" s="390"/>
      <c r="F22" s="387"/>
      <c r="G22" s="360"/>
      <c r="H22" s="360"/>
      <c r="I22" s="360"/>
      <c r="J22" s="360"/>
      <c r="K22" s="360"/>
      <c r="L22" s="360"/>
      <c r="M22" s="360"/>
      <c r="N22" s="360"/>
      <c r="O22" s="360"/>
      <c r="P22" s="360"/>
      <c r="Q22" s="360"/>
      <c r="R22" s="381"/>
      <c r="S22" s="367"/>
      <c r="T22" s="364"/>
      <c r="U22" s="353"/>
      <c r="V22" s="364">
        <f>IF(NOT(ISERROR(MATCH(U22,_xlfn.ANCHORARRAY(E33),0))),T35&amp;"Por favor no seleccionar los criterios de impacto",U22)</f>
        <v>0</v>
      </c>
      <c r="W22" s="367"/>
      <c r="X22" s="364"/>
      <c r="Y22" s="362"/>
      <c r="Z22" s="214">
        <v>4</v>
      </c>
      <c r="AA22" s="187"/>
      <c r="AB22" s="189" t="str">
        <f t="shared" ref="AB22:AB24" si="14">IF(OR(AC22="Preventivo",AC22="Detectivo"),"Probabilidad",IF(AC22="Correctivo","Impacto",""))</f>
        <v/>
      </c>
      <c r="AC22" s="190"/>
      <c r="AD22" s="190"/>
      <c r="AE22" s="191" t="str">
        <f t="shared" si="9"/>
        <v/>
      </c>
      <c r="AF22" s="190"/>
      <c r="AG22" s="190"/>
      <c r="AH22" s="190"/>
      <c r="AI22" s="192" t="str">
        <f t="shared" ref="AI22:AI24" si="15">IFERROR(IF(AND(AB21="Probabilidad",AB22="Probabilidad"),(AK21-(+AK21*AE22)),IF(AND(AB21="Impacto",AB22="Probabilidad"),(AK20-(+AK20*AE22)),IF(AB22="Impacto",AK21,""))),"")</f>
        <v/>
      </c>
      <c r="AJ22" s="193" t="str">
        <f t="shared" si="2"/>
        <v/>
      </c>
      <c r="AK22" s="191" t="str">
        <f t="shared" si="10"/>
        <v/>
      </c>
      <c r="AL22" s="193" t="str">
        <f t="shared" si="4"/>
        <v/>
      </c>
      <c r="AM22" s="191" t="str">
        <f t="shared" si="13"/>
        <v/>
      </c>
      <c r="AN22" s="194"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
      </c>
      <c r="AO22" s="195"/>
      <c r="AP22" s="186"/>
      <c r="AQ22" s="196"/>
      <c r="AR22" s="196"/>
      <c r="AS22" s="197"/>
      <c r="AT22" s="381"/>
      <c r="AU22" s="381"/>
      <c r="AV22" s="381"/>
    </row>
    <row r="23" spans="1:48" x14ac:dyDescent="0.2">
      <c r="A23" s="418"/>
      <c r="B23" s="387"/>
      <c r="C23" s="387"/>
      <c r="D23" s="387"/>
      <c r="E23" s="390"/>
      <c r="F23" s="387"/>
      <c r="G23" s="360"/>
      <c r="H23" s="360"/>
      <c r="I23" s="360"/>
      <c r="J23" s="360"/>
      <c r="K23" s="360"/>
      <c r="L23" s="360"/>
      <c r="M23" s="360"/>
      <c r="N23" s="360"/>
      <c r="O23" s="360"/>
      <c r="P23" s="360"/>
      <c r="Q23" s="360"/>
      <c r="R23" s="381"/>
      <c r="S23" s="367"/>
      <c r="T23" s="364"/>
      <c r="U23" s="353"/>
      <c r="V23" s="364">
        <f>IF(NOT(ISERROR(MATCH(U23,_xlfn.ANCHORARRAY(E34),0))),T36&amp;"Por favor no seleccionar los criterios de impacto",U23)</f>
        <v>0</v>
      </c>
      <c r="W23" s="367"/>
      <c r="X23" s="364"/>
      <c r="Y23" s="362"/>
      <c r="Z23" s="214">
        <v>5</v>
      </c>
      <c r="AA23" s="187"/>
      <c r="AB23" s="189" t="str">
        <f t="shared" si="14"/>
        <v/>
      </c>
      <c r="AC23" s="190"/>
      <c r="AD23" s="190"/>
      <c r="AE23" s="191" t="str">
        <f t="shared" si="9"/>
        <v/>
      </c>
      <c r="AF23" s="190"/>
      <c r="AG23" s="190"/>
      <c r="AH23" s="190"/>
      <c r="AI23" s="192" t="str">
        <f t="shared" si="15"/>
        <v/>
      </c>
      <c r="AJ23" s="193" t="str">
        <f t="shared" si="2"/>
        <v/>
      </c>
      <c r="AK23" s="191" t="str">
        <f t="shared" si="10"/>
        <v/>
      </c>
      <c r="AL23" s="193" t="str">
        <f t="shared" si="4"/>
        <v/>
      </c>
      <c r="AM23" s="191" t="str">
        <f t="shared" si="13"/>
        <v/>
      </c>
      <c r="AN23" s="194" t="str">
        <f t="shared" ref="AN23:AN24" si="16">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
      </c>
      <c r="AO23" s="195"/>
      <c r="AP23" s="186"/>
      <c r="AQ23" s="196"/>
      <c r="AR23" s="196"/>
      <c r="AS23" s="197"/>
      <c r="AT23" s="381"/>
      <c r="AU23" s="381"/>
      <c r="AV23" s="381"/>
    </row>
    <row r="24" spans="1:48" x14ac:dyDescent="0.2">
      <c r="A24" s="418"/>
      <c r="B24" s="387"/>
      <c r="C24" s="387"/>
      <c r="D24" s="387"/>
      <c r="E24" s="390"/>
      <c r="F24" s="387"/>
      <c r="G24" s="373"/>
      <c r="H24" s="373"/>
      <c r="I24" s="373"/>
      <c r="J24" s="373"/>
      <c r="K24" s="373"/>
      <c r="L24" s="373"/>
      <c r="M24" s="373"/>
      <c r="N24" s="373"/>
      <c r="O24" s="373"/>
      <c r="P24" s="373"/>
      <c r="Q24" s="373"/>
      <c r="R24" s="381"/>
      <c r="S24" s="367"/>
      <c r="T24" s="364"/>
      <c r="U24" s="353"/>
      <c r="V24" s="364">
        <f>IF(NOT(ISERROR(MATCH(U24,_xlfn.ANCHORARRAY(E35),0))),T37&amp;"Por favor no seleccionar los criterios de impacto",U24)</f>
        <v>0</v>
      </c>
      <c r="W24" s="367"/>
      <c r="X24" s="364"/>
      <c r="Y24" s="362"/>
      <c r="Z24" s="214">
        <v>6</v>
      </c>
      <c r="AA24" s="187"/>
      <c r="AB24" s="189" t="str">
        <f t="shared" si="14"/>
        <v/>
      </c>
      <c r="AC24" s="190"/>
      <c r="AD24" s="190"/>
      <c r="AE24" s="191" t="str">
        <f t="shared" si="9"/>
        <v/>
      </c>
      <c r="AF24" s="190"/>
      <c r="AG24" s="190"/>
      <c r="AH24" s="190"/>
      <c r="AI24" s="192" t="str">
        <f t="shared" si="15"/>
        <v/>
      </c>
      <c r="AJ24" s="193" t="str">
        <f t="shared" si="2"/>
        <v/>
      </c>
      <c r="AK24" s="191" t="str">
        <f t="shared" si="10"/>
        <v/>
      </c>
      <c r="AL24" s="193" t="str">
        <f t="shared" si="4"/>
        <v/>
      </c>
      <c r="AM24" s="191" t="str">
        <f t="shared" si="13"/>
        <v/>
      </c>
      <c r="AN24" s="194" t="str">
        <f t="shared" si="16"/>
        <v/>
      </c>
      <c r="AO24" s="195"/>
      <c r="AP24" s="186"/>
      <c r="AQ24" s="196"/>
      <c r="AR24" s="196"/>
      <c r="AS24" s="197"/>
      <c r="AT24" s="381"/>
      <c r="AU24" s="381"/>
      <c r="AV24" s="381"/>
    </row>
    <row r="25" spans="1:48" x14ac:dyDescent="0.2">
      <c r="A25" s="418">
        <v>3</v>
      </c>
      <c r="B25" s="387"/>
      <c r="C25" s="387"/>
      <c r="D25" s="387"/>
      <c r="E25" s="390"/>
      <c r="F25" s="387"/>
      <c r="G25" s="392"/>
      <c r="H25" s="392"/>
      <c r="I25" s="392"/>
      <c r="J25" s="392"/>
      <c r="K25" s="392"/>
      <c r="L25" s="392"/>
      <c r="M25" s="392"/>
      <c r="N25" s="392"/>
      <c r="O25" s="392"/>
      <c r="P25" s="392"/>
      <c r="Q25" s="392"/>
      <c r="R25" s="381"/>
      <c r="S25" s="367" t="str">
        <f>IF(R25&lt;=0,"",IF(R25&lt;=2,"Muy Baja",IF(R25&lt;=24,"Baja",IF(R25&lt;=500,"Media",IF(R25&lt;=5000,"Alta","Muy Alta")))))</f>
        <v/>
      </c>
      <c r="T25" s="364" t="str">
        <f>IF(S25="","",IF(S25="Muy Baja",0.2,IF(S25="Baja",0.4,IF(S25="Media",0.6,IF(S25="Alta",0.8,IF(S25="Muy Alta",1,))))))</f>
        <v/>
      </c>
      <c r="U25" s="353"/>
      <c r="V25" s="364">
        <f>IF(NOT(ISERROR(MATCH(U25,'Tabla Impacto'!$B$222:$B$224,0))),'Tabla Impacto'!$F$224&amp;"Por favor no seleccionar los criterios de impacto(Afectación Económica o presupuestal y Pérdida Reputacional)",U25)</f>
        <v>0</v>
      </c>
      <c r="W25" s="367" t="str">
        <f>IF(OR(V25='Tabla Impacto'!$C$12,V25='Tabla Impacto'!$D$12),"Leve",IF(OR(V25='Tabla Impacto'!$C$13,V25='Tabla Impacto'!$D$13),"Menor",IF(OR(V25='Tabla Impacto'!$C$14,V25='Tabla Impacto'!$D$14),"Moderado",IF(OR(V25='Tabla Impacto'!$C$15,V25='Tabla Impacto'!$D$15),"Mayor",IF(OR(V25='Tabla Impacto'!$C$16,V25='Tabla Impacto'!$D$16),"Catastrófico","")))))</f>
        <v/>
      </c>
      <c r="X25" s="364" t="str">
        <f>IF(W25="","",IF(W25="Leve",0.2,IF(W25="Menor",0.4,IF(W25="Moderado",0.6,IF(W25="Mayor",0.8,IF(W25="Catastrófico",1,))))))</f>
        <v/>
      </c>
      <c r="Y25" s="362" t="str">
        <f>IF(OR(AND(S25="Muy Baja",W25="Leve"),AND(S25="Muy Baja",W25="Menor"),AND(S25="Baja",W25="Leve")),"Bajo",IF(OR(AND(S25="Muy baja",W25="Moderado"),AND(S25="Baja",W25="Menor"),AND(S25="Baja",W25="Moderado"),AND(S25="Media",W25="Leve"),AND(S25="Media",W25="Menor"),AND(S25="Media",W25="Moderado"),AND(S25="Alta",W25="Leve"),AND(S25="Alta",W25="Menor")),"Moderado",IF(OR(AND(S25="Muy Baja",W25="Mayor"),AND(S25="Baja",W25="Mayor"),AND(S25="Media",W25="Mayor"),AND(S25="Alta",W25="Moderado"),AND(S25="Alta",W25="Mayor"),AND(S25="Muy Alta",W25="Leve"),AND(S25="Muy Alta",W25="Menor"),AND(S25="Muy Alta",W25="Moderado"),AND(S25="Muy Alta",W25="Mayor")),"Alto",IF(OR(AND(S25="Muy Baja",W25="Catastrófico"),AND(S25="Baja",W25="Catastrófico"),AND(S25="Media",W25="Catastrófico"),AND(S25="Alta",W25="Catastrófico"),AND(S25="Muy Alta",W25="Catastrófico")),"Extremo",""))))</f>
        <v/>
      </c>
      <c r="Z25" s="214">
        <v>1</v>
      </c>
      <c r="AA25" s="187"/>
      <c r="AB25" s="189" t="str">
        <f>IF(OR(AC25="Preventivo",AC25="Detectivo"),"Probabilidad",IF(AC25="Correctivo","Impacto",""))</f>
        <v/>
      </c>
      <c r="AC25" s="190"/>
      <c r="AD25" s="190"/>
      <c r="AE25" s="191" t="str">
        <f>IF(AND(AC25="Preventivo",AD25="Automático"),"50%",IF(AND(AC25="Preventivo",AD25="Manual"),"40%",IF(AND(AC25="Detectivo",AD25="Automático"),"40%",IF(AND(AC25="Detectivo",AD25="Manual"),"30%",IF(AND(AC25="Correctivo",AD25="Automático"),"35%",IF(AND(AC25="Correctivo",AD25="Manual"),"25%",""))))))</f>
        <v/>
      </c>
      <c r="AF25" s="190"/>
      <c r="AG25" s="190"/>
      <c r="AH25" s="190"/>
      <c r="AI25" s="192" t="str">
        <f>IFERROR(IF(AB25="Probabilidad",(T25-(+T25*AE25)),IF(AB25="Impacto",T25,"")),"")</f>
        <v/>
      </c>
      <c r="AJ25" s="193" t="str">
        <f>IFERROR(IF(AI25="","",IF(AI25&lt;=0.2,"Muy Baja",IF(AI25&lt;=0.4,"Baja",IF(AI25&lt;=0.6,"Media",IF(AI25&lt;=0.8,"Alta","Muy Alta"))))),"")</f>
        <v/>
      </c>
      <c r="AK25" s="191" t="str">
        <f>+AI25</f>
        <v/>
      </c>
      <c r="AL25" s="193" t="str">
        <f>IFERROR(IF(AM25="","",IF(AM25&lt;=0.2,"Leve",IF(AM25&lt;=0.4,"Menor",IF(AM25&lt;=0.6,"Moderado",IF(AM25&lt;=0.8,"Mayor","Catastrófico"))))),"")</f>
        <v/>
      </c>
      <c r="AM25" s="191" t="str">
        <f t="shared" ref="AM25" si="17">IFERROR(IF(AB25="Impacto",(X25-(+X25*AE25)),IF(AB25="Probabilidad",X25,"")),"")</f>
        <v/>
      </c>
      <c r="AN25" s="194"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195"/>
      <c r="AP25" s="186"/>
      <c r="AQ25" s="196"/>
      <c r="AR25" s="196"/>
      <c r="AS25" s="197"/>
      <c r="AT25" s="381"/>
      <c r="AU25" s="381"/>
      <c r="AV25" s="381"/>
    </row>
    <row r="26" spans="1:48" x14ac:dyDescent="0.2">
      <c r="A26" s="418"/>
      <c r="B26" s="387"/>
      <c r="C26" s="387"/>
      <c r="D26" s="387"/>
      <c r="E26" s="390"/>
      <c r="F26" s="387"/>
      <c r="G26" s="360"/>
      <c r="H26" s="360"/>
      <c r="I26" s="360"/>
      <c r="J26" s="360"/>
      <c r="K26" s="360"/>
      <c r="L26" s="360"/>
      <c r="M26" s="360"/>
      <c r="N26" s="360"/>
      <c r="O26" s="360"/>
      <c r="P26" s="360"/>
      <c r="Q26" s="360"/>
      <c r="R26" s="381"/>
      <c r="S26" s="367"/>
      <c r="T26" s="364"/>
      <c r="U26" s="353"/>
      <c r="V26" s="364">
        <f>IF(NOT(ISERROR(MATCH(U26,_xlfn.ANCHORARRAY(E37),0))),T39&amp;"Por favor no seleccionar los criterios de impacto",U26)</f>
        <v>0</v>
      </c>
      <c r="W26" s="367"/>
      <c r="X26" s="364"/>
      <c r="Y26" s="362"/>
      <c r="Z26" s="214">
        <v>2</v>
      </c>
      <c r="AA26" s="187"/>
      <c r="AB26" s="189" t="str">
        <f>IF(OR(AC26="Preventivo",AC26="Detectivo"),"Probabilidad",IF(AC26="Correctivo","Impacto",""))</f>
        <v/>
      </c>
      <c r="AC26" s="190"/>
      <c r="AD26" s="190"/>
      <c r="AE26" s="191" t="str">
        <f t="shared" ref="AE26:AE30" si="18">IF(AND(AC26="Preventivo",AD26="Automático"),"50%",IF(AND(AC26="Preventivo",AD26="Manual"),"40%",IF(AND(AC26="Detectivo",AD26="Automático"),"40%",IF(AND(AC26="Detectivo",AD26="Manual"),"30%",IF(AND(AC26="Correctivo",AD26="Automático"),"35%",IF(AND(AC26="Correctivo",AD26="Manual"),"25%",""))))))</f>
        <v/>
      </c>
      <c r="AF26" s="190"/>
      <c r="AG26" s="190"/>
      <c r="AH26" s="190"/>
      <c r="AI26" s="192" t="str">
        <f>IFERROR(IF(AND(AB25="Probabilidad",AB26="Probabilidad"),(AK25-(+AK25*AE26)),IF(AB26="Probabilidad",(T25-(+T25*AE26)),IF(AB26="Impacto",AK25,""))),"")</f>
        <v/>
      </c>
      <c r="AJ26" s="193" t="str">
        <f t="shared" si="2"/>
        <v/>
      </c>
      <c r="AK26" s="191" t="str">
        <f t="shared" ref="AK26:AK30" si="19">+AI26</f>
        <v/>
      </c>
      <c r="AL26" s="193" t="str">
        <f t="shared" si="4"/>
        <v/>
      </c>
      <c r="AM26" s="191" t="str">
        <f t="shared" ref="AM26" si="20">IFERROR(IF(AND(AB25="Impacto",AB26="Impacto"),(AM25-(+AM25*AE26)),IF(AB26="Impacto",($X$13-(+$X$13*AE26)),IF(AB26="Probabilidad",AM25,""))),"")</f>
        <v/>
      </c>
      <c r="AN26" s="194" t="str">
        <f t="shared" ref="AN26:AN27" si="21">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195"/>
      <c r="AP26" s="186"/>
      <c r="AQ26" s="196"/>
      <c r="AR26" s="196"/>
      <c r="AS26" s="197"/>
      <c r="AT26" s="381"/>
      <c r="AU26" s="381"/>
      <c r="AV26" s="381"/>
    </row>
    <row r="27" spans="1:48" x14ac:dyDescent="0.2">
      <c r="A27" s="418"/>
      <c r="B27" s="387"/>
      <c r="C27" s="387"/>
      <c r="D27" s="387"/>
      <c r="E27" s="390"/>
      <c r="F27" s="387"/>
      <c r="G27" s="360"/>
      <c r="H27" s="360"/>
      <c r="I27" s="360"/>
      <c r="J27" s="360"/>
      <c r="K27" s="360"/>
      <c r="L27" s="360"/>
      <c r="M27" s="360"/>
      <c r="N27" s="360"/>
      <c r="O27" s="360"/>
      <c r="P27" s="360"/>
      <c r="Q27" s="360"/>
      <c r="R27" s="381"/>
      <c r="S27" s="367"/>
      <c r="T27" s="364"/>
      <c r="U27" s="353"/>
      <c r="V27" s="364">
        <f>IF(NOT(ISERROR(MATCH(U27,_xlfn.ANCHORARRAY(E38),0))),T40&amp;"Por favor no seleccionar los criterios de impacto",U27)</f>
        <v>0</v>
      </c>
      <c r="W27" s="367"/>
      <c r="X27" s="364"/>
      <c r="Y27" s="362"/>
      <c r="Z27" s="214">
        <v>3</v>
      </c>
      <c r="AA27" s="187"/>
      <c r="AB27" s="189" t="str">
        <f>IF(OR(AC27="Preventivo",AC27="Detectivo"),"Probabilidad",IF(AC27="Correctivo","Impacto",""))</f>
        <v/>
      </c>
      <c r="AC27" s="190"/>
      <c r="AD27" s="190"/>
      <c r="AE27" s="191" t="str">
        <f t="shared" si="18"/>
        <v/>
      </c>
      <c r="AF27" s="190"/>
      <c r="AG27" s="190"/>
      <c r="AH27" s="190"/>
      <c r="AI27" s="192" t="str">
        <f>IFERROR(IF(AND(AB26="Probabilidad",AB27="Probabilidad"),(AK26-(+AK26*AE27)),IF(AND(AB26="Impacto",AB27="Probabilidad"),(AK25-(+AK25*AE27)),IF(AB27="Impacto",AK26,""))),"")</f>
        <v/>
      </c>
      <c r="AJ27" s="193" t="str">
        <f t="shared" si="2"/>
        <v/>
      </c>
      <c r="AK27" s="191" t="str">
        <f t="shared" si="19"/>
        <v/>
      </c>
      <c r="AL27" s="193" t="str">
        <f t="shared" si="4"/>
        <v/>
      </c>
      <c r="AM27" s="191" t="str">
        <f t="shared" ref="AM27" si="22">IFERROR(IF(AND(AB26="Impacto",AB27="Impacto"),(AM26-(+AM26*AE27)),IF(AND(AB26="Probabilidad",AB27="Impacto"),(AM25-(+AM25*AE27)),IF(AB27="Probabilidad",AM26,""))),"")</f>
        <v/>
      </c>
      <c r="AN27" s="194" t="str">
        <f t="shared" si="21"/>
        <v/>
      </c>
      <c r="AO27" s="195"/>
      <c r="AP27" s="186"/>
      <c r="AQ27" s="196"/>
      <c r="AR27" s="196"/>
      <c r="AS27" s="197"/>
      <c r="AT27" s="381"/>
      <c r="AU27" s="381"/>
      <c r="AV27" s="381"/>
    </row>
    <row r="28" spans="1:48" x14ac:dyDescent="0.2">
      <c r="A28" s="418"/>
      <c r="B28" s="387"/>
      <c r="C28" s="387"/>
      <c r="D28" s="387"/>
      <c r="E28" s="390"/>
      <c r="F28" s="387"/>
      <c r="G28" s="360"/>
      <c r="H28" s="360"/>
      <c r="I28" s="360"/>
      <c r="J28" s="360"/>
      <c r="K28" s="360"/>
      <c r="L28" s="360"/>
      <c r="M28" s="360"/>
      <c r="N28" s="360"/>
      <c r="O28" s="360"/>
      <c r="P28" s="360"/>
      <c r="Q28" s="360"/>
      <c r="R28" s="381"/>
      <c r="S28" s="367"/>
      <c r="T28" s="364"/>
      <c r="U28" s="353"/>
      <c r="V28" s="364">
        <f>IF(NOT(ISERROR(MATCH(U28,_xlfn.ANCHORARRAY(E39),0))),T41&amp;"Por favor no seleccionar los criterios de impacto",U28)</f>
        <v>0</v>
      </c>
      <c r="W28" s="367"/>
      <c r="X28" s="364"/>
      <c r="Y28" s="362"/>
      <c r="Z28" s="214">
        <v>4</v>
      </c>
      <c r="AA28" s="187"/>
      <c r="AB28" s="189" t="str">
        <f t="shared" ref="AB28:AB30" si="23">IF(OR(AC28="Preventivo",AC28="Detectivo"),"Probabilidad",IF(AC28="Correctivo","Impacto",""))</f>
        <v/>
      </c>
      <c r="AC28" s="190"/>
      <c r="AD28" s="190"/>
      <c r="AE28" s="191" t="str">
        <f t="shared" si="18"/>
        <v/>
      </c>
      <c r="AF28" s="190"/>
      <c r="AG28" s="190"/>
      <c r="AH28" s="190"/>
      <c r="AI28" s="192" t="str">
        <f t="shared" ref="AI28:AI30" si="24">IFERROR(IF(AND(AB27="Probabilidad",AB28="Probabilidad"),(AK27-(+AK27*AE28)),IF(AND(AB27="Impacto",AB28="Probabilidad"),(AK26-(+AK26*AE28)),IF(AB28="Impacto",AK27,""))),"")</f>
        <v/>
      </c>
      <c r="AJ28" s="193" t="str">
        <f t="shared" si="2"/>
        <v/>
      </c>
      <c r="AK28" s="191" t="str">
        <f t="shared" si="19"/>
        <v/>
      </c>
      <c r="AL28" s="193" t="str">
        <f t="shared" si="4"/>
        <v/>
      </c>
      <c r="AM28" s="191" t="str">
        <f t="shared" si="13"/>
        <v/>
      </c>
      <c r="AN28" s="194"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
      </c>
      <c r="AO28" s="195"/>
      <c r="AP28" s="186"/>
      <c r="AQ28" s="196"/>
      <c r="AR28" s="196"/>
      <c r="AS28" s="197"/>
      <c r="AT28" s="381"/>
      <c r="AU28" s="381"/>
      <c r="AV28" s="381"/>
    </row>
    <row r="29" spans="1:48" x14ac:dyDescent="0.2">
      <c r="A29" s="418"/>
      <c r="B29" s="387"/>
      <c r="C29" s="387"/>
      <c r="D29" s="387"/>
      <c r="E29" s="390"/>
      <c r="F29" s="387"/>
      <c r="G29" s="360"/>
      <c r="H29" s="360"/>
      <c r="I29" s="360"/>
      <c r="J29" s="360"/>
      <c r="K29" s="360"/>
      <c r="L29" s="360"/>
      <c r="M29" s="360"/>
      <c r="N29" s="360"/>
      <c r="O29" s="360"/>
      <c r="P29" s="360"/>
      <c r="Q29" s="360"/>
      <c r="R29" s="381"/>
      <c r="S29" s="367"/>
      <c r="T29" s="364"/>
      <c r="U29" s="353"/>
      <c r="V29" s="364">
        <f>IF(NOT(ISERROR(MATCH(U29,_xlfn.ANCHORARRAY(E40),0))),T42&amp;"Por favor no seleccionar los criterios de impacto",U29)</f>
        <v>0</v>
      </c>
      <c r="W29" s="367"/>
      <c r="X29" s="364"/>
      <c r="Y29" s="362"/>
      <c r="Z29" s="214">
        <v>5</v>
      </c>
      <c r="AA29" s="187"/>
      <c r="AB29" s="189" t="str">
        <f t="shared" si="23"/>
        <v/>
      </c>
      <c r="AC29" s="190"/>
      <c r="AD29" s="190"/>
      <c r="AE29" s="191" t="str">
        <f t="shared" si="18"/>
        <v/>
      </c>
      <c r="AF29" s="190"/>
      <c r="AG29" s="190"/>
      <c r="AH29" s="190"/>
      <c r="AI29" s="192" t="str">
        <f t="shared" si="24"/>
        <v/>
      </c>
      <c r="AJ29" s="193" t="str">
        <f t="shared" si="2"/>
        <v/>
      </c>
      <c r="AK29" s="191" t="str">
        <f t="shared" si="19"/>
        <v/>
      </c>
      <c r="AL29" s="193" t="str">
        <f t="shared" si="4"/>
        <v/>
      </c>
      <c r="AM29" s="191" t="str">
        <f t="shared" si="13"/>
        <v/>
      </c>
      <c r="AN29" s="194" t="str">
        <f t="shared" ref="AN29:AN30" si="25">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
      </c>
      <c r="AO29" s="195"/>
      <c r="AP29" s="186"/>
      <c r="AQ29" s="196"/>
      <c r="AR29" s="196"/>
      <c r="AS29" s="197"/>
      <c r="AT29" s="381"/>
      <c r="AU29" s="381"/>
      <c r="AV29" s="381"/>
    </row>
    <row r="30" spans="1:48" x14ac:dyDescent="0.2">
      <c r="A30" s="418"/>
      <c r="B30" s="387"/>
      <c r="C30" s="387"/>
      <c r="D30" s="387"/>
      <c r="E30" s="390"/>
      <c r="F30" s="387"/>
      <c r="G30" s="373"/>
      <c r="H30" s="373"/>
      <c r="I30" s="373"/>
      <c r="J30" s="373"/>
      <c r="K30" s="373"/>
      <c r="L30" s="373"/>
      <c r="M30" s="373"/>
      <c r="N30" s="373"/>
      <c r="O30" s="373"/>
      <c r="P30" s="373"/>
      <c r="Q30" s="373"/>
      <c r="R30" s="381"/>
      <c r="S30" s="367"/>
      <c r="T30" s="364"/>
      <c r="U30" s="353"/>
      <c r="V30" s="364">
        <f>IF(NOT(ISERROR(MATCH(U30,_xlfn.ANCHORARRAY(E41),0))),T43&amp;"Por favor no seleccionar los criterios de impacto",U30)</f>
        <v>0</v>
      </c>
      <c r="W30" s="367"/>
      <c r="X30" s="364"/>
      <c r="Y30" s="362"/>
      <c r="Z30" s="214">
        <v>6</v>
      </c>
      <c r="AA30" s="187"/>
      <c r="AB30" s="189" t="str">
        <f t="shared" si="23"/>
        <v/>
      </c>
      <c r="AC30" s="190"/>
      <c r="AD30" s="190"/>
      <c r="AE30" s="191" t="str">
        <f t="shared" si="18"/>
        <v/>
      </c>
      <c r="AF30" s="190"/>
      <c r="AG30" s="190"/>
      <c r="AH30" s="190"/>
      <c r="AI30" s="192" t="str">
        <f t="shared" si="24"/>
        <v/>
      </c>
      <c r="AJ30" s="193" t="str">
        <f t="shared" si="2"/>
        <v/>
      </c>
      <c r="AK30" s="191" t="str">
        <f t="shared" si="19"/>
        <v/>
      </c>
      <c r="AL30" s="193" t="str">
        <f t="shared" si="4"/>
        <v/>
      </c>
      <c r="AM30" s="191" t="str">
        <f t="shared" si="13"/>
        <v/>
      </c>
      <c r="AN30" s="194" t="str">
        <f t="shared" si="25"/>
        <v/>
      </c>
      <c r="AO30" s="195"/>
      <c r="AP30" s="186"/>
      <c r="AQ30" s="196"/>
      <c r="AR30" s="196"/>
      <c r="AS30" s="197"/>
      <c r="AT30" s="381"/>
      <c r="AU30" s="381"/>
      <c r="AV30" s="381"/>
    </row>
    <row r="31" spans="1:48" x14ac:dyDescent="0.2">
      <c r="A31" s="418">
        <v>4</v>
      </c>
      <c r="B31" s="387"/>
      <c r="C31" s="387"/>
      <c r="D31" s="387"/>
      <c r="E31" s="387"/>
      <c r="F31" s="387"/>
      <c r="G31" s="392"/>
      <c r="H31" s="392"/>
      <c r="I31" s="392"/>
      <c r="J31" s="392"/>
      <c r="K31" s="392"/>
      <c r="L31" s="392"/>
      <c r="M31" s="392"/>
      <c r="N31" s="392"/>
      <c r="O31" s="392"/>
      <c r="P31" s="392"/>
      <c r="Q31" s="392"/>
      <c r="R31" s="381"/>
      <c r="S31" s="367" t="str">
        <f>IF(R31&lt;=0,"",IF(R31&lt;=2,"Muy Baja",IF(R31&lt;=24,"Baja",IF(R31&lt;=500,"Media",IF(R31&lt;=5000,"Alta","Muy Alta")))))</f>
        <v/>
      </c>
      <c r="T31" s="364" t="str">
        <f>IF(S31="","",IF(S31="Muy Baja",0.2,IF(S31="Baja",0.4,IF(S31="Media",0.6,IF(S31="Alta",0.8,IF(S31="Muy Alta",1,))))))</f>
        <v/>
      </c>
      <c r="U31" s="353"/>
      <c r="V31" s="364">
        <f>IF(NOT(ISERROR(MATCH(U31,'Tabla Impacto'!$B$222:$B$224,0))),'Tabla Impacto'!$F$224&amp;"Por favor no seleccionar los criterios de impacto(Afectación Económica o presupuestal y Pérdida Reputacional)",U31)</f>
        <v>0</v>
      </c>
      <c r="W31" s="367" t="str">
        <f>IF(OR(V31='Tabla Impacto'!$C$12,V31='Tabla Impacto'!$D$12),"Leve",IF(OR(V31='Tabla Impacto'!$C$13,V31='Tabla Impacto'!$D$13),"Menor",IF(OR(V31='Tabla Impacto'!$C$14,V31='Tabla Impacto'!$D$14),"Moderado",IF(OR(V31='Tabla Impacto'!$C$15,V31='Tabla Impacto'!$D$15),"Mayor",IF(OR(V31='Tabla Impacto'!$C$16,V31='Tabla Impacto'!$D$16),"Catastrófico","")))))</f>
        <v/>
      </c>
      <c r="X31" s="364" t="str">
        <f>IF(W31="","",IF(W31="Leve",0.2,IF(W31="Menor",0.4,IF(W31="Moderado",0.6,IF(W31="Mayor",0.8,IF(W31="Catastrófico",1,))))))</f>
        <v/>
      </c>
      <c r="Y31" s="362" t="str">
        <f>IF(OR(AND(S31="Muy Baja",W31="Leve"),AND(S31="Muy Baja",W31="Menor"),AND(S31="Baja",W31="Leve")),"Bajo",IF(OR(AND(S31="Muy baja",W31="Moderado"),AND(S31="Baja",W31="Menor"),AND(S31="Baja",W31="Moderado"),AND(S31="Media",W31="Leve"),AND(S31="Media",W31="Menor"),AND(S31="Media",W31="Moderado"),AND(S31="Alta",W31="Leve"),AND(S31="Alta",W31="Menor")),"Moderado",IF(OR(AND(S31="Muy Baja",W31="Mayor"),AND(S31="Baja",W31="Mayor"),AND(S31="Media",W31="Mayor"),AND(S31="Alta",W31="Moderado"),AND(S31="Alta",W31="Mayor"),AND(S31="Muy Alta",W31="Leve"),AND(S31="Muy Alta",W31="Menor"),AND(S31="Muy Alta",W31="Moderado"),AND(S31="Muy Alta",W31="Mayor")),"Alto",IF(OR(AND(S31="Muy Baja",W31="Catastrófico"),AND(S31="Baja",W31="Catastrófico"),AND(S31="Media",W31="Catastrófico"),AND(S31="Alta",W31="Catastrófico"),AND(S31="Muy Alta",W31="Catastrófico")),"Extremo",""))))</f>
        <v/>
      </c>
      <c r="Z31" s="214">
        <v>1</v>
      </c>
      <c r="AA31" s="187"/>
      <c r="AB31" s="189" t="str">
        <f>IF(OR(AC31="Preventivo",AC31="Detectivo"),"Probabilidad",IF(AC31="Correctivo","Impacto",""))</f>
        <v/>
      </c>
      <c r="AC31" s="190"/>
      <c r="AD31" s="190"/>
      <c r="AE31" s="191" t="str">
        <f>IF(AND(AC31="Preventivo",AD31="Automático"),"50%",IF(AND(AC31="Preventivo",AD31="Manual"),"40%",IF(AND(AC31="Detectivo",AD31="Automático"),"40%",IF(AND(AC31="Detectivo",AD31="Manual"),"30%",IF(AND(AC31="Correctivo",AD31="Automático"),"35%",IF(AND(AC31="Correctivo",AD31="Manual"),"25%",""))))))</f>
        <v/>
      </c>
      <c r="AF31" s="190"/>
      <c r="AG31" s="190"/>
      <c r="AH31" s="190"/>
      <c r="AI31" s="192" t="str">
        <f>IFERROR(IF(AB31="Probabilidad",(T31-(+T31*AE31)),IF(AB31="Impacto",T31,"")),"")</f>
        <v/>
      </c>
      <c r="AJ31" s="193" t="str">
        <f>IFERROR(IF(AI31="","",IF(AI31&lt;=0.2,"Muy Baja",IF(AI31&lt;=0.4,"Baja",IF(AI31&lt;=0.6,"Media",IF(AI31&lt;=0.8,"Alta","Muy Alta"))))),"")</f>
        <v/>
      </c>
      <c r="AK31" s="191" t="str">
        <f>+AI31</f>
        <v/>
      </c>
      <c r="AL31" s="193" t="str">
        <f>IFERROR(IF(AM31="","",IF(AM31&lt;=0.2,"Leve",IF(AM31&lt;=0.4,"Menor",IF(AM31&lt;=0.6,"Moderado",IF(AM31&lt;=0.8,"Mayor","Catastrófico"))))),"")</f>
        <v/>
      </c>
      <c r="AM31" s="191" t="str">
        <f t="shared" ref="AM31" si="26">IFERROR(IF(AB31="Impacto",(X31-(+X31*AE31)),IF(AB31="Probabilidad",X31,"")),"")</f>
        <v/>
      </c>
      <c r="AN31" s="194"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195"/>
      <c r="AP31" s="186"/>
      <c r="AQ31" s="196"/>
      <c r="AR31" s="196"/>
      <c r="AS31" s="197"/>
      <c r="AT31" s="381"/>
      <c r="AU31" s="381"/>
      <c r="AV31" s="381"/>
    </row>
    <row r="32" spans="1:48" x14ac:dyDescent="0.2">
      <c r="A32" s="418"/>
      <c r="B32" s="387"/>
      <c r="C32" s="387"/>
      <c r="D32" s="387"/>
      <c r="E32" s="387"/>
      <c r="F32" s="387"/>
      <c r="G32" s="360"/>
      <c r="H32" s="360"/>
      <c r="I32" s="360"/>
      <c r="J32" s="360"/>
      <c r="K32" s="360"/>
      <c r="L32" s="360"/>
      <c r="M32" s="360"/>
      <c r="N32" s="360"/>
      <c r="O32" s="360"/>
      <c r="P32" s="360"/>
      <c r="Q32" s="360"/>
      <c r="R32" s="381"/>
      <c r="S32" s="367"/>
      <c r="T32" s="364"/>
      <c r="U32" s="353"/>
      <c r="V32" s="364">
        <f>IF(NOT(ISERROR(MATCH(U32,_xlfn.ANCHORARRAY(E43),0))),T45&amp;"Por favor no seleccionar los criterios de impacto",U32)</f>
        <v>0</v>
      </c>
      <c r="W32" s="367"/>
      <c r="X32" s="364"/>
      <c r="Y32" s="362"/>
      <c r="Z32" s="214">
        <v>2</v>
      </c>
      <c r="AA32" s="187"/>
      <c r="AB32" s="189" t="str">
        <f>IF(OR(AC32="Preventivo",AC32="Detectivo"),"Probabilidad",IF(AC32="Correctivo","Impacto",""))</f>
        <v/>
      </c>
      <c r="AC32" s="190"/>
      <c r="AD32" s="190"/>
      <c r="AE32" s="191" t="str">
        <f t="shared" ref="AE32:AE36" si="27">IF(AND(AC32="Preventivo",AD32="Automático"),"50%",IF(AND(AC32="Preventivo",AD32="Manual"),"40%",IF(AND(AC32="Detectivo",AD32="Automático"),"40%",IF(AND(AC32="Detectivo",AD32="Manual"),"30%",IF(AND(AC32="Correctivo",AD32="Automático"),"35%",IF(AND(AC32="Correctivo",AD32="Manual"),"25%",""))))))</f>
        <v/>
      </c>
      <c r="AF32" s="190"/>
      <c r="AG32" s="190"/>
      <c r="AH32" s="190"/>
      <c r="AI32" s="192" t="str">
        <f>IFERROR(IF(AND(AB31="Probabilidad",AB32="Probabilidad"),(AK31-(+AK31*AE32)),IF(AB32="Probabilidad",(T31-(+T31*AE32)),IF(AB32="Impacto",AK31,""))),"")</f>
        <v/>
      </c>
      <c r="AJ32" s="193" t="str">
        <f t="shared" si="2"/>
        <v/>
      </c>
      <c r="AK32" s="191" t="str">
        <f t="shared" ref="AK32:AK36" si="28">+AI32</f>
        <v/>
      </c>
      <c r="AL32" s="193" t="str">
        <f t="shared" si="4"/>
        <v/>
      </c>
      <c r="AM32" s="191" t="str">
        <f t="shared" ref="AM32" si="29">IFERROR(IF(AND(AB31="Impacto",AB32="Impacto"),(AM31-(+AM31*AE32)),IF(AB32="Impacto",($X$13-(+$X$13*AE32)),IF(AB32="Probabilidad",AM31,""))),"")</f>
        <v/>
      </c>
      <c r="AN32" s="194" t="str">
        <f t="shared" ref="AN32:AN33" si="30">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
      </c>
      <c r="AO32" s="195"/>
      <c r="AP32" s="186"/>
      <c r="AQ32" s="196"/>
      <c r="AR32" s="196"/>
      <c r="AS32" s="197"/>
      <c r="AT32" s="381"/>
      <c r="AU32" s="381"/>
      <c r="AV32" s="381"/>
    </row>
    <row r="33" spans="1:48" x14ac:dyDescent="0.2">
      <c r="A33" s="418"/>
      <c r="B33" s="387"/>
      <c r="C33" s="387"/>
      <c r="D33" s="387"/>
      <c r="E33" s="387"/>
      <c r="F33" s="387"/>
      <c r="G33" s="360"/>
      <c r="H33" s="360"/>
      <c r="I33" s="360"/>
      <c r="J33" s="360"/>
      <c r="K33" s="360"/>
      <c r="L33" s="360"/>
      <c r="M33" s="360"/>
      <c r="N33" s="360"/>
      <c r="O33" s="360"/>
      <c r="P33" s="360"/>
      <c r="Q33" s="360"/>
      <c r="R33" s="381"/>
      <c r="S33" s="367"/>
      <c r="T33" s="364"/>
      <c r="U33" s="353"/>
      <c r="V33" s="364">
        <f>IF(NOT(ISERROR(MATCH(U33,_xlfn.ANCHORARRAY(E44),0))),T46&amp;"Por favor no seleccionar los criterios de impacto",U33)</f>
        <v>0</v>
      </c>
      <c r="W33" s="367"/>
      <c r="X33" s="364"/>
      <c r="Y33" s="362"/>
      <c r="Z33" s="214">
        <v>3</v>
      </c>
      <c r="AA33" s="188"/>
      <c r="AB33" s="189" t="str">
        <f>IF(OR(AC33="Preventivo",AC33="Detectivo"),"Probabilidad",IF(AC33="Correctivo","Impacto",""))</f>
        <v/>
      </c>
      <c r="AC33" s="190"/>
      <c r="AD33" s="190"/>
      <c r="AE33" s="191" t="str">
        <f t="shared" si="27"/>
        <v/>
      </c>
      <c r="AF33" s="190"/>
      <c r="AG33" s="190"/>
      <c r="AH33" s="190"/>
      <c r="AI33" s="192" t="str">
        <f>IFERROR(IF(AND(AB32="Probabilidad",AB33="Probabilidad"),(AK32-(+AK32*AE33)),IF(AND(AB32="Impacto",AB33="Probabilidad"),(AK31-(+AK31*AE33)),IF(AB33="Impacto",AK32,""))),"")</f>
        <v/>
      </c>
      <c r="AJ33" s="193" t="str">
        <f t="shared" si="2"/>
        <v/>
      </c>
      <c r="AK33" s="191" t="str">
        <f t="shared" si="28"/>
        <v/>
      </c>
      <c r="AL33" s="193" t="str">
        <f t="shared" si="4"/>
        <v/>
      </c>
      <c r="AM33" s="191" t="str">
        <f t="shared" ref="AM33" si="31">IFERROR(IF(AND(AB32="Impacto",AB33="Impacto"),(AM32-(+AM32*AE33)),IF(AND(AB32="Probabilidad",AB33="Impacto"),(AM31-(+AM31*AE33)),IF(AB33="Probabilidad",AM32,""))),"")</f>
        <v/>
      </c>
      <c r="AN33" s="194" t="str">
        <f t="shared" si="30"/>
        <v/>
      </c>
      <c r="AO33" s="195"/>
      <c r="AP33" s="186"/>
      <c r="AQ33" s="196"/>
      <c r="AR33" s="196"/>
      <c r="AS33" s="197"/>
      <c r="AT33" s="381"/>
      <c r="AU33" s="381"/>
      <c r="AV33" s="381"/>
    </row>
    <row r="34" spans="1:48" x14ac:dyDescent="0.2">
      <c r="A34" s="418"/>
      <c r="B34" s="387"/>
      <c r="C34" s="387"/>
      <c r="D34" s="387"/>
      <c r="E34" s="387"/>
      <c r="F34" s="387"/>
      <c r="G34" s="360"/>
      <c r="H34" s="360"/>
      <c r="I34" s="360"/>
      <c r="J34" s="360"/>
      <c r="K34" s="360"/>
      <c r="L34" s="360"/>
      <c r="M34" s="360"/>
      <c r="N34" s="360"/>
      <c r="O34" s="360"/>
      <c r="P34" s="360"/>
      <c r="Q34" s="360"/>
      <c r="R34" s="381"/>
      <c r="S34" s="367"/>
      <c r="T34" s="364"/>
      <c r="U34" s="353"/>
      <c r="V34" s="364">
        <f>IF(NOT(ISERROR(MATCH(U34,_xlfn.ANCHORARRAY(E45),0))),T47&amp;"Por favor no seleccionar los criterios de impacto",U34)</f>
        <v>0</v>
      </c>
      <c r="W34" s="367"/>
      <c r="X34" s="364"/>
      <c r="Y34" s="362"/>
      <c r="Z34" s="214">
        <v>4</v>
      </c>
      <c r="AA34" s="187"/>
      <c r="AB34" s="189" t="str">
        <f t="shared" ref="AB34:AB36" si="32">IF(OR(AC34="Preventivo",AC34="Detectivo"),"Probabilidad",IF(AC34="Correctivo","Impacto",""))</f>
        <v/>
      </c>
      <c r="AC34" s="190"/>
      <c r="AD34" s="190"/>
      <c r="AE34" s="191" t="str">
        <f t="shared" si="27"/>
        <v/>
      </c>
      <c r="AF34" s="190"/>
      <c r="AG34" s="190"/>
      <c r="AH34" s="190"/>
      <c r="AI34" s="192" t="str">
        <f t="shared" ref="AI34:AI36" si="33">IFERROR(IF(AND(AB33="Probabilidad",AB34="Probabilidad"),(AK33-(+AK33*AE34)),IF(AND(AB33="Impacto",AB34="Probabilidad"),(AK32-(+AK32*AE34)),IF(AB34="Impacto",AK33,""))),"")</f>
        <v/>
      </c>
      <c r="AJ34" s="193" t="str">
        <f t="shared" si="2"/>
        <v/>
      </c>
      <c r="AK34" s="191" t="str">
        <f t="shared" si="28"/>
        <v/>
      </c>
      <c r="AL34" s="193" t="str">
        <f t="shared" si="4"/>
        <v/>
      </c>
      <c r="AM34" s="191" t="str">
        <f t="shared" si="13"/>
        <v/>
      </c>
      <c r="AN34" s="194"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
      </c>
      <c r="AO34" s="195"/>
      <c r="AP34" s="186"/>
      <c r="AQ34" s="196"/>
      <c r="AR34" s="196"/>
      <c r="AS34" s="197"/>
      <c r="AT34" s="381"/>
      <c r="AU34" s="381"/>
      <c r="AV34" s="381"/>
    </row>
    <row r="35" spans="1:48" x14ac:dyDescent="0.2">
      <c r="A35" s="418"/>
      <c r="B35" s="387"/>
      <c r="C35" s="387"/>
      <c r="D35" s="387"/>
      <c r="E35" s="387"/>
      <c r="F35" s="387"/>
      <c r="G35" s="360"/>
      <c r="H35" s="360"/>
      <c r="I35" s="360"/>
      <c r="J35" s="360"/>
      <c r="K35" s="360"/>
      <c r="L35" s="360"/>
      <c r="M35" s="360"/>
      <c r="N35" s="360"/>
      <c r="O35" s="360"/>
      <c r="P35" s="360"/>
      <c r="Q35" s="360"/>
      <c r="R35" s="381"/>
      <c r="S35" s="367"/>
      <c r="T35" s="364"/>
      <c r="U35" s="353"/>
      <c r="V35" s="364">
        <f>IF(NOT(ISERROR(MATCH(U35,_xlfn.ANCHORARRAY(E46),0))),T48&amp;"Por favor no seleccionar los criterios de impacto",U35)</f>
        <v>0</v>
      </c>
      <c r="W35" s="367"/>
      <c r="X35" s="364"/>
      <c r="Y35" s="362"/>
      <c r="Z35" s="214">
        <v>5</v>
      </c>
      <c r="AA35" s="187"/>
      <c r="AB35" s="189" t="str">
        <f t="shared" si="32"/>
        <v/>
      </c>
      <c r="AC35" s="190"/>
      <c r="AD35" s="190"/>
      <c r="AE35" s="191" t="str">
        <f t="shared" si="27"/>
        <v/>
      </c>
      <c r="AF35" s="190"/>
      <c r="AG35" s="190"/>
      <c r="AH35" s="190"/>
      <c r="AI35" s="192" t="str">
        <f t="shared" si="33"/>
        <v/>
      </c>
      <c r="AJ35" s="193" t="str">
        <f>IFERROR(IF(AI35="","",IF(AI35&lt;=0.2,"Muy Baja",IF(AI35&lt;=0.4,"Baja",IF(AI35&lt;=0.6,"Media",IF(AI35&lt;=0.8,"Alta","Muy Alta"))))),"")</f>
        <v/>
      </c>
      <c r="AK35" s="191" t="str">
        <f t="shared" si="28"/>
        <v/>
      </c>
      <c r="AL35" s="193" t="str">
        <f t="shared" si="4"/>
        <v/>
      </c>
      <c r="AM35" s="191" t="str">
        <f t="shared" si="13"/>
        <v/>
      </c>
      <c r="AN35" s="194" t="str">
        <f t="shared" ref="AN35:AN36" si="34">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
      </c>
      <c r="AO35" s="195"/>
      <c r="AP35" s="186"/>
      <c r="AQ35" s="196"/>
      <c r="AR35" s="196"/>
      <c r="AS35" s="197"/>
      <c r="AT35" s="381"/>
      <c r="AU35" s="381"/>
      <c r="AV35" s="381"/>
    </row>
    <row r="36" spans="1:48" x14ac:dyDescent="0.2">
      <c r="A36" s="418"/>
      <c r="B36" s="387"/>
      <c r="C36" s="387"/>
      <c r="D36" s="387"/>
      <c r="E36" s="387"/>
      <c r="F36" s="387"/>
      <c r="G36" s="373"/>
      <c r="H36" s="373"/>
      <c r="I36" s="373"/>
      <c r="J36" s="373"/>
      <c r="K36" s="373"/>
      <c r="L36" s="373"/>
      <c r="M36" s="373"/>
      <c r="N36" s="373"/>
      <c r="O36" s="373"/>
      <c r="P36" s="373"/>
      <c r="Q36" s="373"/>
      <c r="R36" s="381"/>
      <c r="S36" s="367"/>
      <c r="T36" s="364"/>
      <c r="U36" s="353"/>
      <c r="V36" s="364">
        <f>IF(NOT(ISERROR(MATCH(U36,_xlfn.ANCHORARRAY(E47),0))),T49&amp;"Por favor no seleccionar los criterios de impacto",U36)</f>
        <v>0</v>
      </c>
      <c r="W36" s="367"/>
      <c r="X36" s="364"/>
      <c r="Y36" s="362"/>
      <c r="Z36" s="214">
        <v>6</v>
      </c>
      <c r="AA36" s="187"/>
      <c r="AB36" s="189" t="str">
        <f t="shared" si="32"/>
        <v/>
      </c>
      <c r="AC36" s="190"/>
      <c r="AD36" s="190"/>
      <c r="AE36" s="191" t="str">
        <f t="shared" si="27"/>
        <v/>
      </c>
      <c r="AF36" s="190"/>
      <c r="AG36" s="190"/>
      <c r="AH36" s="190"/>
      <c r="AI36" s="192" t="str">
        <f t="shared" si="33"/>
        <v/>
      </c>
      <c r="AJ36" s="193" t="str">
        <f t="shared" si="2"/>
        <v/>
      </c>
      <c r="AK36" s="191" t="str">
        <f t="shared" si="28"/>
        <v/>
      </c>
      <c r="AL36" s="193" t="str">
        <f t="shared" si="4"/>
        <v/>
      </c>
      <c r="AM36" s="191" t="str">
        <f t="shared" si="13"/>
        <v/>
      </c>
      <c r="AN36" s="194" t="str">
        <f t="shared" si="34"/>
        <v/>
      </c>
      <c r="AO36" s="195"/>
      <c r="AP36" s="186"/>
      <c r="AQ36" s="196"/>
      <c r="AR36" s="196"/>
      <c r="AS36" s="197"/>
      <c r="AT36" s="381"/>
      <c r="AU36" s="381"/>
      <c r="AV36" s="381"/>
    </row>
    <row r="37" spans="1:48" x14ac:dyDescent="0.2">
      <c r="A37" s="418">
        <v>5</v>
      </c>
      <c r="B37" s="387"/>
      <c r="C37" s="387"/>
      <c r="D37" s="387"/>
      <c r="E37" s="387"/>
      <c r="F37" s="387"/>
      <c r="G37" s="392"/>
      <c r="H37" s="392"/>
      <c r="I37" s="392"/>
      <c r="J37" s="392"/>
      <c r="K37" s="392"/>
      <c r="L37" s="392"/>
      <c r="M37" s="392"/>
      <c r="N37" s="392"/>
      <c r="O37" s="392"/>
      <c r="P37" s="392"/>
      <c r="Q37" s="392"/>
      <c r="R37" s="381"/>
      <c r="S37" s="367" t="str">
        <f>IF(R37&lt;=0,"",IF(R37&lt;=2,"Muy Baja",IF(R37&lt;=24,"Baja",IF(R37&lt;=500,"Media",IF(R37&lt;=5000,"Alta","Muy Alta")))))</f>
        <v/>
      </c>
      <c r="T37" s="364" t="str">
        <f>IF(S37="","",IF(S37="Muy Baja",0.2,IF(S37="Baja",0.4,IF(S37="Media",0.6,IF(S37="Alta",0.8,IF(S37="Muy Alta",1,))))))</f>
        <v/>
      </c>
      <c r="U37" s="353"/>
      <c r="V37" s="364">
        <f>IF(NOT(ISERROR(MATCH(U37,'Tabla Impacto'!$B$222:$B$224,0))),'Tabla Impacto'!$F$224&amp;"Por favor no seleccionar los criterios de impacto(Afectación Económica o presupuestal y Pérdida Reputacional)",U37)</f>
        <v>0</v>
      </c>
      <c r="W37" s="367" t="str">
        <f>IF(OR(V37='Tabla Impacto'!$C$12,V37='Tabla Impacto'!$D$12),"Leve",IF(OR(V37='Tabla Impacto'!$C$13,V37='Tabla Impacto'!$D$13),"Menor",IF(OR(V37='Tabla Impacto'!$C$14,V37='Tabla Impacto'!$D$14),"Moderado",IF(OR(V37='Tabla Impacto'!$C$15,V37='Tabla Impacto'!$D$15),"Mayor",IF(OR(V37='Tabla Impacto'!$C$16,V37='Tabla Impacto'!$D$16),"Catastrófico","")))))</f>
        <v/>
      </c>
      <c r="X37" s="364" t="str">
        <f>IF(W37="","",IF(W37="Leve",0.2,IF(W37="Menor",0.4,IF(W37="Moderado",0.6,IF(W37="Mayor",0.8,IF(W37="Catastrófico",1,))))))</f>
        <v/>
      </c>
      <c r="Y37" s="362" t="str">
        <f>IF(OR(AND(S37="Muy Baja",W37="Leve"),AND(S37="Muy Baja",W37="Menor"),AND(S37="Baja",W37="Leve")),"Bajo",IF(OR(AND(S37="Muy baja",W37="Moderado"),AND(S37="Baja",W37="Menor"),AND(S37="Baja",W37="Moderado"),AND(S37="Media",W37="Leve"),AND(S37="Media",W37="Menor"),AND(S37="Media",W37="Moderado"),AND(S37="Alta",W37="Leve"),AND(S37="Alta",W37="Menor")),"Moderado",IF(OR(AND(S37="Muy Baja",W37="Mayor"),AND(S37="Baja",W37="Mayor"),AND(S37="Media",W37="Mayor"),AND(S37="Alta",W37="Moderado"),AND(S37="Alta",W37="Mayor"),AND(S37="Muy Alta",W37="Leve"),AND(S37="Muy Alta",W37="Menor"),AND(S37="Muy Alta",W37="Moderado"),AND(S37="Muy Alta",W37="Mayor")),"Alto",IF(OR(AND(S37="Muy Baja",W37="Catastrófico"),AND(S37="Baja",W37="Catastrófico"),AND(S37="Media",W37="Catastrófico"),AND(S37="Alta",W37="Catastrófico"),AND(S37="Muy Alta",W37="Catastrófico")),"Extremo",""))))</f>
        <v/>
      </c>
      <c r="Z37" s="214">
        <v>1</v>
      </c>
      <c r="AA37" s="187"/>
      <c r="AB37" s="189" t="str">
        <f>IF(OR(AC37="Preventivo",AC37="Detectivo"),"Probabilidad",IF(AC37="Correctivo","Impacto",""))</f>
        <v/>
      </c>
      <c r="AC37" s="190"/>
      <c r="AD37" s="190"/>
      <c r="AE37" s="191" t="str">
        <f>IF(AND(AC37="Preventivo",AD37="Automático"),"50%",IF(AND(AC37="Preventivo",AD37="Manual"),"40%",IF(AND(AC37="Detectivo",AD37="Automático"),"40%",IF(AND(AC37="Detectivo",AD37="Manual"),"30%",IF(AND(AC37="Correctivo",AD37="Automático"),"35%",IF(AND(AC37="Correctivo",AD37="Manual"),"25%",""))))))</f>
        <v/>
      </c>
      <c r="AF37" s="190"/>
      <c r="AG37" s="190"/>
      <c r="AH37" s="190"/>
      <c r="AI37" s="192" t="str">
        <f>IFERROR(IF(AB37="Probabilidad",(T37-(+T37*AE37)),IF(AB37="Impacto",T37,"")),"")</f>
        <v/>
      </c>
      <c r="AJ37" s="193" t="str">
        <f>IFERROR(IF(AI37="","",IF(AI37&lt;=0.2,"Muy Baja",IF(AI37&lt;=0.4,"Baja",IF(AI37&lt;=0.6,"Media",IF(AI37&lt;=0.8,"Alta","Muy Alta"))))),"")</f>
        <v/>
      </c>
      <c r="AK37" s="191" t="str">
        <f>+AI37</f>
        <v/>
      </c>
      <c r="AL37" s="193" t="str">
        <f>IFERROR(IF(AM37="","",IF(AM37&lt;=0.2,"Leve",IF(AM37&lt;=0.4,"Menor",IF(AM37&lt;=0.6,"Moderado",IF(AM37&lt;=0.8,"Mayor","Catastrófico"))))),"")</f>
        <v/>
      </c>
      <c r="AM37" s="191" t="str">
        <f t="shared" ref="AM37" si="35">IFERROR(IF(AB37="Impacto",(X37-(+X37*AE37)),IF(AB37="Probabilidad",X37,"")),"")</f>
        <v/>
      </c>
      <c r="AN37" s="194"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
      </c>
      <c r="AO37" s="195"/>
      <c r="AP37" s="186"/>
      <c r="AQ37" s="196"/>
      <c r="AR37" s="196"/>
      <c r="AS37" s="197"/>
      <c r="AT37" s="381"/>
      <c r="AU37" s="381"/>
      <c r="AV37" s="381"/>
    </row>
    <row r="38" spans="1:48" x14ac:dyDescent="0.2">
      <c r="A38" s="418"/>
      <c r="B38" s="387"/>
      <c r="C38" s="387"/>
      <c r="D38" s="387"/>
      <c r="E38" s="387"/>
      <c r="F38" s="387"/>
      <c r="G38" s="360"/>
      <c r="H38" s="360"/>
      <c r="I38" s="360"/>
      <c r="J38" s="360"/>
      <c r="K38" s="360"/>
      <c r="L38" s="360"/>
      <c r="M38" s="360"/>
      <c r="N38" s="360"/>
      <c r="O38" s="360"/>
      <c r="P38" s="360"/>
      <c r="Q38" s="360"/>
      <c r="R38" s="381"/>
      <c r="S38" s="367"/>
      <c r="T38" s="364"/>
      <c r="U38" s="353"/>
      <c r="V38" s="364">
        <f>IF(NOT(ISERROR(MATCH(U38,_xlfn.ANCHORARRAY(E49),0))),T51&amp;"Por favor no seleccionar los criterios de impacto",U38)</f>
        <v>0</v>
      </c>
      <c r="W38" s="367"/>
      <c r="X38" s="364"/>
      <c r="Y38" s="362"/>
      <c r="Z38" s="214">
        <v>2</v>
      </c>
      <c r="AA38" s="187"/>
      <c r="AB38" s="189" t="str">
        <f>IF(OR(AC38="Preventivo",AC38="Detectivo"),"Probabilidad",IF(AC38="Correctivo","Impacto",""))</f>
        <v/>
      </c>
      <c r="AC38" s="190"/>
      <c r="AD38" s="190"/>
      <c r="AE38" s="191" t="str">
        <f t="shared" ref="AE38:AE42" si="36">IF(AND(AC38="Preventivo",AD38="Automático"),"50%",IF(AND(AC38="Preventivo",AD38="Manual"),"40%",IF(AND(AC38="Detectivo",AD38="Automático"),"40%",IF(AND(AC38="Detectivo",AD38="Manual"),"30%",IF(AND(AC38="Correctivo",AD38="Automático"),"35%",IF(AND(AC38="Correctivo",AD38="Manual"),"25%",""))))))</f>
        <v/>
      </c>
      <c r="AF38" s="190"/>
      <c r="AG38" s="190"/>
      <c r="AH38" s="190"/>
      <c r="AI38" s="192" t="str">
        <f>IFERROR(IF(AND(AB37="Probabilidad",AB38="Probabilidad"),(AK37-(+AK37*AE38)),IF(AB38="Probabilidad",(T37-(+T37*AE38)),IF(AB38="Impacto",AK37,""))),"")</f>
        <v/>
      </c>
      <c r="AJ38" s="193" t="str">
        <f t="shared" si="2"/>
        <v/>
      </c>
      <c r="AK38" s="191" t="str">
        <f t="shared" ref="AK38:AK42" si="37">+AI38</f>
        <v/>
      </c>
      <c r="AL38" s="193" t="str">
        <f t="shared" si="4"/>
        <v/>
      </c>
      <c r="AM38" s="191" t="str">
        <f t="shared" ref="AM38" si="38">IFERROR(IF(AND(AB37="Impacto",AB38="Impacto"),(AM37-(+AM37*AE38)),IF(AB38="Impacto",($X$13-(+$X$13*AE38)),IF(AB38="Probabilidad",AM37,""))),"")</f>
        <v/>
      </c>
      <c r="AN38" s="194" t="str">
        <f t="shared" ref="AN38:AN39" si="39">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
      </c>
      <c r="AO38" s="195"/>
      <c r="AP38" s="186"/>
      <c r="AQ38" s="196"/>
      <c r="AR38" s="196"/>
      <c r="AS38" s="197"/>
      <c r="AT38" s="381"/>
      <c r="AU38" s="381"/>
      <c r="AV38" s="381"/>
    </row>
    <row r="39" spans="1:48" x14ac:dyDescent="0.2">
      <c r="A39" s="418"/>
      <c r="B39" s="387"/>
      <c r="C39" s="387"/>
      <c r="D39" s="387"/>
      <c r="E39" s="387"/>
      <c r="F39" s="387"/>
      <c r="G39" s="360"/>
      <c r="H39" s="360"/>
      <c r="I39" s="360"/>
      <c r="J39" s="360"/>
      <c r="K39" s="360"/>
      <c r="L39" s="360"/>
      <c r="M39" s="360"/>
      <c r="N39" s="360"/>
      <c r="O39" s="360"/>
      <c r="P39" s="360"/>
      <c r="Q39" s="360"/>
      <c r="R39" s="381"/>
      <c r="S39" s="367"/>
      <c r="T39" s="364"/>
      <c r="U39" s="353"/>
      <c r="V39" s="364">
        <f>IF(NOT(ISERROR(MATCH(U39,_xlfn.ANCHORARRAY(E50),0))),T52&amp;"Por favor no seleccionar los criterios de impacto",U39)</f>
        <v>0</v>
      </c>
      <c r="W39" s="367"/>
      <c r="X39" s="364"/>
      <c r="Y39" s="362"/>
      <c r="Z39" s="214">
        <v>3</v>
      </c>
      <c r="AA39" s="188"/>
      <c r="AB39" s="189" t="str">
        <f>IF(OR(AC39="Preventivo",AC39="Detectivo"),"Probabilidad",IF(AC39="Correctivo","Impacto",""))</f>
        <v/>
      </c>
      <c r="AC39" s="190"/>
      <c r="AD39" s="190"/>
      <c r="AE39" s="191" t="str">
        <f t="shared" si="36"/>
        <v/>
      </c>
      <c r="AF39" s="190"/>
      <c r="AG39" s="190"/>
      <c r="AH39" s="190"/>
      <c r="AI39" s="192" t="str">
        <f>IFERROR(IF(AND(AB38="Probabilidad",AB39="Probabilidad"),(AK38-(+AK38*AE39)),IF(AND(AB38="Impacto",AB39="Probabilidad"),(AK37-(+AK37*AE39)),IF(AB39="Impacto",AK38,""))),"")</f>
        <v/>
      </c>
      <c r="AJ39" s="193" t="str">
        <f t="shared" si="2"/>
        <v/>
      </c>
      <c r="AK39" s="191" t="str">
        <f t="shared" si="37"/>
        <v/>
      </c>
      <c r="AL39" s="193" t="str">
        <f t="shared" si="4"/>
        <v/>
      </c>
      <c r="AM39" s="191" t="str">
        <f t="shared" ref="AM39" si="40">IFERROR(IF(AND(AB38="Impacto",AB39="Impacto"),(AM38-(+AM38*AE39)),IF(AND(AB38="Probabilidad",AB39="Impacto"),(AM37-(+AM37*AE39)),IF(AB39="Probabilidad",AM38,""))),"")</f>
        <v/>
      </c>
      <c r="AN39" s="194" t="str">
        <f t="shared" si="39"/>
        <v/>
      </c>
      <c r="AO39" s="195"/>
      <c r="AP39" s="186"/>
      <c r="AQ39" s="196"/>
      <c r="AR39" s="196"/>
      <c r="AS39" s="197"/>
      <c r="AT39" s="381"/>
      <c r="AU39" s="381"/>
      <c r="AV39" s="381"/>
    </row>
    <row r="40" spans="1:48" x14ac:dyDescent="0.2">
      <c r="A40" s="418"/>
      <c r="B40" s="387"/>
      <c r="C40" s="387"/>
      <c r="D40" s="387"/>
      <c r="E40" s="387"/>
      <c r="F40" s="387"/>
      <c r="G40" s="360"/>
      <c r="H40" s="360"/>
      <c r="I40" s="360"/>
      <c r="J40" s="360"/>
      <c r="K40" s="360"/>
      <c r="L40" s="360"/>
      <c r="M40" s="360"/>
      <c r="N40" s="360"/>
      <c r="O40" s="360"/>
      <c r="P40" s="360"/>
      <c r="Q40" s="360"/>
      <c r="R40" s="381"/>
      <c r="S40" s="367"/>
      <c r="T40" s="364"/>
      <c r="U40" s="353"/>
      <c r="V40" s="364">
        <f>IF(NOT(ISERROR(MATCH(U40,_xlfn.ANCHORARRAY(E51),0))),T53&amp;"Por favor no seleccionar los criterios de impacto",U40)</f>
        <v>0</v>
      </c>
      <c r="W40" s="367"/>
      <c r="X40" s="364"/>
      <c r="Y40" s="362"/>
      <c r="Z40" s="214">
        <v>4</v>
      </c>
      <c r="AA40" s="187"/>
      <c r="AB40" s="189" t="str">
        <f t="shared" ref="AB40:AB42" si="41">IF(OR(AC40="Preventivo",AC40="Detectivo"),"Probabilidad",IF(AC40="Correctivo","Impacto",""))</f>
        <v/>
      </c>
      <c r="AC40" s="190"/>
      <c r="AD40" s="190"/>
      <c r="AE40" s="191" t="str">
        <f t="shared" si="36"/>
        <v/>
      </c>
      <c r="AF40" s="190"/>
      <c r="AG40" s="190"/>
      <c r="AH40" s="190"/>
      <c r="AI40" s="192" t="str">
        <f t="shared" ref="AI40:AI42" si="42">IFERROR(IF(AND(AB39="Probabilidad",AB40="Probabilidad"),(AK39-(+AK39*AE40)),IF(AND(AB39="Impacto",AB40="Probabilidad"),(AK38-(+AK38*AE40)),IF(AB40="Impacto",AK39,""))),"")</f>
        <v/>
      </c>
      <c r="AJ40" s="193" t="str">
        <f t="shared" si="2"/>
        <v/>
      </c>
      <c r="AK40" s="191" t="str">
        <f t="shared" si="37"/>
        <v/>
      </c>
      <c r="AL40" s="193" t="str">
        <f t="shared" si="4"/>
        <v/>
      </c>
      <c r="AM40" s="191" t="str">
        <f t="shared" si="13"/>
        <v/>
      </c>
      <c r="AN40" s="194"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
      </c>
      <c r="AO40" s="195"/>
      <c r="AP40" s="186"/>
      <c r="AQ40" s="196"/>
      <c r="AR40" s="196"/>
      <c r="AS40" s="197"/>
      <c r="AT40" s="381"/>
      <c r="AU40" s="381"/>
      <c r="AV40" s="381"/>
    </row>
    <row r="41" spans="1:48" x14ac:dyDescent="0.2">
      <c r="A41" s="418"/>
      <c r="B41" s="387"/>
      <c r="C41" s="387"/>
      <c r="D41" s="387"/>
      <c r="E41" s="387"/>
      <c r="F41" s="387"/>
      <c r="G41" s="360"/>
      <c r="H41" s="360"/>
      <c r="I41" s="360"/>
      <c r="J41" s="360"/>
      <c r="K41" s="360"/>
      <c r="L41" s="360"/>
      <c r="M41" s="360"/>
      <c r="N41" s="360"/>
      <c r="O41" s="360"/>
      <c r="P41" s="360"/>
      <c r="Q41" s="360"/>
      <c r="R41" s="381"/>
      <c r="S41" s="367"/>
      <c r="T41" s="364"/>
      <c r="U41" s="353"/>
      <c r="V41" s="364">
        <f>IF(NOT(ISERROR(MATCH(U41,_xlfn.ANCHORARRAY(E52),0))),T54&amp;"Por favor no seleccionar los criterios de impacto",U41)</f>
        <v>0</v>
      </c>
      <c r="W41" s="367"/>
      <c r="X41" s="364"/>
      <c r="Y41" s="362"/>
      <c r="Z41" s="214">
        <v>5</v>
      </c>
      <c r="AA41" s="187"/>
      <c r="AB41" s="189" t="str">
        <f t="shared" si="41"/>
        <v/>
      </c>
      <c r="AC41" s="190"/>
      <c r="AD41" s="190"/>
      <c r="AE41" s="191" t="str">
        <f t="shared" si="36"/>
        <v/>
      </c>
      <c r="AF41" s="190"/>
      <c r="AG41" s="190"/>
      <c r="AH41" s="190"/>
      <c r="AI41" s="192" t="str">
        <f t="shared" si="42"/>
        <v/>
      </c>
      <c r="AJ41" s="193" t="str">
        <f t="shared" si="2"/>
        <v/>
      </c>
      <c r="AK41" s="191" t="str">
        <f t="shared" si="37"/>
        <v/>
      </c>
      <c r="AL41" s="193" t="str">
        <f t="shared" si="4"/>
        <v/>
      </c>
      <c r="AM41" s="191" t="str">
        <f t="shared" si="13"/>
        <v/>
      </c>
      <c r="AN41" s="194" t="str">
        <f t="shared" ref="AN41:AN42" si="43">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
      </c>
      <c r="AO41" s="195"/>
      <c r="AP41" s="186"/>
      <c r="AQ41" s="196"/>
      <c r="AR41" s="196"/>
      <c r="AS41" s="197"/>
      <c r="AT41" s="381"/>
      <c r="AU41" s="381"/>
      <c r="AV41" s="381"/>
    </row>
    <row r="42" spans="1:48" x14ac:dyDescent="0.2">
      <c r="A42" s="418"/>
      <c r="B42" s="387"/>
      <c r="C42" s="387"/>
      <c r="D42" s="387"/>
      <c r="E42" s="387"/>
      <c r="F42" s="387"/>
      <c r="G42" s="373"/>
      <c r="H42" s="373"/>
      <c r="I42" s="373"/>
      <c r="J42" s="373"/>
      <c r="K42" s="373"/>
      <c r="L42" s="373"/>
      <c r="M42" s="373"/>
      <c r="N42" s="373"/>
      <c r="O42" s="373"/>
      <c r="P42" s="373"/>
      <c r="Q42" s="373"/>
      <c r="R42" s="381"/>
      <c r="S42" s="367"/>
      <c r="T42" s="364"/>
      <c r="U42" s="353"/>
      <c r="V42" s="364">
        <f>IF(NOT(ISERROR(MATCH(U42,_xlfn.ANCHORARRAY(E53),0))),T55&amp;"Por favor no seleccionar los criterios de impacto",U42)</f>
        <v>0</v>
      </c>
      <c r="W42" s="367"/>
      <c r="X42" s="364"/>
      <c r="Y42" s="362"/>
      <c r="Z42" s="214">
        <v>6</v>
      </c>
      <c r="AA42" s="187"/>
      <c r="AB42" s="189" t="str">
        <f t="shared" si="41"/>
        <v/>
      </c>
      <c r="AC42" s="190"/>
      <c r="AD42" s="190"/>
      <c r="AE42" s="191" t="str">
        <f t="shared" si="36"/>
        <v/>
      </c>
      <c r="AF42" s="190"/>
      <c r="AG42" s="190"/>
      <c r="AH42" s="190"/>
      <c r="AI42" s="192" t="str">
        <f t="shared" si="42"/>
        <v/>
      </c>
      <c r="AJ42" s="193" t="str">
        <f t="shared" si="2"/>
        <v/>
      </c>
      <c r="AK42" s="191" t="str">
        <f t="shared" si="37"/>
        <v/>
      </c>
      <c r="AL42" s="193" t="str">
        <f t="shared" si="4"/>
        <v/>
      </c>
      <c r="AM42" s="191" t="str">
        <f t="shared" si="13"/>
        <v/>
      </c>
      <c r="AN42" s="194" t="str">
        <f t="shared" si="43"/>
        <v/>
      </c>
      <c r="AO42" s="195"/>
      <c r="AP42" s="186"/>
      <c r="AQ42" s="196"/>
      <c r="AR42" s="196"/>
      <c r="AS42" s="197"/>
      <c r="AT42" s="381"/>
      <c r="AU42" s="381"/>
      <c r="AV42" s="381"/>
    </row>
    <row r="43" spans="1:48" x14ac:dyDescent="0.2">
      <c r="A43" s="418">
        <v>6</v>
      </c>
      <c r="B43" s="387"/>
      <c r="C43" s="387"/>
      <c r="D43" s="387"/>
      <c r="E43" s="392"/>
      <c r="F43" s="387"/>
      <c r="G43" s="392"/>
      <c r="H43" s="392"/>
      <c r="I43" s="392"/>
      <c r="J43" s="392"/>
      <c r="K43" s="392"/>
      <c r="L43" s="392"/>
      <c r="M43" s="392"/>
      <c r="N43" s="392"/>
      <c r="O43" s="392"/>
      <c r="P43" s="392"/>
      <c r="Q43" s="392"/>
      <c r="R43" s="381"/>
      <c r="S43" s="367" t="str">
        <f>IF(R43&lt;=0,"",IF(R43&lt;=2,"Muy Baja",IF(R43&lt;=24,"Baja",IF(R43&lt;=500,"Media",IF(R43&lt;=5000,"Alta","Muy Alta")))))</f>
        <v/>
      </c>
      <c r="T43" s="364" t="str">
        <f>IF(S43="","",IF(S43="Muy Baja",0.2,IF(S43="Baja",0.4,IF(S43="Media",0.6,IF(S43="Alta",0.8,IF(S43="Muy Alta",1,))))))</f>
        <v/>
      </c>
      <c r="U43" s="353"/>
      <c r="V43" s="364">
        <f>IF(NOT(ISERROR(MATCH(U43,'Tabla Impacto'!$B$222:$B$224,0))),'Tabla Impacto'!$F$224&amp;"Por favor no seleccionar los criterios de impacto(Afectación Económica o presupuestal y Pérdida Reputacional)",U43)</f>
        <v>0</v>
      </c>
      <c r="W43" s="367" t="str">
        <f>IF(OR(V43='Tabla Impacto'!$C$12,V43='Tabla Impacto'!$D$12),"Leve",IF(OR(V43='Tabla Impacto'!$C$13,V43='Tabla Impacto'!$D$13),"Menor",IF(OR(V43='Tabla Impacto'!$C$14,V43='Tabla Impacto'!$D$14),"Moderado",IF(OR(V43='Tabla Impacto'!$C$15,V43='Tabla Impacto'!$D$15),"Mayor",IF(OR(V43='Tabla Impacto'!$C$16,V43='Tabla Impacto'!$D$16),"Catastrófico","")))))</f>
        <v/>
      </c>
      <c r="X43" s="364" t="str">
        <f>IF(W43="","",IF(W43="Leve",0.2,IF(W43="Menor",0.4,IF(W43="Moderado",0.6,IF(W43="Mayor",0.8,IF(W43="Catastrófico",1,))))))</f>
        <v/>
      </c>
      <c r="Y43" s="362" t="str">
        <f>IF(OR(AND(S43="Muy Baja",W43="Leve"),AND(S43="Muy Baja",W43="Menor"),AND(S43="Baja",W43="Leve")),"Bajo",IF(OR(AND(S43="Muy baja",W43="Moderado"),AND(S43="Baja",W43="Menor"),AND(S43="Baja",W43="Moderado"),AND(S43="Media",W43="Leve"),AND(S43="Media",W43="Menor"),AND(S43="Media",W43="Moderado"),AND(S43="Alta",W43="Leve"),AND(S43="Alta",W43="Menor")),"Moderado",IF(OR(AND(S43="Muy Baja",W43="Mayor"),AND(S43="Baja",W43="Mayor"),AND(S43="Media",W43="Mayor"),AND(S43="Alta",W43="Moderado"),AND(S43="Alta",W43="Mayor"),AND(S43="Muy Alta",W43="Leve"),AND(S43="Muy Alta",W43="Menor"),AND(S43="Muy Alta",W43="Moderado"),AND(S43="Muy Alta",W43="Mayor")),"Alto",IF(OR(AND(S43="Muy Baja",W43="Catastrófico"),AND(S43="Baja",W43="Catastrófico"),AND(S43="Media",W43="Catastrófico"),AND(S43="Alta",W43="Catastrófico"),AND(S43="Muy Alta",W43="Catastrófico")),"Extremo",""))))</f>
        <v/>
      </c>
      <c r="Z43" s="214">
        <v>1</v>
      </c>
      <c r="AA43" s="187"/>
      <c r="AB43" s="189" t="str">
        <f>IF(OR(AC43="Preventivo",AC43="Detectivo"),"Probabilidad",IF(AC43="Correctivo","Impacto",""))</f>
        <v/>
      </c>
      <c r="AC43" s="190"/>
      <c r="AD43" s="190"/>
      <c r="AE43" s="191" t="str">
        <f>IF(AND(AC43="Preventivo",AD43="Automático"),"50%",IF(AND(AC43="Preventivo",AD43="Manual"),"40%",IF(AND(AC43="Detectivo",AD43="Automático"),"40%",IF(AND(AC43="Detectivo",AD43="Manual"),"30%",IF(AND(AC43="Correctivo",AD43="Automático"),"35%",IF(AND(AC43="Correctivo",AD43="Manual"),"25%",""))))))</f>
        <v/>
      </c>
      <c r="AF43" s="190"/>
      <c r="AG43" s="190"/>
      <c r="AH43" s="190"/>
      <c r="AI43" s="192" t="str">
        <f>IFERROR(IF(AB43="Probabilidad",(T43-(+T43*AE43)),IF(AB43="Impacto",T43,"")),"")</f>
        <v/>
      </c>
      <c r="AJ43" s="193" t="str">
        <f>IFERROR(IF(AI43="","",IF(AI43&lt;=0.2,"Muy Baja",IF(AI43&lt;=0.4,"Baja",IF(AI43&lt;=0.6,"Media",IF(AI43&lt;=0.8,"Alta","Muy Alta"))))),"")</f>
        <v/>
      </c>
      <c r="AK43" s="191" t="str">
        <f>+AI43</f>
        <v/>
      </c>
      <c r="AL43" s="193" t="str">
        <f>IFERROR(IF(AM43="","",IF(AM43&lt;=0.2,"Leve",IF(AM43&lt;=0.4,"Menor",IF(AM43&lt;=0.6,"Moderado",IF(AM43&lt;=0.8,"Mayor","Catastrófico"))))),"")</f>
        <v/>
      </c>
      <c r="AM43" s="191" t="str">
        <f t="shared" ref="AM43" si="44">IFERROR(IF(AB43="Impacto",(X43-(+X43*AE43)),IF(AB43="Probabilidad",X43,"")),"")</f>
        <v/>
      </c>
      <c r="AN43" s="194"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190"/>
      <c r="AP43" s="186"/>
      <c r="AQ43" s="196"/>
      <c r="AR43" s="196"/>
      <c r="AS43" s="197"/>
      <c r="AT43" s="381"/>
      <c r="AU43" s="381"/>
      <c r="AV43" s="381"/>
    </row>
    <row r="44" spans="1:48" x14ac:dyDescent="0.2">
      <c r="A44" s="418"/>
      <c r="B44" s="387"/>
      <c r="C44" s="387"/>
      <c r="D44" s="387"/>
      <c r="E44" s="360"/>
      <c r="F44" s="387"/>
      <c r="G44" s="360"/>
      <c r="H44" s="360"/>
      <c r="I44" s="360"/>
      <c r="J44" s="360"/>
      <c r="K44" s="360"/>
      <c r="L44" s="360"/>
      <c r="M44" s="360"/>
      <c r="N44" s="360"/>
      <c r="O44" s="360"/>
      <c r="P44" s="360"/>
      <c r="Q44" s="360"/>
      <c r="R44" s="381"/>
      <c r="S44" s="367"/>
      <c r="T44" s="364"/>
      <c r="U44" s="353"/>
      <c r="V44" s="364">
        <f>IF(NOT(ISERROR(MATCH(U44,_xlfn.ANCHORARRAY(E55),0))),T57&amp;"Por favor no seleccionar los criterios de impacto",U44)</f>
        <v>0</v>
      </c>
      <c r="W44" s="367"/>
      <c r="X44" s="364"/>
      <c r="Y44" s="362"/>
      <c r="Z44" s="214">
        <v>2</v>
      </c>
      <c r="AA44" s="187"/>
      <c r="AB44" s="189" t="str">
        <f>IF(OR(AC44="Preventivo",AC44="Detectivo"),"Probabilidad",IF(AC44="Correctivo","Impacto",""))</f>
        <v/>
      </c>
      <c r="AC44" s="190"/>
      <c r="AD44" s="190"/>
      <c r="AE44" s="191" t="str">
        <f t="shared" ref="AE44:AE48" si="45">IF(AND(AC44="Preventivo",AD44="Automático"),"50%",IF(AND(AC44="Preventivo",AD44="Manual"),"40%",IF(AND(AC44="Detectivo",AD44="Automático"),"40%",IF(AND(AC44="Detectivo",AD44="Manual"),"30%",IF(AND(AC44="Correctivo",AD44="Automático"),"35%",IF(AND(AC44="Correctivo",AD44="Manual"),"25%",""))))))</f>
        <v/>
      </c>
      <c r="AF44" s="190"/>
      <c r="AG44" s="190"/>
      <c r="AH44" s="190"/>
      <c r="AI44" s="192" t="str">
        <f>IFERROR(IF(AND(AB43="Probabilidad",AB44="Probabilidad"),(AK43-(+AK43*AE44)),IF(AB44="Probabilidad",(T43-(+T43*AE44)),IF(AB44="Impacto",AK43,""))),"")</f>
        <v/>
      </c>
      <c r="AJ44" s="193" t="str">
        <f t="shared" si="2"/>
        <v/>
      </c>
      <c r="AK44" s="191" t="str">
        <f t="shared" ref="AK44:AK48" si="46">+AI44</f>
        <v/>
      </c>
      <c r="AL44" s="193" t="str">
        <f t="shared" si="4"/>
        <v/>
      </c>
      <c r="AM44" s="191" t="str">
        <f t="shared" ref="AM44" si="47">IFERROR(IF(AND(AB43="Impacto",AB44="Impacto"),(AM43-(+AM43*AE44)),IF(AB44="Impacto",($X$13-(+$X$13*AE44)),IF(AB44="Probabilidad",AM43,""))),"")</f>
        <v/>
      </c>
      <c r="AN44" s="194" t="str">
        <f t="shared" ref="AN44:AN45" si="48">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195"/>
      <c r="AP44" s="186"/>
      <c r="AQ44" s="196"/>
      <c r="AR44" s="196"/>
      <c r="AS44" s="197"/>
      <c r="AT44" s="381"/>
      <c r="AU44" s="381"/>
      <c r="AV44" s="381"/>
    </row>
    <row r="45" spans="1:48" x14ac:dyDescent="0.2">
      <c r="A45" s="418"/>
      <c r="B45" s="387"/>
      <c r="C45" s="387"/>
      <c r="D45" s="387"/>
      <c r="E45" s="360"/>
      <c r="F45" s="387"/>
      <c r="G45" s="360"/>
      <c r="H45" s="360"/>
      <c r="I45" s="360"/>
      <c r="J45" s="360"/>
      <c r="K45" s="360"/>
      <c r="L45" s="360"/>
      <c r="M45" s="360"/>
      <c r="N45" s="360"/>
      <c r="O45" s="360"/>
      <c r="P45" s="360"/>
      <c r="Q45" s="360"/>
      <c r="R45" s="381"/>
      <c r="S45" s="367"/>
      <c r="T45" s="364"/>
      <c r="U45" s="353"/>
      <c r="V45" s="364">
        <f>IF(NOT(ISERROR(MATCH(U45,_xlfn.ANCHORARRAY(E56),0))),T58&amp;"Por favor no seleccionar los criterios de impacto",U45)</f>
        <v>0</v>
      </c>
      <c r="W45" s="367"/>
      <c r="X45" s="364"/>
      <c r="Y45" s="362"/>
      <c r="Z45" s="214">
        <v>3</v>
      </c>
      <c r="AA45" s="188"/>
      <c r="AB45" s="189" t="str">
        <f>IF(OR(AC45="Preventivo",AC45="Detectivo"),"Probabilidad",IF(AC45="Correctivo","Impacto",""))</f>
        <v/>
      </c>
      <c r="AC45" s="190"/>
      <c r="AD45" s="190"/>
      <c r="AE45" s="191" t="str">
        <f t="shared" si="45"/>
        <v/>
      </c>
      <c r="AF45" s="190"/>
      <c r="AG45" s="190"/>
      <c r="AH45" s="190"/>
      <c r="AI45" s="192" t="str">
        <f>IFERROR(IF(AND(AB44="Probabilidad",AB45="Probabilidad"),(AK44-(+AK44*AE45)),IF(AND(AB44="Impacto",AB45="Probabilidad"),(AK43-(+AK43*AE45)),IF(AB45="Impacto",AK44,""))),"")</f>
        <v/>
      </c>
      <c r="AJ45" s="193" t="str">
        <f t="shared" si="2"/>
        <v/>
      </c>
      <c r="AK45" s="191" t="str">
        <f t="shared" si="46"/>
        <v/>
      </c>
      <c r="AL45" s="193" t="str">
        <f t="shared" si="4"/>
        <v/>
      </c>
      <c r="AM45" s="191" t="str">
        <f t="shared" ref="AM45" si="49">IFERROR(IF(AND(AB44="Impacto",AB45="Impacto"),(AM44-(+AM44*AE45)),IF(AND(AB44="Probabilidad",AB45="Impacto"),(AM43-(+AM43*AE45)),IF(AB45="Probabilidad",AM44,""))),"")</f>
        <v/>
      </c>
      <c r="AN45" s="194" t="str">
        <f t="shared" si="48"/>
        <v/>
      </c>
      <c r="AO45" s="195"/>
      <c r="AP45" s="186"/>
      <c r="AQ45" s="196"/>
      <c r="AR45" s="196"/>
      <c r="AS45" s="197"/>
      <c r="AT45" s="381"/>
      <c r="AU45" s="381"/>
      <c r="AV45" s="381"/>
    </row>
    <row r="46" spans="1:48" x14ac:dyDescent="0.2">
      <c r="A46" s="418"/>
      <c r="B46" s="387"/>
      <c r="C46" s="387"/>
      <c r="D46" s="387"/>
      <c r="E46" s="360"/>
      <c r="F46" s="387"/>
      <c r="G46" s="360"/>
      <c r="H46" s="360"/>
      <c r="I46" s="360"/>
      <c r="J46" s="360"/>
      <c r="K46" s="360"/>
      <c r="L46" s="360"/>
      <c r="M46" s="360"/>
      <c r="N46" s="360"/>
      <c r="O46" s="360"/>
      <c r="P46" s="360"/>
      <c r="Q46" s="360"/>
      <c r="R46" s="381"/>
      <c r="S46" s="367"/>
      <c r="T46" s="364"/>
      <c r="U46" s="353"/>
      <c r="V46" s="364">
        <f>IF(NOT(ISERROR(MATCH(U46,_xlfn.ANCHORARRAY(E57),0))),T59&amp;"Por favor no seleccionar los criterios de impacto",U46)</f>
        <v>0</v>
      </c>
      <c r="W46" s="367"/>
      <c r="X46" s="364"/>
      <c r="Y46" s="362"/>
      <c r="Z46" s="214">
        <v>4</v>
      </c>
      <c r="AA46" s="187"/>
      <c r="AB46" s="189" t="str">
        <f t="shared" ref="AB46:AB48" si="50">IF(OR(AC46="Preventivo",AC46="Detectivo"),"Probabilidad",IF(AC46="Correctivo","Impacto",""))</f>
        <v/>
      </c>
      <c r="AC46" s="190"/>
      <c r="AD46" s="190"/>
      <c r="AE46" s="191" t="str">
        <f t="shared" si="45"/>
        <v/>
      </c>
      <c r="AF46" s="190"/>
      <c r="AG46" s="190"/>
      <c r="AH46" s="190"/>
      <c r="AI46" s="192" t="str">
        <f t="shared" ref="AI46:AI48" si="51">IFERROR(IF(AND(AB45="Probabilidad",AB46="Probabilidad"),(AK45-(+AK45*AE46)),IF(AND(AB45="Impacto",AB46="Probabilidad"),(AK44-(+AK44*AE46)),IF(AB46="Impacto",AK45,""))),"")</f>
        <v/>
      </c>
      <c r="AJ46" s="193" t="str">
        <f t="shared" si="2"/>
        <v/>
      </c>
      <c r="AK46" s="191" t="str">
        <f t="shared" si="46"/>
        <v/>
      </c>
      <c r="AL46" s="193" t="str">
        <f t="shared" si="4"/>
        <v/>
      </c>
      <c r="AM46" s="191" t="str">
        <f t="shared" si="13"/>
        <v/>
      </c>
      <c r="AN46" s="194" t="str">
        <f>IFERROR(IF(OR(AND(AJ46="Muy Baja",AL46="Leve"),AND(AJ46="Muy Baja",AL46="Menor"),AND(AJ46="Baja",AL46="Leve")),"Bajo",IF(OR(AND(AJ46="Muy baja",AL46="Moderado"),AND(AJ46="Baja",AL46="Menor"),AND(AJ46="Baja",AL46="Moderado"),AND(AJ46="Media",AL46="Leve"),AND(AJ46="Media",AL46="Menor"),AND(AJ46="Media",AL46="Moderado"),AND(AJ46="Alta",AL46="Leve"),AND(AJ46="Alta",AL46="Menor")),"Moderado",IF(OR(AND(AJ46="Muy Baja",AL46="Mayor"),AND(AJ46="Baja",AL46="Mayor"),AND(AJ46="Media",AL46="Mayor"),AND(AJ46="Alta",AL46="Moderado"),AND(AJ46="Alta",AL46="Mayor"),AND(AJ46="Muy Alta",AL46="Leve"),AND(AJ46="Muy Alta",AL46="Menor"),AND(AJ46="Muy Alta",AL46="Moderado"),AND(AJ46="Muy Alta",AL46="Mayor")),"Alto",IF(OR(AND(AJ46="Muy Baja",AL46="Catastrófico"),AND(AJ46="Baja",AL46="Catastrófico"),AND(AJ46="Media",AL46="Catastrófico"),AND(AJ46="Alta",AL46="Catastrófico"),AND(AJ46="Muy Alta",AL46="Catastrófico")),"Extremo","")))),"")</f>
        <v/>
      </c>
      <c r="AO46" s="195"/>
      <c r="AP46" s="186"/>
      <c r="AQ46" s="196"/>
      <c r="AR46" s="196"/>
      <c r="AS46" s="197"/>
      <c r="AT46" s="381"/>
      <c r="AU46" s="381"/>
      <c r="AV46" s="381"/>
    </row>
    <row r="47" spans="1:48" x14ac:dyDescent="0.2">
      <c r="A47" s="418"/>
      <c r="B47" s="387"/>
      <c r="C47" s="387"/>
      <c r="D47" s="387"/>
      <c r="E47" s="360"/>
      <c r="F47" s="387"/>
      <c r="G47" s="360"/>
      <c r="H47" s="360"/>
      <c r="I47" s="360"/>
      <c r="J47" s="360"/>
      <c r="K47" s="360"/>
      <c r="L47" s="360"/>
      <c r="M47" s="360"/>
      <c r="N47" s="360"/>
      <c r="O47" s="360"/>
      <c r="P47" s="360"/>
      <c r="Q47" s="360"/>
      <c r="R47" s="381"/>
      <c r="S47" s="367"/>
      <c r="T47" s="364"/>
      <c r="U47" s="353"/>
      <c r="V47" s="364">
        <f>IF(NOT(ISERROR(MATCH(U47,_xlfn.ANCHORARRAY(E58),0))),T60&amp;"Por favor no seleccionar los criterios de impacto",U47)</f>
        <v>0</v>
      </c>
      <c r="W47" s="367"/>
      <c r="X47" s="364"/>
      <c r="Y47" s="362"/>
      <c r="Z47" s="214">
        <v>5</v>
      </c>
      <c r="AA47" s="187"/>
      <c r="AB47" s="189" t="str">
        <f t="shared" si="50"/>
        <v/>
      </c>
      <c r="AC47" s="190"/>
      <c r="AD47" s="190"/>
      <c r="AE47" s="191" t="str">
        <f t="shared" si="45"/>
        <v/>
      </c>
      <c r="AF47" s="190"/>
      <c r="AG47" s="190"/>
      <c r="AH47" s="190"/>
      <c r="AI47" s="192" t="str">
        <f t="shared" si="51"/>
        <v/>
      </c>
      <c r="AJ47" s="193" t="str">
        <f t="shared" si="2"/>
        <v/>
      </c>
      <c r="AK47" s="191" t="str">
        <f t="shared" si="46"/>
        <v/>
      </c>
      <c r="AL47" s="193" t="str">
        <f t="shared" si="4"/>
        <v/>
      </c>
      <c r="AM47" s="191" t="str">
        <f t="shared" si="13"/>
        <v/>
      </c>
      <c r="AN47" s="194" t="str">
        <f t="shared" ref="AN47" si="52">IFERROR(IF(OR(AND(AJ47="Muy Baja",AL47="Leve"),AND(AJ47="Muy Baja",AL47="Menor"),AND(AJ47="Baja",AL47="Leve")),"Bajo",IF(OR(AND(AJ47="Muy baja",AL47="Moderado"),AND(AJ47="Baja",AL47="Menor"),AND(AJ47="Baja",AL47="Moderado"),AND(AJ47="Media",AL47="Leve"),AND(AJ47="Media",AL47="Menor"),AND(AJ47="Media",AL47="Moderado"),AND(AJ47="Alta",AL47="Leve"),AND(AJ47="Alta",AL47="Menor")),"Moderado",IF(OR(AND(AJ47="Muy Baja",AL47="Mayor"),AND(AJ47="Baja",AL47="Mayor"),AND(AJ47="Media",AL47="Mayor"),AND(AJ47="Alta",AL47="Moderado"),AND(AJ47="Alta",AL47="Mayor"),AND(AJ47="Muy Alta",AL47="Leve"),AND(AJ47="Muy Alta",AL47="Menor"),AND(AJ47="Muy Alta",AL47="Moderado"),AND(AJ47="Muy Alta",AL47="Mayor")),"Alto",IF(OR(AND(AJ47="Muy Baja",AL47="Catastrófico"),AND(AJ47="Baja",AL47="Catastrófico"),AND(AJ47="Media",AL47="Catastrófico"),AND(AJ47="Alta",AL47="Catastrófico"),AND(AJ47="Muy Alta",AL47="Catastrófico")),"Extremo","")))),"")</f>
        <v/>
      </c>
      <c r="AO47" s="195"/>
      <c r="AP47" s="186"/>
      <c r="AQ47" s="196"/>
      <c r="AR47" s="196"/>
      <c r="AS47" s="197"/>
      <c r="AT47" s="381"/>
      <c r="AU47" s="381"/>
      <c r="AV47" s="381"/>
    </row>
    <row r="48" spans="1:48" x14ac:dyDescent="0.2">
      <c r="A48" s="418"/>
      <c r="B48" s="387"/>
      <c r="C48" s="387"/>
      <c r="D48" s="387"/>
      <c r="E48" s="373"/>
      <c r="F48" s="387"/>
      <c r="G48" s="373"/>
      <c r="H48" s="373"/>
      <c r="I48" s="373"/>
      <c r="J48" s="373"/>
      <c r="K48" s="373"/>
      <c r="L48" s="373"/>
      <c r="M48" s="373"/>
      <c r="N48" s="373"/>
      <c r="O48" s="373"/>
      <c r="P48" s="373"/>
      <c r="Q48" s="373"/>
      <c r="R48" s="381"/>
      <c r="S48" s="367"/>
      <c r="T48" s="364"/>
      <c r="U48" s="353"/>
      <c r="V48" s="364">
        <f>IF(NOT(ISERROR(MATCH(U48,_xlfn.ANCHORARRAY(E59),0))),T61&amp;"Por favor no seleccionar los criterios de impacto",U48)</f>
        <v>0</v>
      </c>
      <c r="W48" s="367"/>
      <c r="X48" s="364"/>
      <c r="Y48" s="362"/>
      <c r="Z48" s="214">
        <v>6</v>
      </c>
      <c r="AA48" s="187"/>
      <c r="AB48" s="189" t="str">
        <f t="shared" si="50"/>
        <v/>
      </c>
      <c r="AC48" s="190"/>
      <c r="AD48" s="190"/>
      <c r="AE48" s="191" t="str">
        <f t="shared" si="45"/>
        <v/>
      </c>
      <c r="AF48" s="190"/>
      <c r="AG48" s="190"/>
      <c r="AH48" s="190"/>
      <c r="AI48" s="192" t="str">
        <f t="shared" si="51"/>
        <v/>
      </c>
      <c r="AJ48" s="193" t="str">
        <f t="shared" si="2"/>
        <v/>
      </c>
      <c r="AK48" s="191" t="str">
        <f t="shared" si="46"/>
        <v/>
      </c>
      <c r="AL48" s="193" t="str">
        <f>IFERROR(IF(AM48="","",IF(AM48&lt;=0.2,"Leve",IF(AM48&lt;=0.4,"Menor",IF(AM48&lt;=0.6,"Moderado",IF(AM48&lt;=0.8,"Mayor","Catastrófico"))))),"")</f>
        <v/>
      </c>
      <c r="AM48" s="191" t="str">
        <f t="shared" si="13"/>
        <v/>
      </c>
      <c r="AN48" s="194" t="str">
        <f>IFERROR(IF(OR(AND(AJ48="Muy Baja",AL48="Leve"),AND(AJ48="Muy Baja",AL48="Menor"),AND(AJ48="Baja",AL48="Leve")),"Bajo",IF(OR(AND(AJ48="Muy baja",AL48="Moderado"),AND(AJ48="Baja",AL48="Menor"),AND(AJ48="Baja",AL48="Moderado"),AND(AJ48="Media",AL48="Leve"),AND(AJ48="Media",AL48="Menor"),AND(AJ48="Media",AL48="Moderado"),AND(AJ48="Alta",AL48="Leve"),AND(AJ48="Alta",AL48="Menor")),"Moderado",IF(OR(AND(AJ48="Muy Baja",AL48="Mayor"),AND(AJ48="Baja",AL48="Mayor"),AND(AJ48="Media",AL48="Mayor"),AND(AJ48="Alta",AL48="Moderado"),AND(AJ48="Alta",AL48="Mayor"),AND(AJ48="Muy Alta",AL48="Leve"),AND(AJ48="Muy Alta",AL48="Menor"),AND(AJ48="Muy Alta",AL48="Moderado"),AND(AJ48="Muy Alta",AL48="Mayor")),"Alto",IF(OR(AND(AJ48="Muy Baja",AL48="Catastrófico"),AND(AJ48="Baja",AL48="Catastrófico"),AND(AJ48="Media",AL48="Catastrófico"),AND(AJ48="Alta",AL48="Catastrófico"),AND(AJ48="Muy Alta",AL48="Catastrófico")),"Extremo","")))),"")</f>
        <v/>
      </c>
      <c r="AO48" s="195"/>
      <c r="AP48" s="186"/>
      <c r="AQ48" s="196"/>
      <c r="AR48" s="196"/>
      <c r="AS48" s="197"/>
      <c r="AT48" s="381"/>
      <c r="AU48" s="381"/>
      <c r="AV48" s="381"/>
    </row>
    <row r="49" spans="1:48" x14ac:dyDescent="0.2">
      <c r="A49" s="418">
        <v>7</v>
      </c>
      <c r="B49" s="387"/>
      <c r="C49" s="387"/>
      <c r="D49" s="421"/>
      <c r="E49" s="387"/>
      <c r="F49" s="387"/>
      <c r="G49" s="392"/>
      <c r="H49" s="392"/>
      <c r="I49" s="392"/>
      <c r="J49" s="392"/>
      <c r="K49" s="392"/>
      <c r="L49" s="392"/>
      <c r="M49" s="392"/>
      <c r="N49" s="392"/>
      <c r="O49" s="392"/>
      <c r="P49" s="392"/>
      <c r="Q49" s="392"/>
      <c r="R49" s="381"/>
      <c r="S49" s="367" t="str">
        <f>IF(R49&lt;=0,"",IF(R49&lt;=2,"Muy Baja",IF(R49&lt;=24,"Baja",IF(R49&lt;=500,"Media",IF(R49&lt;=5000,"Alta","Muy Alta")))))</f>
        <v/>
      </c>
      <c r="T49" s="364" t="str">
        <f>IF(S49="","",IF(S49="Muy Baja",0.2,IF(S49="Baja",0.4,IF(S49="Media",0.6,IF(S49="Alta",0.8,IF(S49="Muy Alta",1,))))))</f>
        <v/>
      </c>
      <c r="U49" s="353"/>
      <c r="V49" s="364">
        <f>IF(NOT(ISERROR(MATCH(U49,'Tabla Impacto'!$B$222:$B$224,0))),'Tabla Impacto'!$F$224&amp;"Por favor no seleccionar los criterios de impacto(Afectación Económica o presupuestal y Pérdida Reputacional)",U49)</f>
        <v>0</v>
      </c>
      <c r="W49" s="367" t="str">
        <f>IF(OR(V49='Tabla Impacto'!$C$12,V49='Tabla Impacto'!$D$12),"Leve",IF(OR(V49='Tabla Impacto'!$C$13,V49='Tabla Impacto'!$D$13),"Menor",IF(OR(V49='Tabla Impacto'!$C$14,V49='Tabla Impacto'!$D$14),"Moderado",IF(OR(V49='Tabla Impacto'!$C$15,V49='Tabla Impacto'!$D$15),"Mayor",IF(OR(V49='Tabla Impacto'!$C$16,V49='Tabla Impacto'!$D$16),"Catastrófico","")))))</f>
        <v/>
      </c>
      <c r="X49" s="364" t="str">
        <f>IF(W49="","",IF(W49="Leve",0.2,IF(W49="Menor",0.4,IF(W49="Moderado",0.6,IF(W49="Mayor",0.8,IF(W49="Catastrófico",1,))))))</f>
        <v/>
      </c>
      <c r="Y49" s="362" t="str">
        <f>IF(OR(AND(S49="Muy Baja",W49="Leve"),AND(S49="Muy Baja",W49="Menor"),AND(S49="Baja",W49="Leve")),"Bajo",IF(OR(AND(S49="Muy baja",W49="Moderado"),AND(S49="Baja",W49="Menor"),AND(S49="Baja",W49="Moderado"),AND(S49="Media",W49="Leve"),AND(S49="Media",W49="Menor"),AND(S49="Media",W49="Moderado"),AND(S49="Alta",W49="Leve"),AND(S49="Alta",W49="Menor")),"Moderado",IF(OR(AND(S49="Muy Baja",W49="Mayor"),AND(S49="Baja",W49="Mayor"),AND(S49="Media",W49="Mayor"),AND(S49="Alta",W49="Moderado"),AND(S49="Alta",W49="Mayor"),AND(S49="Muy Alta",W49="Leve"),AND(S49="Muy Alta",W49="Menor"),AND(S49="Muy Alta",W49="Moderado"),AND(S49="Muy Alta",W49="Mayor")),"Alto",IF(OR(AND(S49="Muy Baja",W49="Catastrófico"),AND(S49="Baja",W49="Catastrófico"),AND(S49="Media",W49="Catastrófico"),AND(S49="Alta",W49="Catastrófico"),AND(S49="Muy Alta",W49="Catastrófico")),"Extremo",""))))</f>
        <v/>
      </c>
      <c r="Z49" s="214">
        <v>1</v>
      </c>
      <c r="AA49" s="199"/>
      <c r="AB49" s="189" t="str">
        <f>IF(OR(AC49="Preventivo",AC49="Detectivo"),"Probabilidad",IF(AC49="Correctivo","Impacto",""))</f>
        <v/>
      </c>
      <c r="AC49" s="190"/>
      <c r="AD49" s="190"/>
      <c r="AE49" s="191" t="str">
        <f>IF(AND(AC49="Preventivo",AD49="Automático"),"50%",IF(AND(AC49="Preventivo",AD49="Manual"),"40%",IF(AND(AC49="Detectivo",AD49="Automático"),"40%",IF(AND(AC49="Detectivo",AD49="Manual"),"30%",IF(AND(AC49="Correctivo",AD49="Automático"),"35%",IF(AND(AC49="Correctivo",AD49="Manual"),"25%",""))))))</f>
        <v/>
      </c>
      <c r="AF49" s="190"/>
      <c r="AG49" s="190"/>
      <c r="AH49" s="190"/>
      <c r="AI49" s="192" t="str">
        <f>IFERROR(IF(AB49="Probabilidad",(T49-(+T49*AE49)),IF(AB49="Impacto",T49,"")),"")</f>
        <v/>
      </c>
      <c r="AJ49" s="193" t="str">
        <f>IFERROR(IF(AI49="","",IF(AI49&lt;=0.2,"Muy Baja",IF(AI49&lt;=0.4,"Baja",IF(AI49&lt;=0.6,"Media",IF(AI49&lt;=0.8,"Alta","Muy Alta"))))),"")</f>
        <v/>
      </c>
      <c r="AK49" s="191" t="str">
        <f>+AI49</f>
        <v/>
      </c>
      <c r="AL49" s="193" t="str">
        <f>IFERROR(IF(AM49="","",IF(AM49&lt;=0.2,"Leve",IF(AM49&lt;=0.4,"Menor",IF(AM49&lt;=0.6,"Moderado",IF(AM49&lt;=0.8,"Mayor","Catastrófico"))))),"")</f>
        <v/>
      </c>
      <c r="AM49" s="191" t="str">
        <f t="shared" ref="AM49" si="53">IFERROR(IF(AB49="Impacto",(X49-(+X49*AE49)),IF(AB49="Probabilidad",X49,"")),"")</f>
        <v/>
      </c>
      <c r="AN49" s="194" t="str">
        <f>IFERROR(IF(OR(AND(AJ49="Muy Baja",AL49="Leve"),AND(AJ49="Muy Baja",AL49="Menor"),AND(AJ49="Baja",AL49="Leve")),"Bajo",IF(OR(AND(AJ49="Muy baja",AL49="Moderado"),AND(AJ49="Baja",AL49="Menor"),AND(AJ49="Baja",AL49="Moderado"),AND(AJ49="Media",AL49="Leve"),AND(AJ49="Media",AL49="Menor"),AND(AJ49="Media",AL49="Moderado"),AND(AJ49="Alta",AL49="Leve"),AND(AJ49="Alta",AL49="Menor")),"Moderado",IF(OR(AND(AJ49="Muy Baja",AL49="Mayor"),AND(AJ49="Baja",AL49="Mayor"),AND(AJ49="Media",AL49="Mayor"),AND(AJ49="Alta",AL49="Moderado"),AND(AJ49="Alta",AL49="Mayor"),AND(AJ49="Muy Alta",AL49="Leve"),AND(AJ49="Muy Alta",AL49="Menor"),AND(AJ49="Muy Alta",AL49="Moderado"),AND(AJ49="Muy Alta",AL49="Mayor")),"Alto",IF(OR(AND(AJ49="Muy Baja",AL49="Catastrófico"),AND(AJ49="Baja",AL49="Catastrófico"),AND(AJ49="Media",AL49="Catastrófico"),AND(AJ49="Alta",AL49="Catastrófico"),AND(AJ49="Muy Alta",AL49="Catastrófico")),"Extremo","")))),"")</f>
        <v/>
      </c>
      <c r="AO49" s="195"/>
      <c r="AP49" s="186"/>
      <c r="AQ49" s="196"/>
      <c r="AR49" s="196"/>
      <c r="AS49" s="197"/>
      <c r="AT49" s="381"/>
      <c r="AU49" s="381"/>
      <c r="AV49" s="381"/>
    </row>
    <row r="50" spans="1:48" x14ac:dyDescent="0.2">
      <c r="A50" s="418"/>
      <c r="B50" s="387"/>
      <c r="C50" s="387"/>
      <c r="D50" s="421"/>
      <c r="E50" s="387"/>
      <c r="F50" s="387"/>
      <c r="G50" s="360"/>
      <c r="H50" s="360"/>
      <c r="I50" s="360"/>
      <c r="J50" s="360"/>
      <c r="K50" s="360"/>
      <c r="L50" s="360"/>
      <c r="M50" s="360"/>
      <c r="N50" s="360"/>
      <c r="O50" s="360"/>
      <c r="P50" s="360"/>
      <c r="Q50" s="360"/>
      <c r="R50" s="381"/>
      <c r="S50" s="367"/>
      <c r="T50" s="364"/>
      <c r="U50" s="353"/>
      <c r="V50" s="364">
        <f>IF(NOT(ISERROR(MATCH(U50,_xlfn.ANCHORARRAY(E61),0))),T63&amp;"Por favor no seleccionar los criterios de impacto",U50)</f>
        <v>0</v>
      </c>
      <c r="W50" s="367"/>
      <c r="X50" s="364"/>
      <c r="Y50" s="362"/>
      <c r="Z50" s="214">
        <v>2</v>
      </c>
      <c r="AA50" s="187"/>
      <c r="AB50" s="189" t="str">
        <f>IF(OR(AC50="Preventivo",AC50="Detectivo"),"Probabilidad",IF(AC50="Correctivo","Impacto",""))</f>
        <v/>
      </c>
      <c r="AC50" s="190"/>
      <c r="AD50" s="190"/>
      <c r="AE50" s="191" t="str">
        <f t="shared" ref="AE50:AE54" si="54">IF(AND(AC50="Preventivo",AD50="Automático"),"50%",IF(AND(AC50="Preventivo",AD50="Manual"),"40%",IF(AND(AC50="Detectivo",AD50="Automático"),"40%",IF(AND(AC50="Detectivo",AD50="Manual"),"30%",IF(AND(AC50="Correctivo",AD50="Automático"),"35%",IF(AND(AC50="Correctivo",AD50="Manual"),"25%",""))))))</f>
        <v/>
      </c>
      <c r="AF50" s="190"/>
      <c r="AG50" s="190"/>
      <c r="AH50" s="190"/>
      <c r="AI50" s="192" t="str">
        <f>IFERROR(IF(AND(AB49="Probabilidad",AB50="Probabilidad"),(AK49-(+AK49*AE50)),IF(AB50="Probabilidad",(T49-(+T49*AE50)),IF(AB50="Impacto",AK49,""))),"")</f>
        <v/>
      </c>
      <c r="AJ50" s="193" t="str">
        <f t="shared" si="2"/>
        <v/>
      </c>
      <c r="AK50" s="191" t="str">
        <f t="shared" ref="AK50:AK54" si="55">+AI50</f>
        <v/>
      </c>
      <c r="AL50" s="193" t="str">
        <f t="shared" si="4"/>
        <v/>
      </c>
      <c r="AM50" s="191" t="str">
        <f t="shared" ref="AM50" si="56">IFERROR(IF(AND(AB49="Impacto",AB50="Impacto"),(AM49-(+AM49*AE50)),IF(AB50="Impacto",($X$13-(+$X$13*AE50)),IF(AB50="Probabilidad",AM49,""))),"")</f>
        <v/>
      </c>
      <c r="AN50" s="194" t="str">
        <f t="shared" ref="AN50:AN51" si="57">IFERROR(IF(OR(AND(AJ50="Muy Baja",AL50="Leve"),AND(AJ50="Muy Baja",AL50="Menor"),AND(AJ50="Baja",AL50="Leve")),"Bajo",IF(OR(AND(AJ50="Muy baja",AL50="Moderado"),AND(AJ50="Baja",AL50="Menor"),AND(AJ50="Baja",AL50="Moderado"),AND(AJ50="Media",AL50="Leve"),AND(AJ50="Media",AL50="Menor"),AND(AJ50="Media",AL50="Moderado"),AND(AJ50="Alta",AL50="Leve"),AND(AJ50="Alta",AL50="Menor")),"Moderado",IF(OR(AND(AJ50="Muy Baja",AL50="Mayor"),AND(AJ50="Baja",AL50="Mayor"),AND(AJ50="Media",AL50="Mayor"),AND(AJ50="Alta",AL50="Moderado"),AND(AJ50="Alta",AL50="Mayor"),AND(AJ50="Muy Alta",AL50="Leve"),AND(AJ50="Muy Alta",AL50="Menor"),AND(AJ50="Muy Alta",AL50="Moderado"),AND(AJ50="Muy Alta",AL50="Mayor")),"Alto",IF(OR(AND(AJ50="Muy Baja",AL50="Catastrófico"),AND(AJ50="Baja",AL50="Catastrófico"),AND(AJ50="Media",AL50="Catastrófico"),AND(AJ50="Alta",AL50="Catastrófico"),AND(AJ50="Muy Alta",AL50="Catastrófico")),"Extremo","")))),"")</f>
        <v/>
      </c>
      <c r="AO50" s="195"/>
      <c r="AP50" s="186"/>
      <c r="AQ50" s="196"/>
      <c r="AR50" s="196"/>
      <c r="AS50" s="197"/>
      <c r="AT50" s="381"/>
      <c r="AU50" s="381"/>
      <c r="AV50" s="381"/>
    </row>
    <row r="51" spans="1:48" x14ac:dyDescent="0.2">
      <c r="A51" s="418"/>
      <c r="B51" s="387"/>
      <c r="C51" s="387"/>
      <c r="D51" s="421"/>
      <c r="E51" s="387"/>
      <c r="F51" s="387"/>
      <c r="G51" s="360"/>
      <c r="H51" s="360"/>
      <c r="I51" s="360"/>
      <c r="J51" s="360"/>
      <c r="K51" s="360"/>
      <c r="L51" s="360"/>
      <c r="M51" s="360"/>
      <c r="N51" s="360"/>
      <c r="O51" s="360"/>
      <c r="P51" s="360"/>
      <c r="Q51" s="360"/>
      <c r="R51" s="381"/>
      <c r="S51" s="367"/>
      <c r="T51" s="364"/>
      <c r="U51" s="353"/>
      <c r="V51" s="364">
        <f>IF(NOT(ISERROR(MATCH(U51,_xlfn.ANCHORARRAY(E62),0))),T64&amp;"Por favor no seleccionar los criterios de impacto",U51)</f>
        <v>0</v>
      </c>
      <c r="W51" s="367"/>
      <c r="X51" s="364"/>
      <c r="Y51" s="362"/>
      <c r="Z51" s="214">
        <v>3</v>
      </c>
      <c r="AA51" s="188"/>
      <c r="AB51" s="189" t="str">
        <f>IF(OR(AC51="Preventivo",AC51="Detectivo"),"Probabilidad",IF(AC51="Correctivo","Impacto",""))</f>
        <v/>
      </c>
      <c r="AC51" s="190"/>
      <c r="AD51" s="190"/>
      <c r="AE51" s="191" t="str">
        <f t="shared" si="54"/>
        <v/>
      </c>
      <c r="AF51" s="190"/>
      <c r="AG51" s="190"/>
      <c r="AH51" s="190"/>
      <c r="AI51" s="192" t="str">
        <f>IFERROR(IF(AND(AB50="Probabilidad",AB51="Probabilidad"),(AK50-(+AK50*AE51)),IF(AND(AB50="Impacto",AB51="Probabilidad"),(AK49-(+AK49*AE51)),IF(AB51="Impacto",AK50,""))),"")</f>
        <v/>
      </c>
      <c r="AJ51" s="193" t="str">
        <f t="shared" si="2"/>
        <v/>
      </c>
      <c r="AK51" s="191" t="str">
        <f t="shared" si="55"/>
        <v/>
      </c>
      <c r="AL51" s="193" t="str">
        <f t="shared" si="4"/>
        <v/>
      </c>
      <c r="AM51" s="191" t="str">
        <f t="shared" ref="AM51" si="58">IFERROR(IF(AND(AB50="Impacto",AB51="Impacto"),(AM50-(+AM50*AE51)),IF(AND(AB50="Probabilidad",AB51="Impacto"),(AM49-(+AM49*AE51)),IF(AB51="Probabilidad",AM50,""))),"")</f>
        <v/>
      </c>
      <c r="AN51" s="194" t="str">
        <f t="shared" si="57"/>
        <v/>
      </c>
      <c r="AO51" s="195"/>
      <c r="AP51" s="186"/>
      <c r="AQ51" s="196"/>
      <c r="AR51" s="196"/>
      <c r="AS51" s="197"/>
      <c r="AT51" s="381"/>
      <c r="AU51" s="381"/>
      <c r="AV51" s="381"/>
    </row>
    <row r="52" spans="1:48" x14ac:dyDescent="0.2">
      <c r="A52" s="418"/>
      <c r="B52" s="387"/>
      <c r="C52" s="387"/>
      <c r="D52" s="421"/>
      <c r="E52" s="387"/>
      <c r="F52" s="387"/>
      <c r="G52" s="360"/>
      <c r="H52" s="360"/>
      <c r="I52" s="360"/>
      <c r="J52" s="360"/>
      <c r="K52" s="360"/>
      <c r="L52" s="360"/>
      <c r="M52" s="360"/>
      <c r="N52" s="360"/>
      <c r="O52" s="360"/>
      <c r="P52" s="360"/>
      <c r="Q52" s="360"/>
      <c r="R52" s="381"/>
      <c r="S52" s="367"/>
      <c r="T52" s="364"/>
      <c r="U52" s="353"/>
      <c r="V52" s="364">
        <f>IF(NOT(ISERROR(MATCH(U52,_xlfn.ANCHORARRAY(E63),0))),T65&amp;"Por favor no seleccionar los criterios de impacto",U52)</f>
        <v>0</v>
      </c>
      <c r="W52" s="367"/>
      <c r="X52" s="364"/>
      <c r="Y52" s="362"/>
      <c r="Z52" s="214">
        <v>4</v>
      </c>
      <c r="AA52" s="187"/>
      <c r="AB52" s="189" t="str">
        <f t="shared" ref="AB52:AB54" si="59">IF(OR(AC52="Preventivo",AC52="Detectivo"),"Probabilidad",IF(AC52="Correctivo","Impacto",""))</f>
        <v/>
      </c>
      <c r="AC52" s="190"/>
      <c r="AD52" s="190"/>
      <c r="AE52" s="191" t="str">
        <f t="shared" si="54"/>
        <v/>
      </c>
      <c r="AF52" s="190"/>
      <c r="AG52" s="190"/>
      <c r="AH52" s="190"/>
      <c r="AI52" s="192" t="str">
        <f t="shared" ref="AI52:AI54" si="60">IFERROR(IF(AND(AB51="Probabilidad",AB52="Probabilidad"),(AK51-(+AK51*AE52)),IF(AND(AB51="Impacto",AB52="Probabilidad"),(AK50-(+AK50*AE52)),IF(AB52="Impacto",AK51,""))),"")</f>
        <v/>
      </c>
      <c r="AJ52" s="193" t="str">
        <f t="shared" si="2"/>
        <v/>
      </c>
      <c r="AK52" s="191" t="str">
        <f t="shared" si="55"/>
        <v/>
      </c>
      <c r="AL52" s="193" t="str">
        <f t="shared" si="4"/>
        <v/>
      </c>
      <c r="AM52" s="191" t="str">
        <f t="shared" si="13"/>
        <v/>
      </c>
      <c r="AN52" s="194" t="str">
        <f>IFERROR(IF(OR(AND(AJ52="Muy Baja",AL52="Leve"),AND(AJ52="Muy Baja",AL52="Menor"),AND(AJ52="Baja",AL52="Leve")),"Bajo",IF(OR(AND(AJ52="Muy baja",AL52="Moderado"),AND(AJ52="Baja",AL52="Menor"),AND(AJ52="Baja",AL52="Moderado"),AND(AJ52="Media",AL52="Leve"),AND(AJ52="Media",AL52="Menor"),AND(AJ52="Media",AL52="Moderado"),AND(AJ52="Alta",AL52="Leve"),AND(AJ52="Alta",AL52="Menor")),"Moderado",IF(OR(AND(AJ52="Muy Baja",AL52="Mayor"),AND(AJ52="Baja",AL52="Mayor"),AND(AJ52="Media",AL52="Mayor"),AND(AJ52="Alta",AL52="Moderado"),AND(AJ52="Alta",AL52="Mayor"),AND(AJ52="Muy Alta",AL52="Leve"),AND(AJ52="Muy Alta",AL52="Menor"),AND(AJ52="Muy Alta",AL52="Moderado"),AND(AJ52="Muy Alta",AL52="Mayor")),"Alto",IF(OR(AND(AJ52="Muy Baja",AL52="Catastrófico"),AND(AJ52="Baja",AL52="Catastrófico"),AND(AJ52="Media",AL52="Catastrófico"),AND(AJ52="Alta",AL52="Catastrófico"),AND(AJ52="Muy Alta",AL52="Catastrófico")),"Extremo","")))),"")</f>
        <v/>
      </c>
      <c r="AO52" s="195"/>
      <c r="AP52" s="186"/>
      <c r="AQ52" s="196"/>
      <c r="AR52" s="196"/>
      <c r="AS52" s="197"/>
      <c r="AT52" s="381"/>
      <c r="AU52" s="381"/>
      <c r="AV52" s="381"/>
    </row>
    <row r="53" spans="1:48" x14ac:dyDescent="0.2">
      <c r="A53" s="418"/>
      <c r="B53" s="387"/>
      <c r="C53" s="387"/>
      <c r="D53" s="421"/>
      <c r="E53" s="387"/>
      <c r="F53" s="387"/>
      <c r="G53" s="360"/>
      <c r="H53" s="360"/>
      <c r="I53" s="360"/>
      <c r="J53" s="360"/>
      <c r="K53" s="360"/>
      <c r="L53" s="360"/>
      <c r="M53" s="360"/>
      <c r="N53" s="360"/>
      <c r="O53" s="360"/>
      <c r="P53" s="360"/>
      <c r="Q53" s="360"/>
      <c r="R53" s="381"/>
      <c r="S53" s="367"/>
      <c r="T53" s="364"/>
      <c r="U53" s="353"/>
      <c r="V53" s="364">
        <f>IF(NOT(ISERROR(MATCH(U53,_xlfn.ANCHORARRAY(E64),0))),T66&amp;"Por favor no seleccionar los criterios de impacto",U53)</f>
        <v>0</v>
      </c>
      <c r="W53" s="367"/>
      <c r="X53" s="364"/>
      <c r="Y53" s="362"/>
      <c r="Z53" s="214">
        <v>5</v>
      </c>
      <c r="AA53" s="187"/>
      <c r="AB53" s="189" t="str">
        <f t="shared" si="59"/>
        <v/>
      </c>
      <c r="AC53" s="190"/>
      <c r="AD53" s="190"/>
      <c r="AE53" s="191" t="str">
        <f t="shared" si="54"/>
        <v/>
      </c>
      <c r="AF53" s="190"/>
      <c r="AG53" s="190"/>
      <c r="AH53" s="190"/>
      <c r="AI53" s="192" t="str">
        <f t="shared" si="60"/>
        <v/>
      </c>
      <c r="AJ53" s="193" t="str">
        <f t="shared" si="2"/>
        <v/>
      </c>
      <c r="AK53" s="191" t="str">
        <f t="shared" si="55"/>
        <v/>
      </c>
      <c r="AL53" s="193" t="str">
        <f t="shared" si="4"/>
        <v/>
      </c>
      <c r="AM53" s="191" t="str">
        <f t="shared" si="13"/>
        <v/>
      </c>
      <c r="AN53" s="194" t="str">
        <f t="shared" ref="AN53:AN54" si="61">IFERROR(IF(OR(AND(AJ53="Muy Baja",AL53="Leve"),AND(AJ53="Muy Baja",AL53="Menor"),AND(AJ53="Baja",AL53="Leve")),"Bajo",IF(OR(AND(AJ53="Muy baja",AL53="Moderado"),AND(AJ53="Baja",AL53="Menor"),AND(AJ53="Baja",AL53="Moderado"),AND(AJ53="Media",AL53="Leve"),AND(AJ53="Media",AL53="Menor"),AND(AJ53="Media",AL53="Moderado"),AND(AJ53="Alta",AL53="Leve"),AND(AJ53="Alta",AL53="Menor")),"Moderado",IF(OR(AND(AJ53="Muy Baja",AL53="Mayor"),AND(AJ53="Baja",AL53="Mayor"),AND(AJ53="Media",AL53="Mayor"),AND(AJ53="Alta",AL53="Moderado"),AND(AJ53="Alta",AL53="Mayor"),AND(AJ53="Muy Alta",AL53="Leve"),AND(AJ53="Muy Alta",AL53="Menor"),AND(AJ53="Muy Alta",AL53="Moderado"),AND(AJ53="Muy Alta",AL53="Mayor")),"Alto",IF(OR(AND(AJ53="Muy Baja",AL53="Catastrófico"),AND(AJ53="Baja",AL53="Catastrófico"),AND(AJ53="Media",AL53="Catastrófico"),AND(AJ53="Alta",AL53="Catastrófico"),AND(AJ53="Muy Alta",AL53="Catastrófico")),"Extremo","")))),"")</f>
        <v/>
      </c>
      <c r="AO53" s="195"/>
      <c r="AP53" s="186"/>
      <c r="AQ53" s="196"/>
      <c r="AR53" s="196"/>
      <c r="AS53" s="197"/>
      <c r="AT53" s="381"/>
      <c r="AU53" s="381"/>
      <c r="AV53" s="381"/>
    </row>
    <row r="54" spans="1:48" x14ac:dyDescent="0.2">
      <c r="A54" s="418"/>
      <c r="B54" s="387"/>
      <c r="C54" s="387"/>
      <c r="D54" s="421"/>
      <c r="E54" s="387"/>
      <c r="F54" s="387"/>
      <c r="G54" s="373"/>
      <c r="H54" s="373"/>
      <c r="I54" s="373"/>
      <c r="J54" s="373"/>
      <c r="K54" s="373"/>
      <c r="L54" s="373"/>
      <c r="M54" s="373"/>
      <c r="N54" s="373"/>
      <c r="O54" s="373"/>
      <c r="P54" s="373"/>
      <c r="Q54" s="373"/>
      <c r="R54" s="381"/>
      <c r="S54" s="367"/>
      <c r="T54" s="364"/>
      <c r="U54" s="353"/>
      <c r="V54" s="364">
        <f>IF(NOT(ISERROR(MATCH(U54,_xlfn.ANCHORARRAY(E65),0))),T67&amp;"Por favor no seleccionar los criterios de impacto",U54)</f>
        <v>0</v>
      </c>
      <c r="W54" s="367"/>
      <c r="X54" s="364"/>
      <c r="Y54" s="362"/>
      <c r="Z54" s="214">
        <v>6</v>
      </c>
      <c r="AA54" s="187"/>
      <c r="AB54" s="189" t="str">
        <f t="shared" si="59"/>
        <v/>
      </c>
      <c r="AC54" s="190"/>
      <c r="AD54" s="190"/>
      <c r="AE54" s="191" t="str">
        <f t="shared" si="54"/>
        <v/>
      </c>
      <c r="AF54" s="190"/>
      <c r="AG54" s="190"/>
      <c r="AH54" s="190"/>
      <c r="AI54" s="192" t="str">
        <f t="shared" si="60"/>
        <v/>
      </c>
      <c r="AJ54" s="193" t="str">
        <f t="shared" si="2"/>
        <v/>
      </c>
      <c r="AK54" s="191" t="str">
        <f t="shared" si="55"/>
        <v/>
      </c>
      <c r="AL54" s="193" t="str">
        <f t="shared" si="4"/>
        <v/>
      </c>
      <c r="AM54" s="191" t="str">
        <f t="shared" si="13"/>
        <v/>
      </c>
      <c r="AN54" s="194" t="str">
        <f t="shared" si="61"/>
        <v/>
      </c>
      <c r="AO54" s="195"/>
      <c r="AP54" s="186"/>
      <c r="AQ54" s="196"/>
      <c r="AR54" s="196"/>
      <c r="AS54" s="197"/>
      <c r="AT54" s="381"/>
      <c r="AU54" s="381"/>
      <c r="AV54" s="381"/>
    </row>
    <row r="55" spans="1:48" x14ac:dyDescent="0.2">
      <c r="A55" s="418">
        <v>8</v>
      </c>
      <c r="B55" s="387"/>
      <c r="C55" s="387"/>
      <c r="D55" s="387"/>
      <c r="E55" s="387"/>
      <c r="F55" s="387"/>
      <c r="G55" s="392"/>
      <c r="H55" s="392"/>
      <c r="I55" s="392"/>
      <c r="J55" s="392"/>
      <c r="K55" s="392"/>
      <c r="L55" s="392"/>
      <c r="M55" s="392"/>
      <c r="N55" s="392"/>
      <c r="O55" s="392"/>
      <c r="P55" s="392"/>
      <c r="Q55" s="392"/>
      <c r="R55" s="381"/>
      <c r="S55" s="367" t="str">
        <f>IF(R55&lt;=0,"",IF(R55&lt;=2,"Muy Baja",IF(R55&lt;=24,"Baja",IF(R55&lt;=500,"Media",IF(R55&lt;=5000,"Alta","Muy Alta")))))</f>
        <v/>
      </c>
      <c r="T55" s="364" t="str">
        <f>IF(S55="","",IF(S55="Muy Baja",0.2,IF(S55="Baja",0.4,IF(S55="Media",0.6,IF(S55="Alta",0.8,IF(S55="Muy Alta",1,))))))</f>
        <v/>
      </c>
      <c r="U55" s="353"/>
      <c r="V55" s="364">
        <f>IF(NOT(ISERROR(MATCH(U55,'Tabla Impacto'!$B$222:$B$224,0))),'Tabla Impacto'!$F$224&amp;"Por favor no seleccionar los criterios de impacto(Afectación Económica o presupuestal y Pérdida Reputacional)",U55)</f>
        <v>0</v>
      </c>
      <c r="W55" s="367" t="str">
        <f>IF(OR(V55='Tabla Impacto'!$C$12,V55='Tabla Impacto'!$D$12),"Leve",IF(OR(V55='Tabla Impacto'!$C$13,V55='Tabla Impacto'!$D$13),"Menor",IF(OR(V55='Tabla Impacto'!$C$14,V55='Tabla Impacto'!$D$14),"Moderado",IF(OR(V55='Tabla Impacto'!$C$15,V55='Tabla Impacto'!$D$15),"Mayor",IF(OR(V55='Tabla Impacto'!$C$16,V55='Tabla Impacto'!$D$16),"Catastrófico","")))))</f>
        <v/>
      </c>
      <c r="X55" s="364" t="str">
        <f>IF(W55="","",IF(W55="Leve",0.2,IF(W55="Menor",0.4,IF(W55="Moderado",0.6,IF(W55="Mayor",0.8,IF(W55="Catastrófico",1,))))))</f>
        <v/>
      </c>
      <c r="Y55" s="362" t="str">
        <f>IF(OR(AND(S55="Muy Baja",W55="Leve"),AND(S55="Muy Baja",W55="Menor"),AND(S55="Baja",W55="Leve")),"Bajo",IF(OR(AND(S55="Muy baja",W55="Moderado"),AND(S55="Baja",W55="Menor"),AND(S55="Baja",W55="Moderado"),AND(S55="Media",W55="Leve"),AND(S55="Media",W55="Menor"),AND(S55="Media",W55="Moderado"),AND(S55="Alta",W55="Leve"),AND(S55="Alta",W55="Menor")),"Moderado",IF(OR(AND(S55="Muy Baja",W55="Mayor"),AND(S55="Baja",W55="Mayor"),AND(S55="Media",W55="Mayor"),AND(S55="Alta",W55="Moderado"),AND(S55="Alta",W55="Mayor"),AND(S55="Muy Alta",W55="Leve"),AND(S55="Muy Alta",W55="Menor"),AND(S55="Muy Alta",W55="Moderado"),AND(S55="Muy Alta",W55="Mayor")),"Alto",IF(OR(AND(S55="Muy Baja",W55="Catastrófico"),AND(S55="Baja",W55="Catastrófico"),AND(S55="Media",W55="Catastrófico"),AND(S55="Alta",W55="Catastrófico"),AND(S55="Muy Alta",W55="Catastrófico")),"Extremo",""))))</f>
        <v/>
      </c>
      <c r="Z55" s="214">
        <v>1</v>
      </c>
      <c r="AA55" s="187"/>
      <c r="AB55" s="189" t="str">
        <f>IF(OR(AC55="Preventivo",AC55="Detectivo"),"Probabilidad",IF(AC55="Correctivo","Impacto",""))</f>
        <v/>
      </c>
      <c r="AC55" s="190"/>
      <c r="AD55" s="190"/>
      <c r="AE55" s="191" t="str">
        <f>IF(AND(AC55="Preventivo",AD55="Automático"),"50%",IF(AND(AC55="Preventivo",AD55="Manual"),"40%",IF(AND(AC55="Detectivo",AD55="Automático"),"40%",IF(AND(AC55="Detectivo",AD55="Manual"),"30%",IF(AND(AC55="Correctivo",AD55="Automático"),"35%",IF(AND(AC55="Correctivo",AD55="Manual"),"25%",""))))))</f>
        <v/>
      </c>
      <c r="AF55" s="190"/>
      <c r="AG55" s="190"/>
      <c r="AH55" s="190"/>
      <c r="AI55" s="192" t="str">
        <f>IFERROR(IF(AB55="Probabilidad",(T55-(+T55*AE55)),IF(AB55="Impacto",T55,"")),"")</f>
        <v/>
      </c>
      <c r="AJ55" s="193" t="str">
        <f>IFERROR(IF(AI55="","",IF(AI55&lt;=0.2,"Muy Baja",IF(AI55&lt;=0.4,"Baja",IF(AI55&lt;=0.6,"Media",IF(AI55&lt;=0.8,"Alta","Muy Alta"))))),"")</f>
        <v/>
      </c>
      <c r="AK55" s="191" t="str">
        <f>+AI55</f>
        <v/>
      </c>
      <c r="AL55" s="193" t="str">
        <f>IFERROR(IF(AM55="","",IF(AM55&lt;=0.2,"Leve",IF(AM55&lt;=0.4,"Menor",IF(AM55&lt;=0.6,"Moderado",IF(AM55&lt;=0.8,"Mayor","Catastrófico"))))),"")</f>
        <v/>
      </c>
      <c r="AM55" s="191" t="str">
        <f t="shared" ref="AM55" si="62">IFERROR(IF(AB55="Impacto",(X55-(+X55*AE55)),IF(AB55="Probabilidad",X55,"")),"")</f>
        <v/>
      </c>
      <c r="AN55" s="194" t="str">
        <f>IFERROR(IF(OR(AND(AJ55="Muy Baja",AL55="Leve"),AND(AJ55="Muy Baja",AL55="Menor"),AND(AJ55="Baja",AL55="Leve")),"Bajo",IF(OR(AND(AJ55="Muy baja",AL55="Moderado"),AND(AJ55="Baja",AL55="Menor"),AND(AJ55="Baja",AL55="Moderado"),AND(AJ55="Media",AL55="Leve"),AND(AJ55="Media",AL55="Menor"),AND(AJ55="Media",AL55="Moderado"),AND(AJ55="Alta",AL55="Leve"),AND(AJ55="Alta",AL55="Menor")),"Moderado",IF(OR(AND(AJ55="Muy Baja",AL55="Mayor"),AND(AJ55="Baja",AL55="Mayor"),AND(AJ55="Media",AL55="Mayor"),AND(AJ55="Alta",AL55="Moderado"),AND(AJ55="Alta",AL55="Mayor"),AND(AJ55="Muy Alta",AL55="Leve"),AND(AJ55="Muy Alta",AL55="Menor"),AND(AJ55="Muy Alta",AL55="Moderado"),AND(AJ55="Muy Alta",AL55="Mayor")),"Alto",IF(OR(AND(AJ55="Muy Baja",AL55="Catastrófico"),AND(AJ55="Baja",AL55="Catastrófico"),AND(AJ55="Media",AL55="Catastrófico"),AND(AJ55="Alta",AL55="Catastrófico"),AND(AJ55="Muy Alta",AL55="Catastrófico")),"Extremo","")))),"")</f>
        <v/>
      </c>
      <c r="AO55" s="195"/>
      <c r="AP55" s="186"/>
      <c r="AQ55" s="196"/>
      <c r="AR55" s="196"/>
      <c r="AS55" s="197"/>
      <c r="AT55" s="381"/>
      <c r="AU55" s="381"/>
      <c r="AV55" s="381"/>
    </row>
    <row r="56" spans="1:48" x14ac:dyDescent="0.2">
      <c r="A56" s="418"/>
      <c r="B56" s="387"/>
      <c r="C56" s="387"/>
      <c r="D56" s="387"/>
      <c r="E56" s="387"/>
      <c r="F56" s="387"/>
      <c r="G56" s="360"/>
      <c r="H56" s="360"/>
      <c r="I56" s="360"/>
      <c r="J56" s="360"/>
      <c r="K56" s="360"/>
      <c r="L56" s="360"/>
      <c r="M56" s="360"/>
      <c r="N56" s="360"/>
      <c r="O56" s="360"/>
      <c r="P56" s="360"/>
      <c r="Q56" s="360"/>
      <c r="R56" s="381"/>
      <c r="S56" s="367"/>
      <c r="T56" s="364"/>
      <c r="U56" s="353"/>
      <c r="V56" s="364">
        <f>IF(NOT(ISERROR(MATCH(U56,_xlfn.ANCHORARRAY(E67),0))),T69&amp;"Por favor no seleccionar los criterios de impacto",U56)</f>
        <v>0</v>
      </c>
      <c r="W56" s="367"/>
      <c r="X56" s="364"/>
      <c r="Y56" s="362"/>
      <c r="Z56" s="214">
        <v>2</v>
      </c>
      <c r="AA56" s="187"/>
      <c r="AB56" s="189" t="str">
        <f>IF(OR(AC56="Preventivo",AC56="Detectivo"),"Probabilidad",IF(AC56="Correctivo","Impacto",""))</f>
        <v/>
      </c>
      <c r="AC56" s="190"/>
      <c r="AD56" s="190"/>
      <c r="AE56" s="191" t="str">
        <f t="shared" ref="AE56:AE60" si="63">IF(AND(AC56="Preventivo",AD56="Automático"),"50%",IF(AND(AC56="Preventivo",AD56="Manual"),"40%",IF(AND(AC56="Detectivo",AD56="Automático"),"40%",IF(AND(AC56="Detectivo",AD56="Manual"),"30%",IF(AND(AC56="Correctivo",AD56="Automático"),"35%",IF(AND(AC56="Correctivo",AD56="Manual"),"25%",""))))))</f>
        <v/>
      </c>
      <c r="AF56" s="190"/>
      <c r="AG56" s="190"/>
      <c r="AH56" s="190"/>
      <c r="AI56" s="192" t="str">
        <f>IFERROR(IF(AND(AB55="Probabilidad",AB56="Probabilidad"),(AK55-(+AK55*AE56)),IF(AB56="Probabilidad",(T55-(+T55*AE56)),IF(AB56="Impacto",AK55,""))),"")</f>
        <v/>
      </c>
      <c r="AJ56" s="193" t="str">
        <f t="shared" si="2"/>
        <v/>
      </c>
      <c r="AK56" s="191" t="str">
        <f t="shared" ref="AK56:AK60" si="64">+AI56</f>
        <v/>
      </c>
      <c r="AL56" s="193" t="str">
        <f t="shared" si="4"/>
        <v/>
      </c>
      <c r="AM56" s="191" t="str">
        <f t="shared" ref="AM56" si="65">IFERROR(IF(AND(AB55="Impacto",AB56="Impacto"),(AM55-(+AM55*AE56)),IF(AB56="Impacto",($X$13-(+$X$13*AE56)),IF(AB56="Probabilidad",AM55,""))),"")</f>
        <v/>
      </c>
      <c r="AN56" s="194" t="str">
        <f t="shared" ref="AN56:AN57" si="66">IFERROR(IF(OR(AND(AJ56="Muy Baja",AL56="Leve"),AND(AJ56="Muy Baja",AL56="Menor"),AND(AJ56="Baja",AL56="Leve")),"Bajo",IF(OR(AND(AJ56="Muy baja",AL56="Moderado"),AND(AJ56="Baja",AL56="Menor"),AND(AJ56="Baja",AL56="Moderado"),AND(AJ56="Media",AL56="Leve"),AND(AJ56="Media",AL56="Menor"),AND(AJ56="Media",AL56="Moderado"),AND(AJ56="Alta",AL56="Leve"),AND(AJ56="Alta",AL56="Menor")),"Moderado",IF(OR(AND(AJ56="Muy Baja",AL56="Mayor"),AND(AJ56="Baja",AL56="Mayor"),AND(AJ56="Media",AL56="Mayor"),AND(AJ56="Alta",AL56="Moderado"),AND(AJ56="Alta",AL56="Mayor"),AND(AJ56="Muy Alta",AL56="Leve"),AND(AJ56="Muy Alta",AL56="Menor"),AND(AJ56="Muy Alta",AL56="Moderado"),AND(AJ56="Muy Alta",AL56="Mayor")),"Alto",IF(OR(AND(AJ56="Muy Baja",AL56="Catastrófico"),AND(AJ56="Baja",AL56="Catastrófico"),AND(AJ56="Media",AL56="Catastrófico"),AND(AJ56="Alta",AL56="Catastrófico"),AND(AJ56="Muy Alta",AL56="Catastrófico")),"Extremo","")))),"")</f>
        <v/>
      </c>
      <c r="AO56" s="195"/>
      <c r="AP56" s="186"/>
      <c r="AQ56" s="196"/>
      <c r="AR56" s="196"/>
      <c r="AS56" s="197"/>
      <c r="AT56" s="381"/>
      <c r="AU56" s="381"/>
      <c r="AV56" s="381"/>
    </row>
    <row r="57" spans="1:48" x14ac:dyDescent="0.2">
      <c r="A57" s="418"/>
      <c r="B57" s="387"/>
      <c r="C57" s="387"/>
      <c r="D57" s="387"/>
      <c r="E57" s="387"/>
      <c r="F57" s="387"/>
      <c r="G57" s="360"/>
      <c r="H57" s="360"/>
      <c r="I57" s="360"/>
      <c r="J57" s="360"/>
      <c r="K57" s="360"/>
      <c r="L57" s="360"/>
      <c r="M57" s="360"/>
      <c r="N57" s="360"/>
      <c r="O57" s="360"/>
      <c r="P57" s="360"/>
      <c r="Q57" s="360"/>
      <c r="R57" s="381"/>
      <c r="S57" s="367"/>
      <c r="T57" s="364"/>
      <c r="U57" s="353"/>
      <c r="V57" s="364">
        <f>IF(NOT(ISERROR(MATCH(U57,_xlfn.ANCHORARRAY(E68),0))),T70&amp;"Por favor no seleccionar los criterios de impacto",U57)</f>
        <v>0</v>
      </c>
      <c r="W57" s="367"/>
      <c r="X57" s="364"/>
      <c r="Y57" s="362"/>
      <c r="Z57" s="214">
        <v>3</v>
      </c>
      <c r="AA57" s="188"/>
      <c r="AB57" s="189" t="str">
        <f>IF(OR(AC57="Preventivo",AC57="Detectivo"),"Probabilidad",IF(AC57="Correctivo","Impacto",""))</f>
        <v/>
      </c>
      <c r="AC57" s="190"/>
      <c r="AD57" s="190"/>
      <c r="AE57" s="191" t="str">
        <f t="shared" si="63"/>
        <v/>
      </c>
      <c r="AF57" s="190"/>
      <c r="AG57" s="190"/>
      <c r="AH57" s="190"/>
      <c r="AI57" s="192" t="str">
        <f>IFERROR(IF(AND(AB56="Probabilidad",AB57="Probabilidad"),(AK56-(+AK56*AE57)),IF(AND(AB56="Impacto",AB57="Probabilidad"),(AK55-(+AK55*AE57)),IF(AB57="Impacto",AK56,""))),"")</f>
        <v/>
      </c>
      <c r="AJ57" s="193" t="str">
        <f t="shared" si="2"/>
        <v/>
      </c>
      <c r="AK57" s="191" t="str">
        <f t="shared" si="64"/>
        <v/>
      </c>
      <c r="AL57" s="193" t="str">
        <f t="shared" si="4"/>
        <v/>
      </c>
      <c r="AM57" s="191" t="str">
        <f t="shared" ref="AM57" si="67">IFERROR(IF(AND(AB56="Impacto",AB57="Impacto"),(AM56-(+AM56*AE57)),IF(AND(AB56="Probabilidad",AB57="Impacto"),(AM55-(+AM55*AE57)),IF(AB57="Probabilidad",AM56,""))),"")</f>
        <v/>
      </c>
      <c r="AN57" s="194" t="str">
        <f t="shared" si="66"/>
        <v/>
      </c>
      <c r="AO57" s="195"/>
      <c r="AP57" s="186"/>
      <c r="AQ57" s="196"/>
      <c r="AR57" s="196"/>
      <c r="AS57" s="197"/>
      <c r="AT57" s="381"/>
      <c r="AU57" s="381"/>
      <c r="AV57" s="381"/>
    </row>
    <row r="58" spans="1:48" x14ac:dyDescent="0.2">
      <c r="A58" s="418"/>
      <c r="B58" s="387"/>
      <c r="C58" s="387"/>
      <c r="D58" s="387"/>
      <c r="E58" s="387"/>
      <c r="F58" s="387"/>
      <c r="G58" s="360"/>
      <c r="H58" s="360"/>
      <c r="I58" s="360"/>
      <c r="J58" s="360"/>
      <c r="K58" s="360"/>
      <c r="L58" s="360"/>
      <c r="M58" s="360"/>
      <c r="N58" s="360"/>
      <c r="O58" s="360"/>
      <c r="P58" s="360"/>
      <c r="Q58" s="360"/>
      <c r="R58" s="381"/>
      <c r="S58" s="367"/>
      <c r="T58" s="364"/>
      <c r="U58" s="353"/>
      <c r="V58" s="364">
        <f>IF(NOT(ISERROR(MATCH(U58,_xlfn.ANCHORARRAY(E69),0))),T71&amp;"Por favor no seleccionar los criterios de impacto",U58)</f>
        <v>0</v>
      </c>
      <c r="W58" s="367"/>
      <c r="X58" s="364"/>
      <c r="Y58" s="362"/>
      <c r="Z58" s="214">
        <v>4</v>
      </c>
      <c r="AA58" s="187"/>
      <c r="AB58" s="189" t="str">
        <f t="shared" ref="AB58:AB60" si="68">IF(OR(AC58="Preventivo",AC58="Detectivo"),"Probabilidad",IF(AC58="Correctivo","Impacto",""))</f>
        <v/>
      </c>
      <c r="AC58" s="190"/>
      <c r="AD58" s="190"/>
      <c r="AE58" s="191" t="str">
        <f t="shared" si="63"/>
        <v/>
      </c>
      <c r="AF58" s="190"/>
      <c r="AG58" s="190"/>
      <c r="AH58" s="190"/>
      <c r="AI58" s="192" t="str">
        <f t="shared" ref="AI58:AI60" si="69">IFERROR(IF(AND(AB57="Probabilidad",AB58="Probabilidad"),(AK57-(+AK57*AE58)),IF(AND(AB57="Impacto",AB58="Probabilidad"),(AK56-(+AK56*AE58)),IF(AB58="Impacto",AK57,""))),"")</f>
        <v/>
      </c>
      <c r="AJ58" s="193" t="str">
        <f t="shared" si="2"/>
        <v/>
      </c>
      <c r="AK58" s="191" t="str">
        <f t="shared" si="64"/>
        <v/>
      </c>
      <c r="AL58" s="193" t="str">
        <f t="shared" si="4"/>
        <v/>
      </c>
      <c r="AM58" s="191" t="str">
        <f t="shared" si="13"/>
        <v/>
      </c>
      <c r="AN58" s="194"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
      </c>
      <c r="AO58" s="195"/>
      <c r="AP58" s="186"/>
      <c r="AQ58" s="196"/>
      <c r="AR58" s="196"/>
      <c r="AS58" s="197"/>
      <c r="AT58" s="381"/>
      <c r="AU58" s="381"/>
      <c r="AV58" s="381"/>
    </row>
    <row r="59" spans="1:48" x14ac:dyDescent="0.2">
      <c r="A59" s="418"/>
      <c r="B59" s="387"/>
      <c r="C59" s="387"/>
      <c r="D59" s="387"/>
      <c r="E59" s="387"/>
      <c r="F59" s="387"/>
      <c r="G59" s="360"/>
      <c r="H59" s="360"/>
      <c r="I59" s="360"/>
      <c r="J59" s="360"/>
      <c r="K59" s="360"/>
      <c r="L59" s="360"/>
      <c r="M59" s="360"/>
      <c r="N59" s="360"/>
      <c r="O59" s="360"/>
      <c r="P59" s="360"/>
      <c r="Q59" s="360"/>
      <c r="R59" s="381"/>
      <c r="S59" s="367"/>
      <c r="T59" s="364"/>
      <c r="U59" s="353"/>
      <c r="V59" s="364">
        <f>IF(NOT(ISERROR(MATCH(U59,_xlfn.ANCHORARRAY(E70),0))),T72&amp;"Por favor no seleccionar los criterios de impacto",U59)</f>
        <v>0</v>
      </c>
      <c r="W59" s="367"/>
      <c r="X59" s="364"/>
      <c r="Y59" s="362"/>
      <c r="Z59" s="214">
        <v>5</v>
      </c>
      <c r="AA59" s="187"/>
      <c r="AB59" s="189" t="str">
        <f t="shared" si="68"/>
        <v/>
      </c>
      <c r="AC59" s="190"/>
      <c r="AD59" s="190"/>
      <c r="AE59" s="191" t="str">
        <f t="shared" si="63"/>
        <v/>
      </c>
      <c r="AF59" s="190"/>
      <c r="AG59" s="190"/>
      <c r="AH59" s="190"/>
      <c r="AI59" s="192" t="str">
        <f t="shared" si="69"/>
        <v/>
      </c>
      <c r="AJ59" s="193" t="str">
        <f t="shared" si="2"/>
        <v/>
      </c>
      <c r="AK59" s="191" t="str">
        <f t="shared" si="64"/>
        <v/>
      </c>
      <c r="AL59" s="193" t="str">
        <f t="shared" si="4"/>
        <v/>
      </c>
      <c r="AM59" s="191" t="str">
        <f t="shared" si="13"/>
        <v/>
      </c>
      <c r="AN59" s="194" t="str">
        <f t="shared" ref="AN59:AN60" si="70">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
      </c>
      <c r="AO59" s="195"/>
      <c r="AP59" s="186"/>
      <c r="AQ59" s="196"/>
      <c r="AR59" s="196"/>
      <c r="AS59" s="197"/>
      <c r="AT59" s="381"/>
      <c r="AU59" s="381"/>
      <c r="AV59" s="381"/>
    </row>
    <row r="60" spans="1:48" x14ac:dyDescent="0.2">
      <c r="A60" s="418"/>
      <c r="B60" s="387"/>
      <c r="C60" s="387"/>
      <c r="D60" s="387"/>
      <c r="E60" s="387"/>
      <c r="F60" s="387"/>
      <c r="G60" s="373"/>
      <c r="H60" s="373"/>
      <c r="I60" s="373"/>
      <c r="J60" s="373"/>
      <c r="K60" s="373"/>
      <c r="L60" s="373"/>
      <c r="M60" s="373"/>
      <c r="N60" s="373"/>
      <c r="O60" s="373"/>
      <c r="P60" s="373"/>
      <c r="Q60" s="373"/>
      <c r="R60" s="381"/>
      <c r="S60" s="367"/>
      <c r="T60" s="364"/>
      <c r="U60" s="353"/>
      <c r="V60" s="364">
        <f>IF(NOT(ISERROR(MATCH(U60,_xlfn.ANCHORARRAY(E71),0))),U73&amp;"Por favor no seleccionar los criterios de impacto",U60)</f>
        <v>0</v>
      </c>
      <c r="W60" s="367"/>
      <c r="X60" s="364"/>
      <c r="Y60" s="362"/>
      <c r="Z60" s="214">
        <v>6</v>
      </c>
      <c r="AA60" s="187"/>
      <c r="AB60" s="189" t="str">
        <f t="shared" si="68"/>
        <v/>
      </c>
      <c r="AC60" s="190"/>
      <c r="AD60" s="190"/>
      <c r="AE60" s="191" t="str">
        <f t="shared" si="63"/>
        <v/>
      </c>
      <c r="AF60" s="190"/>
      <c r="AG60" s="190"/>
      <c r="AH60" s="190"/>
      <c r="AI60" s="192" t="str">
        <f t="shared" si="69"/>
        <v/>
      </c>
      <c r="AJ60" s="193" t="str">
        <f t="shared" si="2"/>
        <v/>
      </c>
      <c r="AK60" s="191" t="str">
        <f t="shared" si="64"/>
        <v/>
      </c>
      <c r="AL60" s="193" t="str">
        <f t="shared" si="4"/>
        <v/>
      </c>
      <c r="AM60" s="191" t="str">
        <f t="shared" si="13"/>
        <v/>
      </c>
      <c r="AN60" s="194" t="str">
        <f t="shared" si="70"/>
        <v/>
      </c>
      <c r="AO60" s="195"/>
      <c r="AP60" s="186"/>
      <c r="AQ60" s="196"/>
      <c r="AR60" s="196"/>
      <c r="AS60" s="197"/>
      <c r="AT60" s="381"/>
      <c r="AU60" s="381"/>
      <c r="AV60" s="381"/>
    </row>
    <row r="61" spans="1:48" x14ac:dyDescent="0.2">
      <c r="A61" s="418">
        <v>9</v>
      </c>
      <c r="B61" s="387"/>
      <c r="C61" s="387"/>
      <c r="D61" s="387"/>
      <c r="E61" s="387"/>
      <c r="F61" s="387"/>
      <c r="G61" s="392"/>
      <c r="H61" s="392"/>
      <c r="I61" s="392"/>
      <c r="J61" s="392"/>
      <c r="K61" s="392"/>
      <c r="L61" s="392"/>
      <c r="M61" s="221"/>
      <c r="N61" s="221"/>
      <c r="O61" s="221"/>
      <c r="P61" s="392"/>
      <c r="Q61" s="392"/>
      <c r="R61" s="381"/>
      <c r="S61" s="367" t="str">
        <f>IF(R61&lt;=0,"",IF(R61&lt;=2,"Muy Baja",IF(R61&lt;=24,"Baja",IF(R61&lt;=500,"Media",IF(R61&lt;=5000,"Alta","Muy Alta")))))</f>
        <v/>
      </c>
      <c r="T61" s="364" t="str">
        <f>IF(S61="","",IF(S61="Muy Baja",0.2,IF(S61="Baja",0.4,IF(S61="Media",0.6,IF(S61="Alta",0.8,IF(S61="Muy Alta",1,))))))</f>
        <v/>
      </c>
      <c r="U61" s="353"/>
      <c r="V61" s="364">
        <f>IF(NOT(ISERROR(MATCH(U61,'Tabla Impacto'!$B$222:$B$224,0))),'Tabla Impacto'!$F$224&amp;"Por favor no seleccionar los criterios de impacto(Afectación Económica o presupuestal y Pérdida Reputacional)",U61)</f>
        <v>0</v>
      </c>
      <c r="W61" s="367" t="str">
        <f>IF(OR(V61='Tabla Impacto'!$C$12,V61='Tabla Impacto'!$D$12),"Leve",IF(OR(V61='Tabla Impacto'!$C$13,V61='Tabla Impacto'!$D$13),"Menor",IF(OR(V61='Tabla Impacto'!$C$14,V61='Tabla Impacto'!$D$14),"Moderado",IF(OR(V61='Tabla Impacto'!$C$15,V61='Tabla Impacto'!$D$15),"Mayor",IF(OR(V61='Tabla Impacto'!$C$16,V61='Tabla Impacto'!$D$16),"Catastrófico","")))))</f>
        <v/>
      </c>
      <c r="X61" s="364" t="str">
        <f>IF(W61="","",IF(W61="Leve",0.2,IF(W61="Menor",0.4,IF(W61="Moderado",0.6,IF(W61="Mayor",0.8,IF(W61="Catastrófico",1,))))))</f>
        <v/>
      </c>
      <c r="Y61" s="362" t="str">
        <f>IF(OR(AND(S61="Muy Baja",W61="Leve"),AND(S61="Muy Baja",W61="Menor"),AND(S61="Baja",W61="Leve")),"Bajo",IF(OR(AND(S61="Muy baja",W61="Moderado"),AND(S61="Baja",W61="Menor"),AND(S61="Baja",W61="Moderado"),AND(S61="Media",W61="Leve"),AND(S61="Media",W61="Menor"),AND(S61="Media",W61="Moderado"),AND(S61="Alta",W61="Leve"),AND(S61="Alta",W61="Menor")),"Moderado",IF(OR(AND(S61="Muy Baja",W61="Mayor"),AND(S61="Baja",W61="Mayor"),AND(S61="Media",W61="Mayor"),AND(S61="Alta",W61="Moderado"),AND(S61="Alta",W61="Mayor"),AND(S61="Muy Alta",W61="Leve"),AND(S61="Muy Alta",W61="Menor"),AND(S61="Muy Alta",W61="Moderado"),AND(S61="Muy Alta",W61="Mayor")),"Alto",IF(OR(AND(S61="Muy Baja",W61="Catastrófico"),AND(S61="Baja",W61="Catastrófico"),AND(S61="Media",W61="Catastrófico"),AND(S61="Alta",W61="Catastrófico"),AND(S61="Muy Alta",W61="Catastrófico")),"Extremo",""))))</f>
        <v/>
      </c>
      <c r="Z61" s="214">
        <v>1</v>
      </c>
      <c r="AA61" s="187"/>
      <c r="AB61" s="189" t="str">
        <f>IF(OR(AC61="Preventivo",AC61="Detectivo"),"Probabilidad",IF(AC61="Correctivo","Impacto",""))</f>
        <v/>
      </c>
      <c r="AC61" s="190"/>
      <c r="AD61" s="190"/>
      <c r="AE61" s="191" t="str">
        <f>IF(AND(AC61="Preventivo",AD61="Automático"),"50%",IF(AND(AC61="Preventivo",AD61="Manual"),"40%",IF(AND(AC61="Detectivo",AD61="Automático"),"40%",IF(AND(AC61="Detectivo",AD61="Manual"),"30%",IF(AND(AC61="Correctivo",AD61="Automático"),"35%",IF(AND(AC61="Correctivo",AD61="Manual"),"25%",""))))))</f>
        <v/>
      </c>
      <c r="AF61" s="190"/>
      <c r="AG61" s="190"/>
      <c r="AH61" s="190"/>
      <c r="AI61" s="192" t="str">
        <f>IFERROR(IF(AB61="Probabilidad",(T61-(+T61*AE61)),IF(AB61="Impacto",T61,"")),"")</f>
        <v/>
      </c>
      <c r="AJ61" s="193" t="str">
        <f>IFERROR(IF(AI61="","",IF(AI61&lt;=0.2,"Muy Baja",IF(AI61&lt;=0.4,"Baja",IF(AI61&lt;=0.6,"Media",IF(AI61&lt;=0.8,"Alta","Muy Alta"))))),"")</f>
        <v/>
      </c>
      <c r="AK61" s="191" t="str">
        <f>+AI61</f>
        <v/>
      </c>
      <c r="AL61" s="193" t="str">
        <f>IFERROR(IF(AM61="","",IF(AM61&lt;=0.2,"Leve",IF(AM61&lt;=0.4,"Menor",IF(AM61&lt;=0.6,"Moderado",IF(AM61&lt;=0.8,"Mayor","Catastrófico"))))),"")</f>
        <v/>
      </c>
      <c r="AM61" s="191" t="str">
        <f t="shared" ref="AM61" si="71">IFERROR(IF(AB61="Impacto",(X61-(+X61*AE61)),IF(AB61="Probabilidad",X61,"")),"")</f>
        <v/>
      </c>
      <c r="AN61" s="194"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
      </c>
      <c r="AO61" s="195"/>
      <c r="AP61" s="186"/>
      <c r="AQ61" s="196"/>
      <c r="AR61" s="196"/>
      <c r="AS61" s="197"/>
      <c r="AT61" s="381"/>
      <c r="AU61" s="381"/>
      <c r="AV61" s="381"/>
    </row>
    <row r="62" spans="1:48" x14ac:dyDescent="0.2">
      <c r="A62" s="418"/>
      <c r="B62" s="387"/>
      <c r="C62" s="387"/>
      <c r="D62" s="387"/>
      <c r="E62" s="387"/>
      <c r="F62" s="387"/>
      <c r="G62" s="360"/>
      <c r="H62" s="360"/>
      <c r="I62" s="360"/>
      <c r="J62" s="360"/>
      <c r="K62" s="360"/>
      <c r="L62" s="360"/>
      <c r="M62" s="222"/>
      <c r="N62" s="222"/>
      <c r="O62" s="222"/>
      <c r="P62" s="360"/>
      <c r="Q62" s="360"/>
      <c r="R62" s="381"/>
      <c r="S62" s="367"/>
      <c r="T62" s="364"/>
      <c r="U62" s="353"/>
      <c r="V62" s="364">
        <f>IF(NOT(ISERROR(MATCH(U62,_xlfn.ANCHORARRAY(F73),0))),U75&amp;"Por favor no seleccionar los criterios de impacto",U62)</f>
        <v>0</v>
      </c>
      <c r="W62" s="367"/>
      <c r="X62" s="364"/>
      <c r="Y62" s="362"/>
      <c r="Z62" s="214">
        <v>2</v>
      </c>
      <c r="AA62" s="187"/>
      <c r="AB62" s="189" t="str">
        <f>IF(OR(AC62="Preventivo",AC62="Detectivo"),"Probabilidad",IF(AC62="Correctivo","Impacto",""))</f>
        <v/>
      </c>
      <c r="AC62" s="190"/>
      <c r="AD62" s="190"/>
      <c r="AE62" s="191" t="str">
        <f t="shared" ref="AE62:AE66" si="72">IF(AND(AC62="Preventivo",AD62="Automático"),"50%",IF(AND(AC62="Preventivo",AD62="Manual"),"40%",IF(AND(AC62="Detectivo",AD62="Automático"),"40%",IF(AND(AC62="Detectivo",AD62="Manual"),"30%",IF(AND(AC62="Correctivo",AD62="Automático"),"35%",IF(AND(AC62="Correctivo",AD62="Manual"),"25%",""))))))</f>
        <v/>
      </c>
      <c r="AF62" s="190"/>
      <c r="AG62" s="190"/>
      <c r="AH62" s="190"/>
      <c r="AI62" s="192" t="str">
        <f>IFERROR(IF(AND(AB61="Probabilidad",AB62="Probabilidad"),(AK61-(+AK61*AE62)),IF(AB62="Probabilidad",(T61-(+T61*AE62)),IF(AB62="Impacto",AK61,""))),"")</f>
        <v/>
      </c>
      <c r="AJ62" s="193" t="str">
        <f t="shared" si="2"/>
        <v/>
      </c>
      <c r="AK62" s="191" t="str">
        <f t="shared" ref="AK62:AK66" si="73">+AI62</f>
        <v/>
      </c>
      <c r="AL62" s="193" t="str">
        <f t="shared" si="4"/>
        <v/>
      </c>
      <c r="AM62" s="191" t="str">
        <f t="shared" ref="AM62" si="74">IFERROR(IF(AND(AB61="Impacto",AB62="Impacto"),(AM61-(+AM61*AE62)),IF(AB62="Impacto",($X$13-(+$X$13*AE62)),IF(AB62="Probabilidad",AM61,""))),"")</f>
        <v/>
      </c>
      <c r="AN62" s="194" t="str">
        <f t="shared" ref="AN62:AN63" si="75">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
      </c>
      <c r="AO62" s="195"/>
      <c r="AP62" s="186"/>
      <c r="AQ62" s="196"/>
      <c r="AR62" s="196"/>
      <c r="AS62" s="197"/>
      <c r="AT62" s="381"/>
      <c r="AU62" s="381"/>
      <c r="AV62" s="381"/>
    </row>
    <row r="63" spans="1:48" x14ac:dyDescent="0.2">
      <c r="A63" s="418"/>
      <c r="B63" s="387"/>
      <c r="C63" s="387"/>
      <c r="D63" s="387"/>
      <c r="E63" s="387"/>
      <c r="F63" s="387"/>
      <c r="G63" s="360"/>
      <c r="H63" s="360"/>
      <c r="I63" s="360"/>
      <c r="J63" s="360"/>
      <c r="K63" s="360"/>
      <c r="L63" s="360"/>
      <c r="M63" s="222"/>
      <c r="N63" s="222"/>
      <c r="O63" s="222"/>
      <c r="P63" s="360"/>
      <c r="Q63" s="360"/>
      <c r="R63" s="381"/>
      <c r="S63" s="367"/>
      <c r="T63" s="364"/>
      <c r="U63" s="353"/>
      <c r="V63" s="364">
        <f>IF(NOT(ISERROR(MATCH(U63,_xlfn.ANCHORARRAY(F74),0))),U76&amp;"Por favor no seleccionar los criterios de impacto",U63)</f>
        <v>0</v>
      </c>
      <c r="W63" s="367"/>
      <c r="X63" s="364"/>
      <c r="Y63" s="362"/>
      <c r="Z63" s="214">
        <v>3</v>
      </c>
      <c r="AA63" s="187"/>
      <c r="AB63" s="189" t="str">
        <f>IF(OR(AC63="Preventivo",AC63="Detectivo"),"Probabilidad",IF(AC63="Correctivo","Impacto",""))</f>
        <v/>
      </c>
      <c r="AC63" s="190"/>
      <c r="AD63" s="190"/>
      <c r="AE63" s="191" t="str">
        <f t="shared" si="72"/>
        <v/>
      </c>
      <c r="AF63" s="190"/>
      <c r="AG63" s="190"/>
      <c r="AH63" s="190"/>
      <c r="AI63" s="192" t="str">
        <f>IFERROR(IF(AND(AB62="Probabilidad",AB63="Probabilidad"),(AK62-(+AK62*AE63)),IF(AND(AB62="Impacto",AB63="Probabilidad"),(AK61-(+AK61*AE63)),IF(AB63="Impacto",AK62,""))),"")</f>
        <v/>
      </c>
      <c r="AJ63" s="193" t="str">
        <f t="shared" si="2"/>
        <v/>
      </c>
      <c r="AK63" s="191" t="str">
        <f t="shared" si="73"/>
        <v/>
      </c>
      <c r="AL63" s="193" t="str">
        <f t="shared" si="4"/>
        <v/>
      </c>
      <c r="AM63" s="191" t="str">
        <f t="shared" ref="AM63" si="76">IFERROR(IF(AND(AB62="Impacto",AB63="Impacto"),(AM62-(+AM62*AE63)),IF(AND(AB62="Probabilidad",AB63="Impacto"),(AM61-(+AM61*AE63)),IF(AB63="Probabilidad",AM62,""))),"")</f>
        <v/>
      </c>
      <c r="AN63" s="194" t="str">
        <f t="shared" si="75"/>
        <v/>
      </c>
      <c r="AO63" s="195"/>
      <c r="AP63" s="186"/>
      <c r="AQ63" s="196"/>
      <c r="AR63" s="196"/>
      <c r="AS63" s="197"/>
      <c r="AT63" s="381"/>
      <c r="AU63" s="381"/>
      <c r="AV63" s="381"/>
    </row>
    <row r="64" spans="1:48" x14ac:dyDescent="0.2">
      <c r="A64" s="418"/>
      <c r="B64" s="387"/>
      <c r="C64" s="387"/>
      <c r="D64" s="387"/>
      <c r="E64" s="387"/>
      <c r="F64" s="387"/>
      <c r="G64" s="360"/>
      <c r="H64" s="360"/>
      <c r="I64" s="360"/>
      <c r="J64" s="360"/>
      <c r="K64" s="360"/>
      <c r="L64" s="360"/>
      <c r="M64" s="222"/>
      <c r="N64" s="222"/>
      <c r="O64" s="222"/>
      <c r="P64" s="360"/>
      <c r="Q64" s="360"/>
      <c r="R64" s="381"/>
      <c r="S64" s="367"/>
      <c r="T64" s="364"/>
      <c r="U64" s="353"/>
      <c r="V64" s="364">
        <f>IF(NOT(ISERROR(MATCH(U64,_xlfn.ANCHORARRAY(F75),0))),U77&amp;"Por favor no seleccionar los criterios de impacto",U64)</f>
        <v>0</v>
      </c>
      <c r="W64" s="367"/>
      <c r="X64" s="364"/>
      <c r="Y64" s="362"/>
      <c r="Z64" s="214">
        <v>4</v>
      </c>
      <c r="AA64" s="187"/>
      <c r="AB64" s="189" t="str">
        <f t="shared" ref="AB64:AB66" si="77">IF(OR(AC64="Preventivo",AC64="Detectivo"),"Probabilidad",IF(AC64="Correctivo","Impacto",""))</f>
        <v/>
      </c>
      <c r="AC64" s="190"/>
      <c r="AD64" s="190"/>
      <c r="AE64" s="191" t="str">
        <f t="shared" si="72"/>
        <v/>
      </c>
      <c r="AF64" s="190"/>
      <c r="AG64" s="190"/>
      <c r="AH64" s="190"/>
      <c r="AI64" s="192" t="str">
        <f t="shared" ref="AI64:AI66" si="78">IFERROR(IF(AND(AB63="Probabilidad",AB64="Probabilidad"),(AK63-(+AK63*AE64)),IF(AND(AB63="Impacto",AB64="Probabilidad"),(AK62-(+AK62*AE64)),IF(AB64="Impacto",AK63,""))),"")</f>
        <v/>
      </c>
      <c r="AJ64" s="193" t="str">
        <f t="shared" si="2"/>
        <v/>
      </c>
      <c r="AK64" s="191" t="str">
        <f t="shared" si="73"/>
        <v/>
      </c>
      <c r="AL64" s="193" t="str">
        <f t="shared" si="4"/>
        <v/>
      </c>
      <c r="AM64" s="191" t="str">
        <f t="shared" si="13"/>
        <v/>
      </c>
      <c r="AN64" s="194" t="str">
        <f>IFERROR(IF(OR(AND(AJ64="Muy Baja",AL64="Leve"),AND(AJ64="Muy Baja",AL64="Menor"),AND(AJ64="Baja",AL64="Leve")),"Bajo",IF(OR(AND(AJ64="Muy baja",AL64="Moderado"),AND(AJ64="Baja",AL64="Menor"),AND(AJ64="Baja",AL64="Moderado"),AND(AJ64="Media",AL64="Leve"),AND(AJ64="Media",AL64="Menor"),AND(AJ64="Media",AL64="Moderado"),AND(AJ64="Alta",AL64="Leve"),AND(AJ64="Alta",AL64="Menor")),"Moderado",IF(OR(AND(AJ64="Muy Baja",AL64="Mayor"),AND(AJ64="Baja",AL64="Mayor"),AND(AJ64="Media",AL64="Mayor"),AND(AJ64="Alta",AL64="Moderado"),AND(AJ64="Alta",AL64="Mayor"),AND(AJ64="Muy Alta",AL64="Leve"),AND(AJ64="Muy Alta",AL64="Menor"),AND(AJ64="Muy Alta",AL64="Moderado"),AND(AJ64="Muy Alta",AL64="Mayor")),"Alto",IF(OR(AND(AJ64="Muy Baja",AL64="Catastrófico"),AND(AJ64="Baja",AL64="Catastrófico"),AND(AJ64="Media",AL64="Catastrófico"),AND(AJ64="Alta",AL64="Catastrófico"),AND(AJ64="Muy Alta",AL64="Catastrófico")),"Extremo","")))),"")</f>
        <v/>
      </c>
      <c r="AO64" s="195"/>
      <c r="AP64" s="186"/>
      <c r="AQ64" s="196"/>
      <c r="AR64" s="196"/>
      <c r="AS64" s="197"/>
      <c r="AT64" s="381"/>
      <c r="AU64" s="381"/>
      <c r="AV64" s="381"/>
    </row>
    <row r="65" spans="1:48" x14ac:dyDescent="0.2">
      <c r="A65" s="418"/>
      <c r="B65" s="387"/>
      <c r="C65" s="387"/>
      <c r="D65" s="387"/>
      <c r="E65" s="387"/>
      <c r="F65" s="387"/>
      <c r="G65" s="360"/>
      <c r="H65" s="360"/>
      <c r="I65" s="360"/>
      <c r="J65" s="360"/>
      <c r="K65" s="360"/>
      <c r="L65" s="360"/>
      <c r="M65" s="222"/>
      <c r="N65" s="222"/>
      <c r="O65" s="222"/>
      <c r="P65" s="360"/>
      <c r="Q65" s="360"/>
      <c r="R65" s="381"/>
      <c r="S65" s="367"/>
      <c r="T65" s="364"/>
      <c r="U65" s="353"/>
      <c r="V65" s="364">
        <f>IF(NOT(ISERROR(MATCH(U65,_xlfn.ANCHORARRAY(F76),0))),U78&amp;"Por favor no seleccionar los criterios de impacto",U65)</f>
        <v>0</v>
      </c>
      <c r="W65" s="367"/>
      <c r="X65" s="364"/>
      <c r="Y65" s="362"/>
      <c r="Z65" s="214">
        <v>5</v>
      </c>
      <c r="AA65" s="187"/>
      <c r="AB65" s="189" t="str">
        <f t="shared" si="77"/>
        <v/>
      </c>
      <c r="AC65" s="190"/>
      <c r="AD65" s="190"/>
      <c r="AE65" s="191" t="str">
        <f t="shared" si="72"/>
        <v/>
      </c>
      <c r="AF65" s="190"/>
      <c r="AG65" s="190"/>
      <c r="AH65" s="190"/>
      <c r="AI65" s="192" t="str">
        <f t="shared" si="78"/>
        <v/>
      </c>
      <c r="AJ65" s="193" t="str">
        <f t="shared" si="2"/>
        <v/>
      </c>
      <c r="AK65" s="191" t="str">
        <f t="shared" si="73"/>
        <v/>
      </c>
      <c r="AL65" s="193" t="str">
        <f t="shared" si="4"/>
        <v/>
      </c>
      <c r="AM65" s="191" t="str">
        <f t="shared" si="13"/>
        <v/>
      </c>
      <c r="AN65" s="194" t="str">
        <f t="shared" ref="AN65:AN66" si="79">IFERROR(IF(OR(AND(AJ65="Muy Baja",AL65="Leve"),AND(AJ65="Muy Baja",AL65="Menor"),AND(AJ65="Baja",AL65="Leve")),"Bajo",IF(OR(AND(AJ65="Muy baja",AL65="Moderado"),AND(AJ65="Baja",AL65="Menor"),AND(AJ65="Baja",AL65="Moderado"),AND(AJ65="Media",AL65="Leve"),AND(AJ65="Media",AL65="Menor"),AND(AJ65="Media",AL65="Moderado"),AND(AJ65="Alta",AL65="Leve"),AND(AJ65="Alta",AL65="Menor")),"Moderado",IF(OR(AND(AJ65="Muy Baja",AL65="Mayor"),AND(AJ65="Baja",AL65="Mayor"),AND(AJ65="Media",AL65="Mayor"),AND(AJ65="Alta",AL65="Moderado"),AND(AJ65="Alta",AL65="Mayor"),AND(AJ65="Muy Alta",AL65="Leve"),AND(AJ65="Muy Alta",AL65="Menor"),AND(AJ65="Muy Alta",AL65="Moderado"),AND(AJ65="Muy Alta",AL65="Mayor")),"Alto",IF(OR(AND(AJ65="Muy Baja",AL65="Catastrófico"),AND(AJ65="Baja",AL65="Catastrófico"),AND(AJ65="Media",AL65="Catastrófico"),AND(AJ65="Alta",AL65="Catastrófico"),AND(AJ65="Muy Alta",AL65="Catastrófico")),"Extremo","")))),"")</f>
        <v/>
      </c>
      <c r="AO65" s="195"/>
      <c r="AP65" s="186"/>
      <c r="AQ65" s="196"/>
      <c r="AR65" s="196"/>
      <c r="AS65" s="197"/>
      <c r="AT65" s="381"/>
      <c r="AU65" s="381"/>
      <c r="AV65" s="381"/>
    </row>
    <row r="66" spans="1:48" x14ac:dyDescent="0.2">
      <c r="A66" s="418"/>
      <c r="B66" s="387"/>
      <c r="C66" s="387"/>
      <c r="D66" s="387"/>
      <c r="E66" s="387"/>
      <c r="F66" s="387"/>
      <c r="G66" s="373"/>
      <c r="H66" s="373"/>
      <c r="I66" s="373"/>
      <c r="J66" s="373"/>
      <c r="K66" s="373"/>
      <c r="L66" s="373"/>
      <c r="M66" s="223"/>
      <c r="N66" s="223"/>
      <c r="O66" s="223"/>
      <c r="P66" s="373"/>
      <c r="Q66" s="373"/>
      <c r="R66" s="381"/>
      <c r="S66" s="367"/>
      <c r="T66" s="364"/>
      <c r="U66" s="353"/>
      <c r="V66" s="364">
        <f>IF(NOT(ISERROR(MATCH(U66,_xlfn.ANCHORARRAY(F77),0))),U79&amp;"Por favor no seleccionar los criterios de impacto",U66)</f>
        <v>0</v>
      </c>
      <c r="W66" s="367"/>
      <c r="X66" s="364"/>
      <c r="Y66" s="362"/>
      <c r="Z66" s="214">
        <v>6</v>
      </c>
      <c r="AA66" s="187"/>
      <c r="AB66" s="189" t="str">
        <f t="shared" si="77"/>
        <v/>
      </c>
      <c r="AC66" s="190"/>
      <c r="AD66" s="190"/>
      <c r="AE66" s="191" t="str">
        <f t="shared" si="72"/>
        <v/>
      </c>
      <c r="AF66" s="190"/>
      <c r="AG66" s="190"/>
      <c r="AH66" s="190"/>
      <c r="AI66" s="192" t="str">
        <f t="shared" si="78"/>
        <v/>
      </c>
      <c r="AJ66" s="193" t="str">
        <f t="shared" si="2"/>
        <v/>
      </c>
      <c r="AK66" s="191" t="str">
        <f t="shared" si="73"/>
        <v/>
      </c>
      <c r="AL66" s="193" t="str">
        <f t="shared" si="4"/>
        <v/>
      </c>
      <c r="AM66" s="191" t="str">
        <f t="shared" si="13"/>
        <v/>
      </c>
      <c r="AN66" s="194" t="str">
        <f t="shared" si="79"/>
        <v/>
      </c>
      <c r="AO66" s="195"/>
      <c r="AP66" s="186"/>
      <c r="AQ66" s="196"/>
      <c r="AR66" s="196"/>
      <c r="AS66" s="197"/>
      <c r="AT66" s="381"/>
      <c r="AU66" s="381"/>
      <c r="AV66" s="381"/>
    </row>
    <row r="67" spans="1:48" x14ac:dyDescent="0.2">
      <c r="A67" s="418">
        <v>10</v>
      </c>
      <c r="B67" s="387"/>
      <c r="C67" s="387"/>
      <c r="D67" s="387"/>
      <c r="E67" s="387"/>
      <c r="F67" s="387"/>
      <c r="G67" s="392"/>
      <c r="H67" s="392"/>
      <c r="I67" s="392"/>
      <c r="J67" s="392"/>
      <c r="K67" s="392"/>
      <c r="L67" s="392"/>
      <c r="M67" s="221"/>
      <c r="N67" s="221"/>
      <c r="O67" s="221"/>
      <c r="P67" s="392"/>
      <c r="Q67" s="392"/>
      <c r="R67" s="381"/>
      <c r="S67" s="367" t="str">
        <f>IF(R67&lt;=0,"",IF(R67&lt;=2,"Muy Baja",IF(R67&lt;=24,"Baja",IF(R67&lt;=500,"Media",IF(R67&lt;=5000,"Alta","Muy Alta")))))</f>
        <v/>
      </c>
      <c r="T67" s="364" t="str">
        <f>IF(S67="","",IF(S67="Muy Baja",0.2,IF(S67="Baja",0.4,IF(S67="Media",0.6,IF(S67="Alta",0.8,IF(S67="Muy Alta",1,))))))</f>
        <v/>
      </c>
      <c r="U67" s="353"/>
      <c r="V67" s="364">
        <f>IF(NOT(ISERROR(MATCH(U67,'Tabla Impacto'!$B$222:$B$224,0))),'Tabla Impacto'!$F$224&amp;"Por favor no seleccionar los criterios de impacto(Afectación Económica o presupuestal y Pérdida Reputacional)",U67)</f>
        <v>0</v>
      </c>
      <c r="W67" s="367" t="str">
        <f>IF(OR(V67='Tabla Impacto'!$C$12,V67='Tabla Impacto'!$D$12),"Leve",IF(OR(V67='Tabla Impacto'!$C$13,V67='Tabla Impacto'!$D$13),"Menor",IF(OR(V67='Tabla Impacto'!$C$14,V67='Tabla Impacto'!$D$14),"Moderado",IF(OR(V67='Tabla Impacto'!$C$15,V67='Tabla Impacto'!$D$15),"Mayor",IF(OR(V67='Tabla Impacto'!$C$16,V67='Tabla Impacto'!$D$16),"Catastrófico","")))))</f>
        <v/>
      </c>
      <c r="X67" s="364" t="str">
        <f>IF(W67="","",IF(W67="Leve",0.2,IF(W67="Menor",0.4,IF(W67="Moderado",0.6,IF(W67="Mayor",0.8,IF(W67="Catastrófico",1,))))))</f>
        <v/>
      </c>
      <c r="Y67" s="362" t="str">
        <f>IF(OR(AND(S67="Muy Baja",W67="Leve"),AND(S67="Muy Baja",W67="Menor"),AND(S67="Baja",W67="Leve")),"Bajo",IF(OR(AND(S67="Muy baja",W67="Moderado"),AND(S67="Baja",W67="Menor"),AND(S67="Baja",W67="Moderado"),AND(S67="Media",W67="Leve"),AND(S67="Media",W67="Menor"),AND(S67="Media",W67="Moderado"),AND(S67="Alta",W67="Leve"),AND(S67="Alta",W67="Menor")),"Moderado",IF(OR(AND(S67="Muy Baja",W67="Mayor"),AND(S67="Baja",W67="Mayor"),AND(S67="Media",W67="Mayor"),AND(S67="Alta",W67="Moderado"),AND(S67="Alta",W67="Mayor"),AND(S67="Muy Alta",W67="Leve"),AND(S67="Muy Alta",W67="Menor"),AND(S67="Muy Alta",W67="Moderado"),AND(S67="Muy Alta",W67="Mayor")),"Alto",IF(OR(AND(S67="Muy Baja",W67="Catastrófico"),AND(S67="Baja",W67="Catastrófico"),AND(S67="Media",W67="Catastrófico"),AND(S67="Alta",W67="Catastrófico"),AND(S67="Muy Alta",W67="Catastrófico")),"Extremo",""))))</f>
        <v/>
      </c>
      <c r="Z67" s="214">
        <v>1</v>
      </c>
      <c r="AA67" s="187"/>
      <c r="AB67" s="189" t="str">
        <f>IF(OR(AC67="Preventivo",AC67="Detectivo"),"Probabilidad",IF(AC67="Correctivo","Impacto",""))</f>
        <v/>
      </c>
      <c r="AC67" s="190"/>
      <c r="AD67" s="190"/>
      <c r="AE67" s="191" t="str">
        <f>IF(AND(AC67="Preventivo",AD67="Automático"),"50%",IF(AND(AC67="Preventivo",AD67="Manual"),"40%",IF(AND(AC67="Detectivo",AD67="Automático"),"40%",IF(AND(AC67="Detectivo",AD67="Manual"),"30%",IF(AND(AC67="Correctivo",AD67="Automático"),"35%",IF(AND(AC67="Correctivo",AD67="Manual"),"25%",""))))))</f>
        <v/>
      </c>
      <c r="AF67" s="190"/>
      <c r="AG67" s="190"/>
      <c r="AH67" s="190"/>
      <c r="AI67" s="192" t="str">
        <f>IFERROR(IF(AB67="Probabilidad",(T67-(+T67*AE67)),IF(AB67="Impacto",T67,"")),"")</f>
        <v/>
      </c>
      <c r="AJ67" s="193" t="str">
        <f>IFERROR(IF(AI67="","",IF(AI67&lt;=0.2,"Muy Baja",IF(AI67&lt;=0.4,"Baja",IF(AI67&lt;=0.6,"Media",IF(AI67&lt;=0.8,"Alta","Muy Alta"))))),"")</f>
        <v/>
      </c>
      <c r="AK67" s="191" t="str">
        <f>+AI67</f>
        <v/>
      </c>
      <c r="AL67" s="193" t="str">
        <f>IFERROR(IF(AM67="","",IF(AM67&lt;=0.2,"Leve",IF(AM67&lt;=0.4,"Menor",IF(AM67&lt;=0.6,"Moderado",IF(AM67&lt;=0.8,"Mayor","Catastrófico"))))),"")</f>
        <v/>
      </c>
      <c r="AM67" s="191" t="str">
        <f t="shared" ref="AM67" si="80">IFERROR(IF(AB67="Impacto",(X67-(+X67*AE67)),IF(AB67="Probabilidad",X67,"")),"")</f>
        <v/>
      </c>
      <c r="AN67" s="194" t="str">
        <f>IFERROR(IF(OR(AND(AJ67="Muy Baja",AL67="Leve"),AND(AJ67="Muy Baja",AL67="Menor"),AND(AJ67="Baja",AL67="Leve")),"Bajo",IF(OR(AND(AJ67="Muy baja",AL67="Moderado"),AND(AJ67="Baja",AL67="Menor"),AND(AJ67="Baja",AL67="Moderado"),AND(AJ67="Media",AL67="Leve"),AND(AJ67="Media",AL67="Menor"),AND(AJ67="Media",AL67="Moderado"),AND(AJ67="Alta",AL67="Leve"),AND(AJ67="Alta",AL67="Menor")),"Moderado",IF(OR(AND(AJ67="Muy Baja",AL67="Mayor"),AND(AJ67="Baja",AL67="Mayor"),AND(AJ67="Media",AL67="Mayor"),AND(AJ67="Alta",AL67="Moderado"),AND(AJ67="Alta",AL67="Mayor"),AND(AJ67="Muy Alta",AL67="Leve"),AND(AJ67="Muy Alta",AL67="Menor"),AND(AJ67="Muy Alta",AL67="Moderado"),AND(AJ67="Muy Alta",AL67="Mayor")),"Alto",IF(OR(AND(AJ67="Muy Baja",AL67="Catastrófico"),AND(AJ67="Baja",AL67="Catastrófico"),AND(AJ67="Media",AL67="Catastrófico"),AND(AJ67="Alta",AL67="Catastrófico"),AND(AJ67="Muy Alta",AL67="Catastrófico")),"Extremo","")))),"")</f>
        <v/>
      </c>
      <c r="AO67" s="195"/>
      <c r="AP67" s="186"/>
      <c r="AQ67" s="196"/>
      <c r="AR67" s="196"/>
      <c r="AS67" s="197"/>
      <c r="AT67" s="381"/>
      <c r="AU67" s="381"/>
      <c r="AV67" s="381"/>
    </row>
    <row r="68" spans="1:48" x14ac:dyDescent="0.2">
      <c r="A68" s="418"/>
      <c r="B68" s="387"/>
      <c r="C68" s="387"/>
      <c r="D68" s="387"/>
      <c r="E68" s="387"/>
      <c r="F68" s="387"/>
      <c r="G68" s="360"/>
      <c r="H68" s="360"/>
      <c r="I68" s="360"/>
      <c r="J68" s="360"/>
      <c r="K68" s="360"/>
      <c r="L68" s="360"/>
      <c r="M68" s="222"/>
      <c r="N68" s="222"/>
      <c r="O68" s="222"/>
      <c r="P68" s="360"/>
      <c r="Q68" s="360"/>
      <c r="R68" s="381"/>
      <c r="S68" s="367"/>
      <c r="T68" s="364"/>
      <c r="U68" s="353"/>
      <c r="V68" s="364">
        <f>IF(NOT(ISERROR(MATCH(U68,_xlfn.ANCHORARRAY(F79),0))),U81&amp;"Por favor no seleccionar los criterios de impacto",U68)</f>
        <v>0</v>
      </c>
      <c r="W68" s="367"/>
      <c r="X68" s="364"/>
      <c r="Y68" s="362"/>
      <c r="Z68" s="214">
        <v>2</v>
      </c>
      <c r="AA68" s="187"/>
      <c r="AB68" s="189" t="str">
        <f>IF(OR(AC68="Preventivo",AC68="Detectivo"),"Probabilidad",IF(AC68="Correctivo","Impacto",""))</f>
        <v/>
      </c>
      <c r="AC68" s="190"/>
      <c r="AD68" s="190"/>
      <c r="AE68" s="191" t="str">
        <f t="shared" ref="AE68:AE72" si="81">IF(AND(AC68="Preventivo",AD68="Automático"),"50%",IF(AND(AC68="Preventivo",AD68="Manual"),"40%",IF(AND(AC68="Detectivo",AD68="Automático"),"40%",IF(AND(AC68="Detectivo",AD68="Manual"),"30%",IF(AND(AC68="Correctivo",AD68="Automático"),"35%",IF(AND(AC68="Correctivo",AD68="Manual"),"25%",""))))))</f>
        <v/>
      </c>
      <c r="AF68" s="190"/>
      <c r="AG68" s="190"/>
      <c r="AH68" s="190"/>
      <c r="AI68" s="192" t="str">
        <f>IFERROR(IF(AND(AB67="Probabilidad",AB68="Probabilidad"),(AK67-(+AK67*AE68)),IF(AB68="Probabilidad",(T67-(+T67*AE68)),IF(AB68="Impacto",AK67,""))),"")</f>
        <v/>
      </c>
      <c r="AJ68" s="193" t="str">
        <f t="shared" si="2"/>
        <v/>
      </c>
      <c r="AK68" s="191" t="str">
        <f t="shared" ref="AK68:AK72" si="82">+AI68</f>
        <v/>
      </c>
      <c r="AL68" s="193" t="str">
        <f t="shared" si="4"/>
        <v/>
      </c>
      <c r="AM68" s="191" t="str">
        <f t="shared" ref="AM68" si="83">IFERROR(IF(AND(AB67="Impacto",AB68="Impacto"),(AM67-(+AM67*AE68)),IF(AB68="Impacto",($X$13-(+$X$13*AE68)),IF(AB68="Probabilidad",AM67,""))),"")</f>
        <v/>
      </c>
      <c r="AN68" s="194" t="str">
        <f t="shared" ref="AN68:AN69" si="84">IFERROR(IF(OR(AND(AJ68="Muy Baja",AL68="Leve"),AND(AJ68="Muy Baja",AL68="Menor"),AND(AJ68="Baja",AL68="Leve")),"Bajo",IF(OR(AND(AJ68="Muy baja",AL68="Moderado"),AND(AJ68="Baja",AL68="Menor"),AND(AJ68="Baja",AL68="Moderado"),AND(AJ68="Media",AL68="Leve"),AND(AJ68="Media",AL68="Menor"),AND(AJ68="Media",AL68="Moderado"),AND(AJ68="Alta",AL68="Leve"),AND(AJ68="Alta",AL68="Menor")),"Moderado",IF(OR(AND(AJ68="Muy Baja",AL68="Mayor"),AND(AJ68="Baja",AL68="Mayor"),AND(AJ68="Media",AL68="Mayor"),AND(AJ68="Alta",AL68="Moderado"),AND(AJ68="Alta",AL68="Mayor"),AND(AJ68="Muy Alta",AL68="Leve"),AND(AJ68="Muy Alta",AL68="Menor"),AND(AJ68="Muy Alta",AL68="Moderado"),AND(AJ68="Muy Alta",AL68="Mayor")),"Alto",IF(OR(AND(AJ68="Muy Baja",AL68="Catastrófico"),AND(AJ68="Baja",AL68="Catastrófico"),AND(AJ68="Media",AL68="Catastrófico"),AND(AJ68="Alta",AL68="Catastrófico"),AND(AJ68="Muy Alta",AL68="Catastrófico")),"Extremo","")))),"")</f>
        <v/>
      </c>
      <c r="AO68" s="195"/>
      <c r="AP68" s="186"/>
      <c r="AQ68" s="196"/>
      <c r="AR68" s="196"/>
      <c r="AS68" s="197"/>
      <c r="AT68" s="381"/>
      <c r="AU68" s="381"/>
      <c r="AV68" s="381"/>
    </row>
    <row r="69" spans="1:48" x14ac:dyDescent="0.2">
      <c r="A69" s="418"/>
      <c r="B69" s="387"/>
      <c r="C69" s="387"/>
      <c r="D69" s="387"/>
      <c r="E69" s="387"/>
      <c r="F69" s="387"/>
      <c r="G69" s="360"/>
      <c r="H69" s="360"/>
      <c r="I69" s="360"/>
      <c r="J69" s="360"/>
      <c r="K69" s="360"/>
      <c r="L69" s="360"/>
      <c r="M69" s="222"/>
      <c r="N69" s="222"/>
      <c r="O69" s="222"/>
      <c r="P69" s="360"/>
      <c r="Q69" s="360"/>
      <c r="R69" s="381"/>
      <c r="S69" s="367"/>
      <c r="T69" s="364"/>
      <c r="U69" s="353"/>
      <c r="V69" s="364">
        <f>IF(NOT(ISERROR(MATCH(U69,_xlfn.ANCHORARRAY(F80),0))),U82&amp;"Por favor no seleccionar los criterios de impacto",U69)</f>
        <v>0</v>
      </c>
      <c r="W69" s="367"/>
      <c r="X69" s="364"/>
      <c r="Y69" s="362"/>
      <c r="Z69" s="214">
        <v>3</v>
      </c>
      <c r="AA69" s="187"/>
      <c r="AB69" s="189" t="str">
        <f>IF(OR(AC69="Preventivo",AC69="Detectivo"),"Probabilidad",IF(AC69="Correctivo","Impacto",""))</f>
        <v/>
      </c>
      <c r="AC69" s="190"/>
      <c r="AD69" s="190"/>
      <c r="AE69" s="191" t="str">
        <f t="shared" si="81"/>
        <v/>
      </c>
      <c r="AF69" s="190"/>
      <c r="AG69" s="190"/>
      <c r="AH69" s="190"/>
      <c r="AI69" s="192" t="str">
        <f>IFERROR(IF(AND(AB68="Probabilidad",AB69="Probabilidad"),(AK68-(+AK68*AE69)),IF(AND(AB68="Impacto",AB69="Probabilidad"),(AK67-(+AK67*AE69)),IF(AB69="Impacto",AK68,""))),"")</f>
        <v/>
      </c>
      <c r="AJ69" s="193" t="str">
        <f t="shared" si="2"/>
        <v/>
      </c>
      <c r="AK69" s="191" t="str">
        <f t="shared" si="82"/>
        <v/>
      </c>
      <c r="AL69" s="193" t="str">
        <f t="shared" si="4"/>
        <v/>
      </c>
      <c r="AM69" s="191" t="str">
        <f t="shared" ref="AM69" si="85">IFERROR(IF(AND(AB68="Impacto",AB69="Impacto"),(AM68-(+AM68*AE69)),IF(AND(AB68="Probabilidad",AB69="Impacto"),(AM67-(+AM67*AE69)),IF(AB69="Probabilidad",AM68,""))),"")</f>
        <v/>
      </c>
      <c r="AN69" s="194" t="str">
        <f t="shared" si="84"/>
        <v/>
      </c>
      <c r="AO69" s="195"/>
      <c r="AP69" s="186"/>
      <c r="AQ69" s="196"/>
      <c r="AR69" s="196"/>
      <c r="AS69" s="197"/>
      <c r="AT69" s="381"/>
      <c r="AU69" s="381"/>
      <c r="AV69" s="381"/>
    </row>
    <row r="70" spans="1:48" x14ac:dyDescent="0.2">
      <c r="A70" s="418"/>
      <c r="B70" s="387"/>
      <c r="C70" s="387"/>
      <c r="D70" s="387"/>
      <c r="E70" s="387"/>
      <c r="F70" s="387"/>
      <c r="G70" s="360"/>
      <c r="H70" s="360"/>
      <c r="I70" s="360"/>
      <c r="J70" s="360"/>
      <c r="K70" s="360"/>
      <c r="L70" s="360"/>
      <c r="M70" s="222"/>
      <c r="N70" s="222"/>
      <c r="O70" s="222"/>
      <c r="P70" s="360"/>
      <c r="Q70" s="360"/>
      <c r="R70" s="381"/>
      <c r="S70" s="367"/>
      <c r="T70" s="364"/>
      <c r="U70" s="353"/>
      <c r="V70" s="364">
        <f>IF(NOT(ISERROR(MATCH(U70,_xlfn.ANCHORARRAY(F81),0))),U83&amp;"Por favor no seleccionar los criterios de impacto",U70)</f>
        <v>0</v>
      </c>
      <c r="W70" s="367"/>
      <c r="X70" s="364"/>
      <c r="Y70" s="362"/>
      <c r="Z70" s="214">
        <v>4</v>
      </c>
      <c r="AA70" s="187"/>
      <c r="AB70" s="189" t="str">
        <f t="shared" ref="AB70:AB72" si="86">IF(OR(AC70="Preventivo",AC70="Detectivo"),"Probabilidad",IF(AC70="Correctivo","Impacto",""))</f>
        <v/>
      </c>
      <c r="AC70" s="190"/>
      <c r="AD70" s="190"/>
      <c r="AE70" s="191" t="str">
        <f t="shared" si="81"/>
        <v/>
      </c>
      <c r="AF70" s="190"/>
      <c r="AG70" s="190"/>
      <c r="AH70" s="190"/>
      <c r="AI70" s="192" t="str">
        <f t="shared" ref="AI70:AI72" si="87">IFERROR(IF(AND(AB69="Probabilidad",AB70="Probabilidad"),(AK69-(+AK69*AE70)),IF(AND(AB69="Impacto",AB70="Probabilidad"),(AK68-(+AK68*AE70)),IF(AB70="Impacto",AK69,""))),"")</f>
        <v/>
      </c>
      <c r="AJ70" s="193" t="str">
        <f t="shared" si="2"/>
        <v/>
      </c>
      <c r="AK70" s="191" t="str">
        <f t="shared" si="82"/>
        <v/>
      </c>
      <c r="AL70" s="193" t="str">
        <f t="shared" si="4"/>
        <v/>
      </c>
      <c r="AM70" s="191" t="str">
        <f t="shared" si="13"/>
        <v/>
      </c>
      <c r="AN70" s="194" t="str">
        <f>IFERROR(IF(OR(AND(AJ70="Muy Baja",AL70="Leve"),AND(AJ70="Muy Baja",AL70="Menor"),AND(AJ70="Baja",AL70="Leve")),"Bajo",IF(OR(AND(AJ70="Muy baja",AL70="Moderado"),AND(AJ70="Baja",AL70="Menor"),AND(AJ70="Baja",AL70="Moderado"),AND(AJ70="Media",AL70="Leve"),AND(AJ70="Media",AL70="Menor"),AND(AJ70="Media",AL70="Moderado"),AND(AJ70="Alta",AL70="Leve"),AND(AJ70="Alta",AL70="Menor")),"Moderado",IF(OR(AND(AJ70="Muy Baja",AL70="Mayor"),AND(AJ70="Baja",AL70="Mayor"),AND(AJ70="Media",AL70="Mayor"),AND(AJ70="Alta",AL70="Moderado"),AND(AJ70="Alta",AL70="Mayor"),AND(AJ70="Muy Alta",AL70="Leve"),AND(AJ70="Muy Alta",AL70="Menor"),AND(AJ70="Muy Alta",AL70="Moderado"),AND(AJ70="Muy Alta",AL70="Mayor")),"Alto",IF(OR(AND(AJ70="Muy Baja",AL70="Catastrófico"),AND(AJ70="Baja",AL70="Catastrófico"),AND(AJ70="Media",AL70="Catastrófico"),AND(AJ70="Alta",AL70="Catastrófico"),AND(AJ70="Muy Alta",AL70="Catastrófico")),"Extremo","")))),"")</f>
        <v/>
      </c>
      <c r="AO70" s="195"/>
      <c r="AP70" s="186"/>
      <c r="AQ70" s="196"/>
      <c r="AR70" s="196"/>
      <c r="AS70" s="197"/>
      <c r="AT70" s="381"/>
      <c r="AU70" s="381"/>
      <c r="AV70" s="381"/>
    </row>
    <row r="71" spans="1:48" x14ac:dyDescent="0.2">
      <c r="A71" s="418"/>
      <c r="B71" s="387"/>
      <c r="C71" s="387"/>
      <c r="D71" s="387"/>
      <c r="E71" s="387"/>
      <c r="F71" s="387"/>
      <c r="G71" s="360"/>
      <c r="H71" s="360"/>
      <c r="I71" s="360"/>
      <c r="J71" s="360"/>
      <c r="K71" s="360"/>
      <c r="L71" s="360"/>
      <c r="M71" s="222"/>
      <c r="N71" s="222"/>
      <c r="O71" s="222"/>
      <c r="P71" s="360"/>
      <c r="Q71" s="360"/>
      <c r="R71" s="381"/>
      <c r="S71" s="367"/>
      <c r="T71" s="364"/>
      <c r="U71" s="353"/>
      <c r="V71" s="364">
        <f>IF(NOT(ISERROR(MATCH(U71,_xlfn.ANCHORARRAY(F82),0))),U84&amp;"Por favor no seleccionar los criterios de impacto",U71)</f>
        <v>0</v>
      </c>
      <c r="W71" s="367"/>
      <c r="X71" s="364"/>
      <c r="Y71" s="362"/>
      <c r="Z71" s="214">
        <v>5</v>
      </c>
      <c r="AA71" s="187"/>
      <c r="AB71" s="189" t="str">
        <f t="shared" si="86"/>
        <v/>
      </c>
      <c r="AC71" s="190"/>
      <c r="AD71" s="190"/>
      <c r="AE71" s="191" t="str">
        <f t="shared" si="81"/>
        <v/>
      </c>
      <c r="AF71" s="190"/>
      <c r="AG71" s="190"/>
      <c r="AH71" s="190"/>
      <c r="AI71" s="192" t="str">
        <f t="shared" si="87"/>
        <v/>
      </c>
      <c r="AJ71" s="193" t="str">
        <f t="shared" si="2"/>
        <v/>
      </c>
      <c r="AK71" s="191" t="str">
        <f t="shared" si="82"/>
        <v/>
      </c>
      <c r="AL71" s="193" t="str">
        <f t="shared" si="4"/>
        <v/>
      </c>
      <c r="AM71" s="191" t="str">
        <f t="shared" si="13"/>
        <v/>
      </c>
      <c r="AN71" s="194" t="str">
        <f t="shared" ref="AN71:AN72" si="88">IFERROR(IF(OR(AND(AJ71="Muy Baja",AL71="Leve"),AND(AJ71="Muy Baja",AL71="Menor"),AND(AJ71="Baja",AL71="Leve")),"Bajo",IF(OR(AND(AJ71="Muy baja",AL71="Moderado"),AND(AJ71="Baja",AL71="Menor"),AND(AJ71="Baja",AL71="Moderado"),AND(AJ71="Media",AL71="Leve"),AND(AJ71="Media",AL71="Menor"),AND(AJ71="Media",AL71="Moderado"),AND(AJ71="Alta",AL71="Leve"),AND(AJ71="Alta",AL71="Menor")),"Moderado",IF(OR(AND(AJ71="Muy Baja",AL71="Mayor"),AND(AJ71="Baja",AL71="Mayor"),AND(AJ71="Media",AL71="Mayor"),AND(AJ71="Alta",AL71="Moderado"),AND(AJ71="Alta",AL71="Mayor"),AND(AJ71="Muy Alta",AL71="Leve"),AND(AJ71="Muy Alta",AL71="Menor"),AND(AJ71="Muy Alta",AL71="Moderado"),AND(AJ71="Muy Alta",AL71="Mayor")),"Alto",IF(OR(AND(AJ71="Muy Baja",AL71="Catastrófico"),AND(AJ71="Baja",AL71="Catastrófico"),AND(AJ71="Media",AL71="Catastrófico"),AND(AJ71="Alta",AL71="Catastrófico"),AND(AJ71="Muy Alta",AL71="Catastrófico")),"Extremo","")))),"")</f>
        <v/>
      </c>
      <c r="AO71" s="195"/>
      <c r="AP71" s="186"/>
      <c r="AQ71" s="196"/>
      <c r="AR71" s="196"/>
      <c r="AS71" s="197"/>
      <c r="AT71" s="381"/>
      <c r="AU71" s="381"/>
      <c r="AV71" s="381"/>
    </row>
    <row r="72" spans="1:48" x14ac:dyDescent="0.2">
      <c r="A72" s="418"/>
      <c r="B72" s="387"/>
      <c r="C72" s="387"/>
      <c r="D72" s="387"/>
      <c r="E72" s="387"/>
      <c r="F72" s="387"/>
      <c r="G72" s="373"/>
      <c r="H72" s="373"/>
      <c r="I72" s="373"/>
      <c r="J72" s="373"/>
      <c r="K72" s="373"/>
      <c r="L72" s="373"/>
      <c r="M72" s="223"/>
      <c r="N72" s="223"/>
      <c r="O72" s="223"/>
      <c r="P72" s="373"/>
      <c r="Q72" s="373"/>
      <c r="R72" s="381"/>
      <c r="S72" s="367"/>
      <c r="T72" s="364"/>
      <c r="U72" s="353"/>
      <c r="V72" s="364">
        <f>IF(NOT(ISERROR(MATCH(U72,_xlfn.ANCHORARRAY(F83),0))),U85&amp;"Por favor no seleccionar los criterios de impacto",U72)</f>
        <v>0</v>
      </c>
      <c r="W72" s="367"/>
      <c r="X72" s="364"/>
      <c r="Y72" s="362"/>
      <c r="Z72" s="214">
        <v>6</v>
      </c>
      <c r="AA72" s="187"/>
      <c r="AB72" s="189" t="str">
        <f t="shared" si="86"/>
        <v/>
      </c>
      <c r="AC72" s="190"/>
      <c r="AD72" s="190"/>
      <c r="AE72" s="191" t="str">
        <f t="shared" si="81"/>
        <v/>
      </c>
      <c r="AF72" s="190"/>
      <c r="AG72" s="190"/>
      <c r="AH72" s="190"/>
      <c r="AI72" s="192" t="str">
        <f t="shared" si="87"/>
        <v/>
      </c>
      <c r="AJ72" s="193" t="str">
        <f t="shared" si="2"/>
        <v/>
      </c>
      <c r="AK72" s="191" t="str">
        <f t="shared" si="82"/>
        <v/>
      </c>
      <c r="AL72" s="193" t="str">
        <f t="shared" si="4"/>
        <v/>
      </c>
      <c r="AM72" s="191" t="str">
        <f t="shared" si="13"/>
        <v/>
      </c>
      <c r="AN72" s="194" t="str">
        <f t="shared" si="88"/>
        <v/>
      </c>
      <c r="AO72" s="195"/>
      <c r="AP72" s="186"/>
      <c r="AQ72" s="196"/>
      <c r="AR72" s="196"/>
      <c r="AS72" s="197"/>
      <c r="AT72" s="381"/>
      <c r="AU72" s="381"/>
      <c r="AV72" s="381"/>
    </row>
    <row r="73" spans="1:48" ht="49.5" customHeight="1" x14ac:dyDescent="0.2">
      <c r="A73" s="216"/>
      <c r="B73" s="422" t="s">
        <v>261</v>
      </c>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row>
    <row r="75" spans="1:48" ht="15.75" x14ac:dyDescent="0.2">
      <c r="A75" s="198"/>
      <c r="B75" s="206" t="s">
        <v>262</v>
      </c>
      <c r="C75" s="198"/>
      <c r="D75" s="198"/>
      <c r="E75" s="198"/>
      <c r="R75" s="198"/>
    </row>
  </sheetData>
  <dataConsolidate/>
  <mergeCells count="343">
    <mergeCell ref="C6:T6"/>
    <mergeCell ref="W6:Y6"/>
    <mergeCell ref="Z6:AR6"/>
    <mergeCell ref="C7:T7"/>
    <mergeCell ref="Z7:AR7"/>
    <mergeCell ref="C8:T8"/>
    <mergeCell ref="Z8:AR8"/>
    <mergeCell ref="A6:B6"/>
    <mergeCell ref="A7:B7"/>
    <mergeCell ref="A8:B8"/>
    <mergeCell ref="A1:C4"/>
    <mergeCell ref="D1:T2"/>
    <mergeCell ref="X1:AR2"/>
    <mergeCell ref="D3:I3"/>
    <mergeCell ref="J3:T3"/>
    <mergeCell ref="X3:AL3"/>
    <mergeCell ref="AM3:AR3"/>
    <mergeCell ref="D4:T4"/>
    <mergeCell ref="X4:AR4"/>
    <mergeCell ref="K10:O10"/>
    <mergeCell ref="P10:Q10"/>
    <mergeCell ref="T10:Z10"/>
    <mergeCell ref="AA10:AI10"/>
    <mergeCell ref="AJ10:AN10"/>
    <mergeCell ref="AO10:AS10"/>
    <mergeCell ref="AT10:AV10"/>
    <mergeCell ref="A11:A12"/>
    <mergeCell ref="B11:B12"/>
    <mergeCell ref="C11:C12"/>
    <mergeCell ref="D11:D12"/>
    <mergeCell ref="E11:E12"/>
    <mergeCell ref="F11:F12"/>
    <mergeCell ref="K11:K12"/>
    <mergeCell ref="L11:L12"/>
    <mergeCell ref="M11:M12"/>
    <mergeCell ref="I11:I12"/>
    <mergeCell ref="J11:J12"/>
    <mergeCell ref="AS11:AS12"/>
    <mergeCell ref="AT11:AT12"/>
    <mergeCell ref="AU11:AU12"/>
    <mergeCell ref="AA11:AA12"/>
    <mergeCell ref="N11:N12"/>
    <mergeCell ref="O11:O12"/>
    <mergeCell ref="V11:V12"/>
    <mergeCell ref="W11:W12"/>
    <mergeCell ref="R11:R12"/>
    <mergeCell ref="S11:S12"/>
    <mergeCell ref="T11:T12"/>
    <mergeCell ref="U11:U12"/>
    <mergeCell ref="X11:X12"/>
    <mergeCell ref="Y11:Y12"/>
    <mergeCell ref="Z11:Z12"/>
    <mergeCell ref="AM11:AM12"/>
    <mergeCell ref="AN11:AN12"/>
    <mergeCell ref="AO11:AO12"/>
    <mergeCell ref="AB11:AB12"/>
    <mergeCell ref="AC11:AH11"/>
    <mergeCell ref="AI11:AI12"/>
    <mergeCell ref="AJ11:AJ12"/>
    <mergeCell ref="AK11:AK12"/>
    <mergeCell ref="AL11:AL12"/>
    <mergeCell ref="R13:R18"/>
    <mergeCell ref="S13:S18"/>
    <mergeCell ref="T13:T18"/>
    <mergeCell ref="U13:U18"/>
    <mergeCell ref="V13:V18"/>
    <mergeCell ref="Y13:Y18"/>
    <mergeCell ref="AT13:AT18"/>
    <mergeCell ref="AU13:AU18"/>
    <mergeCell ref="A13:A18"/>
    <mergeCell ref="B13:B18"/>
    <mergeCell ref="C13:C18"/>
    <mergeCell ref="D13:D18"/>
    <mergeCell ref="E13:E18"/>
    <mergeCell ref="F13:F18"/>
    <mergeCell ref="G13:G18"/>
    <mergeCell ref="H13:H18"/>
    <mergeCell ref="I13:I18"/>
    <mergeCell ref="J13:J18"/>
    <mergeCell ref="AV11:AV12"/>
    <mergeCell ref="AP11:AP12"/>
    <mergeCell ref="AQ11:AQ12"/>
    <mergeCell ref="AR11:AR12"/>
    <mergeCell ref="K19:K24"/>
    <mergeCell ref="L19:L24"/>
    <mergeCell ref="M19:M24"/>
    <mergeCell ref="N19:N24"/>
    <mergeCell ref="O19:O24"/>
    <mergeCell ref="P19:P24"/>
    <mergeCell ref="AT19:AT24"/>
    <mergeCell ref="AU19:AU24"/>
    <mergeCell ref="AV19:AV24"/>
    <mergeCell ref="Y19:Y24"/>
    <mergeCell ref="K13:K18"/>
    <mergeCell ref="L13:L18"/>
    <mergeCell ref="M13:M18"/>
    <mergeCell ref="N13:N18"/>
    <mergeCell ref="O13:O18"/>
    <mergeCell ref="P13:P18"/>
    <mergeCell ref="W13:W18"/>
    <mergeCell ref="X13:X18"/>
    <mergeCell ref="AV13:AV18"/>
    <mergeCell ref="Q13:Q18"/>
    <mergeCell ref="A19:A24"/>
    <mergeCell ref="B19:B24"/>
    <mergeCell ref="C19:C24"/>
    <mergeCell ref="D19:D24"/>
    <mergeCell ref="E19:E24"/>
    <mergeCell ref="F19:F24"/>
    <mergeCell ref="W19:W24"/>
    <mergeCell ref="X19:X24"/>
    <mergeCell ref="Q19:Q24"/>
    <mergeCell ref="R19:R24"/>
    <mergeCell ref="S19:S24"/>
    <mergeCell ref="T19:T24"/>
    <mergeCell ref="U19:U24"/>
    <mergeCell ref="V19:V24"/>
    <mergeCell ref="G19:G24"/>
    <mergeCell ref="H19:H24"/>
    <mergeCell ref="I19:I24"/>
    <mergeCell ref="J19:J24"/>
    <mergeCell ref="K25:K30"/>
    <mergeCell ref="L25:L30"/>
    <mergeCell ref="M25:M30"/>
    <mergeCell ref="N25:N30"/>
    <mergeCell ref="O25:O30"/>
    <mergeCell ref="P25:P30"/>
    <mergeCell ref="A25:A30"/>
    <mergeCell ref="B25:B30"/>
    <mergeCell ref="C25:C30"/>
    <mergeCell ref="D25:D30"/>
    <mergeCell ref="E25:E30"/>
    <mergeCell ref="F25:F30"/>
    <mergeCell ref="G25:G30"/>
    <mergeCell ref="H25:H30"/>
    <mergeCell ref="I25:I30"/>
    <mergeCell ref="J25:J30"/>
    <mergeCell ref="W25:W30"/>
    <mergeCell ref="X25:X30"/>
    <mergeCell ref="Y25:Y30"/>
    <mergeCell ref="AT25:AT30"/>
    <mergeCell ref="AU25:AU30"/>
    <mergeCell ref="AV25:AV30"/>
    <mergeCell ref="Q25:Q30"/>
    <mergeCell ref="R25:R30"/>
    <mergeCell ref="S25:S30"/>
    <mergeCell ref="T25:T30"/>
    <mergeCell ref="U25:U30"/>
    <mergeCell ref="V25:V30"/>
    <mergeCell ref="K31:K36"/>
    <mergeCell ref="L31:L36"/>
    <mergeCell ref="M31:M36"/>
    <mergeCell ref="N31:N36"/>
    <mergeCell ref="O31:O36"/>
    <mergeCell ref="P31:P36"/>
    <mergeCell ref="A31:A36"/>
    <mergeCell ref="B31:B36"/>
    <mergeCell ref="C31:C36"/>
    <mergeCell ref="D31:D36"/>
    <mergeCell ref="E31:E36"/>
    <mergeCell ref="F31:F36"/>
    <mergeCell ref="G31:G36"/>
    <mergeCell ref="H31:H36"/>
    <mergeCell ref="I31:I36"/>
    <mergeCell ref="J31:J36"/>
    <mergeCell ref="W31:W36"/>
    <mergeCell ref="X31:X36"/>
    <mergeCell ref="Y31:Y36"/>
    <mergeCell ref="AT31:AT36"/>
    <mergeCell ref="AU31:AU36"/>
    <mergeCell ref="AV31:AV36"/>
    <mergeCell ref="Q31:Q36"/>
    <mergeCell ref="R31:R36"/>
    <mergeCell ref="S31:S36"/>
    <mergeCell ref="T31:T36"/>
    <mergeCell ref="U31:U36"/>
    <mergeCell ref="V31:V36"/>
    <mergeCell ref="K37:K42"/>
    <mergeCell ref="L37:L42"/>
    <mergeCell ref="M37:M42"/>
    <mergeCell ref="N37:N42"/>
    <mergeCell ref="O37:O42"/>
    <mergeCell ref="P37:P42"/>
    <mergeCell ref="A37:A42"/>
    <mergeCell ref="B37:B42"/>
    <mergeCell ref="C37:C42"/>
    <mergeCell ref="D37:D42"/>
    <mergeCell ref="E37:E42"/>
    <mergeCell ref="F37:F42"/>
    <mergeCell ref="G37:G42"/>
    <mergeCell ref="H37:H42"/>
    <mergeCell ref="I37:I42"/>
    <mergeCell ref="J37:J42"/>
    <mergeCell ref="W37:W42"/>
    <mergeCell ref="X37:X42"/>
    <mergeCell ref="Y37:Y42"/>
    <mergeCell ref="AT37:AT42"/>
    <mergeCell ref="AU37:AU42"/>
    <mergeCell ref="AV37:AV42"/>
    <mergeCell ref="Q37:Q42"/>
    <mergeCell ref="R37:R42"/>
    <mergeCell ref="S37:S42"/>
    <mergeCell ref="T37:T42"/>
    <mergeCell ref="U37:U42"/>
    <mergeCell ref="V37:V42"/>
    <mergeCell ref="K43:K48"/>
    <mergeCell ref="L43:L48"/>
    <mergeCell ref="M43:M48"/>
    <mergeCell ref="N43:N48"/>
    <mergeCell ref="O43:O48"/>
    <mergeCell ref="P43:P48"/>
    <mergeCell ref="A43:A48"/>
    <mergeCell ref="B43:B48"/>
    <mergeCell ref="C43:C48"/>
    <mergeCell ref="D43:D48"/>
    <mergeCell ref="E43:E48"/>
    <mergeCell ref="F43:F48"/>
    <mergeCell ref="G43:G48"/>
    <mergeCell ref="H43:H48"/>
    <mergeCell ref="I43:I48"/>
    <mergeCell ref="J43:J48"/>
    <mergeCell ref="W43:W48"/>
    <mergeCell ref="X43:X48"/>
    <mergeCell ref="Y43:Y48"/>
    <mergeCell ref="AT43:AT48"/>
    <mergeCell ref="AU43:AU48"/>
    <mergeCell ref="AV43:AV48"/>
    <mergeCell ref="Q43:Q48"/>
    <mergeCell ref="R43:R48"/>
    <mergeCell ref="S43:S48"/>
    <mergeCell ref="T43:T48"/>
    <mergeCell ref="U43:U48"/>
    <mergeCell ref="V43:V48"/>
    <mergeCell ref="K49:K54"/>
    <mergeCell ref="L49:L54"/>
    <mergeCell ref="M49:M54"/>
    <mergeCell ref="N49:N54"/>
    <mergeCell ref="O49:O54"/>
    <mergeCell ref="P49:P54"/>
    <mergeCell ref="A49:A54"/>
    <mergeCell ref="B49:B54"/>
    <mergeCell ref="C49:C54"/>
    <mergeCell ref="D49:D54"/>
    <mergeCell ref="E49:E54"/>
    <mergeCell ref="F49:F54"/>
    <mergeCell ref="G49:G54"/>
    <mergeCell ref="H49:H54"/>
    <mergeCell ref="I49:I54"/>
    <mergeCell ref="J49:J54"/>
    <mergeCell ref="W49:W54"/>
    <mergeCell ref="X49:X54"/>
    <mergeCell ref="Y49:Y54"/>
    <mergeCell ref="AT49:AT54"/>
    <mergeCell ref="AU49:AU54"/>
    <mergeCell ref="AV49:AV54"/>
    <mergeCell ref="Q49:Q54"/>
    <mergeCell ref="R49:R54"/>
    <mergeCell ref="S49:S54"/>
    <mergeCell ref="T49:T54"/>
    <mergeCell ref="U49:U54"/>
    <mergeCell ref="V49:V54"/>
    <mergeCell ref="K55:K60"/>
    <mergeCell ref="L55:L60"/>
    <mergeCell ref="M55:M60"/>
    <mergeCell ref="N55:N60"/>
    <mergeCell ref="O55:O60"/>
    <mergeCell ref="P55:P60"/>
    <mergeCell ref="A55:A60"/>
    <mergeCell ref="B55:B60"/>
    <mergeCell ref="C55:C60"/>
    <mergeCell ref="D55:D60"/>
    <mergeCell ref="E55:E60"/>
    <mergeCell ref="F55:F60"/>
    <mergeCell ref="G55:G60"/>
    <mergeCell ref="H55:H60"/>
    <mergeCell ref="I55:I60"/>
    <mergeCell ref="J55:J60"/>
    <mergeCell ref="W55:W60"/>
    <mergeCell ref="X55:X60"/>
    <mergeCell ref="Y55:Y60"/>
    <mergeCell ref="AT55:AT60"/>
    <mergeCell ref="AU55:AU60"/>
    <mergeCell ref="AV55:AV60"/>
    <mergeCell ref="Q55:Q60"/>
    <mergeCell ref="R55:R60"/>
    <mergeCell ref="S55:S60"/>
    <mergeCell ref="T55:T60"/>
    <mergeCell ref="U55:U60"/>
    <mergeCell ref="V55:V60"/>
    <mergeCell ref="Y61:Y66"/>
    <mergeCell ref="K61:K66"/>
    <mergeCell ref="L61:L66"/>
    <mergeCell ref="P61:P66"/>
    <mergeCell ref="Q61:Q66"/>
    <mergeCell ref="R61:R66"/>
    <mergeCell ref="S61:S66"/>
    <mergeCell ref="A61:A66"/>
    <mergeCell ref="B61:B66"/>
    <mergeCell ref="C61:C66"/>
    <mergeCell ref="D61:D66"/>
    <mergeCell ref="E61:E66"/>
    <mergeCell ref="F61:F66"/>
    <mergeCell ref="D67:D72"/>
    <mergeCell ref="E67:E72"/>
    <mergeCell ref="F67:F72"/>
    <mergeCell ref="K67:K72"/>
    <mergeCell ref="T61:T66"/>
    <mergeCell ref="U61:U66"/>
    <mergeCell ref="V61:V66"/>
    <mergeCell ref="W61:W66"/>
    <mergeCell ref="X61:X66"/>
    <mergeCell ref="G67:G72"/>
    <mergeCell ref="H67:H72"/>
    <mergeCell ref="I67:I72"/>
    <mergeCell ref="J67:J72"/>
    <mergeCell ref="G61:G66"/>
    <mergeCell ref="H61:H66"/>
    <mergeCell ref="I61:I66"/>
    <mergeCell ref="J61:J66"/>
    <mergeCell ref="AU67:AU72"/>
    <mergeCell ref="AV67:AV72"/>
    <mergeCell ref="B73:AT73"/>
    <mergeCell ref="A10:J10"/>
    <mergeCell ref="G11:G12"/>
    <mergeCell ref="H11:H12"/>
    <mergeCell ref="U67:U72"/>
    <mergeCell ref="V67:V72"/>
    <mergeCell ref="W67:W72"/>
    <mergeCell ref="X67:X72"/>
    <mergeCell ref="Y67:Y72"/>
    <mergeCell ref="AT67:AT72"/>
    <mergeCell ref="L67:L72"/>
    <mergeCell ref="P67:P72"/>
    <mergeCell ref="Q67:Q72"/>
    <mergeCell ref="R67:R72"/>
    <mergeCell ref="S67:S72"/>
    <mergeCell ref="T67:T72"/>
    <mergeCell ref="AT61:AT66"/>
    <mergeCell ref="AU61:AU66"/>
    <mergeCell ref="AV61:AV66"/>
    <mergeCell ref="A67:A72"/>
    <mergeCell ref="B67:B72"/>
    <mergeCell ref="C67:C72"/>
  </mergeCells>
  <conditionalFormatting sqref="S13 S19">
    <cfRule type="cellIs" dxfId="238" priority="227" operator="equal">
      <formula>"Muy Alta"</formula>
    </cfRule>
    <cfRule type="cellIs" dxfId="237" priority="228" operator="equal">
      <formula>"Alta"</formula>
    </cfRule>
    <cfRule type="cellIs" dxfId="236" priority="229" operator="equal">
      <formula>"Media"</formula>
    </cfRule>
    <cfRule type="cellIs" dxfId="235" priority="230" operator="equal">
      <formula>"Baja"</formula>
    </cfRule>
    <cfRule type="cellIs" dxfId="234" priority="231" operator="equal">
      <formula>"Muy Baja"</formula>
    </cfRule>
  </conditionalFormatting>
  <conditionalFormatting sqref="W13 W19 W25 W31 W37 W43 W49 W55 W61 W67">
    <cfRule type="cellIs" dxfId="233" priority="222" operator="equal">
      <formula>"Catastrófico"</formula>
    </cfRule>
    <cfRule type="cellIs" dxfId="232" priority="223" operator="equal">
      <formula>"Mayor"</formula>
    </cfRule>
    <cfRule type="cellIs" dxfId="231" priority="224" operator="equal">
      <formula>"Moderado"</formula>
    </cfRule>
    <cfRule type="cellIs" dxfId="230" priority="225" operator="equal">
      <formula>"Menor"</formula>
    </cfRule>
    <cfRule type="cellIs" dxfId="229" priority="226" operator="equal">
      <formula>"Leve"</formula>
    </cfRule>
  </conditionalFormatting>
  <conditionalFormatting sqref="Y13">
    <cfRule type="cellIs" dxfId="228" priority="218" operator="equal">
      <formula>"Extremo"</formula>
    </cfRule>
    <cfRule type="cellIs" dxfId="227" priority="219" operator="equal">
      <formula>"Alto"</formula>
    </cfRule>
    <cfRule type="cellIs" dxfId="226" priority="220" operator="equal">
      <formula>"Moderado"</formula>
    </cfRule>
    <cfRule type="cellIs" dxfId="225" priority="221" operator="equal">
      <formula>"Bajo"</formula>
    </cfRule>
  </conditionalFormatting>
  <conditionalFormatting sqref="AJ13:AJ18">
    <cfRule type="cellIs" dxfId="224" priority="213" operator="equal">
      <formula>"Muy Alta"</formula>
    </cfRule>
    <cfRule type="cellIs" dxfId="223" priority="214" operator="equal">
      <formula>"Alta"</formula>
    </cfRule>
    <cfRule type="cellIs" dxfId="222" priority="215" operator="equal">
      <formula>"Media"</formula>
    </cfRule>
    <cfRule type="cellIs" dxfId="221" priority="216" operator="equal">
      <formula>"Baja"</formula>
    </cfRule>
    <cfRule type="cellIs" dxfId="220" priority="217" operator="equal">
      <formula>"Muy Baja"</formula>
    </cfRule>
  </conditionalFormatting>
  <conditionalFormatting sqref="AL13:AL18">
    <cfRule type="cellIs" dxfId="219" priority="208" operator="equal">
      <formula>"Catastrófico"</formula>
    </cfRule>
    <cfRule type="cellIs" dxfId="218" priority="209" operator="equal">
      <formula>"Mayor"</formula>
    </cfRule>
    <cfRule type="cellIs" dxfId="217" priority="210" operator="equal">
      <formula>"Moderado"</formula>
    </cfRule>
    <cfRule type="cellIs" dxfId="216" priority="211" operator="equal">
      <formula>"Menor"</formula>
    </cfRule>
    <cfRule type="cellIs" dxfId="215" priority="212" operator="equal">
      <formula>"Leve"</formula>
    </cfRule>
  </conditionalFormatting>
  <conditionalFormatting sqref="AN13:AN18">
    <cfRule type="cellIs" dxfId="214" priority="204" operator="equal">
      <formula>"Extremo"</formula>
    </cfRule>
    <cfRule type="cellIs" dxfId="213" priority="205" operator="equal">
      <formula>"Alto"</formula>
    </cfRule>
    <cfRule type="cellIs" dxfId="212" priority="206" operator="equal">
      <formula>"Moderado"</formula>
    </cfRule>
    <cfRule type="cellIs" dxfId="211" priority="207" operator="equal">
      <formula>"Bajo"</formula>
    </cfRule>
  </conditionalFormatting>
  <conditionalFormatting sqref="S61">
    <cfRule type="cellIs" dxfId="210" priority="48" operator="equal">
      <formula>"Muy Alta"</formula>
    </cfRule>
    <cfRule type="cellIs" dxfId="209" priority="49" operator="equal">
      <formula>"Alta"</formula>
    </cfRule>
    <cfRule type="cellIs" dxfId="208" priority="50" operator="equal">
      <formula>"Media"</formula>
    </cfRule>
    <cfRule type="cellIs" dxfId="207" priority="51" operator="equal">
      <formula>"Baja"</formula>
    </cfRule>
    <cfRule type="cellIs" dxfId="206" priority="52" operator="equal">
      <formula>"Muy Baja"</formula>
    </cfRule>
  </conditionalFormatting>
  <conditionalFormatting sqref="Y19">
    <cfRule type="cellIs" dxfId="205" priority="200" operator="equal">
      <formula>"Extremo"</formula>
    </cfRule>
    <cfRule type="cellIs" dxfId="204" priority="201" operator="equal">
      <formula>"Alto"</formula>
    </cfRule>
    <cfRule type="cellIs" dxfId="203" priority="202" operator="equal">
      <formula>"Moderado"</formula>
    </cfRule>
    <cfRule type="cellIs" dxfId="202" priority="203" operator="equal">
      <formula>"Bajo"</formula>
    </cfRule>
  </conditionalFormatting>
  <conditionalFormatting sqref="AJ19:AJ24">
    <cfRule type="cellIs" dxfId="201" priority="195" operator="equal">
      <formula>"Muy Alta"</formula>
    </cfRule>
    <cfRule type="cellIs" dxfId="200" priority="196" operator="equal">
      <formula>"Alta"</formula>
    </cfRule>
    <cfRule type="cellIs" dxfId="199" priority="197" operator="equal">
      <formula>"Media"</formula>
    </cfRule>
    <cfRule type="cellIs" dxfId="198" priority="198" operator="equal">
      <formula>"Baja"</formula>
    </cfRule>
    <cfRule type="cellIs" dxfId="197" priority="199" operator="equal">
      <formula>"Muy Baja"</formula>
    </cfRule>
  </conditionalFormatting>
  <conditionalFormatting sqref="AL19:AL24">
    <cfRule type="cellIs" dxfId="196" priority="190" operator="equal">
      <formula>"Catastrófico"</formula>
    </cfRule>
    <cfRule type="cellIs" dxfId="195" priority="191" operator="equal">
      <formula>"Mayor"</formula>
    </cfRule>
    <cfRule type="cellIs" dxfId="194" priority="192" operator="equal">
      <formula>"Moderado"</formula>
    </cfRule>
    <cfRule type="cellIs" dxfId="193" priority="193" operator="equal">
      <formula>"Menor"</formula>
    </cfRule>
    <cfRule type="cellIs" dxfId="192" priority="194" operator="equal">
      <formula>"Leve"</formula>
    </cfRule>
  </conditionalFormatting>
  <conditionalFormatting sqref="AN19:AN24">
    <cfRule type="cellIs" dxfId="191" priority="186" operator="equal">
      <formula>"Extremo"</formula>
    </cfRule>
    <cfRule type="cellIs" dxfId="190" priority="187" operator="equal">
      <formula>"Alto"</formula>
    </cfRule>
    <cfRule type="cellIs" dxfId="189" priority="188" operator="equal">
      <formula>"Moderado"</formula>
    </cfRule>
    <cfRule type="cellIs" dxfId="188" priority="189" operator="equal">
      <formula>"Bajo"</formula>
    </cfRule>
  </conditionalFormatting>
  <conditionalFormatting sqref="S25">
    <cfRule type="cellIs" dxfId="187" priority="181" operator="equal">
      <formula>"Muy Alta"</formula>
    </cfRule>
    <cfRule type="cellIs" dxfId="186" priority="182" operator="equal">
      <formula>"Alta"</formula>
    </cfRule>
    <cfRule type="cellIs" dxfId="185" priority="183" operator="equal">
      <formula>"Media"</formula>
    </cfRule>
    <cfRule type="cellIs" dxfId="184" priority="184" operator="equal">
      <formula>"Baja"</formula>
    </cfRule>
    <cfRule type="cellIs" dxfId="183" priority="185" operator="equal">
      <formula>"Muy Baja"</formula>
    </cfRule>
  </conditionalFormatting>
  <conditionalFormatting sqref="Y25">
    <cfRule type="cellIs" dxfId="182" priority="177" operator="equal">
      <formula>"Extremo"</formula>
    </cfRule>
    <cfRule type="cellIs" dxfId="181" priority="178" operator="equal">
      <formula>"Alto"</formula>
    </cfRule>
    <cfRule type="cellIs" dxfId="180" priority="179" operator="equal">
      <formula>"Moderado"</formula>
    </cfRule>
    <cfRule type="cellIs" dxfId="179" priority="180" operator="equal">
      <formula>"Bajo"</formula>
    </cfRule>
  </conditionalFormatting>
  <conditionalFormatting sqref="AJ25:AJ30">
    <cfRule type="cellIs" dxfId="178" priority="172" operator="equal">
      <formula>"Muy Alta"</formula>
    </cfRule>
    <cfRule type="cellIs" dxfId="177" priority="173" operator="equal">
      <formula>"Alta"</formula>
    </cfRule>
    <cfRule type="cellIs" dxfId="176" priority="174" operator="equal">
      <formula>"Media"</formula>
    </cfRule>
    <cfRule type="cellIs" dxfId="175" priority="175" operator="equal">
      <formula>"Baja"</formula>
    </cfRule>
    <cfRule type="cellIs" dxfId="174" priority="176" operator="equal">
      <formula>"Muy Baja"</formula>
    </cfRule>
  </conditionalFormatting>
  <conditionalFormatting sqref="AL25:AL30">
    <cfRule type="cellIs" dxfId="173" priority="167" operator="equal">
      <formula>"Catastrófico"</formula>
    </cfRule>
    <cfRule type="cellIs" dxfId="172" priority="168" operator="equal">
      <formula>"Mayor"</formula>
    </cfRule>
    <cfRule type="cellIs" dxfId="171" priority="169" operator="equal">
      <formula>"Moderado"</formula>
    </cfRule>
    <cfRule type="cellIs" dxfId="170" priority="170" operator="equal">
      <formula>"Menor"</formula>
    </cfRule>
    <cfRule type="cellIs" dxfId="169" priority="171" operator="equal">
      <formula>"Leve"</formula>
    </cfRule>
  </conditionalFormatting>
  <conditionalFormatting sqref="AN25:AN30">
    <cfRule type="cellIs" dxfId="168" priority="163" operator="equal">
      <formula>"Extremo"</formula>
    </cfRule>
    <cfRule type="cellIs" dxfId="167" priority="164" operator="equal">
      <formula>"Alto"</formula>
    </cfRule>
    <cfRule type="cellIs" dxfId="166" priority="165" operator="equal">
      <formula>"Moderado"</formula>
    </cfRule>
    <cfRule type="cellIs" dxfId="165" priority="166" operator="equal">
      <formula>"Bajo"</formula>
    </cfRule>
  </conditionalFormatting>
  <conditionalFormatting sqref="S31">
    <cfRule type="cellIs" dxfId="164" priority="158" operator="equal">
      <formula>"Muy Alta"</formula>
    </cfRule>
    <cfRule type="cellIs" dxfId="163" priority="159" operator="equal">
      <formula>"Alta"</formula>
    </cfRule>
    <cfRule type="cellIs" dxfId="162" priority="160" operator="equal">
      <formula>"Media"</formula>
    </cfRule>
    <cfRule type="cellIs" dxfId="161" priority="161" operator="equal">
      <formula>"Baja"</formula>
    </cfRule>
    <cfRule type="cellIs" dxfId="160" priority="162" operator="equal">
      <formula>"Muy Baja"</formula>
    </cfRule>
  </conditionalFormatting>
  <conditionalFormatting sqref="Y31">
    <cfRule type="cellIs" dxfId="159" priority="154" operator="equal">
      <formula>"Extremo"</formula>
    </cfRule>
    <cfRule type="cellIs" dxfId="158" priority="155" operator="equal">
      <formula>"Alto"</formula>
    </cfRule>
    <cfRule type="cellIs" dxfId="157" priority="156" operator="equal">
      <formula>"Moderado"</formula>
    </cfRule>
    <cfRule type="cellIs" dxfId="156" priority="157" operator="equal">
      <formula>"Bajo"</formula>
    </cfRule>
  </conditionalFormatting>
  <conditionalFormatting sqref="AJ31:AJ36">
    <cfRule type="cellIs" dxfId="155" priority="149" operator="equal">
      <formula>"Muy Alta"</formula>
    </cfRule>
    <cfRule type="cellIs" dxfId="154" priority="150" operator="equal">
      <formula>"Alta"</formula>
    </cfRule>
    <cfRule type="cellIs" dxfId="153" priority="151" operator="equal">
      <formula>"Media"</formula>
    </cfRule>
    <cfRule type="cellIs" dxfId="152" priority="152" operator="equal">
      <formula>"Baja"</formula>
    </cfRule>
    <cfRule type="cellIs" dxfId="151" priority="153" operator="equal">
      <formula>"Muy Baja"</formula>
    </cfRule>
  </conditionalFormatting>
  <conditionalFormatting sqref="AL31:AL36">
    <cfRule type="cellIs" dxfId="150" priority="144" operator="equal">
      <formula>"Catastrófico"</formula>
    </cfRule>
    <cfRule type="cellIs" dxfId="149" priority="145" operator="equal">
      <formula>"Mayor"</formula>
    </cfRule>
    <cfRule type="cellIs" dxfId="148" priority="146" operator="equal">
      <formula>"Moderado"</formula>
    </cfRule>
    <cfRule type="cellIs" dxfId="147" priority="147" operator="equal">
      <formula>"Menor"</formula>
    </cfRule>
    <cfRule type="cellIs" dxfId="146" priority="148" operator="equal">
      <formula>"Leve"</formula>
    </cfRule>
  </conditionalFormatting>
  <conditionalFormatting sqref="AN31:AN36">
    <cfRule type="cellIs" dxfId="145" priority="140" operator="equal">
      <formula>"Extremo"</formula>
    </cfRule>
    <cfRule type="cellIs" dxfId="144" priority="141" operator="equal">
      <formula>"Alto"</formula>
    </cfRule>
    <cfRule type="cellIs" dxfId="143" priority="142" operator="equal">
      <formula>"Moderado"</formula>
    </cfRule>
    <cfRule type="cellIs" dxfId="142" priority="143" operator="equal">
      <formula>"Bajo"</formula>
    </cfRule>
  </conditionalFormatting>
  <conditionalFormatting sqref="S37">
    <cfRule type="cellIs" dxfId="141" priority="135" operator="equal">
      <formula>"Muy Alta"</formula>
    </cfRule>
    <cfRule type="cellIs" dxfId="140" priority="136" operator="equal">
      <formula>"Alta"</formula>
    </cfRule>
    <cfRule type="cellIs" dxfId="139" priority="137" operator="equal">
      <formula>"Media"</formula>
    </cfRule>
    <cfRule type="cellIs" dxfId="138" priority="138" operator="equal">
      <formula>"Baja"</formula>
    </cfRule>
    <cfRule type="cellIs" dxfId="137" priority="139" operator="equal">
      <formula>"Muy Baja"</formula>
    </cfRule>
  </conditionalFormatting>
  <conditionalFormatting sqref="Y37">
    <cfRule type="cellIs" dxfId="136" priority="131" operator="equal">
      <formula>"Extremo"</formula>
    </cfRule>
    <cfRule type="cellIs" dxfId="135" priority="132" operator="equal">
      <formula>"Alto"</formula>
    </cfRule>
    <cfRule type="cellIs" dxfId="134" priority="133" operator="equal">
      <formula>"Moderado"</formula>
    </cfRule>
    <cfRule type="cellIs" dxfId="133" priority="134" operator="equal">
      <formula>"Bajo"</formula>
    </cfRule>
  </conditionalFormatting>
  <conditionalFormatting sqref="AJ37:AJ42">
    <cfRule type="cellIs" dxfId="132" priority="126" operator="equal">
      <formula>"Muy Alta"</formula>
    </cfRule>
    <cfRule type="cellIs" dxfId="131" priority="127" operator="equal">
      <formula>"Alta"</formula>
    </cfRule>
    <cfRule type="cellIs" dxfId="130" priority="128" operator="equal">
      <formula>"Media"</formula>
    </cfRule>
    <cfRule type="cellIs" dxfId="129" priority="129" operator="equal">
      <formula>"Baja"</formula>
    </cfRule>
    <cfRule type="cellIs" dxfId="128" priority="130" operator="equal">
      <formula>"Muy Baja"</formula>
    </cfRule>
  </conditionalFormatting>
  <conditionalFormatting sqref="AL37:AL42">
    <cfRule type="cellIs" dxfId="127" priority="121" operator="equal">
      <formula>"Catastrófico"</formula>
    </cfRule>
    <cfRule type="cellIs" dxfId="126" priority="122" operator="equal">
      <formula>"Mayor"</formula>
    </cfRule>
    <cfRule type="cellIs" dxfId="125" priority="123" operator="equal">
      <formula>"Moderado"</formula>
    </cfRule>
    <cfRule type="cellIs" dxfId="124" priority="124" operator="equal">
      <formula>"Menor"</formula>
    </cfRule>
    <cfRule type="cellIs" dxfId="123" priority="125" operator="equal">
      <formula>"Leve"</formula>
    </cfRule>
  </conditionalFormatting>
  <conditionalFormatting sqref="AN37:AN42">
    <cfRule type="cellIs" dxfId="122" priority="117" operator="equal">
      <formula>"Extremo"</formula>
    </cfRule>
    <cfRule type="cellIs" dxfId="121" priority="118" operator="equal">
      <formula>"Alto"</formula>
    </cfRule>
    <cfRule type="cellIs" dxfId="120" priority="119" operator="equal">
      <formula>"Moderado"</formula>
    </cfRule>
    <cfRule type="cellIs" dxfId="119" priority="120" operator="equal">
      <formula>"Bajo"</formula>
    </cfRule>
  </conditionalFormatting>
  <conditionalFormatting sqref="S43">
    <cfRule type="cellIs" dxfId="118" priority="112" operator="equal">
      <formula>"Muy Alta"</formula>
    </cfRule>
    <cfRule type="cellIs" dxfId="117" priority="113" operator="equal">
      <formula>"Alta"</formula>
    </cfRule>
    <cfRule type="cellIs" dxfId="116" priority="114" operator="equal">
      <formula>"Media"</formula>
    </cfRule>
    <cfRule type="cellIs" dxfId="115" priority="115" operator="equal">
      <formula>"Baja"</formula>
    </cfRule>
    <cfRule type="cellIs" dxfId="114" priority="116" operator="equal">
      <formula>"Muy Baja"</formula>
    </cfRule>
  </conditionalFormatting>
  <conditionalFormatting sqref="Y43">
    <cfRule type="cellIs" dxfId="113" priority="108" operator="equal">
      <formula>"Extremo"</formula>
    </cfRule>
    <cfRule type="cellIs" dxfId="112" priority="109" operator="equal">
      <formula>"Alto"</formula>
    </cfRule>
    <cfRule type="cellIs" dxfId="111" priority="110" operator="equal">
      <formula>"Moderado"</formula>
    </cfRule>
    <cfRule type="cellIs" dxfId="110" priority="111" operator="equal">
      <formula>"Bajo"</formula>
    </cfRule>
  </conditionalFormatting>
  <conditionalFormatting sqref="AJ43:AJ48">
    <cfRule type="cellIs" dxfId="109" priority="103" operator="equal">
      <formula>"Muy Alta"</formula>
    </cfRule>
    <cfRule type="cellIs" dxfId="108" priority="104" operator="equal">
      <formula>"Alta"</formula>
    </cfRule>
    <cfRule type="cellIs" dxfId="107" priority="105" operator="equal">
      <formula>"Media"</formula>
    </cfRule>
    <cfRule type="cellIs" dxfId="106" priority="106" operator="equal">
      <formula>"Baja"</formula>
    </cfRule>
    <cfRule type="cellIs" dxfId="105" priority="107" operator="equal">
      <formula>"Muy Baja"</formula>
    </cfRule>
  </conditionalFormatting>
  <conditionalFormatting sqref="AL43:AL48">
    <cfRule type="cellIs" dxfId="104" priority="98" operator="equal">
      <formula>"Catastrófico"</formula>
    </cfRule>
    <cfRule type="cellIs" dxfId="103" priority="99" operator="equal">
      <formula>"Mayor"</formula>
    </cfRule>
    <cfRule type="cellIs" dxfId="102" priority="100" operator="equal">
      <formula>"Moderado"</formula>
    </cfRule>
    <cfRule type="cellIs" dxfId="101" priority="101" operator="equal">
      <formula>"Menor"</formula>
    </cfRule>
    <cfRule type="cellIs" dxfId="100" priority="102" operator="equal">
      <formula>"Leve"</formula>
    </cfRule>
  </conditionalFormatting>
  <conditionalFormatting sqref="AN43:AN48">
    <cfRule type="cellIs" dxfId="99" priority="94" operator="equal">
      <formula>"Extremo"</formula>
    </cfRule>
    <cfRule type="cellIs" dxfId="98" priority="95" operator="equal">
      <formula>"Alto"</formula>
    </cfRule>
    <cfRule type="cellIs" dxfId="97" priority="96" operator="equal">
      <formula>"Moderado"</formula>
    </cfRule>
    <cfRule type="cellIs" dxfId="96" priority="97" operator="equal">
      <formula>"Bajo"</formula>
    </cfRule>
  </conditionalFormatting>
  <conditionalFormatting sqref="S49">
    <cfRule type="cellIs" dxfId="95" priority="89" operator="equal">
      <formula>"Muy Alta"</formula>
    </cfRule>
    <cfRule type="cellIs" dxfId="94" priority="90" operator="equal">
      <formula>"Alta"</formula>
    </cfRule>
    <cfRule type="cellIs" dxfId="93" priority="91" operator="equal">
      <formula>"Media"</formula>
    </cfRule>
    <cfRule type="cellIs" dxfId="92" priority="92" operator="equal">
      <formula>"Baja"</formula>
    </cfRule>
    <cfRule type="cellIs" dxfId="91" priority="93" operator="equal">
      <formula>"Muy Baja"</formula>
    </cfRule>
  </conditionalFormatting>
  <conditionalFormatting sqref="Y49">
    <cfRule type="cellIs" dxfId="90" priority="85" operator="equal">
      <formula>"Extremo"</formula>
    </cfRule>
    <cfRule type="cellIs" dxfId="89" priority="86" operator="equal">
      <formula>"Alto"</formula>
    </cfRule>
    <cfRule type="cellIs" dxfId="88" priority="87" operator="equal">
      <formula>"Moderado"</formula>
    </cfRule>
    <cfRule type="cellIs" dxfId="87" priority="88" operator="equal">
      <formula>"Bajo"</formula>
    </cfRule>
  </conditionalFormatting>
  <conditionalFormatting sqref="AJ49:AJ54">
    <cfRule type="cellIs" dxfId="86" priority="80" operator="equal">
      <formula>"Muy Alta"</formula>
    </cfRule>
    <cfRule type="cellIs" dxfId="85" priority="81" operator="equal">
      <formula>"Alta"</formula>
    </cfRule>
    <cfRule type="cellIs" dxfId="84" priority="82" operator="equal">
      <formula>"Media"</formula>
    </cfRule>
    <cfRule type="cellIs" dxfId="83" priority="83" operator="equal">
      <formula>"Baja"</formula>
    </cfRule>
    <cfRule type="cellIs" dxfId="82" priority="84" operator="equal">
      <formula>"Muy Baja"</formula>
    </cfRule>
  </conditionalFormatting>
  <conditionalFormatting sqref="AL49:AL54">
    <cfRule type="cellIs" dxfId="81" priority="75" operator="equal">
      <formula>"Catastrófico"</formula>
    </cfRule>
    <cfRule type="cellIs" dxfId="80" priority="76" operator="equal">
      <formula>"Mayor"</formula>
    </cfRule>
    <cfRule type="cellIs" dxfId="79" priority="77" operator="equal">
      <formula>"Moderado"</formula>
    </cfRule>
    <cfRule type="cellIs" dxfId="78" priority="78" operator="equal">
      <formula>"Menor"</formula>
    </cfRule>
    <cfRule type="cellIs" dxfId="77" priority="79" operator="equal">
      <formula>"Leve"</formula>
    </cfRule>
  </conditionalFormatting>
  <conditionalFormatting sqref="AN49:AN54">
    <cfRule type="cellIs" dxfId="76" priority="71" operator="equal">
      <formula>"Extremo"</formula>
    </cfRule>
    <cfRule type="cellIs" dxfId="75" priority="72" operator="equal">
      <formula>"Alto"</formula>
    </cfRule>
    <cfRule type="cellIs" dxfId="74" priority="73" operator="equal">
      <formula>"Moderado"</formula>
    </cfRule>
    <cfRule type="cellIs" dxfId="73" priority="74" operator="equal">
      <formula>"Bajo"</formula>
    </cfRule>
  </conditionalFormatting>
  <conditionalFormatting sqref="Y55">
    <cfRule type="cellIs" dxfId="72" priority="67" operator="equal">
      <formula>"Extremo"</formula>
    </cfRule>
    <cfRule type="cellIs" dxfId="71" priority="68" operator="equal">
      <formula>"Alto"</formula>
    </cfRule>
    <cfRule type="cellIs" dxfId="70" priority="69" operator="equal">
      <formula>"Moderado"</formula>
    </cfRule>
    <cfRule type="cellIs" dxfId="69" priority="70" operator="equal">
      <formula>"Bajo"</formula>
    </cfRule>
  </conditionalFormatting>
  <conditionalFormatting sqref="AJ55:AJ60">
    <cfRule type="cellIs" dxfId="68" priority="62" operator="equal">
      <formula>"Muy Alta"</formula>
    </cfRule>
    <cfRule type="cellIs" dxfId="67" priority="63" operator="equal">
      <formula>"Alta"</formula>
    </cfRule>
    <cfRule type="cellIs" dxfId="66" priority="64" operator="equal">
      <formula>"Media"</formula>
    </cfRule>
    <cfRule type="cellIs" dxfId="65" priority="65" operator="equal">
      <formula>"Baja"</formula>
    </cfRule>
    <cfRule type="cellIs" dxfId="64" priority="66" operator="equal">
      <formula>"Muy Baja"</formula>
    </cfRule>
  </conditionalFormatting>
  <conditionalFormatting sqref="AL55:AL60">
    <cfRule type="cellIs" dxfId="63" priority="57" operator="equal">
      <formula>"Catastrófico"</formula>
    </cfRule>
    <cfRule type="cellIs" dxfId="62" priority="58" operator="equal">
      <formula>"Mayor"</formula>
    </cfRule>
    <cfRule type="cellIs" dxfId="61" priority="59" operator="equal">
      <formula>"Moderado"</formula>
    </cfRule>
    <cfRule type="cellIs" dxfId="60" priority="60" operator="equal">
      <formula>"Menor"</formula>
    </cfRule>
    <cfRule type="cellIs" dxfId="59" priority="61" operator="equal">
      <formula>"Leve"</formula>
    </cfRule>
  </conditionalFormatting>
  <conditionalFormatting sqref="AN55:AN60">
    <cfRule type="cellIs" dxfId="58" priority="53" operator="equal">
      <formula>"Extremo"</formula>
    </cfRule>
    <cfRule type="cellIs" dxfId="57" priority="54" operator="equal">
      <formula>"Alto"</formula>
    </cfRule>
    <cfRule type="cellIs" dxfId="56" priority="55" operator="equal">
      <formula>"Moderado"</formula>
    </cfRule>
    <cfRule type="cellIs" dxfId="55" priority="56" operator="equal">
      <formula>"Bajo"</formula>
    </cfRule>
  </conditionalFormatting>
  <conditionalFormatting sqref="Y61">
    <cfRule type="cellIs" dxfId="54" priority="44" operator="equal">
      <formula>"Extremo"</formula>
    </cfRule>
    <cfRule type="cellIs" dxfId="53" priority="45" operator="equal">
      <formula>"Alto"</formula>
    </cfRule>
    <cfRule type="cellIs" dxfId="52" priority="46" operator="equal">
      <formula>"Moderado"</formula>
    </cfRule>
    <cfRule type="cellIs" dxfId="51" priority="47" operator="equal">
      <formula>"Bajo"</formula>
    </cfRule>
  </conditionalFormatting>
  <conditionalFormatting sqref="AJ61:AJ66">
    <cfRule type="cellIs" dxfId="50" priority="39" operator="equal">
      <formula>"Muy Alta"</formula>
    </cfRule>
    <cfRule type="cellIs" dxfId="49" priority="40" operator="equal">
      <formula>"Alta"</formula>
    </cfRule>
    <cfRule type="cellIs" dxfId="48" priority="41" operator="equal">
      <formula>"Media"</formula>
    </cfRule>
    <cfRule type="cellIs" dxfId="47" priority="42" operator="equal">
      <formula>"Baja"</formula>
    </cfRule>
    <cfRule type="cellIs" dxfId="46" priority="43" operator="equal">
      <formula>"Muy Baja"</formula>
    </cfRule>
  </conditionalFormatting>
  <conditionalFormatting sqref="AL61:AL66">
    <cfRule type="cellIs" dxfId="45" priority="34" operator="equal">
      <formula>"Catastrófico"</formula>
    </cfRule>
    <cfRule type="cellIs" dxfId="44" priority="35" operator="equal">
      <formula>"Mayor"</formula>
    </cfRule>
    <cfRule type="cellIs" dxfId="43" priority="36" operator="equal">
      <formula>"Moderado"</formula>
    </cfRule>
    <cfRule type="cellIs" dxfId="42" priority="37" operator="equal">
      <formula>"Menor"</formula>
    </cfRule>
    <cfRule type="cellIs" dxfId="41" priority="38" operator="equal">
      <formula>"Leve"</formula>
    </cfRule>
  </conditionalFormatting>
  <conditionalFormatting sqref="AN61:AN66">
    <cfRule type="cellIs" dxfId="40" priority="30" operator="equal">
      <formula>"Extremo"</formula>
    </cfRule>
    <cfRule type="cellIs" dxfId="39" priority="31" operator="equal">
      <formula>"Alto"</formula>
    </cfRule>
    <cfRule type="cellIs" dxfId="38" priority="32" operator="equal">
      <formula>"Moderado"</formula>
    </cfRule>
    <cfRule type="cellIs" dxfId="37" priority="33" operator="equal">
      <formula>"Bajo"</formula>
    </cfRule>
  </conditionalFormatting>
  <conditionalFormatting sqref="S67">
    <cfRule type="cellIs" dxfId="36" priority="25" operator="equal">
      <formula>"Muy Alta"</formula>
    </cfRule>
    <cfRule type="cellIs" dxfId="35" priority="26" operator="equal">
      <formula>"Alta"</formula>
    </cfRule>
    <cfRule type="cellIs" dxfId="34" priority="27" operator="equal">
      <formula>"Media"</formula>
    </cfRule>
    <cfRule type="cellIs" dxfId="33" priority="28" operator="equal">
      <formula>"Baja"</formula>
    </cfRule>
    <cfRule type="cellIs" dxfId="32" priority="29" operator="equal">
      <formula>"Muy Baja"</formula>
    </cfRule>
  </conditionalFormatting>
  <conditionalFormatting sqref="Y67">
    <cfRule type="cellIs" dxfId="31" priority="21" operator="equal">
      <formula>"Extremo"</formula>
    </cfRule>
    <cfRule type="cellIs" dxfId="30" priority="22" operator="equal">
      <formula>"Alto"</formula>
    </cfRule>
    <cfRule type="cellIs" dxfId="29" priority="23" operator="equal">
      <formula>"Moderado"</formula>
    </cfRule>
    <cfRule type="cellIs" dxfId="28" priority="24" operator="equal">
      <formula>"Bajo"</formula>
    </cfRule>
  </conditionalFormatting>
  <conditionalFormatting sqref="AJ67:AJ72">
    <cfRule type="cellIs" dxfId="27" priority="16" operator="equal">
      <formula>"Muy Alta"</formula>
    </cfRule>
    <cfRule type="cellIs" dxfId="26" priority="17" operator="equal">
      <formula>"Alta"</formula>
    </cfRule>
    <cfRule type="cellIs" dxfId="25" priority="18" operator="equal">
      <formula>"Media"</formula>
    </cfRule>
    <cfRule type="cellIs" dxfId="24" priority="19" operator="equal">
      <formula>"Baja"</formula>
    </cfRule>
    <cfRule type="cellIs" dxfId="23" priority="20" operator="equal">
      <formula>"Muy Baja"</formula>
    </cfRule>
  </conditionalFormatting>
  <conditionalFormatting sqref="AL67:AL72">
    <cfRule type="cellIs" dxfId="22" priority="11" operator="equal">
      <formula>"Catastrófico"</formula>
    </cfRule>
    <cfRule type="cellIs" dxfId="21" priority="12" operator="equal">
      <formula>"Mayor"</formula>
    </cfRule>
    <cfRule type="cellIs" dxfId="20" priority="13" operator="equal">
      <formula>"Moderado"</formula>
    </cfRule>
    <cfRule type="cellIs" dxfId="19" priority="14" operator="equal">
      <formula>"Menor"</formula>
    </cfRule>
    <cfRule type="cellIs" dxfId="18" priority="15" operator="equal">
      <formula>"Leve"</formula>
    </cfRule>
  </conditionalFormatting>
  <conditionalFormatting sqref="AN67:AN72">
    <cfRule type="cellIs" dxfId="17" priority="7" operator="equal">
      <formula>"Extremo"</formula>
    </cfRule>
    <cfRule type="cellIs" dxfId="16" priority="8" operator="equal">
      <formula>"Alto"</formula>
    </cfRule>
    <cfRule type="cellIs" dxfId="15" priority="9" operator="equal">
      <formula>"Moderado"</formula>
    </cfRule>
    <cfRule type="cellIs" dxfId="14" priority="10" operator="equal">
      <formula>"Bajo"</formula>
    </cfRule>
  </conditionalFormatting>
  <conditionalFormatting sqref="V13:V72">
    <cfRule type="containsText" dxfId="13" priority="6" operator="containsText" text="❌">
      <formula>NOT(ISERROR(SEARCH("❌",V13)))</formula>
    </cfRule>
  </conditionalFormatting>
  <conditionalFormatting sqref="S55">
    <cfRule type="cellIs" dxfId="12" priority="1" operator="equal">
      <formula>"Muy Alta"</formula>
    </cfRule>
    <cfRule type="cellIs" dxfId="11" priority="2" operator="equal">
      <formula>"Alta"</formula>
    </cfRule>
    <cfRule type="cellIs" dxfId="10" priority="3" operator="equal">
      <formula>"Media"</formula>
    </cfRule>
    <cfRule type="cellIs" dxfId="9" priority="4" operator="equal">
      <formula>"Baja"</formula>
    </cfRule>
    <cfRule type="cellIs" dxfId="8"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&amp;LAvenida Calle 26 No. 69-76,Edificio Elemento ,   Torre Aire , Piso 3, CP-111071
PBX:(+57) 601-3779555 - Información: Línea 195
Sede Operativa - Atención al Ciudadano: Calle 22D No. 120-40 
www.umv.gov.co&amp;CDESI-FM-018
Página &amp;P de &amp;N</oddFooter>
  </headerFooter>
  <rowBreaks count="2" manualBreakCount="2">
    <brk id="24" max="40" man="1"/>
    <brk id="30" max="37" man="1"/>
  </rowBreaks>
  <colBreaks count="1" manualBreakCount="1">
    <brk id="26" max="23" man="1"/>
  </colBreaks>
  <drawing r:id="rId2"/>
  <extLst>
    <ext xmlns:x14="http://schemas.microsoft.com/office/spreadsheetml/2009/9/main" uri="{CCE6A557-97BC-4b89-ADB6-D9C93CAAB3DF}">
      <x14:dataValidations xmlns:xm="http://schemas.microsoft.com/office/excel/2006/main" disablePrompts="1" count="16">
        <x14:dataValidation type="list" allowBlank="1" showInputMessage="1" showErrorMessage="1" xr:uid="{00000000-0002-0000-0800-000000000000}">
          <x14:formula1>
            <xm:f>Listas!$H$14:$H$18</xm:f>
          </x14:formula1>
          <xm:sqref>Q13:Q72</xm:sqref>
        </x14:dataValidation>
        <x14:dataValidation type="list" allowBlank="1" showInputMessage="1" showErrorMessage="1" xr:uid="{00000000-0002-0000-0800-000001000000}">
          <x14:formula1>
            <xm:f>Listas!$H$8:$H$12</xm:f>
          </x14:formula1>
          <xm:sqref>P13:P72</xm:sqref>
        </x14:dataValidation>
        <x14:dataValidation type="list" allowBlank="1" showInputMessage="1" showErrorMessage="1" xr:uid="{00000000-0002-0000-0800-000002000000}">
          <x14:formula1>
            <xm:f>Intructivo!$C$300:$C$316</xm:f>
          </x14:formula1>
          <xm:sqref>C6:Z6</xm:sqref>
        </x14:dataValidation>
        <x14:dataValidation type="list" allowBlank="1" showInputMessage="1" showErrorMessage="1" xr:uid="{00000000-0002-0000-0800-000003000000}">
          <x14:formula1>
            <xm:f>Listas!$F$8:$F$9</xm:f>
          </x14:formula1>
          <xm:sqref>K13:K72</xm:sqref>
        </x14:dataValidation>
        <x14:dataValidation type="list" allowBlank="1" showInputMessage="1" showErrorMessage="1" xr:uid="{00000000-0002-0000-0800-000004000000}">
          <x14:formula1>
            <xm:f>Listas!$B$20:$B$22</xm:f>
          </x14:formula1>
          <xm:sqref>F13:F72</xm:sqref>
        </x14:dataValidation>
        <x14:dataValidation type="custom" allowBlank="1" showInputMessage="1" showErrorMessage="1" error="Recuerde que las acciones se generan bajo la medida de mitigar el riesgo" xr:uid="{00000000-0002-0000-0800-000005000000}">
          <x14:formula1>
            <xm:f>IF(OR(#REF!=Listas!$B$2,#REF!=Listas!$B$3,#REF!=Listas!$B$4),ISBLANK(#REF!),ISTEXT(#REF!))</xm:f>
          </x14:formula1>
          <xm:sqref>AT19:AV19 AT67:AV67 AT61:AV61 AT55:AV55 AT49:AV49 AT43:AV43 AT37:AV37 AT31:AV31 AT25:AV25</xm:sqref>
        </x14:dataValidation>
        <x14:dataValidation type="list" allowBlank="1" showInputMessage="1" showErrorMessage="1" xr:uid="{00000000-0002-0000-0800-000006000000}">
          <x14:formula1>
            <xm:f>'Tabla Impacto'!$F$211:$F$222</xm:f>
          </x14:formula1>
          <xm:sqref>U13:U72</xm:sqref>
        </x14:dataValidation>
        <x14:dataValidation type="list" allowBlank="1" showInputMessage="1" showErrorMessage="1" xr:uid="{00000000-0002-0000-0800-000007000000}">
          <x14:formula1>
            <xm:f>Listas!$B$2:$B$5</xm:f>
          </x14:formula1>
          <xm:sqref>AO13:AO72</xm:sqref>
        </x14:dataValidation>
        <x14:dataValidation type="list" allowBlank="1" showInputMessage="1" showErrorMessage="1" xr:uid="{00000000-0002-0000-0800-000008000000}">
          <x14:formula1>
            <xm:f>Listas!$E$2:$E$4</xm:f>
          </x14:formula1>
          <xm:sqref>B13:B72</xm:sqref>
        </x14:dataValidation>
        <x14:dataValidation type="list" allowBlank="1" showInputMessage="1" showErrorMessage="1" xr:uid="{00000000-0002-0000-0800-000009000000}">
          <x14:formula1>
            <xm:f>'Tabla Valoración controles'!$D$13:$D$14</xm:f>
          </x14:formula1>
          <xm:sqref>AH13:AH72</xm:sqref>
        </x14:dataValidation>
        <x14:dataValidation type="list" allowBlank="1" showInputMessage="1" showErrorMessage="1" xr:uid="{00000000-0002-0000-0800-00000A000000}">
          <x14:formula1>
            <xm:f>'Tabla Valoración controles'!$D$11:$D$12</xm:f>
          </x14:formula1>
          <xm:sqref>AG13:AG72</xm:sqref>
        </x14:dataValidation>
        <x14:dataValidation type="list" allowBlank="1" showInputMessage="1" showErrorMessage="1" xr:uid="{00000000-0002-0000-0800-00000B000000}">
          <x14:formula1>
            <xm:f>'Tabla Valoración controles'!$D$9:$D$10</xm:f>
          </x14:formula1>
          <xm:sqref>AF13:AF72</xm:sqref>
        </x14:dataValidation>
        <x14:dataValidation type="list" allowBlank="1" showInputMessage="1" showErrorMessage="1" xr:uid="{00000000-0002-0000-0800-00000C000000}">
          <x14:formula1>
            <xm:f>'Tabla Valoración controles'!$D$7:$D$8</xm:f>
          </x14:formula1>
          <xm:sqref>AD13:AD72</xm:sqref>
        </x14:dataValidation>
        <x14:dataValidation type="list" allowBlank="1" showInputMessage="1" showErrorMessage="1" xr:uid="{00000000-0002-0000-0800-00000D000000}">
          <x14:formula1>
            <xm:f>'Tabla Valoración controles'!$D$4:$D$6</xm:f>
          </x14:formula1>
          <xm:sqref>AC13:AC72</xm:sqref>
        </x14:dataValidation>
        <x14:dataValidation type="list" allowBlank="1" showInputMessage="1" showErrorMessage="1" xr:uid="{00000000-0002-0000-0800-00000E000000}">
          <x14:formula1>
            <xm:f>Amenazas!$C$2:$C$11</xm:f>
          </x14:formula1>
          <xm:sqref>G13:G72</xm:sqref>
        </x14:dataValidation>
        <x14:dataValidation type="list" allowBlank="1" showInputMessage="1" showErrorMessage="1" xr:uid="{00000000-0002-0000-0800-00000F000000}">
          <x14:formula1>
            <xm:f>Listas!$B$25:$B$32</xm:f>
          </x14:formula1>
          <xm:sqref>I13:I72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9" ma:contentTypeDescription="Crear nuevo documento." ma:contentTypeScope="" ma:versionID="1546d84508d0a19fa9f2decf4348aac9">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54bed18be0c869b59340f686d3cdf95e"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2.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3.xml><?xml version="1.0" encoding="utf-8"?>
<ds:datastoreItem xmlns:ds="http://schemas.openxmlformats.org/officeDocument/2006/customXml" ds:itemID="{28F9D396-168A-421B-BF9D-116A92C77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Intructivo</vt:lpstr>
      <vt:lpstr>Revisión DOFA</vt:lpstr>
      <vt:lpstr>Listas</vt:lpstr>
      <vt:lpstr>Riesgos de Gestión</vt:lpstr>
      <vt:lpstr>Matriz Calor Inherente</vt:lpstr>
      <vt:lpstr>Matriz Calor Residual</vt:lpstr>
      <vt:lpstr>Riesgos de Corrupción</vt:lpstr>
      <vt:lpstr>Impacto Corrupción </vt:lpstr>
      <vt:lpstr>Riesgos de Seguridad</vt:lpstr>
      <vt:lpstr>Tabla probabilidad</vt:lpstr>
      <vt:lpstr>Tabla Impacto</vt:lpstr>
      <vt:lpstr>Tipo de riesgos</vt:lpstr>
      <vt:lpstr>Amenazas</vt:lpstr>
      <vt:lpstr>Ejemplos de riesgos</vt:lpstr>
      <vt:lpstr>Tabla Valoración controles</vt:lpstr>
      <vt:lpstr>Hoja1</vt:lpstr>
      <vt:lpstr>'Impacto Corrupción '!Área_de_impresión</vt:lpstr>
      <vt:lpstr>'Riesgos de Corrupción'!Área_de_impresión</vt:lpstr>
      <vt:lpstr>'Riesgos de Gestión'!Área_de_impresión</vt:lpstr>
      <vt:lpstr>'Riesgos de Seguridad'!Área_de_impresión</vt:lpstr>
      <vt:lpstr>'Riesgos de Corrupción'!Títulos_a_imprimir</vt:lpstr>
      <vt:lpstr>'Riesgos de Gestión'!Títulos_a_imprimir</vt:lpstr>
      <vt:lpstr>'Riesgos de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maria natalia norato mora</cp:lastModifiedBy>
  <cp:revision/>
  <cp:lastPrinted>2022-11-28T21:48:11Z</cp:lastPrinted>
  <dcterms:created xsi:type="dcterms:W3CDTF">2020-03-24T23:12:47Z</dcterms:created>
  <dcterms:modified xsi:type="dcterms:W3CDTF">2023-01-31T02:05:08Z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