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palir\Downloads\"/>
    </mc:Choice>
  </mc:AlternateContent>
  <bookViews>
    <workbookView xWindow="0" yWindow="0" windowWidth="23040" windowHeight="8616" tabRatio="933" firstSheet="3" activeTab="3"/>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72" i="32" l="1"/>
  <c r="AB72" i="32"/>
  <c r="AI72" i="32" s="1"/>
  <c r="V72" i="32"/>
  <c r="AE71" i="32"/>
  <c r="AB71" i="32"/>
  <c r="V71" i="32"/>
  <c r="AE70" i="32"/>
  <c r="AB70" i="32"/>
  <c r="AM71" i="32" s="1"/>
  <c r="AL71" i="32" s="1"/>
  <c r="V70" i="32"/>
  <c r="AE69" i="32"/>
  <c r="AB69" i="32"/>
  <c r="V69" i="32"/>
  <c r="AE68" i="32"/>
  <c r="AB68" i="32"/>
  <c r="V68" i="32"/>
  <c r="AE67" i="32"/>
  <c r="AB67" i="32"/>
  <c r="T67" i="32"/>
  <c r="S67" i="32"/>
  <c r="AE66" i="32"/>
  <c r="AB66" i="32"/>
  <c r="V66" i="32"/>
  <c r="AE65" i="32"/>
  <c r="AB65" i="32"/>
  <c r="V65" i="32"/>
  <c r="AE64" i="32"/>
  <c r="AB64" i="32"/>
  <c r="V64" i="32"/>
  <c r="AE63" i="32"/>
  <c r="AB63" i="32"/>
  <c r="V63" i="32"/>
  <c r="AE62" i="32"/>
  <c r="AB62" i="32"/>
  <c r="V62" i="32"/>
  <c r="AE61" i="32"/>
  <c r="AB61" i="32"/>
  <c r="S61" i="32"/>
  <c r="AE60" i="32"/>
  <c r="AB60" i="32"/>
  <c r="V60" i="32"/>
  <c r="AE59" i="32"/>
  <c r="AB59" i="32"/>
  <c r="V59" i="32"/>
  <c r="AE58" i="32"/>
  <c r="AB58" i="32"/>
  <c r="V58" i="32"/>
  <c r="AE57" i="32"/>
  <c r="AB57" i="32"/>
  <c r="AM58" i="32" s="1"/>
  <c r="AL58" i="32" s="1"/>
  <c r="V57" i="32"/>
  <c r="AE56" i="32"/>
  <c r="AB56" i="32"/>
  <c r="V56" i="32"/>
  <c r="AE55" i="32"/>
  <c r="AB55" i="32"/>
  <c r="AM55" i="32" s="1"/>
  <c r="AL55" i="32" s="1"/>
  <c r="S55" i="32"/>
  <c r="AE54" i="32"/>
  <c r="AB54" i="32"/>
  <c r="V54" i="32"/>
  <c r="AE53" i="32"/>
  <c r="AB53" i="32"/>
  <c r="AM54" i="32" s="1"/>
  <c r="AL54" i="32" s="1"/>
  <c r="V53" i="32"/>
  <c r="AE52" i="32"/>
  <c r="AB52" i="32"/>
  <c r="V52" i="32"/>
  <c r="AE51" i="32"/>
  <c r="AB51" i="32"/>
  <c r="V51" i="32"/>
  <c r="AE50" i="32"/>
  <c r="AB50" i="32"/>
  <c r="V50" i="32"/>
  <c r="AM49" i="32"/>
  <c r="AL49" i="32" s="1"/>
  <c r="AE49" i="32"/>
  <c r="AB49" i="32"/>
  <c r="S49" i="32"/>
  <c r="T49" i="32" s="1"/>
  <c r="AE48" i="32"/>
  <c r="AB48" i="32"/>
  <c r="V48" i="32"/>
  <c r="AM47" i="32"/>
  <c r="AL47" i="32" s="1"/>
  <c r="AE47" i="32"/>
  <c r="AB47" i="32"/>
  <c r="AI48" i="32" s="1"/>
  <c r="V47" i="32"/>
  <c r="AE46" i="32"/>
  <c r="AB46" i="32"/>
  <c r="V46" i="32"/>
  <c r="AE45" i="32"/>
  <c r="AB45" i="32"/>
  <c r="AM46" i="32" s="1"/>
  <c r="AL46" i="32" s="1"/>
  <c r="V45" i="32"/>
  <c r="AE44" i="32"/>
  <c r="AB44" i="32"/>
  <c r="V44" i="32"/>
  <c r="AE43" i="32"/>
  <c r="AB43" i="32"/>
  <c r="AI43" i="32" s="1"/>
  <c r="AJ43" i="32" s="1"/>
  <c r="S43" i="32"/>
  <c r="AE42" i="32"/>
  <c r="AB42" i="32"/>
  <c r="V42" i="32"/>
  <c r="AE41" i="32"/>
  <c r="AB41" i="32"/>
  <c r="V41" i="32"/>
  <c r="AE40" i="32"/>
  <c r="AB40" i="32"/>
  <c r="V40" i="32"/>
  <c r="AE39" i="32"/>
  <c r="AB39" i="32"/>
  <c r="V39" i="32"/>
  <c r="AE38" i="32"/>
  <c r="AB38" i="32"/>
  <c r="V38" i="32"/>
  <c r="AE37" i="32"/>
  <c r="AB37" i="32"/>
  <c r="AI37" i="32" s="1"/>
  <c r="S37" i="32"/>
  <c r="T37" i="32" s="1"/>
  <c r="AE36" i="32"/>
  <c r="AB36" i="32"/>
  <c r="V36" i="32"/>
  <c r="AE35" i="32"/>
  <c r="AB35" i="32"/>
  <c r="AI36" i="32" s="1"/>
  <c r="AK36" i="32" s="1"/>
  <c r="V35" i="32"/>
  <c r="AE34" i="32"/>
  <c r="AB34" i="32"/>
  <c r="V34" i="32"/>
  <c r="AE33" i="32"/>
  <c r="AB33" i="32"/>
  <c r="V33" i="32"/>
  <c r="AE32" i="32"/>
  <c r="AB32" i="32"/>
  <c r="V32" i="32"/>
  <c r="AE31" i="32"/>
  <c r="AB31" i="32"/>
  <c r="AM31" i="32" s="1"/>
  <c r="AL31" i="32" s="1"/>
  <c r="S31" i="32"/>
  <c r="AE30" i="32"/>
  <c r="AB30" i="32"/>
  <c r="V30" i="32"/>
  <c r="AE29" i="32"/>
  <c r="AB29" i="32"/>
  <c r="V29" i="32"/>
  <c r="AE28" i="32"/>
  <c r="AB28" i="32"/>
  <c r="V28" i="32"/>
  <c r="AE27" i="32"/>
  <c r="AB27" i="32"/>
  <c r="V27" i="32"/>
  <c r="AE26" i="32"/>
  <c r="AB26" i="32"/>
  <c r="V26" i="32"/>
  <c r="AE25" i="32"/>
  <c r="AB25" i="32"/>
  <c r="S25" i="32"/>
  <c r="AE24" i="32"/>
  <c r="AB24" i="32"/>
  <c r="V24" i="32"/>
  <c r="AE23" i="32"/>
  <c r="AB23" i="32"/>
  <c r="V23" i="32"/>
  <c r="AE22" i="32"/>
  <c r="AB22" i="32"/>
  <c r="V22" i="32"/>
  <c r="AE21" i="32"/>
  <c r="AB21" i="32"/>
  <c r="V21" i="32"/>
  <c r="AE20" i="32"/>
  <c r="AB20" i="32"/>
  <c r="V20" i="32"/>
  <c r="AE19" i="32"/>
  <c r="AB19" i="32"/>
  <c r="AM19" i="32" s="1"/>
  <c r="AL19" i="32" s="1"/>
  <c r="S19" i="32"/>
  <c r="T19" i="32" s="1"/>
  <c r="AE18" i="32"/>
  <c r="AB18" i="32"/>
  <c r="V18" i="32"/>
  <c r="AE17" i="32"/>
  <c r="AB17" i="32"/>
  <c r="AM18" i="32" s="1"/>
  <c r="AL18" i="32" s="1"/>
  <c r="V17" i="32"/>
  <c r="AE16" i="32"/>
  <c r="AB16" i="32"/>
  <c r="V16" i="32"/>
  <c r="AE15" i="32"/>
  <c r="AB15" i="32"/>
  <c r="V15" i="32"/>
  <c r="AE14" i="32"/>
  <c r="AB14" i="32"/>
  <c r="V14" i="32"/>
  <c r="AE13" i="32"/>
  <c r="AB13" i="32"/>
  <c r="S13" i="32"/>
  <c r="AA72" i="31"/>
  <c r="X72" i="31"/>
  <c r="R72" i="31"/>
  <c r="AA71" i="31"/>
  <c r="X71" i="31"/>
  <c r="R71" i="31"/>
  <c r="AA70" i="31"/>
  <c r="X70" i="31"/>
  <c r="R70" i="31"/>
  <c r="AA69" i="31"/>
  <c r="X69" i="31"/>
  <c r="AI70" i="31" s="1"/>
  <c r="AH70" i="31" s="1"/>
  <c r="R69" i="31"/>
  <c r="AA68" i="31"/>
  <c r="X68" i="31"/>
  <c r="AI69" i="31" s="1"/>
  <c r="AH69" i="31" s="1"/>
  <c r="R68" i="31"/>
  <c r="AA67" i="31"/>
  <c r="X67" i="31"/>
  <c r="O67" i="31"/>
  <c r="P67" i="31" s="1"/>
  <c r="AA66" i="31"/>
  <c r="X66" i="31"/>
  <c r="R66" i="31"/>
  <c r="AA65" i="31"/>
  <c r="X65" i="31"/>
  <c r="AE66" i="31" s="1"/>
  <c r="AG66" i="31" s="1"/>
  <c r="R65" i="31"/>
  <c r="AA64" i="31"/>
  <c r="X64" i="31"/>
  <c r="R64" i="31"/>
  <c r="AA63" i="31"/>
  <c r="X63" i="31"/>
  <c r="AE64" i="31" s="1"/>
  <c r="R63" i="31"/>
  <c r="AA62" i="31"/>
  <c r="X62" i="31"/>
  <c r="R62" i="31"/>
  <c r="AA61" i="31"/>
  <c r="X61" i="31"/>
  <c r="O61" i="31"/>
  <c r="P61" i="31" s="1"/>
  <c r="AA60" i="31"/>
  <c r="X60" i="31"/>
  <c r="R60" i="31"/>
  <c r="AA59" i="31"/>
  <c r="X59" i="31"/>
  <c r="R59" i="31"/>
  <c r="AA58" i="31"/>
  <c r="X58" i="31"/>
  <c r="R58" i="31"/>
  <c r="AA57" i="31"/>
  <c r="X57" i="31"/>
  <c r="R57" i="31"/>
  <c r="AA56" i="31"/>
  <c r="X56" i="31"/>
  <c r="R56" i="31"/>
  <c r="AA55" i="31"/>
  <c r="X55" i="31"/>
  <c r="O55" i="31"/>
  <c r="AA54" i="31"/>
  <c r="X54" i="31"/>
  <c r="R54" i="31"/>
  <c r="AA53" i="31"/>
  <c r="X53" i="31"/>
  <c r="R53" i="31"/>
  <c r="AA52" i="31"/>
  <c r="X52" i="31"/>
  <c r="R52" i="31"/>
  <c r="AA51" i="31"/>
  <c r="X51" i="31"/>
  <c r="AI52" i="31" s="1"/>
  <c r="AH52" i="31" s="1"/>
  <c r="R51" i="31"/>
  <c r="AA50" i="31"/>
  <c r="X50" i="31"/>
  <c r="R50" i="31"/>
  <c r="AA49" i="31"/>
  <c r="X49" i="31"/>
  <c r="AI49" i="31" s="1"/>
  <c r="AH49" i="31" s="1"/>
  <c r="O49" i="31"/>
  <c r="P49" i="31" s="1"/>
  <c r="AA48" i="31"/>
  <c r="X48" i="31"/>
  <c r="R48" i="31"/>
  <c r="AA47" i="31"/>
  <c r="X47" i="31"/>
  <c r="AE48" i="31" s="1"/>
  <c r="AF48" i="31" s="1"/>
  <c r="R47" i="31"/>
  <c r="AA46" i="31"/>
  <c r="X46" i="31"/>
  <c r="R46" i="31"/>
  <c r="AA45" i="31"/>
  <c r="X45" i="31"/>
  <c r="R45" i="31"/>
  <c r="AA44" i="31"/>
  <c r="X44" i="31"/>
  <c r="AI45" i="31" s="1"/>
  <c r="AH45" i="31" s="1"/>
  <c r="R44" i="31"/>
  <c r="AA43" i="31"/>
  <c r="X43" i="31"/>
  <c r="AI43" i="31" s="1"/>
  <c r="AH43" i="31" s="1"/>
  <c r="O43" i="31"/>
  <c r="P43" i="31" s="1"/>
  <c r="AA42" i="31"/>
  <c r="X42" i="31"/>
  <c r="R42" i="31"/>
  <c r="AA41" i="31"/>
  <c r="X41" i="31"/>
  <c r="R41" i="31"/>
  <c r="AA40" i="31"/>
  <c r="X40" i="31"/>
  <c r="R40" i="31"/>
  <c r="AA39" i="31"/>
  <c r="X39" i="31"/>
  <c r="R39" i="31"/>
  <c r="AA38" i="31"/>
  <c r="X38" i="31"/>
  <c r="R38" i="31"/>
  <c r="AA37" i="31"/>
  <c r="X37" i="31"/>
  <c r="AI38" i="31" s="1"/>
  <c r="AH38" i="31" s="1"/>
  <c r="O37" i="31"/>
  <c r="AA36" i="31"/>
  <c r="X36" i="31"/>
  <c r="R36" i="31"/>
  <c r="AA35" i="31"/>
  <c r="X35" i="31"/>
  <c r="R35" i="31"/>
  <c r="AA34" i="31"/>
  <c r="X34" i="31"/>
  <c r="R34" i="31"/>
  <c r="AA33" i="31"/>
  <c r="X33" i="31"/>
  <c r="R33" i="31"/>
  <c r="AA32" i="31"/>
  <c r="X32" i="31"/>
  <c r="R32" i="31"/>
  <c r="AA31" i="31"/>
  <c r="X31" i="31"/>
  <c r="AE31" i="31" s="1"/>
  <c r="O31" i="31"/>
  <c r="P31" i="31" s="1"/>
  <c r="AA30" i="31"/>
  <c r="X30" i="31"/>
  <c r="R30" i="31"/>
  <c r="AA29" i="31"/>
  <c r="X29" i="31"/>
  <c r="R29" i="31"/>
  <c r="AA28" i="31"/>
  <c r="X28" i="31"/>
  <c r="R28" i="31"/>
  <c r="AA27" i="31"/>
  <c r="X27" i="31"/>
  <c r="R27" i="31"/>
  <c r="AA26" i="31"/>
  <c r="X26" i="31"/>
  <c r="R26" i="31"/>
  <c r="AA25" i="31"/>
  <c r="X25" i="31"/>
  <c r="O25" i="31"/>
  <c r="P25" i="31" s="1"/>
  <c r="AA24" i="31"/>
  <c r="X24" i="31"/>
  <c r="R24" i="31"/>
  <c r="AA23" i="31"/>
  <c r="X23" i="31"/>
  <c r="R23" i="31"/>
  <c r="AA22" i="31"/>
  <c r="X22" i="31"/>
  <c r="R22" i="31"/>
  <c r="AA21" i="31"/>
  <c r="X21" i="31"/>
  <c r="R21" i="31"/>
  <c r="AA20" i="31"/>
  <c r="X20" i="31"/>
  <c r="R20" i="31"/>
  <c r="AA19" i="31"/>
  <c r="X19" i="31"/>
  <c r="AI19" i="31" s="1"/>
  <c r="AH19" i="31" s="1"/>
  <c r="O19" i="31"/>
  <c r="P19" i="31" s="1"/>
  <c r="AA18" i="31"/>
  <c r="X18" i="31"/>
  <c r="R18" i="31"/>
  <c r="AA17" i="31"/>
  <c r="X17" i="31"/>
  <c r="R17" i="31"/>
  <c r="AA16" i="31"/>
  <c r="X16" i="31"/>
  <c r="R16" i="31"/>
  <c r="AA15" i="31"/>
  <c r="X15" i="31"/>
  <c r="R15" i="31"/>
  <c r="AA14" i="31"/>
  <c r="X14" i="31"/>
  <c r="R14" i="31"/>
  <c r="AA13" i="31"/>
  <c r="X13" i="31"/>
  <c r="O13" i="31"/>
  <c r="P13" i="31" s="1"/>
  <c r="AE33" i="31" l="1"/>
  <c r="AG33" i="31" s="1"/>
  <c r="AE72" i="31"/>
  <c r="AM69" i="32"/>
  <c r="AL69" i="32" s="1"/>
  <c r="AI27" i="31"/>
  <c r="AH27" i="31" s="1"/>
  <c r="AE65" i="31"/>
  <c r="AF65" i="31" s="1"/>
  <c r="AI38" i="32"/>
  <c r="AE68" i="31"/>
  <c r="AF68" i="31" s="1"/>
  <c r="AM29" i="32"/>
  <c r="AL29" i="32" s="1"/>
  <c r="AM45" i="32"/>
  <c r="AL45" i="32" s="1"/>
  <c r="AM48" i="32"/>
  <c r="AL48" i="32" s="1"/>
  <c r="AE58" i="31"/>
  <c r="AM24" i="32"/>
  <c r="AL24" i="32" s="1"/>
  <c r="AE20" i="31"/>
  <c r="AF20" i="31" s="1"/>
  <c r="AE24" i="31"/>
  <c r="AE67" i="31"/>
  <c r="AF67" i="31" s="1"/>
  <c r="AI35" i="32"/>
  <c r="AK35" i="32" s="1"/>
  <c r="AI63" i="32"/>
  <c r="AK63" i="32" s="1"/>
  <c r="AE29" i="31"/>
  <c r="AG29" i="31" s="1"/>
  <c r="AI42" i="31"/>
  <c r="AH42" i="31" s="1"/>
  <c r="AE30" i="31"/>
  <c r="AG30" i="31" s="1"/>
  <c r="AI36" i="31"/>
  <c r="AH36" i="31" s="1"/>
  <c r="AE41" i="31"/>
  <c r="AF41" i="31" s="1"/>
  <c r="AI48" i="31"/>
  <c r="AH48" i="31" s="1"/>
  <c r="AJ48" i="31" s="1"/>
  <c r="AE51" i="31"/>
  <c r="AF51" i="31" s="1"/>
  <c r="AE52" i="31"/>
  <c r="AG52" i="31" s="1"/>
  <c r="AI57" i="31"/>
  <c r="AH57" i="31" s="1"/>
  <c r="AI58" i="31"/>
  <c r="AH58" i="31" s="1"/>
  <c r="AI63" i="31"/>
  <c r="AH63" i="31" s="1"/>
  <c r="AI64" i="31"/>
  <c r="AH64" i="31" s="1"/>
  <c r="AM17" i="32"/>
  <c r="AL17" i="32" s="1"/>
  <c r="AM28" i="32"/>
  <c r="AL28" i="32" s="1"/>
  <c r="T31" i="32"/>
  <c r="AI39" i="32"/>
  <c r="AK39" i="32" s="1"/>
  <c r="AI53" i="32"/>
  <c r="AK53" i="32" s="1"/>
  <c r="AI54" i="32"/>
  <c r="AK54" i="32" s="1"/>
  <c r="AM62" i="32"/>
  <c r="AL62" i="32" s="1"/>
  <c r="AM63" i="32"/>
  <c r="AL63" i="32" s="1"/>
  <c r="AI16" i="31"/>
  <c r="AH16" i="31" s="1"/>
  <c r="AI22" i="31"/>
  <c r="AH22" i="31" s="1"/>
  <c r="AI28" i="31"/>
  <c r="AH28" i="31" s="1"/>
  <c r="AI31" i="31"/>
  <c r="AH31" i="31" s="1"/>
  <c r="AE35" i="31"/>
  <c r="AG35" i="31" s="1"/>
  <c r="AI40" i="31"/>
  <c r="AH40" i="31" s="1"/>
  <c r="AI41" i="31"/>
  <c r="AH41" i="31" s="1"/>
  <c r="AE46" i="31"/>
  <c r="AE62" i="31"/>
  <c r="AG67" i="31"/>
  <c r="AI15" i="32"/>
  <c r="AK15" i="32" s="1"/>
  <c r="AM22" i="32"/>
  <c r="AL22" i="32" s="1"/>
  <c r="AM27" i="32"/>
  <c r="AL27" i="32" s="1"/>
  <c r="AM34" i="32"/>
  <c r="AL34" i="32" s="1"/>
  <c r="AM36" i="32"/>
  <c r="AL36" i="32" s="1"/>
  <c r="AM52" i="32"/>
  <c r="AL52" i="32" s="1"/>
  <c r="AI60" i="32"/>
  <c r="AJ60" i="32" s="1"/>
  <c r="AM66" i="32"/>
  <c r="AL66" i="32" s="1"/>
  <c r="AI68" i="32"/>
  <c r="AJ68" i="32" s="1"/>
  <c r="AN68" i="32" s="1"/>
  <c r="AE18" i="31"/>
  <c r="AG18" i="31" s="1"/>
  <c r="AI26" i="31"/>
  <c r="AH26" i="31" s="1"/>
  <c r="AI34" i="31"/>
  <c r="AH34" i="31" s="1"/>
  <c r="AI47" i="31"/>
  <c r="AH47" i="31" s="1"/>
  <c r="AE49" i="31"/>
  <c r="AG49" i="31" s="1"/>
  <c r="AI60" i="31"/>
  <c r="AH60" i="31" s="1"/>
  <c r="AI67" i="31"/>
  <c r="AH67" i="31" s="1"/>
  <c r="AJ67" i="31" s="1"/>
  <c r="AE69" i="31"/>
  <c r="AG69" i="31" s="1"/>
  <c r="AM15" i="32"/>
  <c r="AL15" i="32" s="1"/>
  <c r="AM26" i="32"/>
  <c r="AL26" i="32" s="1"/>
  <c r="AM30" i="32"/>
  <c r="AL30" i="32" s="1"/>
  <c r="AI33" i="32"/>
  <c r="AK33" i="32" s="1"/>
  <c r="AM41" i="32"/>
  <c r="AL41" i="32" s="1"/>
  <c r="AI46" i="32"/>
  <c r="AJ46" i="32" s="1"/>
  <c r="AN46" i="32" s="1"/>
  <c r="AI51" i="32"/>
  <c r="AJ51" i="32" s="1"/>
  <c r="AI55" i="32"/>
  <c r="AK55" i="32" s="1"/>
  <c r="AI65" i="32"/>
  <c r="AJ65" i="32" s="1"/>
  <c r="AM68" i="32"/>
  <c r="AL68" i="32" s="1"/>
  <c r="AM72" i="32"/>
  <c r="AL72" i="32" s="1"/>
  <c r="AG64" i="31"/>
  <c r="AF64" i="31"/>
  <c r="AJ64" i="31" s="1"/>
  <c r="AG46" i="31"/>
  <c r="AF46" i="31"/>
  <c r="AE50" i="31"/>
  <c r="AE60" i="31"/>
  <c r="AI21" i="31"/>
  <c r="AH21" i="31" s="1"/>
  <c r="AI23" i="31"/>
  <c r="AH23" i="31" s="1"/>
  <c r="AI24" i="31"/>
  <c r="AH24" i="31" s="1"/>
  <c r="AI30" i="31"/>
  <c r="AH30" i="31" s="1"/>
  <c r="AE34" i="31"/>
  <c r="AF34" i="31" s="1"/>
  <c r="AE38" i="31"/>
  <c r="AG38" i="31" s="1"/>
  <c r="AE42" i="31"/>
  <c r="AG42" i="31" s="1"/>
  <c r="AE45" i="31"/>
  <c r="AG45" i="31" s="1"/>
  <c r="AI53" i="31"/>
  <c r="AH53" i="31" s="1"/>
  <c r="AI61" i="31"/>
  <c r="AH61" i="31" s="1"/>
  <c r="AE63" i="31"/>
  <c r="AF49" i="31"/>
  <c r="AJ49" i="31" s="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G28" i="31" s="1"/>
  <c r="AE55" i="31"/>
  <c r="AG55" i="31" s="1"/>
  <c r="AE59" i="31"/>
  <c r="AG59" i="31" s="1"/>
  <c r="AE21" i="31"/>
  <c r="AG21" i="31" s="1"/>
  <c r="AE27" i="31"/>
  <c r="AG27" i="31" s="1"/>
  <c r="AI35" i="31"/>
  <c r="AH35" i="31" s="1"/>
  <c r="AI39" i="31"/>
  <c r="AH39" i="31" s="1"/>
  <c r="AI44" i="31"/>
  <c r="AH44" i="31" s="1"/>
  <c r="AE61" i="31"/>
  <c r="AF29" i="31"/>
  <c r="AK68" i="32"/>
  <c r="AK51" i="32"/>
  <c r="AK48" i="32"/>
  <c r="AJ48" i="32"/>
  <c r="AN48" i="32" s="1"/>
  <c r="AK38" i="32"/>
  <c r="AJ38" i="32"/>
  <c r="AI71" i="32"/>
  <c r="AI17" i="32"/>
  <c r="AI18" i="32"/>
  <c r="AI34" i="32"/>
  <c r="AJ34" i="32" s="1"/>
  <c r="AN34" i="32" s="1"/>
  <c r="AM39" i="32"/>
  <c r="AL39" i="32" s="1"/>
  <c r="AI47" i="32"/>
  <c r="AJ47" i="32" s="1"/>
  <c r="AN47" i="32" s="1"/>
  <c r="AJ54" i="32"/>
  <c r="AN54"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I57" i="32"/>
  <c r="AI22" i="32"/>
  <c r="AJ22" i="32" s="1"/>
  <c r="AI40" i="32"/>
  <c r="AK40" i="32" s="1"/>
  <c r="AM59" i="32"/>
  <c r="AL59" i="32" s="1"/>
  <c r="AM60" i="32"/>
  <c r="AL60" i="32" s="1"/>
  <c r="AM65" i="32"/>
  <c r="AL65" i="32" s="1"/>
  <c r="AM16" i="32"/>
  <c r="AL16" i="32" s="1"/>
  <c r="AI16" i="32"/>
  <c r="AK16" i="32" s="1"/>
  <c r="AM37" i="32"/>
  <c r="AL37" i="32" s="1"/>
  <c r="AM40" i="32"/>
  <c r="AL40" i="32" s="1"/>
  <c r="AI50" i="32"/>
  <c r="AK50" i="32" s="1"/>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AK46" i="32"/>
  <c r="AJ33" i="32"/>
  <c r="AK60" i="32"/>
  <c r="AK47" i="32"/>
  <c r="AJ37" i="32"/>
  <c r="AK37" i="32"/>
  <c r="AK72" i="32"/>
  <c r="AJ72" i="32"/>
  <c r="AN72" i="32" s="1"/>
  <c r="AM50" i="32"/>
  <c r="AL50" i="32" s="1"/>
  <c r="AJ53" i="32"/>
  <c r="AJ56" i="32"/>
  <c r="AM64" i="32"/>
  <c r="AL64" i="32" s="1"/>
  <c r="T25" i="32"/>
  <c r="T13" i="32"/>
  <c r="AI13" i="32" s="1"/>
  <c r="AM21" i="32"/>
  <c r="AL21" i="32" s="1"/>
  <c r="AI28" i="32"/>
  <c r="AI31" i="32"/>
  <c r="AM35" i="32"/>
  <c r="AL35" i="32" s="1"/>
  <c r="AM38" i="32"/>
  <c r="AL38" i="32" s="1"/>
  <c r="AN38" i="32" s="1"/>
  <c r="AI42" i="32"/>
  <c r="AK43" i="32"/>
  <c r="AI45" i="32"/>
  <c r="AI59" i="32"/>
  <c r="T61" i="32"/>
  <c r="AI62" i="32"/>
  <c r="AI27" i="32"/>
  <c r="AI32" i="32"/>
  <c r="AI49" i="32"/>
  <c r="AM53" i="32"/>
  <c r="AL53" i="32" s="1"/>
  <c r="AM56" i="32"/>
  <c r="AL56" i="32" s="1"/>
  <c r="AJ36" i="32"/>
  <c r="T43" i="32"/>
  <c r="AI61" i="32"/>
  <c r="AM43" i="32"/>
  <c r="AL43" i="32" s="1"/>
  <c r="AN43" i="32" s="1"/>
  <c r="AI41" i="32"/>
  <c r="AI44" i="32"/>
  <c r="AM13" i="32"/>
  <c r="AL13" i="32" s="1"/>
  <c r="AM61" i="32"/>
  <c r="AL61" i="32" s="1"/>
  <c r="AI58" i="32"/>
  <c r="AG72" i="31"/>
  <c r="AF72" i="31"/>
  <c r="AF27" i="31"/>
  <c r="AG31" i="31"/>
  <c r="AF31" i="31"/>
  <c r="AJ19" i="31"/>
  <c r="AG58" i="31"/>
  <c r="AF58" i="31"/>
  <c r="AG24" i="31"/>
  <c r="AF24" i="31"/>
  <c r="AJ24" i="31" s="1"/>
  <c r="AG41" i="31"/>
  <c r="AG62" i="31"/>
  <c r="AF62" i="31"/>
  <c r="AJ62" i="31" s="1"/>
  <c r="P37" i="31"/>
  <c r="AG20" i="31"/>
  <c r="AE22" i="31"/>
  <c r="AE25" i="31"/>
  <c r="AI29" i="31"/>
  <c r="AH29" i="31" s="1"/>
  <c r="AI32" i="31"/>
  <c r="AH32" i="31" s="1"/>
  <c r="AF35" i="31"/>
  <c r="AE36" i="31"/>
  <c r="AE39" i="31"/>
  <c r="AI46" i="31"/>
  <c r="AH46" i="31" s="1"/>
  <c r="AJ46" i="31" s="1"/>
  <c r="AG48" i="31"/>
  <c r="AE53" i="31"/>
  <c r="P55" i="31"/>
  <c r="AE56" i="31"/>
  <c r="AG65" i="31"/>
  <c r="AF66" i="31"/>
  <c r="AG68" i="31"/>
  <c r="AE70" i="31"/>
  <c r="AE23" i="31"/>
  <c r="AE26" i="31"/>
  <c r="AE40" i="31"/>
  <c r="AE43" i="31"/>
  <c r="AE54" i="31"/>
  <c r="AE57" i="31"/>
  <c r="AE71" i="31"/>
  <c r="AE13" i="31"/>
  <c r="AI17" i="31"/>
  <c r="AH17" i="31" s="1"/>
  <c r="AI20" i="31"/>
  <c r="AH20" i="31" s="1"/>
  <c r="AJ20" i="31" s="1"/>
  <c r="AI37" i="31"/>
  <c r="AH37" i="31" s="1"/>
  <c r="AE44" i="31"/>
  <c r="AI51" i="31"/>
  <c r="AH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F38" i="31" l="1"/>
  <c r="AJ38" i="31" s="1"/>
  <c r="AF55" i="31"/>
  <c r="AF18" i="31"/>
  <c r="AJ18" i="31" s="1"/>
  <c r="AJ39" i="32"/>
  <c r="AN39" i="32" s="1"/>
  <c r="AK34" i="32"/>
  <c r="AK65" i="32"/>
  <c r="AJ41" i="31"/>
  <c r="AJ31" i="31"/>
  <c r="AN36" i="32"/>
  <c r="AK23" i="32"/>
  <c r="AJ35" i="32"/>
  <c r="AF33" i="31"/>
  <c r="AJ33" i="31" s="1"/>
  <c r="AF69" i="31"/>
  <c r="AJ69" i="31" s="1"/>
  <c r="AF52" i="31"/>
  <c r="AJ52" i="31" s="1"/>
  <c r="AJ29" i="31"/>
  <c r="AN22" i="32"/>
  <c r="AJ27" i="31"/>
  <c r="AJ63" i="32"/>
  <c r="AN63" i="32" s="1"/>
  <c r="AF59" i="31"/>
  <c r="AJ59" i="31" s="1"/>
  <c r="AJ37" i="31"/>
  <c r="AN35" i="32"/>
  <c r="AJ70" i="32"/>
  <c r="AJ50" i="32"/>
  <c r="AN50" i="32" s="1"/>
  <c r="AN65" i="32"/>
  <c r="AG51" i="31"/>
  <c r="AF21" i="31"/>
  <c r="AJ21" i="31" s="1"/>
  <c r="AF28" i="31"/>
  <c r="AJ28" i="31" s="1"/>
  <c r="AF45" i="31"/>
  <c r="AJ45" i="31" s="1"/>
  <c r="AF42" i="31"/>
  <c r="AJ42" i="31" s="1"/>
  <c r="AK25" i="32"/>
  <c r="AJ15" i="32"/>
  <c r="AN15" i="32" s="1"/>
  <c r="AF30" i="31"/>
  <c r="AJ30" i="31" s="1"/>
  <c r="AJ51" i="31"/>
  <c r="AJ66" i="31"/>
  <c r="AG37" i="31"/>
  <c r="AJ58" i="31"/>
  <c r="AJ40" i="32"/>
  <c r="AJ29" i="32"/>
  <c r="AN29" i="32" s="1"/>
  <c r="AN51" i="32"/>
  <c r="AJ34" i="31"/>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4" i="31"/>
  <c r="AH14" i="31"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45" i="32"/>
  <c r="AJ45" i="32"/>
  <c r="AN45" i="32" s="1"/>
  <c r="AK61" i="32"/>
  <c r="AJ61" i="32"/>
  <c r="AN61" i="32" s="1"/>
  <c r="AN56"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K14" i="32" l="1"/>
  <c r="AJ14" i="32"/>
  <c r="AN14" i="32" s="1"/>
  <c r="AG14" i="31"/>
  <c r="AE15" i="31" s="1"/>
  <c r="AF14" i="31"/>
  <c r="AJ14" i="31" s="1"/>
  <c r="AG17" i="1"/>
  <c r="AF18" i="1"/>
  <c r="AJ18" i="1" s="1"/>
  <c r="AI15" i="1"/>
  <c r="AH15" i="1" s="1"/>
  <c r="AF13" i="1"/>
  <c r="AF14" i="1"/>
  <c r="AG14" i="1"/>
  <c r="AE15" i="1" s="1"/>
  <c r="AF15" i="1" s="1"/>
  <c r="AF16" i="1"/>
  <c r="AJ16" i="1" s="1"/>
  <c r="AG16" i="1"/>
  <c r="AJ17" i="1"/>
  <c r="AG15" i="31" l="1"/>
  <c r="AF15" i="31"/>
  <c r="AJ15" i="31" s="1"/>
  <c r="AJ15" i="1"/>
  <c r="AG15" i="1"/>
  <c r="O55" i="1" l="1"/>
  <c r="X19" i="1" l="1"/>
  <c r="X20" i="1"/>
  <c r="E24" i="22" l="1"/>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V55" i="32"/>
  <c r="W55" i="32" s="1"/>
  <c r="V19" i="32"/>
  <c r="W19" i="32" s="1"/>
  <c r="R43" i="31"/>
  <c r="S43" i="31" s="1"/>
  <c r="R37" i="31"/>
  <c r="S37" i="31" s="1"/>
  <c r="R31" i="31"/>
  <c r="S31" i="31" s="1"/>
  <c r="R13" i="31"/>
  <c r="S13" i="31" s="1"/>
  <c r="V49" i="32"/>
  <c r="W49" i="32" s="1"/>
  <c r="V31" i="32"/>
  <c r="W31" i="32" s="1"/>
  <c r="V25" i="32"/>
  <c r="W25" i="32" s="1"/>
  <c r="V13" i="32"/>
  <c r="W13" i="32" s="1"/>
  <c r="R67" i="31"/>
  <c r="S67" i="31" s="1"/>
  <c r="R25" i="31"/>
  <c r="S25" i="31" s="1"/>
  <c r="R19" i="31"/>
  <c r="S19" i="31" s="1"/>
  <c r="V67" i="32"/>
  <c r="W67" i="32" s="1"/>
  <c r="R61" i="31"/>
  <c r="S61" i="31" s="1"/>
  <c r="R55" i="31"/>
  <c r="S55" i="31" s="1"/>
  <c r="V61" i="32"/>
  <c r="W61" i="32" s="1"/>
  <c r="V43" i="32"/>
  <c r="W43" i="32" s="1"/>
  <c r="V37" i="32"/>
  <c r="W37" i="32" s="1"/>
  <c r="R49" i="31"/>
  <c r="S49" i="31" s="1"/>
  <c r="AI55" i="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X43" i="32" l="1"/>
  <c r="Y43" i="32"/>
  <c r="Y67" i="32"/>
  <c r="X67" i="32"/>
  <c r="X13" i="32"/>
  <c r="Y13" i="32"/>
  <c r="U13" i="31"/>
  <c r="T13" i="31"/>
  <c r="AI13" i="31" s="1"/>
  <c r="AH13" i="31" s="1"/>
  <c r="AJ13" i="31" s="1"/>
  <c r="Y19" i="32"/>
  <c r="X19" i="32"/>
  <c r="U61" i="31"/>
  <c r="T61" i="31"/>
  <c r="T43" i="31"/>
  <c r="U43" i="31"/>
  <c r="X61" i="32"/>
  <c r="Y61" i="32"/>
  <c r="T19" i="31"/>
  <c r="U19" i="31"/>
  <c r="X25" i="32"/>
  <c r="Y25" i="32"/>
  <c r="T31" i="31"/>
  <c r="U31" i="31"/>
  <c r="X55" i="32"/>
  <c r="Y55" i="32"/>
  <c r="X37" i="32"/>
  <c r="Y37" i="32"/>
  <c r="T67" i="31"/>
  <c r="U67" i="31"/>
  <c r="X49" i="32"/>
  <c r="Y49" i="32"/>
  <c r="T49" i="31"/>
  <c r="U49" i="31"/>
  <c r="T55" i="31"/>
  <c r="U55" i="31"/>
  <c r="U25" i="31"/>
  <c r="T25" i="31"/>
  <c r="X31" i="32"/>
  <c r="Y31" i="32"/>
  <c r="T37" i="31"/>
  <c r="U37" i="31"/>
  <c r="AH13" i="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P37" i="1" l="1"/>
  <c r="AI29" i="1"/>
  <c r="AI40" i="1"/>
  <c r="AI48" i="1"/>
  <c r="AI60" i="1"/>
  <c r="AI71" i="1"/>
  <c r="AI30" i="1"/>
  <c r="AI41" i="1"/>
  <c r="AI36" i="1"/>
  <c r="AI63" i="1"/>
  <c r="AI64" i="1"/>
  <c r="AI34" i="1"/>
  <c r="AI65" i="1"/>
  <c r="AI28" i="1"/>
  <c r="AI39" i="1"/>
  <c r="AI47" i="1"/>
  <c r="AI59" i="1"/>
  <c r="AI70" i="1"/>
  <c r="AI33" i="1"/>
  <c r="AI53" i="1"/>
  <c r="AH53" i="1" s="1"/>
  <c r="AI72" i="1"/>
  <c r="AI31" i="1"/>
  <c r="AI32"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AI19" i="1" s="1"/>
  <c r="AI20" i="1" s="1"/>
  <c r="AI21" i="1" s="1"/>
  <c r="AI22" i="1" s="1"/>
  <c r="AI23"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<sst xmlns="http://schemas.openxmlformats.org/spreadsheetml/2006/main" count="796" uniqueCount="456">
  <si>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</si>
  <si>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</si>
  <si>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</si>
  <si>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</si>
  <si>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</si>
  <si>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</si>
  <si>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</si>
  <si>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</si>
  <si>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</si>
  <si>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</si>
  <si>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</si>
  <si>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</si>
  <si>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</si>
  <si>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</si>
  <si>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</si>
  <si>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</si>
  <si>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</si>
  <si>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</si>
  <si>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</si>
  <si>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</si>
  <si>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</si>
  <si>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</si>
  <si>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</si>
  <si>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</si>
  <si>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</si>
  <si>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</si>
  <si>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</si>
  <si>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</si>
  <si>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</si>
  <si>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</si>
  <si>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</si>
  <si>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</si>
  <si>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</si>
  <si>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</si>
  <si>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</si>
  <si>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</si>
  <si>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</si>
  <si>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</si>
  <si>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</si>
  <si>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</si>
  <si>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</si>
  <si>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</si>
  <si>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</si>
  <si>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</si>
  <si>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</si>
  <si>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</si>
  <si>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</si>
  <si>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</si>
  <si>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</si>
  <si>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</si>
  <si>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</si>
  <si>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</si>
  <si>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</si>
  <si>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</si>
  <si>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</si>
  <si>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</si>
  <si>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</si>
  <si>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</si>
  <si>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</si>
  <si>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</si>
  <si>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</si>
  <si>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</si>
  <si>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</si>
  <si>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</si>
  <si>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</si>
  <si>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</si>
  <si>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</si>
  <si>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</si>
  <si>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</si>
  <si>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</si>
  <si>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</si>
  <si>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</si>
  <si>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</si>
  <si>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</si>
  <si>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</si>
  <si>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</si>
  <si>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</si>
  <si>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</si>
  <si>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</si>
  <si>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</si>
  <si>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</si>
  <si>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</si>
  <si>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</si>
  <si>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</si>
  <si>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</si>
  <si>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</si>
  <si>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</si>
  <si>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</si>
  <si>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</si>
  <si>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</si>
  <si>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</si>
  <si>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</si>
  <si>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</si>
  <si>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</si>
  <si>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</si>
  <si>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</si>
  <si>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</si>
  <si>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</si>
  <si>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</si>
  <si>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</si>
  <si>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</si>
  <si>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</si>
  <si>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</si>
  <si>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</si>
  <si>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</si>
  <si>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</si>
  <si>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</si>
  <si>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</si>
  <si>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</si>
  <si>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</si>
  <si>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</si>
  <si>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</si>
  <si>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</si>
  <si>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</si>
  <si>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</si>
  <si>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</si>
  <si>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</si>
  <si>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</si>
  <si>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</si>
  <si>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</si>
  <si>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</si>
  <si>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</si>
  <si>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</si>
  <si>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</si>
  <si>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</si>
  <si>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</si>
  <si>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</si>
  <si>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</si>
  <si>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</si>
  <si>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</si>
  <si>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</si>
  <si>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</si>
  <si>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</si>
  <si>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</si>
  <si>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</si>
  <si>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</si>
  <si>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</si>
  <si>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</si>
  <si>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</si>
  <si>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</si>
  <si>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</si>
  <si>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</si>
  <si>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</si>
  <si>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</si>
  <si>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</si>
  <si>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</si>
  <si>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</si>
  <si>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</si>
  <si>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</si>
  <si>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</si>
  <si>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</si>
  <si>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</si>
  <si>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</si>
  <si>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</si>
  <si>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</si>
  <si>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</si>
  <si>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</si>
  <si>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</si>
  <si>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</si>
  <si>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</si>
  <si>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</si>
  <si>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</si>
  <si>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</si>
  <si>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</si>
  <si>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</si>
  <si>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</si>
  <si>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</si>
  <si>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</si>
  <si>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</si>
  <si>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</si>
  <si>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</si>
  <si>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</si>
  <si>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</si>
  <si>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</si>
  <si>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</si>
  <si>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</si>
  <si>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</si>
  <si>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</si>
  <si>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</si>
  <si>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</si>
  <si>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</si>
  <si>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</si>
  <si>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</si>
  <si>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</si>
  <si>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</si>
  <si>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</si>
  <si>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</si>
  <si>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</si>
  <si>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</si>
  <si>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</si>
  <si>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</si>
  <si>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</si>
  <si>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</si>
  <si>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</si>
  <si>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</si>
  <si>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</si>
  <si>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</si>
  <si>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</si>
  <si>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</si>
  <si>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</si>
  <si>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</si>
  <si>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</si>
  <si>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</si>
  <si>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</si>
  <si>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</si>
  <si>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</si>
  <si>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</si>
  <si>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</si>
  <si>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</si>
  <si>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</si>
  <si>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</si>
  <si>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FECHA DE APLICACIÓN: NOVIEMBRE 2022</t>
  </si>
  <si>
    <t>Proceso:</t>
  </si>
  <si>
    <t>Objetivo:</t>
  </si>
  <si>
    <t>Establecer lineamientos para la aplicación del  programa de gestión documental que respalde la gestión institucional  de la Unidad Administrativa Especial de Rehabilitación y Mantenimiento Vial, que garantice la producción, trámite y distribución de los documentos y facilite la consulta, conservación y preservación de los mismos, cumpliendo con los requisitos normativos  y garantizando  la transparencia y eficiencia en los procesos.</t>
  </si>
  <si>
    <t>Alcance:</t>
  </si>
  <si>
    <t xml:space="preserve">Inicia con la definición de políticas y directrices para la implementación del programa de gestión documental, y finaliza con la aplicación de medidas de protección, custodia y consulta de los documentos en archivo. </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</si>
  <si>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</si>
  <si>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</si>
  <si>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</si>
  <si>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</si>
  <si>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</si>
  <si>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</si>
  <si>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</si>
  <si>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</si>
  <si>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</si>
  <si>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</si>
  <si>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</si>
  <si>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</si>
  <si>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</si>
  <si>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</si>
  <si>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</si>
  <si>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</si>
  <si>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</si>
  <si>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</si>
  <si>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</si>
  <si>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</si>
  <si>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</si>
  <si>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</si>
  <si>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</si>
  <si>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</si>
  <si>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</si>
  <si>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</si>
  <si>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</si>
  <si>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</si>
  <si>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</si>
  <si>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Objetivo Institucional  asociado</t>
  </si>
  <si>
    <t xml:space="preserve">Proyecto de Inversión asociado </t>
  </si>
  <si>
    <t>Tipo</t>
  </si>
  <si>
    <t>Implementación</t>
  </si>
  <si>
    <t>Calificación</t>
  </si>
  <si>
    <t>Documentación</t>
  </si>
  <si>
    <t>Frecuencia</t>
  </si>
  <si>
    <t>Evidencia</t>
  </si>
  <si>
    <t>Toma de decisiones erradas o sanciones de parte de los entes de control ante la falta de evidencia, y la Perdida de Información al no tener los expedientes debidamente conformados</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</si>
  <si>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</si>
  <si>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 xml:space="preserve"> Posibilidad afectación Económica y Reputacional por  toma de decisiones erradas o sanciones de parte de los entes de control debido a que las evidencias, la información y los expedientes correspondientes del archivo de gestión se encuentran fuera de los requisitos procedimentales y normativos relativos a organización, custodia y conservación de los documentos.</t>
  </si>
  <si>
    <t xml:space="preserve">• Realizar la organización de los expedientes físicos, electrónicos e hibridos en los archivos de gestión
Implementar el Plan de Conservación Documental y el Plan de Preservación Digital a Largo Plazo y de ser necesario realizar las actualizaciones correspondiientes </t>
  </si>
  <si>
    <t>sanciones de parte de los entes de control debido a que las evidencias, la información y los expedientes correspondientes del archivo de gestión se encuentran fuera de los requisitos procedimentales y normativos.</t>
  </si>
  <si>
    <t xml:space="preserve">     Entre 130 y 650 SMLMV </t>
  </si>
  <si>
    <t>El servidor público o contratista designado del proceso Gestión Documental, solicita cuatrimestralmente  a través de comunicación oficial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
En caso de evidenciar inconsistencias en los inventarios documentales recibidos, se procederá a requerir por correo electrónico a los responsables de las dependencias, para que se realicen los ajustes correspondientes</t>
  </si>
  <si>
    <t>Preventivo</t>
  </si>
  <si>
    <t>Manual</t>
  </si>
  <si>
    <t>Documentado</t>
  </si>
  <si>
    <t>Continua</t>
  </si>
  <si>
    <t>Con Registro</t>
  </si>
  <si>
    <t xml:space="preserve">Realizar el acompañamiento a las dependencias  para la correcta aplicación de las TRD </t>
  </si>
  <si>
    <t>Colaboradores designados proceso GDOC</t>
  </si>
  <si>
    <t xml:space="preserve">Actas de sensibilización y expedientes organizados de acuerdo con las TRD </t>
  </si>
  <si>
    <t>Cuatrimestral</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</si>
  <si>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</si>
  <si>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</si>
  <si>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</si>
  <si>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</si>
  <si>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t>
  </si>
  <si>
    <t>Posibilidad de afectación reputacional por perdida de confianza y credibilidad debido a la recepción, tramite, distribución y custodia de información fuera de la normatividad y procedimiento establecido para el tramite de las comunicaciones de la entidad.</t>
  </si>
  <si>
    <t>• Recibir, Radicar, Distribuir los documentos de entrada y de salida por medio de la Ventanilla Única de Correspondencia
• Registrar, clasificar, gestionar tramitar  e incoporar los documentos producidos y recibidos en la Dependencia o proceso.</t>
  </si>
  <si>
    <t>Falencias en la aplicación de los lineamientos en la gestión del documento electrónico de archivo y el cierre efectivo de los trámites en Orfeo por parte de los colaboradores de la Entidad, generando diferencias entre los expedientes físicos y electrónicos.</t>
  </si>
  <si>
    <t xml:space="preserve">perdida de confianza y credibilidad debido a la recepción, tramite, distribución y custodia de información fuera de la normatividad </t>
  </si>
  <si>
    <t xml:space="preserve">     El riesgo afecta la imagen de la entidad internamente, de conocimiento general, nivel interno, de junta dircetiva y accionistas y/o de provedores</t>
  </si>
  <si>
    <t>Detectivo</t>
  </si>
  <si>
    <t>Registro de las acciones adelantadas durante el periodo</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</si>
  <si>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</si>
  <si>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Automático</t>
  </si>
  <si>
    <t>El servidor público o colaborador responsable del proceso gestión documental, al momento de realizar el préstamo de carpetas del archivo central, diligencia el formato "Documentos Afuera" y verifica que se entregue la documentación foliada, con el fin de prevenir la pérdida o alteración de los archivos, bien sea por inclusión o sustracción de información. Para el caso de hacer el préstamo de manera virtual  el  colaborador verifica  a través de la matriz de prestamos que el expediente se encuentre completo para su respectiva consulta,  y se le asigna el tiempo de acceso a los expedientes conforme al  procedimiento GDO-PR-004 consulta y prestamos documentales.
Al momento de realizar la entrega de los documentos, se verifica nuevamente la foliación y se diligencia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
Como evidencia se deja los formatos GDO-FM-015, para los casos en físico, y  para los prestamos magnéticos se deja la base de datos de prestamos documentales actualizada.</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</si>
  <si>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</si>
  <si>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</si>
  <si>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</si>
  <si>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</si>
  <si>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</si>
  <si>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</si>
  <si>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</si>
  <si>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</si>
  <si>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</si>
  <si>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</si>
  <si>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</si>
  <si>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</si>
  <si>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</si>
  <si>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</si>
  <si>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</si>
  <si>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</si>
  <si>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</si>
  <si>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</si>
  <si>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</si>
  <si>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</si>
  <si>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</si>
  <si>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</si>
  <si>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</si>
  <si>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</si>
  <si>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</si>
  <si>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</si>
  <si>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</si>
  <si>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</si>
  <si>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</si>
  <si>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</si>
  <si>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</si>
  <si>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</si>
  <si>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</si>
  <si>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</si>
  <si>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</si>
  <si>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</si>
  <si>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</si>
  <si>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</si>
  <si>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</si>
  <si>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</si>
  <si>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</si>
  <si>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</si>
  <si>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</si>
  <si>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</si>
  <si>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</si>
  <si>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</si>
  <si>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</si>
  <si>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 xml:space="preserve">Tratamiento del riesgo -plan de acción </t>
  </si>
  <si>
    <t>ACCION DE CONTINGENCIA</t>
  </si>
  <si>
    <t>Tipo de activo</t>
  </si>
  <si>
    <t>Activo de información</t>
  </si>
  <si>
    <t>Tipo de amenaza</t>
  </si>
  <si>
    <t>Amenaza</t>
  </si>
  <si>
    <t>ACCIÓN</t>
  </si>
  <si>
    <t>SOPORTE / PRODUCTO</t>
  </si>
  <si>
    <t>RESPONSABLE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</si>
  <si>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</si>
  <si>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</si>
  <si>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</si>
  <si>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</si>
  <si>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</si>
  <si>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</si>
  <si>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</si>
  <si>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</si>
  <si>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</si>
  <si>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</si>
  <si>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</si>
  <si>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</si>
  <si>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</si>
  <si>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</si>
  <si>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</si>
  <si>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</si>
  <si>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</si>
  <si>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</si>
  <si>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</si>
  <si>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</si>
  <si>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</si>
  <si>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</si>
  <si>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</si>
  <si>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</si>
  <si>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</si>
  <si>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</si>
  <si>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</si>
  <si>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</si>
  <si>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</si>
  <si>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</si>
  <si>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</si>
  <si>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</si>
  <si>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</si>
  <si>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</si>
  <si>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</si>
  <si>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</si>
  <si>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</si>
  <si>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</si>
  <si>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</si>
  <si>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650 y 1300 SMLMV </t>
  </si>
  <si>
    <t xml:space="preserve">     El riesgo afecta la imagen de la entidad con algunos usuarios de relevancia frente al logro de los objetivos</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</si>
  <si>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</si>
  <si>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</si>
  <si>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</si>
  <si>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</si>
  <si>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</si>
  <si>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</si>
  <si>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</si>
  <si>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</si>
  <si>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</si>
  <si>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</si>
  <si>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</si>
  <si>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</si>
  <si>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</si>
  <si>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</si>
  <si>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</si>
  <si>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</si>
  <si>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</si>
  <si>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</si>
  <si>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</si>
  <si>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</si>
  <si>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</si>
  <si>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</si>
  <si>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</si>
  <si>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</si>
  <si>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</si>
  <si>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</si>
  <si>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</si>
  <si>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</si>
  <si>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</si>
  <si>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</si>
  <si>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</si>
  <si>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</si>
  <si>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</si>
  <si>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</si>
  <si>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</si>
  <si>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</si>
  <si>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</si>
  <si>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</si>
  <si>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</si>
  <si>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</si>
  <si>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</si>
  <si>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</si>
  <si>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</si>
  <si>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</si>
  <si>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</si>
  <si>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</si>
  <si>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</si>
  <si>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</si>
  <si>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</si>
  <si>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</si>
  <si>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</si>
  <si>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</si>
  <si>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</si>
  <si>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</si>
  <si>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</si>
  <si>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</si>
  <si>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</si>
  <si>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</si>
  <si>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</si>
  <si>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</si>
  <si>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</si>
  <si>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</si>
  <si>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</si>
  <si>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</si>
  <si>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</si>
  <si>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</si>
  <si>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</si>
  <si>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</si>
  <si>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 xml:space="preserve">Cambios de administración Nacional 
</t>
  </si>
  <si>
    <t xml:space="preserve"> -Los funcionarios del nivel asistencial o el encargado de organizar los expedientes tanto en físico como en digital, no verifica que los expedientes sean integros , de acuerdo con los parámetros de las TRD y los  Procedimientos de producción, trámite y distribución de documentos y el procedimiento  administración de archivos de gestión y transferencias primarias.
-cambio del Sistema de Gestión de Documento electronico de archivo SGDEA</t>
  </si>
  <si>
    <t xml:space="preserve">Implementar las acciones  establecidas en el cronograma de actividades previsto para la vigencia en relación a los estrategias del SIC </t>
  </si>
  <si>
    <t>El profesional designado del proceso gestión documental revisa trimestralmente el monitoreo de las condiciones ambientales del archivo central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a la Secretaria General, para proceder a la toma de decisiones y ajustes a que haya lugar.</t>
  </si>
  <si>
    <t>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generadas durante el periodo.
En caso de evidenciar radicados  que estén pendientes por  finalizar para cada uno de los usuarios de las  dependencias o procesos se informará a los lideres de procesos a través de correo electrónico dichas estadísticas referenciando a los usuarios mas criticos y se les enviará por correo electronico a dichos usuarios solicitando la finalización de los mismos lo antes posible,  con el fin de disminuir el número de radicados sin finalizar.</t>
  </si>
  <si>
    <t>El servidor público o colaborador responsable del proceso gestión documental, al momento del retiro de un funcionario o contratista de la Entidad, tramita el Paz y Salvo, verificando que el usuario no tenga radicados pendientes en sus carpetas de orfeo,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se contará con un repositorio de los reportes  de la verificación en Orfeo para gestionar la firma de los paz y salvos tramitados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</si>
</sst>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0.0%"/>
    <numFmt numFmtId="165" formatCode="_-&quot;$&quot;\ * #,##0_-;\-&quot;$&quot;\ * #,##0_-;_-&quot;$&quot;\ * &quot;-&quot;??_-;_-@_-"/>
    <numFmt numFmtId="166" formatCode="&quot;$&quot;\ #,##0.00"/>
  </numFmts>
  <fonts count="95"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sz val="10"/>
      <color theme="1"/>
      <name val="Arial"/>
      <family val="2"/>
    </font>
    <font>
      <sz val="12"/>
      <color rgb="FFFF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6">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93" fillId="0" borderId="90" xfId="0" applyFont="1" applyBorder="1" applyAlignment="1" applyProtection="1">
      <alignment horizontal="justify" vertical="center" wrapText="1"/>
      <protection locked="0"/>
    </xf>
    <xf numFmtId="0" fontId="42" fillId="0" borderId="90" xfId="0" applyFont="1" applyBorder="1" applyAlignment="1" applyProtection="1">
      <alignment horizontal="justify" vertical="center" wrapText="1"/>
      <protection locked="0"/>
    </xf>
    <xf numFmtId="0" fontId="94" fillId="0" borderId="90" xfId="0" applyFont="1" applyBorder="1" applyAlignment="1" applyProtection="1">
      <alignment horizontal="center" vertical="center" wrapText="1"/>
      <protection locked="0"/>
    </xf>
    <xf numFmtId="14" fontId="94" fillId="0" borderId="90" xfId="0" applyNumberFormat="1" applyFont="1" applyBorder="1" applyAlignment="1" applyProtection="1">
      <alignment horizontal="center" vertical="center"/>
      <protection locked="0"/>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1" fillId="0" borderId="90" xfId="0" applyFont="1" applyBorder="1" applyAlignment="1">
      <alignment horizontal="center" vertical="center"/>
    </xf>
    <xf numFmtId="0" fontId="80" fillId="0" borderId="90" xfId="0" applyFont="1" applyBorder="1" applyAlignment="1" applyProtection="1">
      <alignment horizontal="center" vertical="center" wrapText="1"/>
      <protection locked="0"/>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80" fillId="0" borderId="90" xfId="0" applyFont="1" applyBorder="1" applyAlignment="1" applyProtection="1">
      <alignment horizontal="center" vertical="center"/>
      <protection locked="0"/>
    </xf>
    <xf numFmtId="0" fontId="81" fillId="0" borderId="90" xfId="0" applyFont="1" applyBorder="1" applyAlignment="1" applyProtection="1">
      <alignment horizontal="center" vertical="center" wrapText="1"/>
      <protection hidden="1"/>
    </xf>
    <xf numFmtId="9" fontId="80" fillId="0" borderId="90" xfId="0" applyNumberFormat="1" applyFont="1" applyBorder="1" applyAlignment="1" applyProtection="1">
      <alignment horizontal="center" vertical="center" wrapText="1"/>
      <protection hidden="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81" fillId="16"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0" borderId="90" xfId="0" applyFont="1" applyBorder="1" applyAlignment="1" applyProtection="1">
      <alignment horizontal="left" vertical="center" wrapText="1"/>
      <protection locked="0"/>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0" fillId="0" borderId="90" xfId="0" applyFont="1" applyBorder="1" applyAlignment="1" applyProtection="1">
      <alignment horizontal="justify" vertical="center" wrapText="1"/>
      <protection locked="0"/>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81" fillId="16" borderId="90" xfId="0" applyFont="1" applyFill="1" applyBorder="1" applyAlignment="1">
      <alignment horizontal="center" vertical="center" wrapText="1"/>
    </xf>
    <xf numFmtId="0" fontId="81" fillId="16" borderId="90" xfId="0" applyFont="1" applyFill="1" applyBorder="1" applyAlignment="1">
      <alignment horizontal="center" vertical="center" textRotation="90" wrapText="1"/>
    </xf>
    <xf numFmtId="0" fontId="80" fillId="3" borderId="90" xfId="0" applyFont="1" applyFill="1" applyBorder="1" applyAlignment="1" applyProtection="1">
      <alignment horizontal="center" vertical="center" wrapText="1"/>
      <protection locked="0"/>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92" xfId="0" applyFont="1" applyFill="1" applyBorder="1" applyAlignment="1">
      <alignment horizontal="center" vertical="center"/>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6" borderId="0" xfId="0" applyFont="1" applyFill="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7" xfId="0" applyFont="1" applyBorder="1" applyAlignment="1">
      <alignment horizontal="center" vertical="center" wrapText="1"/>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38" fillId="0" borderId="12" xfId="0" applyFont="1" applyBorder="1" applyAlignment="1">
      <alignment horizontal="center"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22" xfId="0" applyFont="1" applyBorder="1" applyAlignment="1">
      <alignment horizontal="left"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cellStyle name="Normal" xfId="0" builtinId="0"/>
    <cellStyle name="Normal - Style1 2" xfId="2"/>
    <cellStyle name="Normal 2" xfId="4"/>
    <cellStyle name="Normal 2 2" xfId="3"/>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topLeftCell="A17" zoomScale="110" zoomScaleNormal="110" workbookViewId="0">
      <selection activeCell="B52" sqref="B52"/>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83" t="s">
        <v>0</v>
      </c>
      <c r="C2" s="284"/>
      <c r="D2" s="284"/>
      <c r="E2" s="284"/>
      <c r="F2" s="284"/>
      <c r="G2" s="284"/>
      <c r="H2" s="285"/>
    </row>
    <row r="3" spans="2:8" x14ac:dyDescent="0.3">
      <c r="B3" s="67"/>
      <c r="C3" s="68"/>
      <c r="D3" s="68"/>
      <c r="E3" s="68"/>
      <c r="F3" s="68"/>
      <c r="G3" s="68"/>
      <c r="H3" s="69"/>
    </row>
    <row r="4" spans="2:8" ht="63" customHeight="1" x14ac:dyDescent="0.3">
      <c r="B4" s="286" t="s">
        <v>1</v>
      </c>
      <c r="C4" s="287"/>
      <c r="D4" s="287"/>
      <c r="E4" s="287"/>
      <c r="F4" s="287"/>
      <c r="G4" s="287"/>
      <c r="H4" s="288"/>
    </row>
    <row r="5" spans="2:8" ht="63" customHeight="1" x14ac:dyDescent="0.3">
      <c r="B5" s="289"/>
      <c r="C5" s="290"/>
      <c r="D5" s="290"/>
      <c r="E5" s="290"/>
      <c r="F5" s="290"/>
      <c r="G5" s="290"/>
      <c r="H5" s="291"/>
    </row>
    <row r="6" spans="2:8" x14ac:dyDescent="0.3">
      <c r="B6" s="292" t="s">
        <v>2</v>
      </c>
      <c r="C6" s="293"/>
      <c r="D6" s="293"/>
      <c r="E6" s="293"/>
      <c r="F6" s="293"/>
      <c r="G6" s="293"/>
      <c r="H6" s="294"/>
    </row>
    <row r="7" spans="2:8" ht="95.25" customHeight="1" x14ac:dyDescent="0.3">
      <c r="B7" s="302" t="s">
        <v>3</v>
      </c>
      <c r="C7" s="303"/>
      <c r="D7" s="303"/>
      <c r="E7" s="303"/>
      <c r="F7" s="303"/>
      <c r="G7" s="303"/>
      <c r="H7" s="304"/>
    </row>
    <row r="8" spans="2:8" x14ac:dyDescent="0.3">
      <c r="B8" s="101"/>
      <c r="C8" s="102"/>
      <c r="D8" s="102"/>
      <c r="E8" s="102"/>
      <c r="F8" s="102"/>
      <c r="G8" s="102"/>
      <c r="H8" s="103"/>
    </row>
    <row r="9" spans="2:8" ht="16.5" customHeight="1" x14ac:dyDescent="0.3">
      <c r="B9" s="295" t="s">
        <v>4</v>
      </c>
      <c r="C9" s="296"/>
      <c r="D9" s="296"/>
      <c r="E9" s="296"/>
      <c r="F9" s="296"/>
      <c r="G9" s="296"/>
      <c r="H9" s="297"/>
    </row>
    <row r="10" spans="2:8" ht="44.25" customHeight="1" x14ac:dyDescent="0.3">
      <c r="B10" s="295"/>
      <c r="C10" s="296"/>
      <c r="D10" s="296"/>
      <c r="E10" s="296"/>
      <c r="F10" s="296"/>
      <c r="G10" s="296"/>
      <c r="H10" s="297"/>
    </row>
    <row r="11" spans="2:8" ht="15" thickBot="1" x14ac:dyDescent="0.35">
      <c r="B11" s="90"/>
      <c r="C11" s="93"/>
      <c r="D11" s="98"/>
      <c r="E11" s="99"/>
      <c r="F11" s="99"/>
      <c r="G11" s="100"/>
      <c r="H11" s="94"/>
    </row>
    <row r="12" spans="2:8" ht="15" thickTop="1" x14ac:dyDescent="0.3">
      <c r="B12" s="90"/>
      <c r="C12" s="298" t="s">
        <v>5</v>
      </c>
      <c r="D12" s="299"/>
      <c r="E12" s="300" t="s">
        <v>6</v>
      </c>
      <c r="F12" s="301"/>
      <c r="G12" s="93"/>
      <c r="H12" s="94"/>
    </row>
    <row r="13" spans="2:8" ht="35.25" customHeight="1" x14ac:dyDescent="0.3">
      <c r="B13" s="90"/>
      <c r="C13" s="270" t="s">
        <v>7</v>
      </c>
      <c r="D13" s="271"/>
      <c r="E13" s="272" t="s">
        <v>8</v>
      </c>
      <c r="F13" s="273"/>
      <c r="G13" s="93"/>
      <c r="H13" s="94"/>
    </row>
    <row r="14" spans="2:8" ht="17.25" customHeight="1" x14ac:dyDescent="0.3">
      <c r="B14" s="90"/>
      <c r="C14" s="270" t="s">
        <v>9</v>
      </c>
      <c r="D14" s="271"/>
      <c r="E14" s="272" t="s">
        <v>10</v>
      </c>
      <c r="F14" s="273"/>
      <c r="G14" s="93"/>
      <c r="H14" s="94"/>
    </row>
    <row r="15" spans="2:8" ht="19.5" customHeight="1" x14ac:dyDescent="0.3">
      <c r="B15" s="90"/>
      <c r="C15" s="270" t="s">
        <v>11</v>
      </c>
      <c r="D15" s="271"/>
      <c r="E15" s="272" t="s">
        <v>12</v>
      </c>
      <c r="F15" s="273"/>
      <c r="G15" s="93"/>
      <c r="H15" s="94"/>
    </row>
    <row r="16" spans="2:8" ht="69.75" customHeight="1" x14ac:dyDescent="0.3">
      <c r="B16" s="90"/>
      <c r="C16" s="270" t="s">
        <v>13</v>
      </c>
      <c r="D16" s="271"/>
      <c r="E16" s="272" t="s">
        <v>14</v>
      </c>
      <c r="F16" s="273"/>
      <c r="G16" s="93"/>
      <c r="H16" s="94"/>
    </row>
    <row r="17" spans="2:8" ht="34.5" customHeight="1" x14ac:dyDescent="0.3">
      <c r="B17" s="90"/>
      <c r="C17" s="274" t="s">
        <v>15</v>
      </c>
      <c r="D17" s="275"/>
      <c r="E17" s="266" t="s">
        <v>16</v>
      </c>
      <c r="F17" s="267"/>
      <c r="G17" s="93"/>
      <c r="H17" s="94"/>
    </row>
    <row r="18" spans="2:8" ht="27.75" customHeight="1" x14ac:dyDescent="0.3">
      <c r="B18" s="90"/>
      <c r="C18" s="274" t="s">
        <v>17</v>
      </c>
      <c r="D18" s="275"/>
      <c r="E18" s="266" t="s">
        <v>18</v>
      </c>
      <c r="F18" s="267"/>
      <c r="G18" s="93"/>
      <c r="H18" s="94"/>
    </row>
    <row r="19" spans="2:8" ht="28.5" customHeight="1" x14ac:dyDescent="0.3">
      <c r="B19" s="90"/>
      <c r="C19" s="274" t="s">
        <v>19</v>
      </c>
      <c r="D19" s="275"/>
      <c r="E19" s="266" t="s">
        <v>20</v>
      </c>
      <c r="F19" s="267"/>
      <c r="G19" s="93"/>
      <c r="H19" s="94"/>
    </row>
    <row r="20" spans="2:8" ht="72.75" customHeight="1" x14ac:dyDescent="0.3">
      <c r="B20" s="90"/>
      <c r="C20" s="274" t="s">
        <v>21</v>
      </c>
      <c r="D20" s="275"/>
      <c r="E20" s="266" t="s">
        <v>22</v>
      </c>
      <c r="F20" s="267"/>
      <c r="G20" s="93"/>
      <c r="H20" s="94"/>
    </row>
    <row r="21" spans="2:8" ht="64.5" customHeight="1" x14ac:dyDescent="0.3">
      <c r="B21" s="90"/>
      <c r="C21" s="274" t="s">
        <v>23</v>
      </c>
      <c r="D21" s="275"/>
      <c r="E21" s="266" t="s">
        <v>24</v>
      </c>
      <c r="F21" s="267"/>
      <c r="G21" s="93"/>
      <c r="H21" s="94"/>
    </row>
    <row r="22" spans="2:8" ht="71.25" customHeight="1" x14ac:dyDescent="0.3">
      <c r="B22" s="90"/>
      <c r="C22" s="274" t="s">
        <v>25</v>
      </c>
      <c r="D22" s="275"/>
      <c r="E22" s="266" t="s">
        <v>26</v>
      </c>
      <c r="F22" s="267"/>
      <c r="G22" s="93"/>
      <c r="H22" s="94"/>
    </row>
    <row r="23" spans="2:8" ht="55.5" customHeight="1" x14ac:dyDescent="0.3">
      <c r="B23" s="90"/>
      <c r="C23" s="268" t="s">
        <v>27</v>
      </c>
      <c r="D23" s="269"/>
      <c r="E23" s="266" t="s">
        <v>28</v>
      </c>
      <c r="F23" s="267"/>
      <c r="G23" s="93"/>
      <c r="H23" s="94"/>
    </row>
    <row r="24" spans="2:8" ht="42" customHeight="1" x14ac:dyDescent="0.3">
      <c r="B24" s="90"/>
      <c r="C24" s="268" t="s">
        <v>29</v>
      </c>
      <c r="D24" s="269"/>
      <c r="E24" s="266" t="s">
        <v>30</v>
      </c>
      <c r="F24" s="267"/>
      <c r="G24" s="93"/>
      <c r="H24" s="94"/>
    </row>
    <row r="25" spans="2:8" ht="59.25" customHeight="1" x14ac:dyDescent="0.3">
      <c r="B25" s="90"/>
      <c r="C25" s="268" t="s">
        <v>31</v>
      </c>
      <c r="D25" s="269"/>
      <c r="E25" s="266" t="s">
        <v>32</v>
      </c>
      <c r="F25" s="267"/>
      <c r="G25" s="93"/>
      <c r="H25" s="94"/>
    </row>
    <row r="26" spans="2:8" ht="23.25" customHeight="1" x14ac:dyDescent="0.3">
      <c r="B26" s="90"/>
      <c r="C26" s="268" t="s">
        <v>33</v>
      </c>
      <c r="D26" s="269"/>
      <c r="E26" s="266" t="s">
        <v>34</v>
      </c>
      <c r="F26" s="267"/>
      <c r="G26" s="93"/>
      <c r="H26" s="94"/>
    </row>
    <row r="27" spans="2:8" ht="30.75" customHeight="1" x14ac:dyDescent="0.3">
      <c r="B27" s="90"/>
      <c r="C27" s="268" t="s">
        <v>35</v>
      </c>
      <c r="D27" s="269"/>
      <c r="E27" s="266" t="s">
        <v>36</v>
      </c>
      <c r="F27" s="267"/>
      <c r="G27" s="93"/>
      <c r="H27" s="94"/>
    </row>
    <row r="28" spans="2:8" ht="35.25" customHeight="1" x14ac:dyDescent="0.3">
      <c r="B28" s="90"/>
      <c r="C28" s="268" t="s">
        <v>37</v>
      </c>
      <c r="D28" s="269"/>
      <c r="E28" s="266" t="s">
        <v>38</v>
      </c>
      <c r="F28" s="267"/>
      <c r="G28" s="93"/>
      <c r="H28" s="94"/>
    </row>
    <row r="29" spans="2:8" ht="33" customHeight="1" x14ac:dyDescent="0.3">
      <c r="B29" s="90"/>
      <c r="C29" s="268" t="s">
        <v>37</v>
      </c>
      <c r="D29" s="269"/>
      <c r="E29" s="266" t="s">
        <v>38</v>
      </c>
      <c r="F29" s="267"/>
      <c r="G29" s="93"/>
      <c r="H29" s="94"/>
    </row>
    <row r="30" spans="2:8" ht="30" customHeight="1" x14ac:dyDescent="0.3">
      <c r="B30" s="90"/>
      <c r="C30" s="268" t="s">
        <v>39</v>
      </c>
      <c r="D30" s="269"/>
      <c r="E30" s="266" t="s">
        <v>40</v>
      </c>
      <c r="F30" s="267"/>
      <c r="G30" s="93"/>
      <c r="H30" s="94"/>
    </row>
    <row r="31" spans="2:8" ht="35.25" customHeight="1" x14ac:dyDescent="0.3">
      <c r="B31" s="90"/>
      <c r="C31" s="268" t="s">
        <v>41</v>
      </c>
      <c r="D31" s="269"/>
      <c r="E31" s="266" t="s">
        <v>42</v>
      </c>
      <c r="F31" s="267"/>
      <c r="G31" s="93"/>
      <c r="H31" s="94"/>
    </row>
    <row r="32" spans="2:8" ht="31.5" customHeight="1" x14ac:dyDescent="0.3">
      <c r="B32" s="90"/>
      <c r="C32" s="268" t="s">
        <v>43</v>
      </c>
      <c r="D32" s="269"/>
      <c r="E32" s="266" t="s">
        <v>44</v>
      </c>
      <c r="F32" s="267"/>
      <c r="G32" s="93"/>
      <c r="H32" s="94"/>
    </row>
    <row r="33" spans="2:8" ht="35.25" customHeight="1" x14ac:dyDescent="0.3">
      <c r="B33" s="90"/>
      <c r="C33" s="268" t="s">
        <v>45</v>
      </c>
      <c r="D33" s="269"/>
      <c r="E33" s="266" t="s">
        <v>46</v>
      </c>
      <c r="F33" s="267"/>
      <c r="G33" s="93"/>
      <c r="H33" s="94"/>
    </row>
    <row r="34" spans="2:8" ht="59.25" customHeight="1" x14ac:dyDescent="0.3">
      <c r="B34" s="90"/>
      <c r="C34" s="268" t="s">
        <v>47</v>
      </c>
      <c r="D34" s="269"/>
      <c r="E34" s="266" t="s">
        <v>48</v>
      </c>
      <c r="F34" s="267"/>
      <c r="G34" s="93"/>
      <c r="H34" s="94"/>
    </row>
    <row r="35" spans="2:8" ht="29.25" customHeight="1" x14ac:dyDescent="0.3">
      <c r="B35" s="90"/>
      <c r="C35" s="268" t="s">
        <v>49</v>
      </c>
      <c r="D35" s="269"/>
      <c r="E35" s="266" t="s">
        <v>50</v>
      </c>
      <c r="F35" s="267"/>
      <c r="G35" s="93"/>
      <c r="H35" s="94"/>
    </row>
    <row r="36" spans="2:8" ht="82.5" customHeight="1" x14ac:dyDescent="0.3">
      <c r="B36" s="90"/>
      <c r="C36" s="268" t="s">
        <v>51</v>
      </c>
      <c r="D36" s="269"/>
      <c r="E36" s="266" t="s">
        <v>52</v>
      </c>
      <c r="F36" s="267"/>
      <c r="G36" s="93"/>
      <c r="H36" s="94"/>
    </row>
    <row r="37" spans="2:8" ht="46.5" customHeight="1" x14ac:dyDescent="0.3">
      <c r="B37" s="90"/>
      <c r="C37" s="268" t="s">
        <v>53</v>
      </c>
      <c r="D37" s="269"/>
      <c r="E37" s="266" t="s">
        <v>54</v>
      </c>
      <c r="F37" s="267"/>
      <c r="G37" s="93"/>
      <c r="H37" s="94"/>
    </row>
    <row r="38" spans="2:8" ht="6.75" customHeight="1" thickBot="1" x14ac:dyDescent="0.35">
      <c r="B38" s="90"/>
      <c r="C38" s="279"/>
      <c r="D38" s="280"/>
      <c r="E38" s="281"/>
      <c r="F38" s="282"/>
      <c r="G38" s="93"/>
      <c r="H38" s="94"/>
    </row>
    <row r="39" spans="2:8" ht="15" thickTop="1" x14ac:dyDescent="0.3">
      <c r="B39" s="90"/>
      <c r="C39" s="91"/>
      <c r="D39" s="91"/>
      <c r="E39" s="92"/>
      <c r="F39" s="92"/>
      <c r="G39" s="93"/>
      <c r="H39" s="94"/>
    </row>
    <row r="40" spans="2:8" ht="21" customHeight="1" x14ac:dyDescent="0.3">
      <c r="B40" s="276" t="s">
        <v>55</v>
      </c>
      <c r="C40" s="277"/>
      <c r="D40" s="277"/>
      <c r="E40" s="277"/>
      <c r="F40" s="277"/>
      <c r="G40" s="277"/>
      <c r="H40" s="278"/>
    </row>
    <row r="41" spans="2:8" ht="20.25" customHeight="1" x14ac:dyDescent="0.3">
      <c r="B41" s="276" t="s">
        <v>56</v>
      </c>
      <c r="C41" s="277"/>
      <c r="D41" s="277"/>
      <c r="E41" s="277"/>
      <c r="F41" s="277"/>
      <c r="G41" s="277"/>
      <c r="H41" s="278"/>
    </row>
    <row r="42" spans="2:8" ht="20.25" customHeight="1" x14ac:dyDescent="0.3">
      <c r="B42" s="276" t="s">
        <v>57</v>
      </c>
      <c r="C42" s="277"/>
      <c r="D42" s="277"/>
      <c r="E42" s="277"/>
      <c r="F42" s="277"/>
      <c r="G42" s="277"/>
      <c r="H42" s="278"/>
    </row>
    <row r="43" spans="2:8" ht="20.25" customHeight="1" x14ac:dyDescent="0.3">
      <c r="B43" s="276" t="s">
        <v>58</v>
      </c>
      <c r="C43" s="277"/>
      <c r="D43" s="277"/>
      <c r="E43" s="277"/>
      <c r="F43" s="277"/>
      <c r="G43" s="277"/>
      <c r="H43" s="278"/>
    </row>
    <row r="44" spans="2:8" x14ac:dyDescent="0.3">
      <c r="B44" s="276" t="s">
        <v>59</v>
      </c>
      <c r="C44" s="277"/>
      <c r="D44" s="277"/>
      <c r="E44" s="277"/>
      <c r="F44" s="277"/>
      <c r="G44" s="277"/>
      <c r="H44" s="278"/>
    </row>
    <row r="45" spans="2:8" ht="15" thickBot="1" x14ac:dyDescent="0.35">
      <c r="B45" s="95"/>
      <c r="C45" s="96"/>
      <c r="D45" s="96"/>
      <c r="E45" s="96"/>
      <c r="F45" s="96"/>
      <c r="G45" s="96"/>
      <c r="H45" s="97"/>
    </row>
    <row r="47" spans="2:8" x14ac:dyDescent="0.3">
      <c r="B47" s="249" t="s">
        <v>60</v>
      </c>
    </row>
    <row r="48" spans="2:8" x14ac:dyDescent="0.3">
      <c r="B48" s="66" t="s">
        <v>61</v>
      </c>
    </row>
    <row r="49" spans="2:6" ht="27.6" x14ac:dyDescent="0.3">
      <c r="B49" s="241" t="s">
        <v>62</v>
      </c>
      <c r="C49" s="241" t="s">
        <v>63</v>
      </c>
      <c r="D49" s="241" t="s">
        <v>64</v>
      </c>
      <c r="E49" s="242" t="s">
        <v>65</v>
      </c>
      <c r="F49" s="243" t="s">
        <v>66</v>
      </c>
    </row>
    <row r="50" spans="2:6" x14ac:dyDescent="0.3">
      <c r="B50" s="244" t="s">
        <v>67</v>
      </c>
      <c r="C50" s="244" t="s">
        <v>68</v>
      </c>
      <c r="D50" s="245">
        <v>44957</v>
      </c>
      <c r="E50" s="244" t="s">
        <v>68</v>
      </c>
      <c r="F50" s="244" t="s">
        <v>68</v>
      </c>
    </row>
    <row r="51" spans="2:6" ht="28.8" x14ac:dyDescent="0.3">
      <c r="B51" s="244" t="s">
        <v>69</v>
      </c>
      <c r="C51" s="244" t="s">
        <v>70</v>
      </c>
      <c r="D51" s="245">
        <v>45016</v>
      </c>
      <c r="E51" s="244" t="s">
        <v>71</v>
      </c>
      <c r="F51" s="246" t="s">
        <v>72</v>
      </c>
    </row>
    <row r="300" spans="3:3" ht="31.2" x14ac:dyDescent="0.3">
      <c r="C300" s="170" t="s">
        <v>73</v>
      </c>
    </row>
    <row r="301" spans="3:3" ht="46.8" x14ac:dyDescent="0.3">
      <c r="C301" s="170" t="s">
        <v>74</v>
      </c>
    </row>
    <row r="302" spans="3:3" ht="31.2" x14ac:dyDescent="0.3">
      <c r="C302" s="171" t="s">
        <v>75</v>
      </c>
    </row>
    <row r="303" spans="3:3" ht="31.2" x14ac:dyDescent="0.3">
      <c r="C303" s="170" t="s">
        <v>76</v>
      </c>
    </row>
    <row r="304" spans="3:3" ht="46.8" x14ac:dyDescent="0.3">
      <c r="C304" s="170" t="s">
        <v>77</v>
      </c>
    </row>
    <row r="305" spans="3:3" ht="31.2" x14ac:dyDescent="0.3">
      <c r="C305" s="170" t="s">
        <v>78</v>
      </c>
    </row>
    <row r="306" spans="3:3" ht="46.8" x14ac:dyDescent="0.3">
      <c r="C306" s="171" t="s">
        <v>79</v>
      </c>
    </row>
    <row r="307" spans="3:3" ht="31.2" x14ac:dyDescent="0.3">
      <c r="C307" s="170" t="s">
        <v>80</v>
      </c>
    </row>
    <row r="308" spans="3:3" ht="15.6" x14ac:dyDescent="0.3">
      <c r="C308" s="170" t="s">
        <v>81</v>
      </c>
    </row>
    <row r="309" spans="3:3" ht="15.6" x14ac:dyDescent="0.3">
      <c r="C309" s="170" t="s">
        <v>82</v>
      </c>
    </row>
    <row r="310" spans="3:3" ht="31.2" x14ac:dyDescent="0.3">
      <c r="C310" s="170" t="s">
        <v>83</v>
      </c>
    </row>
    <row r="311" spans="3:3" ht="31.2" x14ac:dyDescent="0.3">
      <c r="C311" s="170" t="s">
        <v>84</v>
      </c>
    </row>
    <row r="312" spans="3:3" ht="15.6" x14ac:dyDescent="0.3">
      <c r="C312" s="170" t="s">
        <v>85</v>
      </c>
    </row>
    <row r="313" spans="3:3" ht="15.6" x14ac:dyDescent="0.3">
      <c r="C313" s="170" t="s">
        <v>86</v>
      </c>
    </row>
    <row r="314" spans="3:3" ht="15.6" x14ac:dyDescent="0.3">
      <c r="C314" s="170" t="s">
        <v>87</v>
      </c>
    </row>
    <row r="315" spans="3:3" ht="31.2" x14ac:dyDescent="0.3">
      <c r="C315" s="170" t="s">
        <v>88</v>
      </c>
    </row>
    <row r="316" spans="3:3" ht="31.2" x14ac:dyDescent="0.3">
      <c r="C316" s="170" t="s">
        <v>89</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46" t="s">
        <v>341</v>
      </c>
      <c r="C1" s="546"/>
      <c r="D1" s="546"/>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342</v>
      </c>
      <c r="D3" s="4" t="s">
        <v>288</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343</v>
      </c>
      <c r="C4" s="6" t="s">
        <v>344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345</v>
      </c>
      <c r="C5" s="9" t="s">
        <v>346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347</v>
      </c>
      <c r="C6" s="9" t="s">
        <v>348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349</v>
      </c>
      <c r="C7" s="9" t="s">
        <v>350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351</v>
      </c>
      <c r="C8" s="9" t="s">
        <v>352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F218" sqref="F218:F222"/>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4" customFormat="1" ht="45.75" customHeight="1" x14ac:dyDescent="0.3">
      <c r="A2" s="182"/>
      <c r="B2" s="547" t="s">
        <v>353</v>
      </c>
      <c r="C2" s="547"/>
      <c r="D2" s="547"/>
      <c r="E2" s="547"/>
      <c r="F2" s="183"/>
      <c r="G2" s="182"/>
      <c r="H2" s="182"/>
      <c r="I2" s="182"/>
      <c r="J2" s="182"/>
      <c r="K2" s="182"/>
      <c r="L2" s="182"/>
      <c r="M2" s="182"/>
      <c r="N2" s="182"/>
      <c r="O2" s="182"/>
      <c r="P2" s="182"/>
      <c r="Q2" s="182"/>
      <c r="R2" s="182"/>
      <c r="S2" s="182"/>
      <c r="T2" s="182"/>
      <c r="U2" s="182"/>
    </row>
    <row r="3" spans="1:21" s="184" customFormat="1" ht="18.75" customHeight="1" x14ac:dyDescent="0.3">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3">
      <c r="A4" s="66"/>
      <c r="B4" s="106"/>
      <c r="C4" s="21" t="s">
        <v>354</v>
      </c>
      <c r="D4" s="21" t="s">
        <v>355</v>
      </c>
      <c r="E4" s="21" t="s">
        <v>356</v>
      </c>
      <c r="F4" s="112"/>
      <c r="G4" s="66"/>
      <c r="H4" s="66"/>
      <c r="I4" s="66"/>
      <c r="J4" s="66"/>
      <c r="K4" s="66"/>
      <c r="L4" s="66"/>
      <c r="M4" s="66"/>
      <c r="N4" s="66"/>
      <c r="O4" s="66"/>
      <c r="P4" s="66"/>
      <c r="Q4" s="66"/>
      <c r="R4" s="66"/>
      <c r="S4" s="66"/>
      <c r="T4" s="66"/>
      <c r="U4" s="66"/>
    </row>
    <row r="5" spans="1:21" ht="67.5" customHeight="1" x14ac:dyDescent="0.3">
      <c r="A5" s="86" t="s">
        <v>357</v>
      </c>
      <c r="B5" s="22" t="s">
        <v>358</v>
      </c>
      <c r="C5" s="27" t="s">
        <v>359</v>
      </c>
      <c r="D5" s="104" t="s">
        <v>360</v>
      </c>
      <c r="E5" s="220">
        <f>908526*130</f>
        <v>118108380</v>
      </c>
      <c r="F5" s="66"/>
      <c r="G5" s="66"/>
      <c r="H5" s="66"/>
      <c r="I5" s="66"/>
      <c r="J5" s="66"/>
      <c r="K5" s="66"/>
      <c r="L5" s="66"/>
      <c r="M5" s="66"/>
      <c r="N5" s="66"/>
      <c r="O5" s="66"/>
      <c r="P5" s="66"/>
      <c r="Q5" s="66"/>
      <c r="R5" s="66"/>
      <c r="S5" s="66"/>
      <c r="T5" s="66"/>
      <c r="U5" s="66"/>
    </row>
    <row r="6" spans="1:21" ht="129" customHeight="1" x14ac:dyDescent="0.3">
      <c r="A6" s="86" t="s">
        <v>361</v>
      </c>
      <c r="B6" s="23" t="s">
        <v>362</v>
      </c>
      <c r="C6" s="28" t="s">
        <v>363</v>
      </c>
      <c r="D6" s="105" t="s">
        <v>364</v>
      </c>
      <c r="E6" s="220">
        <f>908526*650</f>
        <v>590541900</v>
      </c>
      <c r="F6" s="66"/>
      <c r="G6" s="66"/>
      <c r="H6" s="66"/>
      <c r="I6" s="66"/>
      <c r="J6" s="66"/>
      <c r="K6" s="66"/>
      <c r="L6" s="66"/>
      <c r="M6" s="66"/>
      <c r="N6" s="66"/>
      <c r="O6" s="66"/>
      <c r="P6" s="66"/>
      <c r="Q6" s="66"/>
      <c r="R6" s="66"/>
      <c r="S6" s="66"/>
      <c r="T6" s="66"/>
      <c r="U6" s="66"/>
    </row>
    <row r="7" spans="1:21" ht="97.2" x14ac:dyDescent="0.3">
      <c r="A7" s="86" t="s">
        <v>294</v>
      </c>
      <c r="B7" s="24" t="s">
        <v>365</v>
      </c>
      <c r="C7" s="28" t="s">
        <v>366</v>
      </c>
      <c r="D7" s="105" t="s">
        <v>367</v>
      </c>
      <c r="E7" s="220">
        <f>908526*1300</f>
        <v>1181083800</v>
      </c>
      <c r="F7" s="66"/>
      <c r="G7" s="66"/>
      <c r="H7" s="66"/>
      <c r="I7" s="66"/>
      <c r="J7" s="66"/>
      <c r="K7" s="66"/>
      <c r="L7" s="66"/>
      <c r="M7" s="66"/>
      <c r="N7" s="66"/>
      <c r="O7" s="66"/>
      <c r="P7" s="66"/>
      <c r="Q7" s="66"/>
      <c r="R7" s="66"/>
      <c r="S7" s="66"/>
      <c r="T7" s="66"/>
      <c r="U7" s="66"/>
    </row>
    <row r="8" spans="1:21" ht="97.2" x14ac:dyDescent="0.3">
      <c r="A8" s="86" t="s">
        <v>368</v>
      </c>
      <c r="B8" s="25" t="s">
        <v>369</v>
      </c>
      <c r="C8" s="28" t="s">
        <v>370</v>
      </c>
      <c r="D8" s="105" t="s">
        <v>371</v>
      </c>
      <c r="E8" s="220">
        <f>908526*6500</f>
        <v>5905419000</v>
      </c>
      <c r="F8" s="66"/>
      <c r="G8" s="66"/>
      <c r="H8" s="66"/>
      <c r="I8" s="66"/>
      <c r="J8" s="66"/>
      <c r="K8" s="66"/>
      <c r="L8" s="66"/>
      <c r="M8" s="66"/>
      <c r="N8" s="66"/>
      <c r="O8" s="66"/>
      <c r="P8" s="66"/>
      <c r="Q8" s="66"/>
      <c r="R8" s="66"/>
      <c r="S8" s="66"/>
      <c r="T8" s="66"/>
      <c r="U8" s="66"/>
    </row>
    <row r="9" spans="1:21" ht="97.2" x14ac:dyDescent="0.3">
      <c r="A9" s="86" t="s">
        <v>372</v>
      </c>
      <c r="B9" s="26" t="s">
        <v>373</v>
      </c>
      <c r="C9" s="28" t="s">
        <v>374</v>
      </c>
      <c r="D9" s="105" t="s">
        <v>375</v>
      </c>
      <c r="E9" s="220"/>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376</v>
      </c>
      <c r="C12" s="108" t="s">
        <v>377</v>
      </c>
      <c r="D12" s="108" t="s">
        <v>378</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379</v>
      </c>
      <c r="C13" s="108" t="s">
        <v>259</v>
      </c>
      <c r="D13" s="108" t="s">
        <v>279</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380</v>
      </c>
      <c r="D14" s="108" t="s">
        <v>381</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382</v>
      </c>
      <c r="D15" s="108" t="s">
        <v>383</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384</v>
      </c>
      <c r="D16" s="108" t="s">
        <v>385</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294</v>
      </c>
    </row>
    <row r="209" spans="1:8" x14ac:dyDescent="0.3">
      <c r="A209" s="66"/>
      <c r="B209" s="15"/>
      <c r="C209" s="15"/>
      <c r="D209" s="15"/>
      <c r="F209" s="114" t="s">
        <v>368</v>
      </c>
    </row>
    <row r="210" spans="1:8" ht="20.399999999999999" x14ac:dyDescent="0.3">
      <c r="A210" s="66"/>
      <c r="B210" s="16" t="s">
        <v>386</v>
      </c>
      <c r="C210" s="16" t="s">
        <v>387</v>
      </c>
      <c r="D210" s="19" t="s">
        <v>386</v>
      </c>
      <c r="E210" s="19" t="s">
        <v>387</v>
      </c>
      <c r="F210" s="114" t="s">
        <v>388</v>
      </c>
    </row>
    <row r="211" spans="1:8" ht="21" x14ac:dyDescent="0.4">
      <c r="A211" s="66"/>
      <c r="B211" s="17" t="s">
        <v>389</v>
      </c>
      <c r="C211" s="117" t="s">
        <v>390</v>
      </c>
      <c r="D211" s="116" t="s">
        <v>389</v>
      </c>
      <c r="F211" s="114" t="str">
        <f>IF(NOT(ISBLANK(D211)),D211,IF(NOT(ISBLANK(E211)),"     "&amp;E211,FALSE))</f>
        <v>Afectación Económica o presupuestal</v>
      </c>
      <c r="G211" t="s">
        <v>389</v>
      </c>
      <c r="H211" t="str">
        <f>IF(NOT(ISERROR(MATCH(G211,_xlfn.ANCHORARRAY(B222),0))),F224&amp;"Por favor no seleccionar los criterios de impacto",G211)</f>
        <v>❌Por favor no seleccionar los criterios de impacto</v>
      </c>
    </row>
    <row r="212" spans="1:8" ht="21" x14ac:dyDescent="0.4">
      <c r="A212" s="66"/>
      <c r="B212" s="17" t="s">
        <v>389</v>
      </c>
      <c r="C212" s="117" t="s">
        <v>363</v>
      </c>
      <c r="E212" t="s">
        <v>390</v>
      </c>
      <c r="F212" s="114" t="str">
        <f t="shared" ref="F212:F222" si="0">IF(NOT(ISBLANK(D212)),D212,IF(NOT(ISBLANK(E212)),"     "&amp;E212,FALSE))</f>
        <v xml:space="preserve">     Afectación menor a 130 SMLMV .</v>
      </c>
    </row>
    <row r="213" spans="1:8" ht="21" x14ac:dyDescent="0.4">
      <c r="A213" s="66"/>
      <c r="B213" s="17" t="s">
        <v>389</v>
      </c>
      <c r="C213" s="117" t="s">
        <v>366</v>
      </c>
      <c r="E213" t="s">
        <v>363</v>
      </c>
      <c r="F213" s="114" t="str">
        <f t="shared" si="0"/>
        <v xml:space="preserve">     Entre 130 y 650 SMLMV </v>
      </c>
    </row>
    <row r="214" spans="1:8" ht="21" x14ac:dyDescent="0.4">
      <c r="A214" s="66"/>
      <c r="B214" s="17" t="s">
        <v>389</v>
      </c>
      <c r="C214" s="117" t="s">
        <v>370</v>
      </c>
      <c r="E214" t="s">
        <v>366</v>
      </c>
      <c r="F214" s="114" t="str">
        <f t="shared" si="0"/>
        <v xml:space="preserve">     Entre 650 y 1300 SMLMV </v>
      </c>
    </row>
    <row r="215" spans="1:8" ht="21" x14ac:dyDescent="0.4">
      <c r="A215" s="66"/>
      <c r="B215" s="17" t="s">
        <v>389</v>
      </c>
      <c r="C215" s="117" t="s">
        <v>374</v>
      </c>
      <c r="E215" t="s">
        <v>370</v>
      </c>
      <c r="F215" s="114" t="str">
        <f t="shared" si="0"/>
        <v xml:space="preserve">     Entre 1300 y 6500 SMLMV </v>
      </c>
    </row>
    <row r="216" spans="1:8" ht="21" x14ac:dyDescent="0.4">
      <c r="A216" s="66"/>
      <c r="B216" s="17" t="s">
        <v>355</v>
      </c>
      <c r="C216" s="117" t="s">
        <v>360</v>
      </c>
      <c r="E216" t="s">
        <v>374</v>
      </c>
      <c r="F216" s="114" t="str">
        <f t="shared" si="0"/>
        <v xml:space="preserve">     Mayor a 6500 SMLMV </v>
      </c>
    </row>
    <row r="217" spans="1:8" ht="63" x14ac:dyDescent="0.4">
      <c r="A217" s="66"/>
      <c r="B217" s="17" t="s">
        <v>355</v>
      </c>
      <c r="C217" s="117" t="s">
        <v>364</v>
      </c>
      <c r="D217" s="116" t="s">
        <v>355</v>
      </c>
      <c r="F217" s="114" t="str">
        <f t="shared" si="0"/>
        <v>Pérdida Reputacional</v>
      </c>
    </row>
    <row r="218" spans="1:8" ht="42" x14ac:dyDescent="0.4">
      <c r="A218" s="66"/>
      <c r="B218" s="17" t="s">
        <v>355</v>
      </c>
      <c r="C218" s="117" t="s">
        <v>367</v>
      </c>
      <c r="D218" s="116"/>
      <c r="E218" s="118" t="s">
        <v>360</v>
      </c>
      <c r="F218" s="114" t="str">
        <f t="shared" si="0"/>
        <v xml:space="preserve">     El riesgo afecta la imagen de alguna área de la organización</v>
      </c>
    </row>
    <row r="219" spans="1:8" ht="63" x14ac:dyDescent="0.4">
      <c r="A219" s="66"/>
      <c r="B219" s="17" t="s">
        <v>355</v>
      </c>
      <c r="C219" s="117" t="s">
        <v>391</v>
      </c>
      <c r="D219" s="116"/>
      <c r="E219" s="118" t="s">
        <v>364</v>
      </c>
      <c r="F219" s="114" t="str">
        <f t="shared" si="0"/>
        <v xml:space="preserve">     El riesgo afecta la imagen de la entidad internamente, de conocimiento general, nivel interno, de junta dircetiva y accionistas y/o de provedores</v>
      </c>
    </row>
    <row r="220" spans="1:8" ht="42" x14ac:dyDescent="0.4">
      <c r="A220" s="66"/>
      <c r="B220" s="17" t="s">
        <v>355</v>
      </c>
      <c r="C220" s="117" t="s">
        <v>375</v>
      </c>
      <c r="D220" s="116"/>
      <c r="E220" s="118" t="s">
        <v>367</v>
      </c>
      <c r="F220" s="114" t="str">
        <f t="shared" si="0"/>
        <v xml:space="preserve">     El riesgo afecta la imagen de la entidad con algunos usuarios de relevancia frente al logro de los objetivos</v>
      </c>
    </row>
    <row r="221" spans="1:8" ht="43.2" x14ac:dyDescent="0.3">
      <c r="A221" s="66"/>
      <c r="B221" s="18"/>
      <c r="C221" s="18"/>
      <c r="D221" s="116"/>
      <c r="E221" s="118" t="s">
        <v>391</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375</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392</v>
      </c>
    </row>
    <row r="225" spans="2:6" x14ac:dyDescent="0.3">
      <c r="B225" s="14"/>
      <c r="C225" s="14"/>
      <c r="F225" s="115" t="s">
        <v>393</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48" t="s">
        <v>394</v>
      </c>
      <c r="C3" s="155" t="s">
        <v>395</v>
      </c>
      <c r="D3" s="153" t="s">
        <v>396</v>
      </c>
      <c r="AX3" t="s">
        <v>394</v>
      </c>
    </row>
    <row r="4" spans="2:50" ht="34.799999999999997" thickBot="1" x14ac:dyDescent="0.35">
      <c r="B4" s="549"/>
      <c r="C4" s="156" t="s">
        <v>397</v>
      </c>
      <c r="D4" s="154" t="s">
        <v>398</v>
      </c>
      <c r="AX4" t="s">
        <v>146</v>
      </c>
    </row>
    <row r="5" spans="2:50" ht="34.799999999999997" thickBot="1" x14ac:dyDescent="0.35">
      <c r="B5" s="549"/>
      <c r="C5" s="156" t="s">
        <v>399</v>
      </c>
      <c r="D5" s="154" t="s">
        <v>400</v>
      </c>
      <c r="AX5" t="s">
        <v>401</v>
      </c>
    </row>
    <row r="6" spans="2:50" ht="23.4" thickBot="1" x14ac:dyDescent="0.35">
      <c r="B6" s="550"/>
      <c r="C6" s="156" t="s">
        <v>402</v>
      </c>
      <c r="D6" s="154" t="s">
        <v>403</v>
      </c>
    </row>
    <row r="7" spans="2:50" ht="34.799999999999997" thickBot="1" x14ac:dyDescent="0.35">
      <c r="B7" s="548" t="s">
        <v>146</v>
      </c>
      <c r="C7" s="156" t="s">
        <v>404</v>
      </c>
      <c r="D7" s="154" t="s">
        <v>405</v>
      </c>
    </row>
    <row r="8" spans="2:50" ht="91.8" thickBot="1" x14ac:dyDescent="0.35">
      <c r="B8" s="549"/>
      <c r="C8" s="156" t="s">
        <v>406</v>
      </c>
      <c r="D8" s="154" t="s">
        <v>407</v>
      </c>
    </row>
    <row r="9" spans="2:50" ht="46.2" thickBot="1" x14ac:dyDescent="0.35">
      <c r="B9" s="550"/>
      <c r="C9" s="156" t="s">
        <v>150</v>
      </c>
      <c r="D9" s="154" t="s">
        <v>408</v>
      </c>
    </row>
    <row r="10" spans="2:50" x14ac:dyDescent="0.3">
      <c r="B10" s="548" t="s">
        <v>401</v>
      </c>
      <c r="C10" s="157"/>
      <c r="D10" s="551" t="s">
        <v>409</v>
      </c>
    </row>
    <row r="11" spans="2:50" x14ac:dyDescent="0.3">
      <c r="B11" s="549"/>
      <c r="C11" s="157" t="s">
        <v>153</v>
      </c>
      <c r="D11" s="552"/>
    </row>
    <row r="12" spans="2:50" ht="15" thickBot="1" x14ac:dyDescent="0.35">
      <c r="B12" s="549"/>
      <c r="C12" s="156"/>
      <c r="D12" s="553"/>
    </row>
    <row r="13" spans="2:50" ht="22.5" customHeight="1" x14ac:dyDescent="0.3">
      <c r="B13" s="549"/>
      <c r="C13" s="157"/>
      <c r="D13" s="551" t="s">
        <v>410</v>
      </c>
    </row>
    <row r="14" spans="2:50" ht="22.5" customHeight="1" x14ac:dyDescent="0.3">
      <c r="B14" s="549"/>
      <c r="C14" s="157" t="s">
        <v>152</v>
      </c>
      <c r="D14" s="552"/>
    </row>
    <row r="15" spans="2:50" ht="22.5" customHeight="1" thickBot="1" x14ac:dyDescent="0.35">
      <c r="B15" s="549"/>
      <c r="C15" s="156"/>
      <c r="D15" s="553"/>
    </row>
    <row r="16" spans="2:50" ht="25.5" customHeight="1" x14ac:dyDescent="0.3">
      <c r="B16" s="549"/>
      <c r="C16" s="157"/>
      <c r="D16" s="551" t="s">
        <v>411</v>
      </c>
    </row>
    <row r="17" spans="2:4" ht="25.5" customHeight="1" x14ac:dyDescent="0.3">
      <c r="B17" s="549"/>
      <c r="C17" s="157" t="s">
        <v>154</v>
      </c>
      <c r="D17" s="552"/>
    </row>
    <row r="18" spans="2:4" ht="25.5" customHeight="1" thickBot="1" x14ac:dyDescent="0.35">
      <c r="B18" s="550"/>
      <c r="C18" s="156"/>
      <c r="D18" s="553"/>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topLeftCell="A3" zoomScale="110" zoomScaleNormal="110" workbookViewId="0">
      <selection activeCell="C14" sqref="C14"/>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75" t="s">
        <v>412</v>
      </c>
    </row>
    <row r="2" spans="3:6" ht="15" thickBot="1" x14ac:dyDescent="0.35">
      <c r="C2" s="173" t="s">
        <v>413</v>
      </c>
      <c r="E2" s="176" t="s">
        <v>159</v>
      </c>
      <c r="F2" s="177" t="s">
        <v>160</v>
      </c>
    </row>
    <row r="3" spans="3:6" ht="15" thickBot="1" x14ac:dyDescent="0.35">
      <c r="C3" s="173" t="s">
        <v>414</v>
      </c>
      <c r="E3" s="315" t="s">
        <v>158</v>
      </c>
      <c r="F3" s="162" t="s">
        <v>162</v>
      </c>
    </row>
    <row r="4" spans="3:6" ht="15" thickBot="1" x14ac:dyDescent="0.35">
      <c r="C4" s="173" t="s">
        <v>415</v>
      </c>
      <c r="E4" s="313"/>
      <c r="F4" s="162" t="s">
        <v>164</v>
      </c>
    </row>
    <row r="5" spans="3:6" ht="15" thickBot="1" x14ac:dyDescent="0.35">
      <c r="C5" s="173" t="s">
        <v>416</v>
      </c>
      <c r="E5" s="313"/>
      <c r="F5" s="162" t="s">
        <v>166</v>
      </c>
    </row>
    <row r="6" spans="3:6" ht="15" thickBot="1" x14ac:dyDescent="0.35">
      <c r="C6" s="173" t="s">
        <v>417</v>
      </c>
      <c r="E6" s="313"/>
      <c r="F6" s="162" t="s">
        <v>168</v>
      </c>
    </row>
    <row r="7" spans="3:6" ht="15" thickBot="1" x14ac:dyDescent="0.35">
      <c r="C7" s="174" t="s">
        <v>418</v>
      </c>
      <c r="E7" s="313"/>
      <c r="F7" s="162" t="s">
        <v>169</v>
      </c>
    </row>
    <row r="8" spans="3:6" ht="15" thickBot="1" x14ac:dyDescent="0.35">
      <c r="C8" s="173" t="s">
        <v>419</v>
      </c>
      <c r="E8" s="314"/>
      <c r="F8" s="162" t="s">
        <v>170</v>
      </c>
    </row>
    <row r="9" spans="3:6" ht="15" thickBot="1" x14ac:dyDescent="0.35">
      <c r="C9" s="173" t="s">
        <v>420</v>
      </c>
      <c r="E9" s="312" t="s">
        <v>167</v>
      </c>
      <c r="F9" s="162" t="s">
        <v>171</v>
      </c>
    </row>
    <row r="10" spans="3:6" ht="15" thickBot="1" x14ac:dyDescent="0.35">
      <c r="C10" s="172" t="s">
        <v>421</v>
      </c>
      <c r="E10" s="313"/>
      <c r="F10" s="162" t="s">
        <v>172</v>
      </c>
    </row>
    <row r="11" spans="3:6" ht="15" thickBot="1" x14ac:dyDescent="0.35">
      <c r="C11" s="248" t="s">
        <v>422</v>
      </c>
      <c r="E11" s="313"/>
      <c r="F11" s="162" t="s">
        <v>173</v>
      </c>
    </row>
    <row r="12" spans="3:6" ht="15" thickBot="1" x14ac:dyDescent="0.35">
      <c r="E12" s="313"/>
      <c r="F12" s="162" t="s">
        <v>174</v>
      </c>
    </row>
    <row r="13" spans="3:6" ht="15" thickBot="1" x14ac:dyDescent="0.35">
      <c r="E13" s="314"/>
      <c r="F13" s="162" t="s">
        <v>175</v>
      </c>
    </row>
    <row r="14" spans="3:6" ht="23.4" thickBot="1" x14ac:dyDescent="0.35">
      <c r="E14" s="312" t="s">
        <v>163</v>
      </c>
      <c r="F14" s="162" t="s">
        <v>176</v>
      </c>
    </row>
    <row r="15" spans="3:6" ht="15" thickBot="1" x14ac:dyDescent="0.35">
      <c r="E15" s="313"/>
      <c r="F15" s="162" t="s">
        <v>177</v>
      </c>
    </row>
    <row r="16" spans="3:6" ht="15" thickBot="1" x14ac:dyDescent="0.35">
      <c r="E16" s="314"/>
      <c r="F16" s="162" t="s">
        <v>178</v>
      </c>
    </row>
    <row r="17" spans="5:6" ht="15" thickBot="1" x14ac:dyDescent="0.35">
      <c r="E17" s="312" t="s">
        <v>165</v>
      </c>
      <c r="F17" s="162" t="s">
        <v>179</v>
      </c>
    </row>
    <row r="18" spans="5:6" ht="15" thickBot="1" x14ac:dyDescent="0.35">
      <c r="E18" s="313"/>
      <c r="F18" s="162" t="s">
        <v>180</v>
      </c>
    </row>
    <row r="19" spans="5:6" ht="15" thickBot="1" x14ac:dyDescent="0.35">
      <c r="E19" s="314"/>
      <c r="F19" s="162" t="s">
        <v>181</v>
      </c>
    </row>
    <row r="20" spans="5:6" ht="23.4" thickBot="1" x14ac:dyDescent="0.35">
      <c r="E20" s="312" t="s">
        <v>156</v>
      </c>
      <c r="F20" s="162" t="s">
        <v>182</v>
      </c>
    </row>
    <row r="21" spans="5:6" ht="15" thickBot="1" x14ac:dyDescent="0.35">
      <c r="E21" s="313"/>
      <c r="F21" s="162" t="s">
        <v>183</v>
      </c>
    </row>
    <row r="22" spans="5:6" ht="15" thickBot="1" x14ac:dyDescent="0.35">
      <c r="E22" s="313"/>
      <c r="F22" s="162" t="s">
        <v>184</v>
      </c>
    </row>
    <row r="23" spans="5:6" ht="15" thickBot="1" x14ac:dyDescent="0.35">
      <c r="E23" s="313"/>
      <c r="F23" s="162" t="s">
        <v>185</v>
      </c>
    </row>
    <row r="24" spans="5:6" ht="15" thickBot="1" x14ac:dyDescent="0.35">
      <c r="E24" s="313"/>
      <c r="F24" s="162" t="s">
        <v>186</v>
      </c>
    </row>
    <row r="25" spans="5:6" ht="23.4" thickBot="1" x14ac:dyDescent="0.35">
      <c r="E25" s="313"/>
      <c r="F25" s="162" t="s">
        <v>187</v>
      </c>
    </row>
    <row r="26" spans="5:6" ht="15" thickBot="1" x14ac:dyDescent="0.35">
      <c r="E26" s="313"/>
      <c r="F26" s="162" t="s">
        <v>188</v>
      </c>
    </row>
    <row r="27" spans="5:6" ht="23.4" thickBot="1" x14ac:dyDescent="0.35">
      <c r="E27" s="313"/>
      <c r="F27" s="162" t="s">
        <v>189</v>
      </c>
    </row>
    <row r="28" spans="5:6" ht="15" thickBot="1" x14ac:dyDescent="0.35">
      <c r="E28" s="313"/>
      <c r="F28" s="162" t="s">
        <v>190</v>
      </c>
    </row>
    <row r="29" spans="5:6" ht="15" thickBot="1" x14ac:dyDescent="0.35">
      <c r="E29" s="313"/>
      <c r="F29" s="162" t="s">
        <v>191</v>
      </c>
    </row>
    <row r="30" spans="5:6" ht="15" thickBot="1" x14ac:dyDescent="0.35">
      <c r="E30" s="314"/>
      <c r="F30" s="162" t="s">
        <v>192</v>
      </c>
    </row>
    <row r="31" spans="5:6" ht="15" thickBot="1" x14ac:dyDescent="0.35">
      <c r="E31" s="312" t="s">
        <v>161</v>
      </c>
      <c r="F31" s="162" t="s">
        <v>193</v>
      </c>
    </row>
    <row r="32" spans="5:6" ht="15" thickBot="1" x14ac:dyDescent="0.35">
      <c r="E32" s="313"/>
      <c r="F32" s="162" t="s">
        <v>194</v>
      </c>
    </row>
    <row r="33" spans="5:6" ht="15" thickBot="1" x14ac:dyDescent="0.35">
      <c r="E33" s="313"/>
      <c r="F33" s="162" t="s">
        <v>195</v>
      </c>
    </row>
    <row r="34" spans="5:6" ht="15" thickBot="1" x14ac:dyDescent="0.35">
      <c r="E34" s="313"/>
      <c r="F34" s="162" t="s">
        <v>196</v>
      </c>
    </row>
    <row r="35" spans="5:6" ht="23.4" thickBot="1" x14ac:dyDescent="0.35">
      <c r="E35" s="314"/>
      <c r="F35" s="162" t="s">
        <v>197</v>
      </c>
    </row>
    <row r="36" spans="5:6" ht="15" thickBot="1" x14ac:dyDescent="0.35">
      <c r="E36" s="312" t="s">
        <v>155</v>
      </c>
      <c r="F36" s="162" t="s">
        <v>198</v>
      </c>
    </row>
    <row r="37" spans="5:6" ht="15" thickBot="1" x14ac:dyDescent="0.35">
      <c r="E37" s="313"/>
      <c r="F37" s="162" t="s">
        <v>199</v>
      </c>
    </row>
    <row r="38" spans="5:6" ht="15" thickBot="1" x14ac:dyDescent="0.35">
      <c r="E38" s="313"/>
      <c r="F38" s="162" t="s">
        <v>200</v>
      </c>
    </row>
    <row r="39" spans="5:6" ht="15" thickBot="1" x14ac:dyDescent="0.35">
      <c r="E39" s="313"/>
      <c r="F39" s="162" t="s">
        <v>201</v>
      </c>
    </row>
    <row r="40" spans="5:6" ht="15" thickBot="1" x14ac:dyDescent="0.35">
      <c r="E40" s="314"/>
      <c r="F40" s="162" t="s">
        <v>202</v>
      </c>
    </row>
    <row r="41" spans="5:6" ht="15" thickBot="1" x14ac:dyDescent="0.35">
      <c r="E41" s="312" t="s">
        <v>157</v>
      </c>
      <c r="F41" s="162" t="s">
        <v>203</v>
      </c>
    </row>
    <row r="42" spans="5:6" ht="15" thickBot="1" x14ac:dyDescent="0.35">
      <c r="E42" s="313"/>
      <c r="F42" s="162" t="s">
        <v>204</v>
      </c>
    </row>
    <row r="43" spans="5:6" ht="15" thickBot="1" x14ac:dyDescent="0.35">
      <c r="E43" s="313"/>
      <c r="F43" s="162" t="s">
        <v>205</v>
      </c>
    </row>
    <row r="44" spans="5:6" ht="15" thickBot="1" x14ac:dyDescent="0.35">
      <c r="E44" s="313"/>
      <c r="F44" s="162" t="s">
        <v>206</v>
      </c>
    </row>
    <row r="45" spans="5:6" ht="23.4" thickBot="1" x14ac:dyDescent="0.35">
      <c r="E45" s="314"/>
      <c r="F45" s="162" t="s">
        <v>207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7"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54" t="s">
        <v>423</v>
      </c>
      <c r="C1" s="555"/>
      <c r="D1" s="555"/>
      <c r="E1" s="555"/>
      <c r="F1" s="556"/>
    </row>
    <row r="2" spans="2:6" ht="16.2" thickBot="1" x14ac:dyDescent="0.35">
      <c r="B2" s="72"/>
      <c r="C2" s="72"/>
      <c r="D2" s="72"/>
      <c r="E2" s="72"/>
      <c r="F2" s="72"/>
    </row>
    <row r="3" spans="2:6" ht="16.2" thickBot="1" x14ac:dyDescent="0.35">
      <c r="B3" s="558" t="s">
        <v>424</v>
      </c>
      <c r="C3" s="559"/>
      <c r="D3" s="559"/>
      <c r="E3" s="84" t="s">
        <v>425</v>
      </c>
      <c r="F3" s="85" t="s">
        <v>426</v>
      </c>
    </row>
    <row r="4" spans="2:6" ht="31.2" x14ac:dyDescent="0.3">
      <c r="B4" s="560" t="s">
        <v>427</v>
      </c>
      <c r="C4" s="562" t="s">
        <v>248</v>
      </c>
      <c r="D4" s="73" t="s">
        <v>261</v>
      </c>
      <c r="E4" s="74" t="s">
        <v>428</v>
      </c>
      <c r="F4" s="75">
        <v>0.25</v>
      </c>
    </row>
    <row r="5" spans="2:6" ht="46.8" x14ac:dyDescent="0.3">
      <c r="B5" s="561"/>
      <c r="C5" s="563"/>
      <c r="D5" s="76" t="s">
        <v>280</v>
      </c>
      <c r="E5" s="77" t="s">
        <v>429</v>
      </c>
      <c r="F5" s="78">
        <v>0.15</v>
      </c>
    </row>
    <row r="6" spans="2:6" ht="46.8" x14ac:dyDescent="0.3">
      <c r="B6" s="561"/>
      <c r="C6" s="563"/>
      <c r="D6" s="76" t="s">
        <v>430</v>
      </c>
      <c r="E6" s="77" t="s">
        <v>431</v>
      </c>
      <c r="F6" s="78">
        <v>0.1</v>
      </c>
    </row>
    <row r="7" spans="2:6" ht="62.4" x14ac:dyDescent="0.3">
      <c r="B7" s="561"/>
      <c r="C7" s="563" t="s">
        <v>249</v>
      </c>
      <c r="D7" s="76" t="s">
        <v>283</v>
      </c>
      <c r="E7" s="77" t="s">
        <v>432</v>
      </c>
      <c r="F7" s="78">
        <v>0.25</v>
      </c>
    </row>
    <row r="8" spans="2:6" ht="31.2" x14ac:dyDescent="0.3">
      <c r="B8" s="561"/>
      <c r="C8" s="563"/>
      <c r="D8" s="76" t="s">
        <v>262</v>
      </c>
      <c r="E8" s="77" t="s">
        <v>433</v>
      </c>
      <c r="F8" s="78">
        <v>0.15</v>
      </c>
    </row>
    <row r="9" spans="2:6" ht="46.8" x14ac:dyDescent="0.3">
      <c r="B9" s="561" t="s">
        <v>434</v>
      </c>
      <c r="C9" s="563" t="s">
        <v>251</v>
      </c>
      <c r="D9" s="76" t="s">
        <v>263</v>
      </c>
      <c r="E9" s="77" t="s">
        <v>435</v>
      </c>
      <c r="F9" s="79" t="s">
        <v>436</v>
      </c>
    </row>
    <row r="10" spans="2:6" ht="46.8" x14ac:dyDescent="0.3">
      <c r="B10" s="561"/>
      <c r="C10" s="563"/>
      <c r="D10" s="76" t="s">
        <v>437</v>
      </c>
      <c r="E10" s="77" t="s">
        <v>438</v>
      </c>
      <c r="F10" s="79" t="s">
        <v>436</v>
      </c>
    </row>
    <row r="11" spans="2:6" ht="46.8" x14ac:dyDescent="0.3">
      <c r="B11" s="561"/>
      <c r="C11" s="563" t="s">
        <v>252</v>
      </c>
      <c r="D11" s="76" t="s">
        <v>264</v>
      </c>
      <c r="E11" s="77" t="s">
        <v>439</v>
      </c>
      <c r="F11" s="79" t="s">
        <v>436</v>
      </c>
    </row>
    <row r="12" spans="2:6" ht="46.8" x14ac:dyDescent="0.3">
      <c r="B12" s="561"/>
      <c r="C12" s="563"/>
      <c r="D12" s="76" t="s">
        <v>440</v>
      </c>
      <c r="E12" s="77" t="s">
        <v>441</v>
      </c>
      <c r="F12" s="79" t="s">
        <v>436</v>
      </c>
    </row>
    <row r="13" spans="2:6" ht="31.2" x14ac:dyDescent="0.3">
      <c r="B13" s="561"/>
      <c r="C13" s="563" t="s">
        <v>253</v>
      </c>
      <c r="D13" s="76" t="s">
        <v>265</v>
      </c>
      <c r="E13" s="77" t="s">
        <v>442</v>
      </c>
      <c r="F13" s="79" t="s">
        <v>436</v>
      </c>
    </row>
    <row r="14" spans="2:6" ht="16.2" thickBot="1" x14ac:dyDescent="0.35">
      <c r="B14" s="564"/>
      <c r="C14" s="565"/>
      <c r="D14" s="80" t="s">
        <v>443</v>
      </c>
      <c r="E14" s="81" t="s">
        <v>444</v>
      </c>
      <c r="F14" s="82" t="s">
        <v>436</v>
      </c>
    </row>
    <row r="15" spans="2:6" ht="49.5" customHeight="1" x14ac:dyDescent="0.3">
      <c r="B15" s="557" t="s">
        <v>445</v>
      </c>
      <c r="C15" s="557"/>
      <c r="D15" s="557"/>
      <c r="E15" s="557"/>
      <c r="F15" s="557"/>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261</v>
      </c>
    </row>
    <row r="4" spans="1:1" x14ac:dyDescent="0.3">
      <c r="A4" s="2" t="s">
        <v>280</v>
      </c>
    </row>
    <row r="5" spans="1:1" x14ac:dyDescent="0.3">
      <c r="A5" s="2" t="s">
        <v>430</v>
      </c>
    </row>
    <row r="6" spans="1:1" x14ac:dyDescent="0.3">
      <c r="A6" s="2" t="s">
        <v>283</v>
      </c>
    </row>
    <row r="7" spans="1:1" x14ac:dyDescent="0.3">
      <c r="A7" s="2" t="s">
        <v>262</v>
      </c>
    </row>
    <row r="8" spans="1:1" x14ac:dyDescent="0.3">
      <c r="A8" s="2" t="s">
        <v>263</v>
      </c>
    </row>
    <row r="9" spans="1:1" x14ac:dyDescent="0.3">
      <c r="A9" s="2" t="s">
        <v>437</v>
      </c>
    </row>
    <row r="10" spans="1:1" x14ac:dyDescent="0.3">
      <c r="A10" s="2" t="s">
        <v>264</v>
      </c>
    </row>
    <row r="11" spans="1:1" x14ac:dyDescent="0.3">
      <c r="A11" s="2" t="s">
        <v>440</v>
      </c>
    </row>
    <row r="12" spans="1:1" x14ac:dyDescent="0.3">
      <c r="A12" s="2" t="s">
        <v>446</v>
      </c>
    </row>
    <row r="13" spans="1:1" x14ac:dyDescent="0.3">
      <c r="A13" s="2" t="s">
        <v>447</v>
      </c>
    </row>
    <row r="14" spans="1:1" x14ac:dyDescent="0.3">
      <c r="A14" s="2" t="s">
        <v>448</v>
      </c>
    </row>
    <row r="16" spans="1:1" x14ac:dyDescent="0.3">
      <c r="A16" s="2" t="s">
        <v>449</v>
      </c>
    </row>
    <row r="17" spans="1:1" x14ac:dyDescent="0.3">
      <c r="A17" s="2" t="s">
        <v>117</v>
      </c>
    </row>
    <row r="18" spans="1:1" x14ac:dyDescent="0.3">
      <c r="A18" s="2" t="s">
        <v>119</v>
      </c>
    </row>
    <row r="20" spans="1:1" x14ac:dyDescent="0.3">
      <c r="A20" s="2" t="s">
        <v>129</v>
      </c>
    </row>
    <row r="21" spans="1:1" x14ac:dyDescent="0.3">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05" t="s">
        <v>90</v>
      </c>
      <c r="C2" s="305"/>
      <c r="D2" s="305"/>
      <c r="E2" s="306"/>
      <c r="F2" s="310" t="s">
        <v>91</v>
      </c>
    </row>
    <row r="3" spans="1:6" s="129" customFormat="1" ht="40.5" customHeight="1" thickBot="1" x14ac:dyDescent="0.45">
      <c r="A3" s="125"/>
      <c r="B3" s="307" t="s">
        <v>92</v>
      </c>
      <c r="C3" s="126" t="s">
        <v>93</v>
      </c>
      <c r="D3" s="127" t="s">
        <v>94</v>
      </c>
      <c r="E3" s="128" t="s">
        <v>95</v>
      </c>
      <c r="F3" s="311"/>
    </row>
    <row r="4" spans="1:6" s="129" customFormat="1" ht="228.75" customHeight="1" thickBot="1" x14ac:dyDescent="0.45">
      <c r="A4" s="125"/>
      <c r="B4" s="308"/>
      <c r="C4" s="130" t="s">
        <v>96</v>
      </c>
      <c r="D4" s="131" t="s">
        <v>97</v>
      </c>
      <c r="E4" s="163" t="s">
        <v>98</v>
      </c>
      <c r="F4" s="168" t="s">
        <v>99</v>
      </c>
    </row>
    <row r="5" spans="1:6" s="129" customFormat="1" ht="238.2" thickBot="1" x14ac:dyDescent="0.45">
      <c r="A5" s="125"/>
      <c r="B5" s="308"/>
      <c r="C5" s="132" t="s">
        <v>100</v>
      </c>
      <c r="D5" s="133" t="s">
        <v>101</v>
      </c>
      <c r="E5" s="164" t="s">
        <v>102</v>
      </c>
      <c r="F5" s="167" t="s">
        <v>103</v>
      </c>
    </row>
    <row r="6" spans="1:6" s="129" customFormat="1" ht="213.6" thickBot="1" x14ac:dyDescent="0.45">
      <c r="A6" s="125"/>
      <c r="B6" s="308"/>
      <c r="C6" s="134" t="s">
        <v>104</v>
      </c>
      <c r="D6" s="135" t="s">
        <v>105</v>
      </c>
      <c r="E6" s="165" t="s">
        <v>106</v>
      </c>
      <c r="F6" s="167"/>
    </row>
    <row r="7" spans="1:6" s="129" customFormat="1" ht="154.5" customHeight="1" thickBot="1" x14ac:dyDescent="0.45">
      <c r="A7" s="125"/>
      <c r="B7" s="308"/>
      <c r="C7" s="136" t="s">
        <v>107</v>
      </c>
      <c r="D7" s="137"/>
      <c r="E7" s="164"/>
      <c r="F7" s="167"/>
    </row>
    <row r="8" spans="1:6" s="129" customFormat="1" ht="151.80000000000001" thickBot="1" x14ac:dyDescent="0.45">
      <c r="A8" s="125"/>
      <c r="B8" s="308"/>
      <c r="C8" s="138" t="s">
        <v>108</v>
      </c>
      <c r="D8" s="135" t="s">
        <v>109</v>
      </c>
      <c r="E8" s="166" t="s">
        <v>110</v>
      </c>
      <c r="F8" s="167"/>
    </row>
    <row r="9" spans="1:6" s="129" customFormat="1" ht="142.19999999999999" thickBot="1" x14ac:dyDescent="0.45">
      <c r="A9" s="125"/>
      <c r="B9" s="308"/>
      <c r="C9" s="136" t="s">
        <v>111</v>
      </c>
      <c r="D9" s="133" t="s">
        <v>112</v>
      </c>
      <c r="E9" s="166" t="s">
        <v>113</v>
      </c>
      <c r="F9" s="167"/>
    </row>
    <row r="10" spans="1:6" s="141" customFormat="1" ht="241.2" thickBot="1" x14ac:dyDescent="0.5">
      <c r="A10" s="139"/>
      <c r="B10" s="308"/>
      <c r="C10" s="140" t="s">
        <v>114</v>
      </c>
      <c r="D10" s="133" t="s">
        <v>115</v>
      </c>
      <c r="E10" s="165" t="s">
        <v>116</v>
      </c>
      <c r="F10" s="169"/>
    </row>
    <row r="11" spans="1:6" s="141" customFormat="1" ht="28.8" thickBot="1" x14ac:dyDescent="0.5">
      <c r="A11" s="139"/>
      <c r="B11" s="309"/>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1"/>
  <sheetViews>
    <sheetView topLeftCell="A21" workbookViewId="0">
      <selection activeCell="B35" sqref="B35"/>
    </sheetView>
  </sheetViews>
  <sheetFormatPr baseColWidth="10" defaultColWidth="11.44140625" defaultRowHeight="14.4" x14ac:dyDescent="0.3"/>
  <cols>
    <col min="2" max="2" width="22.88671875" customWidth="1"/>
    <col min="6" max="6" width="17.109375" customWidth="1"/>
    <col min="7" max="7" width="29.33203125" customWidth="1"/>
  </cols>
  <sheetData>
    <row r="2" spans="1:8" x14ac:dyDescent="0.3">
      <c r="B2" t="s">
        <v>117</v>
      </c>
      <c r="E2" t="s">
        <v>118</v>
      </c>
    </row>
    <row r="3" spans="1:8" x14ac:dyDescent="0.3">
      <c r="B3" t="s">
        <v>119</v>
      </c>
      <c r="E3" t="s">
        <v>120</v>
      </c>
    </row>
    <row r="4" spans="1:8" x14ac:dyDescent="0.3">
      <c r="B4" t="s">
        <v>121</v>
      </c>
      <c r="E4" t="s">
        <v>122</v>
      </c>
    </row>
    <row r="5" spans="1:8" x14ac:dyDescent="0.3">
      <c r="B5" t="s">
        <v>123</v>
      </c>
    </row>
    <row r="7" spans="1:8" x14ac:dyDescent="0.3">
      <c r="F7" t="s">
        <v>124</v>
      </c>
      <c r="H7" t="s">
        <v>125</v>
      </c>
    </row>
    <row r="8" spans="1:8" x14ac:dyDescent="0.3">
      <c r="B8" t="s">
        <v>126</v>
      </c>
      <c r="F8" t="s">
        <v>127</v>
      </c>
      <c r="H8" t="s">
        <v>128</v>
      </c>
    </row>
    <row r="9" spans="1:8" x14ac:dyDescent="0.3">
      <c r="B9" t="s">
        <v>129</v>
      </c>
      <c r="F9" t="s">
        <v>130</v>
      </c>
      <c r="H9" t="s">
        <v>131</v>
      </c>
    </row>
    <row r="10" spans="1:8" ht="15" thickBot="1" x14ac:dyDescent="0.35">
      <c r="B10" t="s">
        <v>132</v>
      </c>
      <c r="H10" t="s">
        <v>133</v>
      </c>
    </row>
    <row r="11" spans="1:8" ht="15" thickBot="1" x14ac:dyDescent="0.35">
      <c r="A11" s="236" t="s">
        <v>23</v>
      </c>
      <c r="B11" s="237"/>
      <c r="C11" s="238"/>
      <c r="D11" s="239"/>
      <c r="H11" t="s">
        <v>134</v>
      </c>
    </row>
    <row r="12" spans="1:8" x14ac:dyDescent="0.3">
      <c r="A12" s="225" t="s">
        <v>135</v>
      </c>
      <c r="B12" s="226" t="s">
        <v>136</v>
      </c>
      <c r="D12" s="227"/>
      <c r="H12" t="s">
        <v>137</v>
      </c>
    </row>
    <row r="13" spans="1:8" x14ac:dyDescent="0.3">
      <c r="A13" s="225"/>
      <c r="B13" s="226" t="s">
        <v>138</v>
      </c>
      <c r="D13" s="227"/>
      <c r="H13" t="s">
        <v>139</v>
      </c>
    </row>
    <row r="14" spans="1:8" x14ac:dyDescent="0.3">
      <c r="A14" s="225"/>
      <c r="B14" s="226" t="s">
        <v>140</v>
      </c>
      <c r="D14" s="227"/>
      <c r="H14" t="s">
        <v>141</v>
      </c>
    </row>
    <row r="15" spans="1:8" x14ac:dyDescent="0.3">
      <c r="A15" s="225"/>
      <c r="B15" s="226" t="s">
        <v>142</v>
      </c>
      <c r="D15" s="227"/>
      <c r="H15" t="s">
        <v>143</v>
      </c>
    </row>
    <row r="16" spans="1:8" x14ac:dyDescent="0.3">
      <c r="A16" s="225"/>
      <c r="B16" s="226" t="s">
        <v>144</v>
      </c>
      <c r="D16" s="227"/>
      <c r="H16" t="s">
        <v>145</v>
      </c>
    </row>
    <row r="17" spans="1:8" x14ac:dyDescent="0.3">
      <c r="A17" s="228" t="s">
        <v>146</v>
      </c>
      <c r="B17" s="229" t="s">
        <v>147</v>
      </c>
      <c r="D17" s="227"/>
      <c r="H17" t="s">
        <v>148</v>
      </c>
    </row>
    <row r="18" spans="1:8" x14ac:dyDescent="0.3">
      <c r="A18" s="228"/>
      <c r="B18" s="229" t="s">
        <v>149</v>
      </c>
      <c r="D18" s="227"/>
      <c r="H18" t="s">
        <v>137</v>
      </c>
    </row>
    <row r="19" spans="1:8" x14ac:dyDescent="0.3">
      <c r="A19" s="228"/>
      <c r="B19" s="229" t="s">
        <v>150</v>
      </c>
      <c r="D19" s="227"/>
    </row>
    <row r="20" spans="1:8" x14ac:dyDescent="0.3">
      <c r="A20" s="230" t="s">
        <v>151</v>
      </c>
      <c r="B20" s="231" t="s">
        <v>152</v>
      </c>
      <c r="D20" s="227"/>
    </row>
    <row r="21" spans="1:8" x14ac:dyDescent="0.3">
      <c r="A21" s="230"/>
      <c r="B21" s="231" t="s">
        <v>153</v>
      </c>
      <c r="D21" s="227"/>
    </row>
    <row r="22" spans="1:8" ht="15" thickBot="1" x14ac:dyDescent="0.35">
      <c r="A22" s="232"/>
      <c r="B22" s="233" t="s">
        <v>154</v>
      </c>
      <c r="C22" s="234"/>
      <c r="D22" s="235"/>
    </row>
    <row r="25" spans="1:8" x14ac:dyDescent="0.3">
      <c r="B25" t="s">
        <v>155</v>
      </c>
    </row>
    <row r="26" spans="1:8" x14ac:dyDescent="0.3">
      <c r="B26" t="s">
        <v>156</v>
      </c>
    </row>
    <row r="27" spans="1:8" ht="15" thickBot="1" x14ac:dyDescent="0.35">
      <c r="B27" t="s">
        <v>157</v>
      </c>
    </row>
    <row r="28" spans="1:8" ht="15" thickBot="1" x14ac:dyDescent="0.35">
      <c r="B28" t="s">
        <v>158</v>
      </c>
      <c r="F28" s="160" t="s">
        <v>159</v>
      </c>
      <c r="G28" s="161" t="s">
        <v>160</v>
      </c>
    </row>
    <row r="29" spans="1:8" ht="15" thickBot="1" x14ac:dyDescent="0.35">
      <c r="B29" t="s">
        <v>161</v>
      </c>
      <c r="F29" s="315" t="s">
        <v>158</v>
      </c>
      <c r="G29" s="162" t="s">
        <v>162</v>
      </c>
    </row>
    <row r="30" spans="1:8" ht="15" thickBot="1" x14ac:dyDescent="0.35">
      <c r="B30" t="s">
        <v>163</v>
      </c>
      <c r="F30" s="313"/>
      <c r="G30" s="162" t="s">
        <v>164</v>
      </c>
    </row>
    <row r="31" spans="1:8" ht="15" thickBot="1" x14ac:dyDescent="0.35">
      <c r="B31" t="s">
        <v>165</v>
      </c>
      <c r="F31" s="313"/>
      <c r="G31" s="162" t="s">
        <v>166</v>
      </c>
    </row>
    <row r="32" spans="1:8" ht="15" thickBot="1" x14ac:dyDescent="0.35">
      <c r="B32" t="s">
        <v>167</v>
      </c>
      <c r="F32" s="313"/>
      <c r="G32" s="162" t="s">
        <v>168</v>
      </c>
    </row>
    <row r="33" spans="6:7" ht="15" thickBot="1" x14ac:dyDescent="0.35">
      <c r="F33" s="313"/>
      <c r="G33" s="162" t="s">
        <v>169</v>
      </c>
    </row>
    <row r="34" spans="6:7" ht="15" thickBot="1" x14ac:dyDescent="0.35">
      <c r="F34" s="314"/>
      <c r="G34" s="162" t="s">
        <v>170</v>
      </c>
    </row>
    <row r="35" spans="6:7" ht="15" thickBot="1" x14ac:dyDescent="0.35">
      <c r="F35" s="312" t="s">
        <v>167</v>
      </c>
      <c r="G35" s="162" t="s">
        <v>171</v>
      </c>
    </row>
    <row r="36" spans="6:7" ht="15" thickBot="1" x14ac:dyDescent="0.35">
      <c r="F36" s="313"/>
      <c r="G36" s="162" t="s">
        <v>172</v>
      </c>
    </row>
    <row r="37" spans="6:7" ht="15" thickBot="1" x14ac:dyDescent="0.35">
      <c r="F37" s="313"/>
      <c r="G37" s="162" t="s">
        <v>173</v>
      </c>
    </row>
    <row r="38" spans="6:7" ht="21.75" customHeight="1" thickBot="1" x14ac:dyDescent="0.35">
      <c r="F38" s="313"/>
      <c r="G38" s="162" t="s">
        <v>174</v>
      </c>
    </row>
    <row r="39" spans="6:7" ht="15" thickBot="1" x14ac:dyDescent="0.35">
      <c r="F39" s="314"/>
      <c r="G39" s="162" t="s">
        <v>175</v>
      </c>
    </row>
    <row r="40" spans="6:7" ht="45.75" customHeight="1" thickBot="1" x14ac:dyDescent="0.35">
      <c r="F40" s="312" t="s">
        <v>163</v>
      </c>
      <c r="G40" s="162" t="s">
        <v>176</v>
      </c>
    </row>
    <row r="41" spans="6:7" ht="15" thickBot="1" x14ac:dyDescent="0.35">
      <c r="F41" s="313"/>
      <c r="G41" s="162" t="s">
        <v>177</v>
      </c>
    </row>
    <row r="42" spans="6:7" ht="30" customHeight="1" thickBot="1" x14ac:dyDescent="0.35">
      <c r="F42" s="314"/>
      <c r="G42" s="162" t="s">
        <v>178</v>
      </c>
    </row>
    <row r="43" spans="6:7" ht="15" thickBot="1" x14ac:dyDescent="0.35">
      <c r="F43" s="312" t="s">
        <v>165</v>
      </c>
      <c r="G43" s="162" t="s">
        <v>179</v>
      </c>
    </row>
    <row r="44" spans="6:7" ht="15" thickBot="1" x14ac:dyDescent="0.35">
      <c r="F44" s="313"/>
      <c r="G44" s="162" t="s">
        <v>180</v>
      </c>
    </row>
    <row r="45" spans="6:7" ht="15" thickBot="1" x14ac:dyDescent="0.35">
      <c r="F45" s="314"/>
      <c r="G45" s="162" t="s">
        <v>181</v>
      </c>
    </row>
    <row r="46" spans="6:7" ht="23.4" thickBot="1" x14ac:dyDescent="0.35">
      <c r="F46" s="312" t="s">
        <v>156</v>
      </c>
      <c r="G46" s="162" t="s">
        <v>182</v>
      </c>
    </row>
    <row r="47" spans="6:7" ht="15" thickBot="1" x14ac:dyDescent="0.35">
      <c r="F47" s="313"/>
      <c r="G47" s="162" t="s">
        <v>183</v>
      </c>
    </row>
    <row r="48" spans="6:7" ht="15" thickBot="1" x14ac:dyDescent="0.35">
      <c r="F48" s="313"/>
      <c r="G48" s="162" t="s">
        <v>184</v>
      </c>
    </row>
    <row r="49" spans="6:7" ht="15" thickBot="1" x14ac:dyDescent="0.35">
      <c r="F49" s="313"/>
      <c r="G49" s="162" t="s">
        <v>185</v>
      </c>
    </row>
    <row r="50" spans="6:7" ht="15" thickBot="1" x14ac:dyDescent="0.35">
      <c r="F50" s="313"/>
      <c r="G50" s="162" t="s">
        <v>186</v>
      </c>
    </row>
    <row r="51" spans="6:7" ht="23.4" thickBot="1" x14ac:dyDescent="0.35">
      <c r="F51" s="313"/>
      <c r="G51" s="162" t="s">
        <v>187</v>
      </c>
    </row>
    <row r="52" spans="6:7" ht="15" thickBot="1" x14ac:dyDescent="0.35">
      <c r="F52" s="313"/>
      <c r="G52" s="162" t="s">
        <v>188</v>
      </c>
    </row>
    <row r="53" spans="6:7" ht="23.4" thickBot="1" x14ac:dyDescent="0.35">
      <c r="F53" s="313"/>
      <c r="G53" s="162" t="s">
        <v>189</v>
      </c>
    </row>
    <row r="54" spans="6:7" ht="15" thickBot="1" x14ac:dyDescent="0.35">
      <c r="F54" s="313"/>
      <c r="G54" s="162" t="s">
        <v>190</v>
      </c>
    </row>
    <row r="55" spans="6:7" ht="15" thickBot="1" x14ac:dyDescent="0.35">
      <c r="F55" s="313"/>
      <c r="G55" s="162" t="s">
        <v>191</v>
      </c>
    </row>
    <row r="56" spans="6:7" ht="15" thickBot="1" x14ac:dyDescent="0.35">
      <c r="F56" s="314"/>
      <c r="G56" s="162" t="s">
        <v>192</v>
      </c>
    </row>
    <row r="57" spans="6:7" ht="15" thickBot="1" x14ac:dyDescent="0.35">
      <c r="F57" s="312" t="s">
        <v>161</v>
      </c>
      <c r="G57" s="162" t="s">
        <v>193</v>
      </c>
    </row>
    <row r="58" spans="6:7" ht="15" thickBot="1" x14ac:dyDescent="0.35">
      <c r="F58" s="313"/>
      <c r="G58" s="162" t="s">
        <v>194</v>
      </c>
    </row>
    <row r="59" spans="6:7" ht="15" thickBot="1" x14ac:dyDescent="0.35">
      <c r="F59" s="313"/>
      <c r="G59" s="162" t="s">
        <v>195</v>
      </c>
    </row>
    <row r="60" spans="6:7" ht="15" thickBot="1" x14ac:dyDescent="0.35">
      <c r="F60" s="313"/>
      <c r="G60" s="162" t="s">
        <v>196</v>
      </c>
    </row>
    <row r="61" spans="6:7" ht="23.4" thickBot="1" x14ac:dyDescent="0.35">
      <c r="F61" s="314"/>
      <c r="G61" s="162" t="s">
        <v>197</v>
      </c>
    </row>
    <row r="62" spans="6:7" ht="15" thickBot="1" x14ac:dyDescent="0.35">
      <c r="F62" s="312" t="s">
        <v>155</v>
      </c>
      <c r="G62" s="162" t="s">
        <v>198</v>
      </c>
    </row>
    <row r="63" spans="6:7" ht="15" thickBot="1" x14ac:dyDescent="0.35">
      <c r="F63" s="313"/>
      <c r="G63" s="162" t="s">
        <v>199</v>
      </c>
    </row>
    <row r="64" spans="6:7" ht="15" thickBot="1" x14ac:dyDescent="0.35">
      <c r="F64" s="313"/>
      <c r="G64" s="162" t="s">
        <v>200</v>
      </c>
    </row>
    <row r="65" spans="6:7" ht="15" thickBot="1" x14ac:dyDescent="0.35">
      <c r="F65" s="313"/>
      <c r="G65" s="162" t="s">
        <v>201</v>
      </c>
    </row>
    <row r="66" spans="6:7" ht="15" thickBot="1" x14ac:dyDescent="0.35">
      <c r="F66" s="314"/>
      <c r="G66" s="162" t="s">
        <v>202</v>
      </c>
    </row>
    <row r="67" spans="6:7" ht="15" thickBot="1" x14ac:dyDescent="0.35">
      <c r="F67" s="312" t="s">
        <v>157</v>
      </c>
      <c r="G67" s="162" t="s">
        <v>203</v>
      </c>
    </row>
    <row r="68" spans="6:7" ht="15" thickBot="1" x14ac:dyDescent="0.35">
      <c r="F68" s="313"/>
      <c r="G68" s="162" t="s">
        <v>204</v>
      </c>
    </row>
    <row r="69" spans="6:7" ht="15" thickBot="1" x14ac:dyDescent="0.35">
      <c r="F69" s="313"/>
      <c r="G69" s="162" t="s">
        <v>205</v>
      </c>
    </row>
    <row r="70" spans="6:7" ht="15" thickBot="1" x14ac:dyDescent="0.35">
      <c r="F70" s="313"/>
      <c r="G70" s="162" t="s">
        <v>206</v>
      </c>
    </row>
    <row r="71" spans="6:7" ht="23.4" thickBot="1" x14ac:dyDescent="0.35">
      <c r="F71" s="314"/>
      <c r="G71" s="162" t="s">
        <v>207</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L76"/>
  <sheetViews>
    <sheetView tabSelected="1" topLeftCell="A11" zoomScale="70" zoomScaleNormal="70" zoomScaleSheetLayoutView="50" zoomScalePageLayoutView="60" workbookViewId="0">
      <selection activeCell="A13" sqref="A13:A18"/>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32.44140625" style="218" customWidth="1"/>
    <col min="5" max="5" width="51.109375" style="218" customWidth="1"/>
    <col min="6" max="6" width="21" style="198" customWidth="1"/>
    <col min="7" max="7" width="17.6640625" style="198" customWidth="1"/>
    <col min="8" max="8" width="24.33203125" style="198" customWidth="1"/>
    <col min="9" max="10" width="29.44140625" style="198" customWidth="1"/>
    <col min="11" max="11" width="24.33203125" style="198" customWidth="1"/>
    <col min="12" max="12" width="19.44140625" style="198" customWidth="1"/>
    <col min="13" max="13" width="20.5546875" style="198" customWidth="1"/>
    <col min="14" max="14" width="16.6640625" style="219" customWidth="1"/>
    <col min="15" max="15" width="16.6640625" style="198" customWidth="1"/>
    <col min="16" max="16" width="20.44140625" style="198" hidden="1" customWidth="1"/>
    <col min="17" max="17" width="12.88671875" style="198" customWidth="1"/>
    <col min="18" max="18" width="35.88671875" style="198" hidden="1" customWidth="1"/>
    <col min="19" max="19" width="19" style="198" customWidth="1"/>
    <col min="20" max="20" width="17.5546875" style="198" hidden="1" customWidth="1"/>
    <col min="21" max="21" width="15" style="198" customWidth="1"/>
    <col min="22" max="22" width="16" style="198" customWidth="1"/>
    <col min="23" max="23" width="55.5546875" style="198" customWidth="1"/>
    <col min="24" max="24" width="14.5546875" style="198" customWidth="1"/>
    <col min="25" max="25" width="5.88671875" style="198" customWidth="1"/>
    <col min="26" max="26" width="6.88671875" style="198" customWidth="1"/>
    <col min="27" max="27" width="5" style="198" hidden="1" customWidth="1"/>
    <col min="28" max="28" width="5.5546875" style="198" customWidth="1"/>
    <col min="29" max="29" width="7.109375" style="198" customWidth="1"/>
    <col min="30" max="30" width="6.6640625" style="198" customWidth="1"/>
    <col min="31" max="31" width="7.5546875" style="198" hidden="1" customWidth="1"/>
    <col min="32" max="32" width="8.5546875" style="198" customWidth="1"/>
    <col min="33" max="37" width="10.88671875" style="198" customWidth="1"/>
    <col min="38" max="38" width="28.5546875" style="217" customWidth="1"/>
    <col min="39" max="39" width="23" style="198" customWidth="1"/>
    <col min="40" max="40" width="18.88671875" style="198" customWidth="1"/>
    <col min="41" max="41" width="23.6640625" style="198" customWidth="1"/>
    <col min="42" max="42" width="22.44140625" style="198" customWidth="1"/>
    <col min="43" max="43" width="18.5546875" style="198" customWidth="1"/>
    <col min="44" max="44" width="20.5546875" style="198" customWidth="1"/>
    <col min="45" max="16384" width="11.44140625" style="198"/>
  </cols>
  <sheetData>
    <row r="1" spans="1:272" s="201" customFormat="1" ht="21" x14ac:dyDescent="0.35">
      <c r="A1" s="330"/>
      <c r="B1" s="331"/>
      <c r="C1" s="332"/>
      <c r="D1" s="319" t="s">
        <v>208</v>
      </c>
      <c r="E1" s="320"/>
      <c r="F1" s="320"/>
      <c r="G1" s="320"/>
      <c r="H1" s="320"/>
      <c r="I1" s="320"/>
      <c r="J1" s="320"/>
      <c r="K1" s="320"/>
      <c r="L1" s="320"/>
      <c r="M1" s="320"/>
      <c r="N1" s="320"/>
      <c r="O1" s="320"/>
      <c r="P1" s="320"/>
      <c r="Q1" s="320"/>
      <c r="R1" s="320"/>
      <c r="S1" s="320"/>
      <c r="T1" s="321"/>
      <c r="U1" s="252"/>
      <c r="V1" s="252"/>
      <c r="W1" s="252"/>
      <c r="X1" s="346"/>
      <c r="Y1" s="346"/>
      <c r="Z1" s="346"/>
      <c r="AA1" s="346"/>
      <c r="AB1" s="346"/>
      <c r="AC1" s="346"/>
      <c r="AD1" s="346"/>
      <c r="AE1" s="346"/>
      <c r="AF1" s="346"/>
      <c r="AG1" s="346"/>
      <c r="AH1" s="346"/>
      <c r="AI1" s="346"/>
      <c r="AJ1" s="346"/>
      <c r="AK1" s="346"/>
      <c r="AL1" s="346"/>
      <c r="AM1" s="346"/>
      <c r="AN1" s="346"/>
      <c r="AO1" s="346"/>
      <c r="AP1" s="346"/>
      <c r="AQ1" s="346"/>
      <c r="AR1" s="34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6" thickBot="1" x14ac:dyDescent="0.4">
      <c r="A2" s="333"/>
      <c r="B2" s="334"/>
      <c r="C2" s="335"/>
      <c r="D2" s="322"/>
      <c r="E2" s="323"/>
      <c r="F2" s="323"/>
      <c r="G2" s="323"/>
      <c r="H2" s="323"/>
      <c r="I2" s="323"/>
      <c r="J2" s="323"/>
      <c r="K2" s="323"/>
      <c r="L2" s="323"/>
      <c r="M2" s="323"/>
      <c r="N2" s="323"/>
      <c r="O2" s="323"/>
      <c r="P2" s="323"/>
      <c r="Q2" s="323"/>
      <c r="R2" s="323"/>
      <c r="S2" s="323"/>
      <c r="T2" s="324"/>
      <c r="U2" s="252"/>
      <c r="V2" s="252"/>
      <c r="W2" s="252"/>
      <c r="X2" s="346"/>
      <c r="Y2" s="346"/>
      <c r="Z2" s="346"/>
      <c r="AA2" s="346"/>
      <c r="AB2" s="346"/>
      <c r="AC2" s="346"/>
      <c r="AD2" s="346"/>
      <c r="AE2" s="346"/>
      <c r="AF2" s="346"/>
      <c r="AG2" s="346"/>
      <c r="AH2" s="346"/>
      <c r="AI2" s="346"/>
      <c r="AJ2" s="346"/>
      <c r="AK2" s="346"/>
      <c r="AL2" s="346"/>
      <c r="AM2" s="346"/>
      <c r="AN2" s="346"/>
      <c r="AO2" s="346"/>
      <c r="AP2" s="346"/>
      <c r="AQ2" s="346"/>
      <c r="AR2" s="34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4">
      <c r="A3" s="333"/>
      <c r="B3" s="334"/>
      <c r="C3" s="335"/>
      <c r="D3" s="325" t="s">
        <v>209</v>
      </c>
      <c r="E3" s="326"/>
      <c r="F3" s="326"/>
      <c r="G3" s="326"/>
      <c r="H3" s="326"/>
      <c r="I3" s="327"/>
      <c r="J3" s="325" t="s">
        <v>210</v>
      </c>
      <c r="K3" s="326"/>
      <c r="L3" s="326"/>
      <c r="M3" s="326"/>
      <c r="N3" s="326"/>
      <c r="O3" s="326"/>
      <c r="P3" s="326"/>
      <c r="Q3" s="326"/>
      <c r="R3" s="326"/>
      <c r="S3" s="326"/>
      <c r="T3" s="327"/>
      <c r="U3" s="253"/>
      <c r="V3" s="253"/>
      <c r="W3" s="252"/>
      <c r="X3" s="347"/>
      <c r="Y3" s="347"/>
      <c r="Z3" s="347"/>
      <c r="AA3" s="347"/>
      <c r="AB3" s="347"/>
      <c r="AC3" s="347"/>
      <c r="AD3" s="347"/>
      <c r="AE3" s="347"/>
      <c r="AF3" s="347"/>
      <c r="AG3" s="347"/>
      <c r="AH3" s="347"/>
      <c r="AI3" s="347"/>
      <c r="AJ3" s="347"/>
      <c r="AK3" s="347"/>
      <c r="AL3" s="347"/>
      <c r="AM3" s="347"/>
      <c r="AN3" s="347"/>
      <c r="AO3" s="347"/>
      <c r="AP3" s="347"/>
      <c r="AQ3" s="347"/>
      <c r="AR3" s="34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4">
      <c r="A4" s="336"/>
      <c r="B4" s="337"/>
      <c r="C4" s="338"/>
      <c r="D4" s="325" t="s">
        <v>211</v>
      </c>
      <c r="E4" s="326"/>
      <c r="F4" s="326"/>
      <c r="G4" s="326"/>
      <c r="H4" s="326"/>
      <c r="I4" s="326"/>
      <c r="J4" s="326"/>
      <c r="K4" s="326"/>
      <c r="L4" s="326"/>
      <c r="M4" s="326"/>
      <c r="N4" s="326"/>
      <c r="O4" s="326"/>
      <c r="P4" s="326"/>
      <c r="Q4" s="326"/>
      <c r="R4" s="326"/>
      <c r="S4" s="326"/>
      <c r="T4" s="327"/>
      <c r="U4" s="252"/>
      <c r="V4" s="252"/>
      <c r="W4" s="252"/>
      <c r="X4" s="347"/>
      <c r="Y4" s="347"/>
      <c r="Z4" s="347"/>
      <c r="AA4" s="347"/>
      <c r="AB4" s="347"/>
      <c r="AC4" s="347"/>
      <c r="AD4" s="347"/>
      <c r="AE4" s="347"/>
      <c r="AF4" s="347"/>
      <c r="AG4" s="347"/>
      <c r="AH4" s="347"/>
      <c r="AI4" s="347"/>
      <c r="AJ4" s="347"/>
      <c r="AK4" s="347"/>
      <c r="AL4" s="347"/>
      <c r="AM4" s="347"/>
      <c r="AN4" s="347"/>
      <c r="AO4" s="347"/>
      <c r="AP4" s="347"/>
      <c r="AQ4" s="347"/>
      <c r="AR4" s="34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3">
      <c r="A6" s="348" t="s">
        <v>212</v>
      </c>
      <c r="B6" s="349"/>
      <c r="C6" s="355" t="s">
        <v>86</v>
      </c>
      <c r="D6" s="356"/>
      <c r="E6" s="356"/>
      <c r="F6" s="356"/>
      <c r="G6" s="356"/>
      <c r="H6" s="356"/>
      <c r="I6" s="356"/>
      <c r="J6" s="356"/>
      <c r="K6" s="356"/>
      <c r="L6" s="356"/>
      <c r="M6" s="356"/>
      <c r="N6" s="356"/>
      <c r="O6" s="356"/>
      <c r="P6" s="356"/>
      <c r="Q6" s="356"/>
      <c r="R6" s="356"/>
      <c r="S6" s="356"/>
      <c r="T6" s="357"/>
      <c r="U6" s="255"/>
      <c r="V6" s="255"/>
      <c r="W6" s="354"/>
      <c r="X6" s="354"/>
      <c r="Y6" s="354"/>
      <c r="Z6" s="345"/>
      <c r="AA6" s="345"/>
      <c r="AB6" s="345"/>
      <c r="AC6" s="345"/>
      <c r="AD6" s="345"/>
      <c r="AE6" s="345"/>
      <c r="AF6" s="345"/>
      <c r="AG6" s="345"/>
      <c r="AH6" s="345"/>
      <c r="AI6" s="345"/>
      <c r="AJ6" s="345"/>
      <c r="AK6" s="345"/>
      <c r="AL6" s="345"/>
      <c r="AM6" s="345"/>
      <c r="AN6" s="345"/>
      <c r="AO6" s="345"/>
      <c r="AP6" s="345"/>
      <c r="AQ6" s="345"/>
      <c r="AR6" s="34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43.5" customHeight="1" thickBot="1" x14ac:dyDescent="0.35">
      <c r="A7" s="350" t="s">
        <v>213</v>
      </c>
      <c r="B7" s="351"/>
      <c r="C7" s="316" t="s">
        <v>214</v>
      </c>
      <c r="D7" s="317"/>
      <c r="E7" s="317"/>
      <c r="F7" s="317"/>
      <c r="G7" s="317"/>
      <c r="H7" s="317"/>
      <c r="I7" s="317"/>
      <c r="J7" s="317"/>
      <c r="K7" s="317"/>
      <c r="L7" s="317"/>
      <c r="M7" s="317"/>
      <c r="N7" s="317"/>
      <c r="O7" s="317"/>
      <c r="P7" s="317"/>
      <c r="Q7" s="317"/>
      <c r="R7" s="317"/>
      <c r="S7" s="317"/>
      <c r="T7" s="318"/>
      <c r="U7" s="256"/>
      <c r="V7" s="256"/>
      <c r="W7" s="257"/>
      <c r="X7" s="257"/>
      <c r="Y7" s="257"/>
      <c r="Z7" s="345"/>
      <c r="AA7" s="345"/>
      <c r="AB7" s="345"/>
      <c r="AC7" s="345"/>
      <c r="AD7" s="345"/>
      <c r="AE7" s="345"/>
      <c r="AF7" s="345"/>
      <c r="AG7" s="345"/>
      <c r="AH7" s="345"/>
      <c r="AI7" s="345"/>
      <c r="AJ7" s="345"/>
      <c r="AK7" s="345"/>
      <c r="AL7" s="345"/>
      <c r="AM7" s="345"/>
      <c r="AN7" s="345"/>
      <c r="AO7" s="345"/>
      <c r="AP7" s="345"/>
      <c r="AQ7" s="345"/>
      <c r="AR7" s="34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5">
      <c r="A8" s="352" t="s">
        <v>215</v>
      </c>
      <c r="B8" s="353"/>
      <c r="C8" s="316" t="s">
        <v>216</v>
      </c>
      <c r="D8" s="317"/>
      <c r="E8" s="317"/>
      <c r="F8" s="317"/>
      <c r="G8" s="317"/>
      <c r="H8" s="317"/>
      <c r="I8" s="317"/>
      <c r="J8" s="317"/>
      <c r="K8" s="317"/>
      <c r="L8" s="317"/>
      <c r="M8" s="317"/>
      <c r="N8" s="317"/>
      <c r="O8" s="317"/>
      <c r="P8" s="317"/>
      <c r="Q8" s="317"/>
      <c r="R8" s="317"/>
      <c r="S8" s="317"/>
      <c r="T8" s="318"/>
      <c r="U8" s="256"/>
      <c r="V8" s="256"/>
      <c r="W8" s="257"/>
      <c r="X8" s="257"/>
      <c r="Y8" s="257"/>
      <c r="Z8" s="345"/>
      <c r="AA8" s="345"/>
      <c r="AB8" s="345"/>
      <c r="AC8" s="345"/>
      <c r="AD8" s="345"/>
      <c r="AE8" s="345"/>
      <c r="AF8" s="345"/>
      <c r="AG8" s="345"/>
      <c r="AH8" s="345"/>
      <c r="AI8" s="345"/>
      <c r="AJ8" s="345"/>
      <c r="AK8" s="345"/>
      <c r="AL8" s="345"/>
      <c r="AM8" s="345"/>
      <c r="AN8" s="345"/>
      <c r="AO8" s="345"/>
      <c r="AP8" s="345"/>
      <c r="AQ8" s="345"/>
      <c r="AR8" s="34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5">
      <c r="A10" s="360" t="s">
        <v>217</v>
      </c>
      <c r="B10" s="361"/>
      <c r="C10" s="361"/>
      <c r="D10" s="361"/>
      <c r="E10" s="361"/>
      <c r="F10" s="362"/>
      <c r="G10" s="378" t="s">
        <v>218</v>
      </c>
      <c r="H10" s="379"/>
      <c r="I10" s="379"/>
      <c r="J10" s="379"/>
      <c r="K10" s="380"/>
      <c r="L10" s="387" t="s">
        <v>219</v>
      </c>
      <c r="M10" s="388"/>
      <c r="N10" s="381" t="s">
        <v>220</v>
      </c>
      <c r="O10" s="382"/>
      <c r="P10" s="382"/>
      <c r="Q10" s="382"/>
      <c r="R10" s="382"/>
      <c r="S10" s="382"/>
      <c r="T10" s="382"/>
      <c r="U10" s="382"/>
      <c r="V10" s="383"/>
      <c r="W10" s="389" t="s">
        <v>221</v>
      </c>
      <c r="X10" s="389"/>
      <c r="Y10" s="389"/>
      <c r="Z10" s="389"/>
      <c r="AA10" s="389"/>
      <c r="AB10" s="389"/>
      <c r="AC10" s="389"/>
      <c r="AD10" s="389"/>
      <c r="AE10" s="389"/>
      <c r="AF10" s="384" t="s">
        <v>222</v>
      </c>
      <c r="AG10" s="385"/>
      <c r="AH10" s="385"/>
      <c r="AI10" s="385"/>
      <c r="AJ10" s="386"/>
      <c r="AK10" s="381" t="s">
        <v>223</v>
      </c>
      <c r="AL10" s="382"/>
      <c r="AM10" s="382"/>
      <c r="AN10" s="382"/>
      <c r="AO10" s="383"/>
      <c r="AP10" s="381" t="s">
        <v>224</v>
      </c>
      <c r="AQ10" s="382"/>
      <c r="AR10" s="383"/>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6" x14ac:dyDescent="0.25">
      <c r="A11" s="370" t="s">
        <v>225</v>
      </c>
      <c r="B11" s="371" t="s">
        <v>15</v>
      </c>
      <c r="C11" s="364" t="s">
        <v>17</v>
      </c>
      <c r="D11" s="364" t="s">
        <v>19</v>
      </c>
      <c r="E11" s="371" t="s">
        <v>21</v>
      </c>
      <c r="F11" s="364" t="s">
        <v>23</v>
      </c>
      <c r="G11" s="373" t="s">
        <v>124</v>
      </c>
      <c r="H11" s="373" t="s">
        <v>226</v>
      </c>
      <c r="I11" s="373" t="s">
        <v>227</v>
      </c>
      <c r="J11" s="373" t="s">
        <v>228</v>
      </c>
      <c r="K11" s="373" t="s">
        <v>229</v>
      </c>
      <c r="L11" s="387"/>
      <c r="M11" s="388"/>
      <c r="N11" s="375" t="s">
        <v>230</v>
      </c>
      <c r="O11" s="375" t="s">
        <v>231</v>
      </c>
      <c r="P11" s="363" t="s">
        <v>232</v>
      </c>
      <c r="Q11" s="375" t="s">
        <v>233</v>
      </c>
      <c r="R11" s="375" t="s">
        <v>234</v>
      </c>
      <c r="S11" s="375" t="s">
        <v>235</v>
      </c>
      <c r="T11" s="363" t="s">
        <v>232</v>
      </c>
      <c r="U11" s="375" t="s">
        <v>29</v>
      </c>
      <c r="V11" s="376" t="s">
        <v>236</v>
      </c>
      <c r="W11" s="375" t="s">
        <v>31</v>
      </c>
      <c r="X11" s="375" t="s">
        <v>33</v>
      </c>
      <c r="Y11" s="375" t="s">
        <v>237</v>
      </c>
      <c r="Z11" s="375"/>
      <c r="AA11" s="375"/>
      <c r="AB11" s="375"/>
      <c r="AC11" s="375"/>
      <c r="AD11" s="375"/>
      <c r="AE11" s="376" t="s">
        <v>238</v>
      </c>
      <c r="AF11" s="376" t="s">
        <v>239</v>
      </c>
      <c r="AG11" s="376" t="s">
        <v>232</v>
      </c>
      <c r="AH11" s="376" t="s">
        <v>240</v>
      </c>
      <c r="AI11" s="376" t="s">
        <v>232</v>
      </c>
      <c r="AJ11" s="376" t="s">
        <v>241</v>
      </c>
      <c r="AK11" s="376" t="s">
        <v>49</v>
      </c>
      <c r="AL11" s="375" t="s">
        <v>242</v>
      </c>
      <c r="AM11" s="375" t="s">
        <v>243</v>
      </c>
      <c r="AN11" s="375" t="s">
        <v>244</v>
      </c>
      <c r="AO11" s="375" t="s">
        <v>245</v>
      </c>
      <c r="AP11" s="375" t="s">
        <v>242</v>
      </c>
      <c r="AQ11" s="375" t="s">
        <v>244</v>
      </c>
      <c r="AR11" s="375" t="s">
        <v>243</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94.8" x14ac:dyDescent="0.3">
      <c r="A12" s="370"/>
      <c r="B12" s="371"/>
      <c r="C12" s="364"/>
      <c r="D12" s="364"/>
      <c r="E12" s="371"/>
      <c r="F12" s="364"/>
      <c r="G12" s="374"/>
      <c r="H12" s="374"/>
      <c r="I12" s="374"/>
      <c r="J12" s="374"/>
      <c r="K12" s="374"/>
      <c r="L12" s="250" t="s">
        <v>246</v>
      </c>
      <c r="M12" s="250" t="s">
        <v>247</v>
      </c>
      <c r="N12" s="375"/>
      <c r="O12" s="375"/>
      <c r="P12" s="363"/>
      <c r="Q12" s="375"/>
      <c r="R12" s="375"/>
      <c r="S12" s="363"/>
      <c r="T12" s="363"/>
      <c r="U12" s="375"/>
      <c r="V12" s="376"/>
      <c r="W12" s="375"/>
      <c r="X12" s="375"/>
      <c r="Y12" s="210" t="s">
        <v>248</v>
      </c>
      <c r="Z12" s="210" t="s">
        <v>249</v>
      </c>
      <c r="AA12" s="210" t="s">
        <v>250</v>
      </c>
      <c r="AB12" s="210" t="s">
        <v>251</v>
      </c>
      <c r="AC12" s="210" t="s">
        <v>252</v>
      </c>
      <c r="AD12" s="210" t="s">
        <v>253</v>
      </c>
      <c r="AE12" s="376"/>
      <c r="AF12" s="376"/>
      <c r="AG12" s="376"/>
      <c r="AH12" s="376"/>
      <c r="AI12" s="376"/>
      <c r="AJ12" s="376"/>
      <c r="AK12" s="376"/>
      <c r="AL12" s="375"/>
      <c r="AM12" s="375"/>
      <c r="AN12" s="375"/>
      <c r="AO12" s="375"/>
      <c r="AP12" s="375"/>
      <c r="AQ12" s="375"/>
      <c r="AR12" s="375"/>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238.5" customHeight="1" x14ac:dyDescent="0.3">
      <c r="A13" s="328">
        <v>1</v>
      </c>
      <c r="B13" s="329" t="s">
        <v>122</v>
      </c>
      <c r="C13" s="329" t="s">
        <v>254</v>
      </c>
      <c r="D13" s="329" t="s">
        <v>255</v>
      </c>
      <c r="E13" s="372" t="s">
        <v>256</v>
      </c>
      <c r="F13" s="329" t="s">
        <v>140</v>
      </c>
      <c r="G13" s="342" t="s">
        <v>130</v>
      </c>
      <c r="H13" s="342" t="s">
        <v>257</v>
      </c>
      <c r="I13" s="342" t="s">
        <v>451</v>
      </c>
      <c r="J13" s="342" t="s">
        <v>450</v>
      </c>
      <c r="K13" s="342" t="s">
        <v>258</v>
      </c>
      <c r="L13" s="342" t="s">
        <v>131</v>
      </c>
      <c r="M13" s="342" t="s">
        <v>143</v>
      </c>
      <c r="N13" s="339">
        <v>365</v>
      </c>
      <c r="O13" s="340" t="str">
        <f>IF(N13&lt;=0,"",IF(N13&lt;=2,"Muy Baja",IF(N13&lt;=24,"Baja",IF(N13&lt;=500,"Media",IF(N13&lt;=5000,"Alta","Muy Alta")))))</f>
        <v>Media</v>
      </c>
      <c r="P13" s="341">
        <f>IF(O13="","",IF(O13="Muy Baja",0.2,IF(O13="Baja",0.4,IF(O13="Media",0.6,IF(O13="Alta",0.8,IF(O13="Muy Alta",1,))))))</f>
        <v>0.6</v>
      </c>
      <c r="Q13" s="359" t="s">
        <v>259</v>
      </c>
      <c r="R13" s="341" t="str">
        <f>IF(NOT(ISERROR(MATCH(Q13,'Tabla Impacto'!$B$222:$B$224,0))),'Tabla Impacto'!$F$224&amp;"Por favor no seleccionar los criterios de impacto(Afectación Económica o presupuestal y Pérdida Reputacional)",Q13)</f>
        <v xml:space="preserve">     Entre 130 y 650 SMLMV </v>
      </c>
      <c r="S13" s="340" t="str">
        <f>IF(OR(R13='Tabla Impacto'!$C$12,R13='Tabla Impacto'!$D$12),"Leve",IF(OR(R13='Tabla Impacto'!$C$13,R13='Tabla Impacto'!$D$13),"Menor",IF(OR(R13='Tabla Impacto'!$C$14,R13='Tabla Impacto'!$D$14),"Moderado",IF(OR(R13='Tabla Impacto'!$C$15,R13='Tabla Impacto'!$D$15),"Mayor",IF(OR(R13='Tabla Impacto'!$C$16,R13='Tabla Impacto'!$D$16),"Catastrófico","")))))</f>
        <v>Menor</v>
      </c>
      <c r="T13" s="341">
        <f>IF(S13="","",IF(S13="Leve",0.2,IF(S13="Menor",0.4,IF(S13="Moderado",0.6,IF(S13="Mayor",0.8,IF(S13="Catastrófico",1,))))))</f>
        <v>0.4</v>
      </c>
      <c r="U13" s="358"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4">
        <v>1</v>
      </c>
      <c r="W13" s="262" t="s">
        <v>260</v>
      </c>
      <c r="X13" s="189" t="str">
        <f t="shared" ref="X13:X16" si="0">IF(OR(Y13="Preventivo",Y13="Detectivo"),"Probabilidad",IF(Y13="Correctivo","Impacto",""))</f>
        <v>Probabilidad</v>
      </c>
      <c r="Y13" s="190" t="s">
        <v>261</v>
      </c>
      <c r="Z13" s="190" t="s">
        <v>262</v>
      </c>
      <c r="AA13" s="191" t="str">
        <f>IF(AND(Y13="Preventivo",Z13="Automático"),"50%",IF(AND(Y13="Preventivo",Z13="Manual"),"40%",IF(AND(Y13="Detectivo",Z13="Automático"),"40%",IF(AND(Y13="Detectivo",Z13="Manual"),"30%",IF(AND(Y13="Correctivo",Z13="Automático"),"35%",IF(AND(Y13="Correctivo",Z13="Manual"),"25%",""))))))</f>
        <v>40%</v>
      </c>
      <c r="AB13" s="190" t="s">
        <v>263</v>
      </c>
      <c r="AC13" s="190" t="s">
        <v>264</v>
      </c>
      <c r="AD13" s="190" t="s">
        <v>265</v>
      </c>
      <c r="AE13" s="192">
        <f>IFERROR(IF(X13="Probabilidad",(P13-(+P13*AA13)),IF(X13="Impacto",P13,"")),"")</f>
        <v>0.36</v>
      </c>
      <c r="AF13" s="193" t="str">
        <f>IFERROR(IF(AE13="","",IF(AE13&lt;=0.2,"Muy Baja",IF(AE13&lt;=0.4,"Baja",IF(AE13&lt;=0.6,"Media",IF(AE13&lt;=0.8,"Alta","Muy Alta"))))),"")</f>
        <v>Baja</v>
      </c>
      <c r="AG13" s="191">
        <f>+AE13</f>
        <v>0.36</v>
      </c>
      <c r="AH13" s="193" t="str">
        <f>IFERROR(IF(AI13="","",IF(AI13&lt;=0.2,"Leve",IF(AI13&lt;=0.4,"Menor",IF(AI13&lt;=0.6,"Moderado",IF(AI13&lt;=0.8,"Mayor","Catastrófico"))))),"")</f>
        <v>Menor</v>
      </c>
      <c r="AI13" s="191">
        <f>IFERROR(IF(X13="Impacto",(T13-(+T13*AA13)),IF(X13="Probabilidad",T13,"")),"")</f>
        <v>0.4</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5" t="s">
        <v>123</v>
      </c>
      <c r="AL13" s="186" t="s">
        <v>266</v>
      </c>
      <c r="AM13" s="186" t="s">
        <v>267</v>
      </c>
      <c r="AN13" s="186" t="s">
        <v>268</v>
      </c>
      <c r="AO13" s="197" t="s">
        <v>269</v>
      </c>
      <c r="AP13" s="329" t="s">
        <v>270</v>
      </c>
      <c r="AQ13" s="329" t="s">
        <v>271</v>
      </c>
      <c r="AR13" s="329" t="s">
        <v>272</v>
      </c>
    </row>
    <row r="14" spans="1:272" ht="25.5" customHeight="1" x14ac:dyDescent="0.25">
      <c r="A14" s="328"/>
      <c r="B14" s="329"/>
      <c r="C14" s="329"/>
      <c r="D14" s="329"/>
      <c r="E14" s="372"/>
      <c r="F14" s="329"/>
      <c r="G14" s="343"/>
      <c r="H14" s="343"/>
      <c r="I14" s="343"/>
      <c r="J14" s="343"/>
      <c r="K14" s="343"/>
      <c r="L14" s="343"/>
      <c r="M14" s="343"/>
      <c r="N14" s="339"/>
      <c r="O14" s="340"/>
      <c r="P14" s="341"/>
      <c r="Q14" s="359"/>
      <c r="R14" s="341">
        <f>IF(NOT(ISERROR(MATCH(Q14,_xlfn.ANCHORARRAY(E25),0))),P27&amp;"Por favor no seleccionar los criterios de impacto",Q14)</f>
        <v>0</v>
      </c>
      <c r="S14" s="340"/>
      <c r="T14" s="341"/>
      <c r="U14" s="358"/>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29"/>
      <c r="AQ14" s="329"/>
      <c r="AR14" s="329"/>
    </row>
    <row r="15" spans="1:272" ht="39.75" customHeight="1" x14ac:dyDescent="0.25">
      <c r="A15" s="328"/>
      <c r="B15" s="329"/>
      <c r="C15" s="329"/>
      <c r="D15" s="329"/>
      <c r="E15" s="372"/>
      <c r="F15" s="329"/>
      <c r="G15" s="343"/>
      <c r="H15" s="343"/>
      <c r="I15" s="343"/>
      <c r="J15" s="343"/>
      <c r="K15" s="343"/>
      <c r="L15" s="343"/>
      <c r="M15" s="343"/>
      <c r="N15" s="339"/>
      <c r="O15" s="340"/>
      <c r="P15" s="341"/>
      <c r="Q15" s="359"/>
      <c r="R15" s="341">
        <f>IF(NOT(ISERROR(MATCH(Q15,_xlfn.ANCHORARRAY(E26),0))),P28&amp;"Por favor no seleccionar los criterios de impacto",Q15)</f>
        <v>0</v>
      </c>
      <c r="S15" s="340"/>
      <c r="T15" s="341"/>
      <c r="U15" s="358"/>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29"/>
      <c r="AQ15" s="329"/>
      <c r="AR15" s="329"/>
    </row>
    <row r="16" spans="1:272" x14ac:dyDescent="0.25">
      <c r="A16" s="328"/>
      <c r="B16" s="329"/>
      <c r="C16" s="329"/>
      <c r="D16" s="329"/>
      <c r="E16" s="372"/>
      <c r="F16" s="329"/>
      <c r="G16" s="343"/>
      <c r="H16" s="343"/>
      <c r="I16" s="343"/>
      <c r="J16" s="343"/>
      <c r="K16" s="343"/>
      <c r="L16" s="343"/>
      <c r="M16" s="343"/>
      <c r="N16" s="339"/>
      <c r="O16" s="340"/>
      <c r="P16" s="341"/>
      <c r="Q16" s="359"/>
      <c r="R16" s="341">
        <f>IF(NOT(ISERROR(MATCH(Q16,_xlfn.ANCHORARRAY(E27),0))),P29&amp;"Por favor no seleccionar los criterios de impacto",Q16)</f>
        <v>0</v>
      </c>
      <c r="S16" s="340"/>
      <c r="T16" s="341"/>
      <c r="U16" s="358"/>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29"/>
      <c r="AQ16" s="329"/>
      <c r="AR16" s="329"/>
    </row>
    <row r="17" spans="1:44" x14ac:dyDescent="0.25">
      <c r="A17" s="328"/>
      <c r="B17" s="329"/>
      <c r="C17" s="329"/>
      <c r="D17" s="329"/>
      <c r="E17" s="372"/>
      <c r="F17" s="329"/>
      <c r="G17" s="343"/>
      <c r="H17" s="343"/>
      <c r="I17" s="343"/>
      <c r="J17" s="343"/>
      <c r="K17" s="343"/>
      <c r="L17" s="343"/>
      <c r="M17" s="343"/>
      <c r="N17" s="339"/>
      <c r="O17" s="340"/>
      <c r="P17" s="341"/>
      <c r="Q17" s="359"/>
      <c r="R17" s="341">
        <f>IF(NOT(ISERROR(MATCH(Q17,_xlfn.ANCHORARRAY(E28),0))),P30&amp;"Por favor no seleccionar los criterios de impacto",Q17)</f>
        <v>0</v>
      </c>
      <c r="S17" s="340"/>
      <c r="T17" s="341"/>
      <c r="U17" s="358"/>
      <c r="V17" s="214">
        <v>5</v>
      </c>
      <c r="W17" s="187"/>
      <c r="X17" s="189" t="str">
        <f t="shared" ref="X17:X18" si="8">IF(OR(Y17="Preventivo",Y17="Detectivo"),"Probabilidad",IF(Y17="Correctivo","Impacto",""))</f>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29"/>
      <c r="AQ17" s="329"/>
      <c r="AR17" s="329"/>
    </row>
    <row r="18" spans="1:44" ht="36.75" customHeight="1" x14ac:dyDescent="0.25">
      <c r="A18" s="328"/>
      <c r="B18" s="329"/>
      <c r="C18" s="329"/>
      <c r="D18" s="329"/>
      <c r="E18" s="372"/>
      <c r="F18" s="329"/>
      <c r="G18" s="344"/>
      <c r="H18" s="344"/>
      <c r="I18" s="344"/>
      <c r="J18" s="344"/>
      <c r="K18" s="344"/>
      <c r="L18" s="344"/>
      <c r="M18" s="344"/>
      <c r="N18" s="339"/>
      <c r="O18" s="340"/>
      <c r="P18" s="341"/>
      <c r="Q18" s="359"/>
      <c r="R18" s="341">
        <f>IF(NOT(ISERROR(MATCH(Q18,_xlfn.ANCHORARRAY(E29),0))),P31&amp;"Por favor no seleccionar los criterios de impacto",Q18)</f>
        <v>0</v>
      </c>
      <c r="S18" s="340"/>
      <c r="T18" s="341"/>
      <c r="U18" s="358"/>
      <c r="V18" s="214">
        <v>6</v>
      </c>
      <c r="W18" s="187"/>
      <c r="X18" s="189" t="str">
        <f t="shared" si="8"/>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29"/>
      <c r="AQ18" s="329"/>
      <c r="AR18" s="329"/>
    </row>
    <row r="19" spans="1:44" ht="193.5" customHeight="1" x14ac:dyDescent="0.25">
      <c r="A19" s="328">
        <v>2</v>
      </c>
      <c r="B19" s="329" t="s">
        <v>122</v>
      </c>
      <c r="C19" s="329" t="s">
        <v>273</v>
      </c>
      <c r="D19" s="329" t="s">
        <v>274</v>
      </c>
      <c r="E19" s="372" t="s">
        <v>275</v>
      </c>
      <c r="F19" s="329" t="s">
        <v>140</v>
      </c>
      <c r="G19" s="342" t="s">
        <v>130</v>
      </c>
      <c r="H19" s="342" t="s">
        <v>276</v>
      </c>
      <c r="I19" s="342" t="s">
        <v>277</v>
      </c>
      <c r="J19" s="342" t="s">
        <v>450</v>
      </c>
      <c r="K19" s="342" t="s">
        <v>278</v>
      </c>
      <c r="L19" s="342" t="s">
        <v>131</v>
      </c>
      <c r="M19" s="342" t="s">
        <v>143</v>
      </c>
      <c r="N19" s="339">
        <v>365</v>
      </c>
      <c r="O19" s="340" t="str">
        <f>IF(N19&lt;=0,"",IF(N19&lt;=2,"Muy Baja",IF(N19&lt;=24,"Baja",IF(N19&lt;=500,"Media",IF(N19&lt;=5000,"Alta","Muy Alta")))))</f>
        <v>Media</v>
      </c>
      <c r="P19" s="341">
        <f>IF(O19="","",IF(O19="Muy Baja",0.2,IF(O19="Baja",0.4,IF(O19="Media",0.6,IF(O19="Alta",0.8,IF(O19="Muy Alta",1,))))))</f>
        <v>0.6</v>
      </c>
      <c r="Q19" s="359" t="s">
        <v>279</v>
      </c>
      <c r="R19" s="341" t="str">
        <f>IF(NOT(ISERROR(MATCH(Q19,'Tabla Impacto'!$B$222:$B$224,0))),'Tabla Impacto'!$F$224&amp;"Por favor no seleccionar los criterios de impacto(Afectación Económica o presupuestal y Pérdida Reputacional)",Q19)</f>
        <v xml:space="preserve">     El riesgo afecta la imagen de la entidad internamente, de conocimiento general, nivel interno, de junta dircetiva y accionistas y/o de provedores</v>
      </c>
      <c r="S19" s="340" t="str">
        <f>IF(OR(R19='Tabla Impacto'!$C$12,R19='Tabla Impacto'!$D$12),"Leve",IF(OR(R19='Tabla Impacto'!$C$13,R19='Tabla Impacto'!$D$13),"Menor",IF(OR(R19='Tabla Impacto'!$C$14,R19='Tabla Impacto'!$D$14),"Moderado",IF(OR(R19='Tabla Impacto'!$C$15,R19='Tabla Impacto'!$D$15),"Mayor",IF(OR(R19='Tabla Impacto'!$C$16,R19='Tabla Impacto'!$D$16),"Catastrófico","")))))</f>
        <v>Menor</v>
      </c>
      <c r="T19" s="341">
        <f>IF(S19="","",IF(S19="Leve",0.2,IF(S19="Menor",0.4,IF(S19="Moderado",0.6,IF(S19="Mayor",0.8,IF(S19="Catastrófico",1,))))))</f>
        <v>0.4</v>
      </c>
      <c r="U19" s="358"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214">
        <v>1</v>
      </c>
      <c r="W19" s="262" t="s">
        <v>453</v>
      </c>
      <c r="X19" s="189" t="str">
        <f>IF(OR(Y19="Preventivo",Y19="Detectivo"),"Probabilidad",IF(Y19="Correctivo","Impacto",""))</f>
        <v>Probabilidad</v>
      </c>
      <c r="Y19" s="190" t="s">
        <v>280</v>
      </c>
      <c r="Z19" s="190" t="s">
        <v>262</v>
      </c>
      <c r="AA19" s="191" t="str">
        <f>IF(AND(Y19="Preventivo",Z19="Automático"),"50%",IF(AND(Y19="Preventivo",Z19="Manual"),"40%",IF(AND(Y19="Detectivo",Z19="Automático"),"40%",IF(AND(Y19="Detectivo",Z19="Manual"),"30%",IF(AND(Y19="Correctivo",Z19="Automático"),"35%",IF(AND(Y19="Correctivo",Z19="Manual"),"25%",""))))))</f>
        <v>30%</v>
      </c>
      <c r="AB19" s="190" t="s">
        <v>263</v>
      </c>
      <c r="AC19" s="190" t="s">
        <v>264</v>
      </c>
      <c r="AD19" s="190" t="s">
        <v>265</v>
      </c>
      <c r="AE19" s="192">
        <f>IFERROR(IF(X19="Probabilidad",(P19-(+P19*AA19)),IF(X19="Impacto",P19,"")),"")</f>
        <v>0.42</v>
      </c>
      <c r="AF19" s="193" t="str">
        <f>IFERROR(IF(AE19="","",IF(AE19&lt;=0.2,"Muy Baja",IF(AE19&lt;=0.4,"Baja",IF(AE19&lt;=0.6,"Media",IF(AE19&lt;=0.8,"Alta","Muy Alta"))))),"")</f>
        <v>Media</v>
      </c>
      <c r="AG19" s="191">
        <f>+AE19</f>
        <v>0.42</v>
      </c>
      <c r="AH19" s="193" t="str">
        <f>IFERROR(IF(AI19="","",IF(AI19&lt;=0.2,"Leve",IF(AI19&lt;=0.4,"Menor",IF(AI19&lt;=0.6,"Moderado",IF(AI19&lt;=0.8,"Mayor","Catastrófico"))))),"")</f>
        <v>Menor</v>
      </c>
      <c r="AI19" s="191">
        <f t="shared" ref="AI19" si="9">IFERROR(IF(X19="Impacto",(T19-(+T19*AA19)),IF(X19="Probabilidad",T19,"")),"")</f>
        <v>0.4</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Moderado</v>
      </c>
      <c r="AK19" s="195" t="s">
        <v>121</v>
      </c>
      <c r="AL19" s="186" t="s">
        <v>452</v>
      </c>
      <c r="AM19" s="186" t="s">
        <v>267</v>
      </c>
      <c r="AN19" s="186" t="s">
        <v>281</v>
      </c>
      <c r="AO19" s="197" t="s">
        <v>269</v>
      </c>
      <c r="AP19" s="377" t="s">
        <v>270</v>
      </c>
      <c r="AQ19" s="329" t="s">
        <v>271</v>
      </c>
      <c r="AR19" s="329" t="s">
        <v>272</v>
      </c>
    </row>
    <row r="20" spans="1:44" ht="218.25" customHeight="1" x14ac:dyDescent="0.25">
      <c r="A20" s="328"/>
      <c r="B20" s="329"/>
      <c r="C20" s="329"/>
      <c r="D20" s="329"/>
      <c r="E20" s="372"/>
      <c r="F20" s="329"/>
      <c r="G20" s="343"/>
      <c r="H20" s="343"/>
      <c r="I20" s="343"/>
      <c r="J20" s="343"/>
      <c r="K20" s="343"/>
      <c r="L20" s="343"/>
      <c r="M20" s="343"/>
      <c r="N20" s="339"/>
      <c r="O20" s="340"/>
      <c r="P20" s="341"/>
      <c r="Q20" s="359"/>
      <c r="R20" s="341">
        <f>IF(NOT(ISERROR(MATCH(Q20,_xlfn.ANCHORARRAY(E31),0))),P33&amp;"Por favor no seleccionar los criterios de impacto",Q20)</f>
        <v>0</v>
      </c>
      <c r="S20" s="340"/>
      <c r="T20" s="341"/>
      <c r="U20" s="358"/>
      <c r="V20" s="214">
        <v>2</v>
      </c>
      <c r="W20" s="262" t="s">
        <v>282</v>
      </c>
      <c r="X20" s="189" t="str">
        <f>IF(OR(Y20="Preventivo",Y20="Detectivo"),"Probabilidad",IF(Y20="Correctivo","Impacto",""))</f>
        <v>Probabilidad</v>
      </c>
      <c r="Y20" s="190" t="s">
        <v>261</v>
      </c>
      <c r="Z20" s="190" t="s">
        <v>283</v>
      </c>
      <c r="AA20" s="191" t="str">
        <f t="shared" ref="AA20:AA24" si="10">IF(AND(Y20="Preventivo",Z20="Automático"),"50%",IF(AND(Y20="Preventivo",Z20="Manual"),"40%",IF(AND(Y20="Detectivo",Z20="Automático"),"40%",IF(AND(Y20="Detectivo",Z20="Manual"),"30%",IF(AND(Y20="Correctivo",Z20="Automático"),"35%",IF(AND(Y20="Correctivo",Z20="Manual"),"25%",""))))))</f>
        <v>50%</v>
      </c>
      <c r="AB20" s="190" t="s">
        <v>263</v>
      </c>
      <c r="AC20" s="190" t="s">
        <v>264</v>
      </c>
      <c r="AD20" s="190" t="s">
        <v>265</v>
      </c>
      <c r="AE20" s="192">
        <f>IFERROR(IF(AND(X19="Probabilidad",X20="Probabilidad"),(AG19-(+AG19*AA20)),IF(X20="Probabilidad",(P19-(+P19*AA20)),IF(X20="Impacto",AG19,""))),"")</f>
        <v>0.21</v>
      </c>
      <c r="AF20" s="193" t="str">
        <f t="shared" si="2"/>
        <v>Baja</v>
      </c>
      <c r="AG20" s="191">
        <f t="shared" ref="AG20:AG24" si="11">+AE20</f>
        <v>0.21</v>
      </c>
      <c r="AH20" s="193" t="str">
        <f t="shared" si="4"/>
        <v>Menor</v>
      </c>
      <c r="AI20" s="191">
        <f t="shared" ref="AI20" si="12">IFERROR(IF(AND(X19="Impacto",X20="Impacto"),(AI19-(+AI19*AA20)),IF(X20="Impacto",($T$13-(+$T$13*AA20)),IF(X20="Probabilidad",AI19,""))),"")</f>
        <v>0.4</v>
      </c>
      <c r="AJ20" s="194"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Moderado</v>
      </c>
      <c r="AK20" s="195" t="s">
        <v>123</v>
      </c>
      <c r="AL20" s="264"/>
      <c r="AM20" s="264"/>
      <c r="AN20" s="264"/>
      <c r="AO20" s="265"/>
      <c r="AP20" s="377"/>
      <c r="AQ20" s="329"/>
      <c r="AR20" s="329"/>
    </row>
    <row r="21" spans="1:44" ht="255" customHeight="1" x14ac:dyDescent="0.25">
      <c r="A21" s="328"/>
      <c r="B21" s="329"/>
      <c r="C21" s="329"/>
      <c r="D21" s="329"/>
      <c r="E21" s="372"/>
      <c r="F21" s="329"/>
      <c r="G21" s="343"/>
      <c r="H21" s="343"/>
      <c r="I21" s="343"/>
      <c r="J21" s="343"/>
      <c r="K21" s="343"/>
      <c r="L21" s="343"/>
      <c r="M21" s="343"/>
      <c r="N21" s="339"/>
      <c r="O21" s="340"/>
      <c r="P21" s="341"/>
      <c r="Q21" s="359"/>
      <c r="R21" s="341">
        <f>IF(NOT(ISERROR(MATCH(Q21,_xlfn.ANCHORARRAY(E32),0))),P34&amp;"Por favor no seleccionar los criterios de impacto",Q21)</f>
        <v>0</v>
      </c>
      <c r="S21" s="340"/>
      <c r="T21" s="341"/>
      <c r="U21" s="358"/>
      <c r="V21" s="214">
        <v>3</v>
      </c>
      <c r="W21" s="263" t="s">
        <v>454</v>
      </c>
      <c r="X21" s="189" t="str">
        <f>IF(OR(Y21="Preventivo",Y21="Detectivo"),"Probabilidad",IF(Y21="Correctivo","Impacto",""))</f>
        <v>Probabilidad</v>
      </c>
      <c r="Y21" s="190" t="s">
        <v>261</v>
      </c>
      <c r="Z21" s="190" t="s">
        <v>262</v>
      </c>
      <c r="AA21" s="191" t="str">
        <f t="shared" si="10"/>
        <v>40%</v>
      </c>
      <c r="AB21" s="190" t="s">
        <v>263</v>
      </c>
      <c r="AC21" s="190" t="s">
        <v>264</v>
      </c>
      <c r="AD21" s="190" t="s">
        <v>265</v>
      </c>
      <c r="AE21" s="192">
        <f>IFERROR(IF(AND(X20="Probabilidad",X21="Probabilidad"),(AG20-(+AG20*AA21)),IF(AND(X20="Impacto",X21="Probabilidad"),(AG19-(+AG19*AA21)),IF(X21="Impacto",AG20,""))),"")</f>
        <v>0.126</v>
      </c>
      <c r="AF21" s="193" t="str">
        <f t="shared" si="2"/>
        <v>Muy Baja</v>
      </c>
      <c r="AG21" s="191">
        <f t="shared" si="11"/>
        <v>0.126</v>
      </c>
      <c r="AH21" s="193" t="str">
        <f t="shared" si="4"/>
        <v>Menor</v>
      </c>
      <c r="AI21" s="191">
        <f t="shared" ref="AI21:AI72" si="14">IFERROR(IF(AND(X20="Impacto",X21="Impacto"),(AI20-(+AI20*AA21)),IF(AND(X20="Probabilidad",X21="Impacto"),(AI19-(+AI19*AA21)),IF(X21="Probabilidad",AI20,""))),"")</f>
        <v>0.4</v>
      </c>
      <c r="AJ21" s="194" t="str">
        <f t="shared" si="13"/>
        <v>Bajo</v>
      </c>
      <c r="AK21" s="195" t="s">
        <v>117</v>
      </c>
      <c r="AL21" s="186"/>
      <c r="AM21" s="186"/>
      <c r="AN21" s="186"/>
      <c r="AO21" s="197"/>
      <c r="AP21" s="377"/>
      <c r="AQ21" s="329"/>
      <c r="AR21" s="329"/>
    </row>
    <row r="22" spans="1:44" ht="204.75" customHeight="1" x14ac:dyDescent="0.25">
      <c r="A22" s="328"/>
      <c r="B22" s="329"/>
      <c r="C22" s="329"/>
      <c r="D22" s="329"/>
      <c r="E22" s="372"/>
      <c r="F22" s="329"/>
      <c r="G22" s="343"/>
      <c r="H22" s="343"/>
      <c r="I22" s="343"/>
      <c r="J22" s="343"/>
      <c r="K22" s="343"/>
      <c r="L22" s="343"/>
      <c r="M22" s="343"/>
      <c r="N22" s="339"/>
      <c r="O22" s="340"/>
      <c r="P22" s="341"/>
      <c r="Q22" s="359"/>
      <c r="R22" s="341">
        <f>IF(NOT(ISERROR(MATCH(Q22,_xlfn.ANCHORARRAY(E33),0))),P35&amp;"Por favor no seleccionar los criterios de impacto",Q22)</f>
        <v>0</v>
      </c>
      <c r="S22" s="340"/>
      <c r="T22" s="341"/>
      <c r="U22" s="358"/>
      <c r="V22" s="214">
        <v>4</v>
      </c>
      <c r="W22" s="263" t="s">
        <v>455</v>
      </c>
      <c r="X22" s="189" t="str">
        <f t="shared" ref="X22:X24" si="15">IF(OR(Y22="Preventivo",Y22="Detectivo"),"Probabilidad",IF(Y22="Correctivo","Impacto",""))</f>
        <v>Probabilidad</v>
      </c>
      <c r="Y22" s="190" t="s">
        <v>280</v>
      </c>
      <c r="Z22" s="190" t="s">
        <v>262</v>
      </c>
      <c r="AA22" s="191" t="str">
        <f t="shared" si="10"/>
        <v>30%</v>
      </c>
      <c r="AB22" s="190" t="s">
        <v>263</v>
      </c>
      <c r="AC22" s="190" t="s">
        <v>264</v>
      </c>
      <c r="AD22" s="190" t="s">
        <v>265</v>
      </c>
      <c r="AE22" s="192">
        <f t="shared" ref="AE22:AE24" si="16">IFERROR(IF(AND(X21="Probabilidad",X22="Probabilidad"),(AG21-(+AG21*AA22)),IF(AND(X21="Impacto",X22="Probabilidad"),(AG20-(+AG20*AA22)),IF(X22="Impacto",AG21,""))),"")</f>
        <v>8.8200000000000001E-2</v>
      </c>
      <c r="AF22" s="193" t="str">
        <f t="shared" si="2"/>
        <v>Muy Baja</v>
      </c>
      <c r="AG22" s="191">
        <f t="shared" si="11"/>
        <v>8.8200000000000001E-2</v>
      </c>
      <c r="AH22" s="193" t="str">
        <f t="shared" si="4"/>
        <v>Menor</v>
      </c>
      <c r="AI22" s="191">
        <f t="shared" si="14"/>
        <v>0.4</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Bajo</v>
      </c>
      <c r="AK22" s="195" t="s">
        <v>117</v>
      </c>
      <c r="AL22" s="186"/>
      <c r="AM22" s="196"/>
      <c r="AN22" s="196"/>
      <c r="AO22" s="197"/>
      <c r="AP22" s="377"/>
      <c r="AQ22" s="329"/>
      <c r="AR22" s="329"/>
    </row>
    <row r="23" spans="1:44" ht="349.5" customHeight="1" x14ac:dyDescent="0.25">
      <c r="A23" s="328"/>
      <c r="B23" s="329"/>
      <c r="C23" s="329"/>
      <c r="D23" s="329"/>
      <c r="E23" s="372"/>
      <c r="F23" s="329"/>
      <c r="G23" s="343"/>
      <c r="H23" s="343"/>
      <c r="I23" s="343"/>
      <c r="J23" s="343"/>
      <c r="K23" s="343"/>
      <c r="L23" s="343"/>
      <c r="M23" s="343"/>
      <c r="N23" s="339"/>
      <c r="O23" s="340"/>
      <c r="P23" s="341"/>
      <c r="Q23" s="359"/>
      <c r="R23" s="341">
        <f>IF(NOT(ISERROR(MATCH(Q23,_xlfn.ANCHORARRAY(E34),0))),P36&amp;"Por favor no seleccionar los criterios de impacto",Q23)</f>
        <v>0</v>
      </c>
      <c r="S23" s="340"/>
      <c r="T23" s="341"/>
      <c r="U23" s="358"/>
      <c r="V23" s="214">
        <v>5</v>
      </c>
      <c r="W23" s="263" t="s">
        <v>284</v>
      </c>
      <c r="X23" s="189" t="str">
        <f t="shared" si="15"/>
        <v>Probabilidad</v>
      </c>
      <c r="Y23" s="190" t="s">
        <v>280</v>
      </c>
      <c r="Z23" s="190" t="s">
        <v>262</v>
      </c>
      <c r="AA23" s="191" t="str">
        <f t="shared" si="10"/>
        <v>30%</v>
      </c>
      <c r="AB23" s="190" t="s">
        <v>263</v>
      </c>
      <c r="AC23" s="190" t="s">
        <v>264</v>
      </c>
      <c r="AD23" s="190" t="s">
        <v>265</v>
      </c>
      <c r="AE23" s="192">
        <f t="shared" si="16"/>
        <v>6.1740000000000003E-2</v>
      </c>
      <c r="AF23" s="193" t="str">
        <f t="shared" si="2"/>
        <v>Muy Baja</v>
      </c>
      <c r="AG23" s="191">
        <f t="shared" si="11"/>
        <v>6.1740000000000003E-2</v>
      </c>
      <c r="AH23" s="193" t="str">
        <f t="shared" si="4"/>
        <v>Menor</v>
      </c>
      <c r="AI23" s="191">
        <f t="shared" si="14"/>
        <v>0.4</v>
      </c>
      <c r="AJ23" s="194"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Bajo</v>
      </c>
      <c r="AK23" s="195" t="s">
        <v>117</v>
      </c>
      <c r="AL23" s="186"/>
      <c r="AM23" s="196"/>
      <c r="AN23" s="196"/>
      <c r="AO23" s="197"/>
      <c r="AP23" s="377"/>
      <c r="AQ23" s="329"/>
      <c r="AR23" s="329"/>
    </row>
    <row r="24" spans="1:44" ht="168.75" customHeight="1" x14ac:dyDescent="0.25">
      <c r="A24" s="328"/>
      <c r="B24" s="329"/>
      <c r="C24" s="329"/>
      <c r="D24" s="329"/>
      <c r="E24" s="372"/>
      <c r="F24" s="329"/>
      <c r="G24" s="344"/>
      <c r="H24" s="344"/>
      <c r="I24" s="344"/>
      <c r="J24" s="344"/>
      <c r="K24" s="344"/>
      <c r="L24" s="344"/>
      <c r="M24" s="344"/>
      <c r="N24" s="339"/>
      <c r="O24" s="340"/>
      <c r="P24" s="341"/>
      <c r="Q24" s="359"/>
      <c r="R24" s="341">
        <f>IF(NOT(ISERROR(MATCH(Q24,_xlfn.ANCHORARRAY(E35),0))),P37&amp;"Por favor no seleccionar los criterios de impacto",Q24)</f>
        <v>0</v>
      </c>
      <c r="S24" s="340"/>
      <c r="T24" s="341"/>
      <c r="U24" s="358"/>
      <c r="V24" s="214">
        <v>6</v>
      </c>
      <c r="W24" s="187"/>
      <c r="X24" s="189" t="str">
        <f t="shared" si="15"/>
        <v/>
      </c>
      <c r="Y24" s="190"/>
      <c r="Z24" s="190"/>
      <c r="AA24" s="191" t="str">
        <f t="shared" si="10"/>
        <v/>
      </c>
      <c r="AB24" s="190"/>
      <c r="AC24" s="190"/>
      <c r="AD24" s="190"/>
      <c r="AE24" s="192" t="str">
        <f t="shared" si="16"/>
        <v/>
      </c>
      <c r="AF24" s="193" t="str">
        <f t="shared" si="2"/>
        <v/>
      </c>
      <c r="AG24" s="191" t="str">
        <f t="shared" si="11"/>
        <v/>
      </c>
      <c r="AH24" s="193" t="str">
        <f t="shared" si="4"/>
        <v/>
      </c>
      <c r="AI24" s="191" t="str">
        <f t="shared" si="14"/>
        <v/>
      </c>
      <c r="AJ24" s="194" t="str">
        <f t="shared" si="17"/>
        <v/>
      </c>
      <c r="AK24" s="195"/>
      <c r="AL24" s="186"/>
      <c r="AM24" s="196"/>
      <c r="AN24" s="196"/>
      <c r="AO24" s="197"/>
      <c r="AP24" s="377"/>
      <c r="AQ24" s="329"/>
      <c r="AR24" s="329"/>
    </row>
    <row r="25" spans="1:44" x14ac:dyDescent="0.25">
      <c r="A25" s="328">
        <v>3</v>
      </c>
      <c r="B25" s="329"/>
      <c r="C25" s="329"/>
      <c r="D25" s="329"/>
      <c r="E25" s="372"/>
      <c r="F25" s="329"/>
      <c r="G25" s="342"/>
      <c r="H25" s="342"/>
      <c r="I25" s="342"/>
      <c r="J25" s="342"/>
      <c r="K25" s="342"/>
      <c r="L25" s="342"/>
      <c r="M25" s="342"/>
      <c r="N25" s="339"/>
      <c r="O25" s="340" t="str">
        <f>IF(N25&lt;=0,"",IF(N25&lt;=2,"Muy Baja",IF(N25&lt;=24,"Baja",IF(N25&lt;=500,"Media",IF(N25&lt;=5000,"Alta","Muy Alta")))))</f>
        <v/>
      </c>
      <c r="P25" s="341" t="str">
        <f>IF(O25="","",IF(O25="Muy Baja",0.2,IF(O25="Baja",0.4,IF(O25="Media",0.6,IF(O25="Alta",0.8,IF(O25="Muy Alta",1,))))))</f>
        <v/>
      </c>
      <c r="Q25" s="359"/>
      <c r="R25" s="341">
        <f>IF(NOT(ISERROR(MATCH(Q25,'Tabla Impacto'!$B$222:$B$224,0))),'Tabla Impacto'!$F$224&amp;"Por favor no seleccionar los criterios de impacto(Afectación Económica o presupuestal y Pérdida Reputacional)",Q25)</f>
        <v>0</v>
      </c>
      <c r="S25" s="340" t="str">
        <f>IF(OR(R25='Tabla Impacto'!$C$12,R25='Tabla Impacto'!$D$12),"Leve",IF(OR(R25='Tabla Impacto'!$C$13,R25='Tabla Impacto'!$D$13),"Menor",IF(OR(R25='Tabla Impacto'!$C$14,R25='Tabla Impacto'!$D$14),"Moderado",IF(OR(R25='Tabla Impacto'!$C$15,R25='Tabla Impacto'!$D$15),"Mayor",IF(OR(R25='Tabla Impacto'!$C$16,R25='Tabla Impacto'!$D$16),"Catastrófico","")))))</f>
        <v/>
      </c>
      <c r="T25" s="341" t="str">
        <f>IF(S25="","",IF(S25="Leve",0.2,IF(S25="Menor",0.4,IF(S25="Moderado",0.6,IF(S25="Mayor",0.8,IF(S25="Catastrófico",1,))))))</f>
        <v/>
      </c>
      <c r="U25" s="358"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8">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39"/>
      <c r="AQ25" s="339"/>
      <c r="AR25" s="339"/>
    </row>
    <row r="26" spans="1:44" x14ac:dyDescent="0.25">
      <c r="A26" s="328"/>
      <c r="B26" s="329"/>
      <c r="C26" s="329"/>
      <c r="D26" s="329"/>
      <c r="E26" s="372"/>
      <c r="F26" s="329"/>
      <c r="G26" s="343"/>
      <c r="H26" s="343"/>
      <c r="I26" s="343"/>
      <c r="J26" s="343"/>
      <c r="K26" s="343"/>
      <c r="L26" s="343"/>
      <c r="M26" s="343"/>
      <c r="N26" s="339"/>
      <c r="O26" s="340"/>
      <c r="P26" s="341"/>
      <c r="Q26" s="359"/>
      <c r="R26" s="341">
        <f>IF(NOT(ISERROR(MATCH(Q26,_xlfn.ANCHORARRAY(E37),0))),P39&amp;"Por favor no seleccionar los criterios de impacto",Q26)</f>
        <v>0</v>
      </c>
      <c r="S26" s="340"/>
      <c r="T26" s="341"/>
      <c r="U26" s="358"/>
      <c r="V26" s="214">
        <v>2</v>
      </c>
      <c r="W26" s="187"/>
      <c r="X26" s="189" t="str">
        <f>IF(OR(Y26="Preventivo",Y26="Detectivo"),"Probabilidad",IF(Y26="Correctivo","Impacto",""))</f>
        <v/>
      </c>
      <c r="Y26" s="190"/>
      <c r="Z26" s="190"/>
      <c r="AA26" s="191" t="str">
        <f t="shared" ref="AA26:AA30" si="19">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20">+AE26</f>
        <v/>
      </c>
      <c r="AH26" s="193" t="str">
        <f t="shared" si="4"/>
        <v/>
      </c>
      <c r="AI26" s="191" t="str">
        <f t="shared" ref="AI26" si="21">IFERROR(IF(AND(X25="Impacto",X26="Impacto"),(AI25-(+AI25*AA26)),IF(X26="Impacto",($T$13-(+$T$13*AA26)),IF(X26="Probabilidad",AI25,""))),"")</f>
        <v/>
      </c>
      <c r="AJ26" s="194"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39"/>
      <c r="AQ26" s="339"/>
      <c r="AR26" s="339"/>
    </row>
    <row r="27" spans="1:44" x14ac:dyDescent="0.25">
      <c r="A27" s="328"/>
      <c r="B27" s="329"/>
      <c r="C27" s="329"/>
      <c r="D27" s="329"/>
      <c r="E27" s="372"/>
      <c r="F27" s="329"/>
      <c r="G27" s="343"/>
      <c r="H27" s="343"/>
      <c r="I27" s="343"/>
      <c r="J27" s="343"/>
      <c r="K27" s="343"/>
      <c r="L27" s="343"/>
      <c r="M27" s="343"/>
      <c r="N27" s="339"/>
      <c r="O27" s="340"/>
      <c r="P27" s="341"/>
      <c r="Q27" s="359"/>
      <c r="R27" s="341">
        <f>IF(NOT(ISERROR(MATCH(Q27,_xlfn.ANCHORARRAY(E38),0))),P40&amp;"Por favor no seleccionar los criterios de impacto",Q27)</f>
        <v>0</v>
      </c>
      <c r="S27" s="340"/>
      <c r="T27" s="341"/>
      <c r="U27" s="358"/>
      <c r="V27" s="214">
        <v>3</v>
      </c>
      <c r="W27" s="187"/>
      <c r="X27" s="189" t="str">
        <f>IF(OR(Y27="Preventivo",Y27="Detectivo"),"Probabilidad",IF(Y27="Correctivo","Impacto",""))</f>
        <v/>
      </c>
      <c r="Y27" s="190"/>
      <c r="Z27" s="190"/>
      <c r="AA27" s="191" t="str">
        <f t="shared" si="19"/>
        <v/>
      </c>
      <c r="AB27" s="190"/>
      <c r="AC27" s="190"/>
      <c r="AD27" s="190"/>
      <c r="AE27" s="192" t="str">
        <f>IFERROR(IF(AND(X26="Probabilidad",X27="Probabilidad"),(AG26-(+AG26*AA27)),IF(AND(X26="Impacto",X27="Probabilidad"),(AG25-(+AG25*AA27)),IF(X27="Impacto",AG26,""))),"")</f>
        <v/>
      </c>
      <c r="AF27" s="193" t="str">
        <f t="shared" si="2"/>
        <v/>
      </c>
      <c r="AG27" s="191" t="str">
        <f t="shared" si="20"/>
        <v/>
      </c>
      <c r="AH27" s="193" t="str">
        <f t="shared" si="4"/>
        <v/>
      </c>
      <c r="AI27" s="191" t="str">
        <f t="shared" ref="AI27" si="23">IFERROR(IF(AND(X26="Impacto",X27="Impacto"),(AI26-(+AI26*AA27)),IF(AND(X26="Probabilidad",X27="Impacto"),(AI25-(+AI25*AA27)),IF(X27="Probabilidad",AI26,""))),"")</f>
        <v/>
      </c>
      <c r="AJ27" s="194" t="str">
        <f t="shared" si="22"/>
        <v/>
      </c>
      <c r="AK27" s="195"/>
      <c r="AL27" s="186"/>
      <c r="AM27" s="196"/>
      <c r="AN27" s="196"/>
      <c r="AO27" s="197"/>
      <c r="AP27" s="339"/>
      <c r="AQ27" s="339"/>
      <c r="AR27" s="339"/>
    </row>
    <row r="28" spans="1:44" x14ac:dyDescent="0.25">
      <c r="A28" s="328"/>
      <c r="B28" s="329"/>
      <c r="C28" s="329"/>
      <c r="D28" s="329"/>
      <c r="E28" s="372"/>
      <c r="F28" s="329"/>
      <c r="G28" s="343"/>
      <c r="H28" s="343"/>
      <c r="I28" s="343"/>
      <c r="J28" s="343"/>
      <c r="K28" s="343"/>
      <c r="L28" s="343"/>
      <c r="M28" s="343"/>
      <c r="N28" s="339"/>
      <c r="O28" s="340"/>
      <c r="P28" s="341"/>
      <c r="Q28" s="359"/>
      <c r="R28" s="341">
        <f>IF(NOT(ISERROR(MATCH(Q28,_xlfn.ANCHORARRAY(E39),0))),P41&amp;"Por favor no seleccionar los criterios de impacto",Q28)</f>
        <v>0</v>
      </c>
      <c r="S28" s="340"/>
      <c r="T28" s="341"/>
      <c r="U28" s="358"/>
      <c r="V28" s="214">
        <v>4</v>
      </c>
      <c r="W28" s="187"/>
      <c r="X28" s="189" t="str">
        <f t="shared" ref="X28:X30" si="24">IF(OR(Y28="Preventivo",Y28="Detectivo"),"Probabilidad",IF(Y28="Correctivo","Impacto",""))</f>
        <v/>
      </c>
      <c r="Y28" s="190"/>
      <c r="Z28" s="190"/>
      <c r="AA28" s="191" t="str">
        <f t="shared" si="19"/>
        <v/>
      </c>
      <c r="AB28" s="190"/>
      <c r="AC28" s="190"/>
      <c r="AD28" s="190"/>
      <c r="AE28" s="192" t="str">
        <f t="shared" ref="AE28:AE30" si="25">IFERROR(IF(AND(X27="Probabilidad",X28="Probabilidad"),(AG27-(+AG27*AA28)),IF(AND(X27="Impacto",X28="Probabilidad"),(AG26-(+AG26*AA28)),IF(X28="Impacto",AG27,""))),"")</f>
        <v/>
      </c>
      <c r="AF28" s="193" t="str">
        <f t="shared" si="2"/>
        <v/>
      </c>
      <c r="AG28" s="191" t="str">
        <f t="shared" si="20"/>
        <v/>
      </c>
      <c r="AH28" s="193" t="str">
        <f t="shared" si="4"/>
        <v/>
      </c>
      <c r="AI28" s="191" t="str">
        <f t="shared" si="14"/>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39"/>
      <c r="AQ28" s="339"/>
      <c r="AR28" s="339"/>
    </row>
    <row r="29" spans="1:44" x14ac:dyDescent="0.25">
      <c r="A29" s="328"/>
      <c r="B29" s="329"/>
      <c r="C29" s="329"/>
      <c r="D29" s="329"/>
      <c r="E29" s="372"/>
      <c r="F29" s="329"/>
      <c r="G29" s="343"/>
      <c r="H29" s="343"/>
      <c r="I29" s="343"/>
      <c r="J29" s="343"/>
      <c r="K29" s="343"/>
      <c r="L29" s="343"/>
      <c r="M29" s="343"/>
      <c r="N29" s="339"/>
      <c r="O29" s="340"/>
      <c r="P29" s="341"/>
      <c r="Q29" s="359"/>
      <c r="R29" s="341">
        <f>IF(NOT(ISERROR(MATCH(Q29,_xlfn.ANCHORARRAY(E40),0))),P42&amp;"Por favor no seleccionar los criterios de impacto",Q29)</f>
        <v>0</v>
      </c>
      <c r="S29" s="340"/>
      <c r="T29" s="341"/>
      <c r="U29" s="358"/>
      <c r="V29" s="214">
        <v>5</v>
      </c>
      <c r="W29" s="187"/>
      <c r="X29" s="189" t="str">
        <f t="shared" si="24"/>
        <v/>
      </c>
      <c r="Y29" s="190"/>
      <c r="Z29" s="190"/>
      <c r="AA29" s="191" t="str">
        <f t="shared" si="19"/>
        <v/>
      </c>
      <c r="AB29" s="190"/>
      <c r="AC29" s="190"/>
      <c r="AD29" s="190"/>
      <c r="AE29" s="192" t="str">
        <f t="shared" si="25"/>
        <v/>
      </c>
      <c r="AF29" s="193" t="str">
        <f t="shared" si="2"/>
        <v/>
      </c>
      <c r="AG29" s="191" t="str">
        <f t="shared" si="20"/>
        <v/>
      </c>
      <c r="AH29" s="193" t="str">
        <f t="shared" si="4"/>
        <v/>
      </c>
      <c r="AI29" s="191" t="str">
        <f t="shared" si="14"/>
        <v/>
      </c>
      <c r="AJ29" s="194"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39"/>
      <c r="AQ29" s="339"/>
      <c r="AR29" s="339"/>
    </row>
    <row r="30" spans="1:44" x14ac:dyDescent="0.25">
      <c r="A30" s="328"/>
      <c r="B30" s="329"/>
      <c r="C30" s="329"/>
      <c r="D30" s="329"/>
      <c r="E30" s="372"/>
      <c r="F30" s="329"/>
      <c r="G30" s="344"/>
      <c r="H30" s="344"/>
      <c r="I30" s="344"/>
      <c r="J30" s="344"/>
      <c r="K30" s="344"/>
      <c r="L30" s="344"/>
      <c r="M30" s="344"/>
      <c r="N30" s="339"/>
      <c r="O30" s="340"/>
      <c r="P30" s="341"/>
      <c r="Q30" s="359"/>
      <c r="R30" s="341">
        <f>IF(NOT(ISERROR(MATCH(Q30,_xlfn.ANCHORARRAY(E41),0))),P43&amp;"Por favor no seleccionar los criterios de impacto",Q30)</f>
        <v>0</v>
      </c>
      <c r="S30" s="340"/>
      <c r="T30" s="341"/>
      <c r="U30" s="358"/>
      <c r="V30" s="214">
        <v>6</v>
      </c>
      <c r="W30" s="187"/>
      <c r="X30" s="189" t="str">
        <f t="shared" si="24"/>
        <v/>
      </c>
      <c r="Y30" s="190"/>
      <c r="Z30" s="190"/>
      <c r="AA30" s="191" t="str">
        <f t="shared" si="19"/>
        <v/>
      </c>
      <c r="AB30" s="190"/>
      <c r="AC30" s="190"/>
      <c r="AD30" s="190"/>
      <c r="AE30" s="192" t="str">
        <f t="shared" si="25"/>
        <v/>
      </c>
      <c r="AF30" s="193" t="str">
        <f t="shared" si="2"/>
        <v/>
      </c>
      <c r="AG30" s="191" t="str">
        <f t="shared" si="20"/>
        <v/>
      </c>
      <c r="AH30" s="193" t="str">
        <f t="shared" si="4"/>
        <v/>
      </c>
      <c r="AI30" s="191" t="str">
        <f t="shared" si="14"/>
        <v/>
      </c>
      <c r="AJ30" s="194" t="str">
        <f t="shared" si="26"/>
        <v/>
      </c>
      <c r="AK30" s="195"/>
      <c r="AL30" s="186"/>
      <c r="AM30" s="196"/>
      <c r="AN30" s="196"/>
      <c r="AO30" s="197"/>
      <c r="AP30" s="339"/>
      <c r="AQ30" s="339"/>
      <c r="AR30" s="339"/>
    </row>
    <row r="31" spans="1:44" x14ac:dyDescent="0.25">
      <c r="A31" s="328">
        <v>4</v>
      </c>
      <c r="B31" s="329"/>
      <c r="C31" s="329"/>
      <c r="D31" s="329"/>
      <c r="E31" s="368"/>
      <c r="F31" s="329"/>
      <c r="G31" s="342"/>
      <c r="H31" s="342"/>
      <c r="I31" s="342"/>
      <c r="J31" s="342"/>
      <c r="K31" s="342"/>
      <c r="L31" s="342"/>
      <c r="M31" s="342"/>
      <c r="N31" s="339"/>
      <c r="O31" s="340" t="str">
        <f>IF(N31&lt;=0,"",IF(N31&lt;=2,"Muy Baja",IF(N31&lt;=24,"Baja",IF(N31&lt;=500,"Media",IF(N31&lt;=5000,"Alta","Muy Alta")))))</f>
        <v/>
      </c>
      <c r="P31" s="341" t="str">
        <f>IF(O31="","",IF(O31="Muy Baja",0.2,IF(O31="Baja",0.4,IF(O31="Media",0.6,IF(O31="Alta",0.8,IF(O31="Muy Alta",1,))))))</f>
        <v/>
      </c>
      <c r="Q31" s="359"/>
      <c r="R31" s="341">
        <f>IF(NOT(ISERROR(MATCH(Q31,'Tabla Impacto'!$B$222:$B$224,0))),'Tabla Impacto'!$F$224&amp;"Por favor no seleccionar los criterios de impacto(Afectación Económica o presupuestal y Pérdida Reputacional)",Q31)</f>
        <v>0</v>
      </c>
      <c r="S31" s="340" t="str">
        <f>IF(OR(R31='Tabla Impacto'!$C$12,R31='Tabla Impacto'!$D$12),"Leve",IF(OR(R31='Tabla Impacto'!$C$13,R31='Tabla Impacto'!$D$13),"Menor",IF(OR(R31='Tabla Impacto'!$C$14,R31='Tabla Impacto'!$D$14),"Moderado",IF(OR(R31='Tabla Impacto'!$C$15,R31='Tabla Impacto'!$D$15),"Mayor",IF(OR(R31='Tabla Impacto'!$C$16,R31='Tabla Impacto'!$D$16),"Catastrófico","")))))</f>
        <v/>
      </c>
      <c r="T31" s="341" t="str">
        <f>IF(S31="","",IF(S31="Leve",0.2,IF(S31="Menor",0.4,IF(S31="Moderado",0.6,IF(S31="Mayor",0.8,IF(S31="Catastrófico",1,))))))</f>
        <v/>
      </c>
      <c r="U31" s="358"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7">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39"/>
      <c r="AQ31" s="339"/>
      <c r="AR31" s="339"/>
    </row>
    <row r="32" spans="1:44" x14ac:dyDescent="0.25">
      <c r="A32" s="328"/>
      <c r="B32" s="329"/>
      <c r="C32" s="329"/>
      <c r="D32" s="329"/>
      <c r="E32" s="369"/>
      <c r="F32" s="329"/>
      <c r="G32" s="343"/>
      <c r="H32" s="343"/>
      <c r="I32" s="343"/>
      <c r="J32" s="343"/>
      <c r="K32" s="343"/>
      <c r="L32" s="343"/>
      <c r="M32" s="343"/>
      <c r="N32" s="339"/>
      <c r="O32" s="340"/>
      <c r="P32" s="341"/>
      <c r="Q32" s="359"/>
      <c r="R32" s="341">
        <f>IF(NOT(ISERROR(MATCH(Q32,_xlfn.ANCHORARRAY(E43),0))),P45&amp;"Por favor no seleccionar los criterios de impacto",Q32)</f>
        <v>0</v>
      </c>
      <c r="S32" s="340"/>
      <c r="T32" s="341"/>
      <c r="U32" s="358"/>
      <c r="V32" s="214">
        <v>2</v>
      </c>
      <c r="W32" s="187"/>
      <c r="X32" s="189" t="str">
        <f>IF(OR(Y32="Preventivo",Y32="Detectivo"),"Probabilidad",IF(Y32="Correctivo","Impacto",""))</f>
        <v/>
      </c>
      <c r="Y32" s="190"/>
      <c r="Z32" s="190"/>
      <c r="AA32" s="191" t="str">
        <f t="shared" ref="AA32:AA36" si="28">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9">+AE32</f>
        <v/>
      </c>
      <c r="AH32" s="193" t="str">
        <f t="shared" si="4"/>
        <v/>
      </c>
      <c r="AI32" s="191" t="str">
        <f t="shared" ref="AI32" si="30">IFERROR(IF(AND(X31="Impacto",X32="Impacto"),(AI31-(+AI31*AA32)),IF(X32="Impacto",($T$13-(+$T$13*AA32)),IF(X32="Probabilidad",AI31,""))),"")</f>
        <v/>
      </c>
      <c r="AJ32" s="194"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39"/>
      <c r="AQ32" s="339"/>
      <c r="AR32" s="339"/>
    </row>
    <row r="33" spans="1:44" x14ac:dyDescent="0.25">
      <c r="A33" s="328"/>
      <c r="B33" s="329"/>
      <c r="C33" s="329"/>
      <c r="D33" s="329"/>
      <c r="E33" s="369"/>
      <c r="F33" s="329"/>
      <c r="G33" s="343"/>
      <c r="H33" s="343"/>
      <c r="I33" s="343"/>
      <c r="J33" s="343"/>
      <c r="K33" s="343"/>
      <c r="L33" s="343"/>
      <c r="M33" s="343"/>
      <c r="N33" s="339"/>
      <c r="O33" s="340"/>
      <c r="P33" s="341"/>
      <c r="Q33" s="359"/>
      <c r="R33" s="341">
        <f>IF(NOT(ISERROR(MATCH(Q33,_xlfn.ANCHORARRAY(E44),0))),P46&amp;"Por favor no seleccionar los criterios de impacto",Q33)</f>
        <v>0</v>
      </c>
      <c r="S33" s="340"/>
      <c r="T33" s="341"/>
      <c r="U33" s="358"/>
      <c r="V33" s="214">
        <v>3</v>
      </c>
      <c r="W33" s="188"/>
      <c r="X33" s="189" t="str">
        <f>IF(OR(Y33="Preventivo",Y33="Detectivo"),"Probabilidad",IF(Y33="Correctivo","Impacto",""))</f>
        <v/>
      </c>
      <c r="Y33" s="190"/>
      <c r="Z33" s="190"/>
      <c r="AA33" s="191" t="str">
        <f t="shared" si="28"/>
        <v/>
      </c>
      <c r="AB33" s="190"/>
      <c r="AC33" s="190"/>
      <c r="AD33" s="190"/>
      <c r="AE33" s="192" t="str">
        <f>IFERROR(IF(AND(X32="Probabilidad",X33="Probabilidad"),(AG32-(+AG32*AA33)),IF(AND(X32="Impacto",X33="Probabilidad"),(AG31-(+AG31*AA33)),IF(X33="Impacto",AG32,""))),"")</f>
        <v/>
      </c>
      <c r="AF33" s="193" t="str">
        <f t="shared" si="2"/>
        <v/>
      </c>
      <c r="AG33" s="191" t="str">
        <f t="shared" si="29"/>
        <v/>
      </c>
      <c r="AH33" s="193" t="str">
        <f t="shared" si="4"/>
        <v/>
      </c>
      <c r="AI33" s="191" t="str">
        <f t="shared" ref="AI33" si="32">IFERROR(IF(AND(X32="Impacto",X33="Impacto"),(AI32-(+AI32*AA33)),IF(AND(X32="Probabilidad",X33="Impacto"),(AI31-(+AI31*AA33)),IF(X33="Probabilidad",AI32,""))),"")</f>
        <v/>
      </c>
      <c r="AJ33" s="194" t="str">
        <f t="shared" si="31"/>
        <v/>
      </c>
      <c r="AK33" s="195"/>
      <c r="AL33" s="186"/>
      <c r="AM33" s="196"/>
      <c r="AN33" s="196"/>
      <c r="AO33" s="197"/>
      <c r="AP33" s="339"/>
      <c r="AQ33" s="339"/>
      <c r="AR33" s="339"/>
    </row>
    <row r="34" spans="1:44" x14ac:dyDescent="0.25">
      <c r="A34" s="328"/>
      <c r="B34" s="329"/>
      <c r="C34" s="329"/>
      <c r="D34" s="329"/>
      <c r="E34" s="369"/>
      <c r="F34" s="329"/>
      <c r="G34" s="343"/>
      <c r="H34" s="343"/>
      <c r="I34" s="343"/>
      <c r="J34" s="343"/>
      <c r="K34" s="343"/>
      <c r="L34" s="343"/>
      <c r="M34" s="343"/>
      <c r="N34" s="339"/>
      <c r="O34" s="340"/>
      <c r="P34" s="341"/>
      <c r="Q34" s="359"/>
      <c r="R34" s="341">
        <f>IF(NOT(ISERROR(MATCH(Q34,_xlfn.ANCHORARRAY(E45),0))),P47&amp;"Por favor no seleccionar los criterios de impacto",Q34)</f>
        <v>0</v>
      </c>
      <c r="S34" s="340"/>
      <c r="T34" s="341"/>
      <c r="U34" s="358"/>
      <c r="V34" s="214">
        <v>4</v>
      </c>
      <c r="W34" s="187"/>
      <c r="X34" s="189" t="str">
        <f t="shared" ref="X34:X36" si="33">IF(OR(Y34="Preventivo",Y34="Detectivo"),"Probabilidad",IF(Y34="Correctivo","Impacto",""))</f>
        <v/>
      </c>
      <c r="Y34" s="190"/>
      <c r="Z34" s="190"/>
      <c r="AA34" s="191" t="str">
        <f t="shared" si="28"/>
        <v/>
      </c>
      <c r="AB34" s="190"/>
      <c r="AC34" s="190"/>
      <c r="AD34" s="190"/>
      <c r="AE34" s="192" t="str">
        <f t="shared" ref="AE34:AE36" si="34">IFERROR(IF(AND(X33="Probabilidad",X34="Probabilidad"),(AG33-(+AG33*AA34)),IF(AND(X33="Impacto",X34="Probabilidad"),(AG32-(+AG32*AA34)),IF(X34="Impacto",AG33,""))),"")</f>
        <v/>
      </c>
      <c r="AF34" s="193" t="str">
        <f t="shared" si="2"/>
        <v/>
      </c>
      <c r="AG34" s="191" t="str">
        <f t="shared" si="29"/>
        <v/>
      </c>
      <c r="AH34" s="193" t="str">
        <f t="shared" si="4"/>
        <v/>
      </c>
      <c r="AI34" s="191" t="str">
        <f t="shared" si="14"/>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39"/>
      <c r="AQ34" s="339"/>
      <c r="AR34" s="339"/>
    </row>
    <row r="35" spans="1:44" x14ac:dyDescent="0.25">
      <c r="A35" s="328"/>
      <c r="B35" s="329"/>
      <c r="C35" s="329"/>
      <c r="D35" s="329"/>
      <c r="E35" s="369"/>
      <c r="F35" s="329"/>
      <c r="G35" s="343"/>
      <c r="H35" s="343"/>
      <c r="I35" s="343"/>
      <c r="J35" s="343"/>
      <c r="K35" s="343"/>
      <c r="L35" s="343"/>
      <c r="M35" s="343"/>
      <c r="N35" s="339"/>
      <c r="O35" s="340"/>
      <c r="P35" s="341"/>
      <c r="Q35" s="359"/>
      <c r="R35" s="341">
        <f>IF(NOT(ISERROR(MATCH(Q35,_xlfn.ANCHORARRAY(E46),0))),P48&amp;"Por favor no seleccionar los criterios de impacto",Q35)</f>
        <v>0</v>
      </c>
      <c r="S35" s="340"/>
      <c r="T35" s="341"/>
      <c r="U35" s="358"/>
      <c r="V35" s="214">
        <v>5</v>
      </c>
      <c r="W35" s="187"/>
      <c r="X35" s="189" t="str">
        <f t="shared" si="33"/>
        <v/>
      </c>
      <c r="Y35" s="190"/>
      <c r="Z35" s="190"/>
      <c r="AA35" s="191" t="str">
        <f t="shared" si="28"/>
        <v/>
      </c>
      <c r="AB35" s="190"/>
      <c r="AC35" s="190"/>
      <c r="AD35" s="190"/>
      <c r="AE35" s="192" t="str">
        <f t="shared" si="34"/>
        <v/>
      </c>
      <c r="AF35" s="193" t="str">
        <f>IFERROR(IF(AE35="","",IF(AE35&lt;=0.2,"Muy Baja",IF(AE35&lt;=0.4,"Baja",IF(AE35&lt;=0.6,"Media",IF(AE35&lt;=0.8,"Alta","Muy Alta"))))),"")</f>
        <v/>
      </c>
      <c r="AG35" s="191" t="str">
        <f t="shared" si="29"/>
        <v/>
      </c>
      <c r="AH35" s="193" t="str">
        <f t="shared" si="4"/>
        <v/>
      </c>
      <c r="AI35" s="191" t="str">
        <f t="shared" si="14"/>
        <v/>
      </c>
      <c r="AJ35" s="194"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39"/>
      <c r="AQ35" s="339"/>
      <c r="AR35" s="339"/>
    </row>
    <row r="36" spans="1:44" x14ac:dyDescent="0.25">
      <c r="A36" s="328"/>
      <c r="B36" s="329"/>
      <c r="C36" s="329"/>
      <c r="D36" s="329"/>
      <c r="E36" s="369"/>
      <c r="F36" s="329"/>
      <c r="G36" s="344"/>
      <c r="H36" s="344"/>
      <c r="I36" s="344"/>
      <c r="J36" s="344"/>
      <c r="K36" s="344"/>
      <c r="L36" s="344"/>
      <c r="M36" s="344"/>
      <c r="N36" s="339"/>
      <c r="O36" s="340"/>
      <c r="P36" s="341"/>
      <c r="Q36" s="359"/>
      <c r="R36" s="341">
        <f>IF(NOT(ISERROR(MATCH(Q36,_xlfn.ANCHORARRAY(E47),0))),P49&amp;"Por favor no seleccionar los criterios de impacto",Q36)</f>
        <v>0</v>
      </c>
      <c r="S36" s="340"/>
      <c r="T36" s="341"/>
      <c r="U36" s="358"/>
      <c r="V36" s="214">
        <v>6</v>
      </c>
      <c r="W36" s="187"/>
      <c r="X36" s="189" t="str">
        <f t="shared" si="33"/>
        <v/>
      </c>
      <c r="Y36" s="190"/>
      <c r="Z36" s="190"/>
      <c r="AA36" s="191" t="str">
        <f t="shared" si="28"/>
        <v/>
      </c>
      <c r="AB36" s="190"/>
      <c r="AC36" s="190"/>
      <c r="AD36" s="190"/>
      <c r="AE36" s="192" t="str">
        <f t="shared" si="34"/>
        <v/>
      </c>
      <c r="AF36" s="193" t="str">
        <f t="shared" si="2"/>
        <v/>
      </c>
      <c r="AG36" s="191" t="str">
        <f t="shared" si="29"/>
        <v/>
      </c>
      <c r="AH36" s="193" t="str">
        <f t="shared" si="4"/>
        <v/>
      </c>
      <c r="AI36" s="191" t="str">
        <f t="shared" si="14"/>
        <v/>
      </c>
      <c r="AJ36" s="194" t="str">
        <f t="shared" si="35"/>
        <v/>
      </c>
      <c r="AK36" s="195"/>
      <c r="AL36" s="186"/>
      <c r="AM36" s="196"/>
      <c r="AN36" s="196"/>
      <c r="AO36" s="197"/>
      <c r="AP36" s="339"/>
      <c r="AQ36" s="339"/>
      <c r="AR36" s="339"/>
    </row>
    <row r="37" spans="1:44" x14ac:dyDescent="0.25">
      <c r="A37" s="328">
        <v>5</v>
      </c>
      <c r="B37" s="329"/>
      <c r="C37" s="329"/>
      <c r="D37" s="329"/>
      <c r="E37" s="329"/>
      <c r="F37" s="329"/>
      <c r="G37" s="342"/>
      <c r="H37" s="342"/>
      <c r="I37" s="342"/>
      <c r="J37" s="342"/>
      <c r="K37" s="342"/>
      <c r="L37" s="342"/>
      <c r="M37" s="342"/>
      <c r="N37" s="339"/>
      <c r="O37" s="340" t="str">
        <f>IF(N37&lt;=0,"",IF(N37&lt;=2,"Muy Baja",IF(N37&lt;=24,"Baja",IF(N37&lt;=500,"Media",IF(N37&lt;=5000,"Alta","Muy Alta")))))</f>
        <v/>
      </c>
      <c r="P37" s="341" t="str">
        <f>IF(O37="","",IF(O37="Muy Baja",0.2,IF(O37="Baja",0.4,IF(O37="Media",0.6,IF(O37="Alta",0.8,IF(O37="Muy Alta",1,))))))</f>
        <v/>
      </c>
      <c r="Q37" s="359"/>
      <c r="R37" s="341">
        <f>IF(NOT(ISERROR(MATCH(Q37,'Tabla Impacto'!$B$222:$B$224,0))),'Tabla Impacto'!$F$224&amp;"Por favor no seleccionar los criterios de impacto(Afectación Económica o presupuestal y Pérdida Reputacional)",Q37)</f>
        <v>0</v>
      </c>
      <c r="S37" s="340" t="str">
        <f>IF(OR(R37='Tabla Impacto'!$C$12,R37='Tabla Impacto'!$D$12),"Leve",IF(OR(R37='Tabla Impacto'!$C$13,R37='Tabla Impacto'!$D$13),"Menor",IF(OR(R37='Tabla Impacto'!$C$14,R37='Tabla Impacto'!$D$14),"Moderado",IF(OR(R37='Tabla Impacto'!$C$15,R37='Tabla Impacto'!$D$15),"Mayor",IF(OR(R37='Tabla Impacto'!$C$16,R37='Tabla Impacto'!$D$16),"Catastrófico","")))))</f>
        <v/>
      </c>
      <c r="T37" s="341" t="str">
        <f>IF(S37="","",IF(S37="Leve",0.2,IF(S37="Menor",0.4,IF(S37="Moderado",0.6,IF(S37="Mayor",0.8,IF(S37="Catastrófico",1,))))))</f>
        <v/>
      </c>
      <c r="U37" s="358"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6">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39"/>
      <c r="AQ37" s="339"/>
      <c r="AR37" s="339"/>
    </row>
    <row r="38" spans="1:44" x14ac:dyDescent="0.25">
      <c r="A38" s="328"/>
      <c r="B38" s="329"/>
      <c r="C38" s="329"/>
      <c r="D38" s="329"/>
      <c r="E38" s="329"/>
      <c r="F38" s="329"/>
      <c r="G38" s="343"/>
      <c r="H38" s="343"/>
      <c r="I38" s="343"/>
      <c r="J38" s="343"/>
      <c r="K38" s="343"/>
      <c r="L38" s="343"/>
      <c r="M38" s="343"/>
      <c r="N38" s="339"/>
      <c r="O38" s="340"/>
      <c r="P38" s="341"/>
      <c r="Q38" s="359"/>
      <c r="R38" s="341">
        <f>IF(NOT(ISERROR(MATCH(Q38,_xlfn.ANCHORARRAY(E49),0))),P51&amp;"Por favor no seleccionar los criterios de impacto",Q38)</f>
        <v>0</v>
      </c>
      <c r="S38" s="340"/>
      <c r="T38" s="341"/>
      <c r="U38" s="358"/>
      <c r="V38" s="214">
        <v>2</v>
      </c>
      <c r="W38" s="187"/>
      <c r="X38" s="189" t="str">
        <f>IF(OR(Y38="Preventivo",Y38="Detectivo"),"Probabilidad",IF(Y38="Correctivo","Impacto",""))</f>
        <v/>
      </c>
      <c r="Y38" s="190"/>
      <c r="Z38" s="190"/>
      <c r="AA38" s="191" t="str">
        <f t="shared" ref="AA38:AA42" si="37">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8">+AE38</f>
        <v/>
      </c>
      <c r="AH38" s="193" t="str">
        <f t="shared" si="4"/>
        <v/>
      </c>
      <c r="AI38" s="191" t="str">
        <f t="shared" ref="AI38" si="39">IFERROR(IF(AND(X37="Impacto",X38="Impacto"),(AI37-(+AI37*AA38)),IF(X38="Impacto",($T$13-(+$T$13*AA38)),IF(X38="Probabilidad",AI37,""))),"")</f>
        <v/>
      </c>
      <c r="AJ38" s="194"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39"/>
      <c r="AQ38" s="339"/>
      <c r="AR38" s="339"/>
    </row>
    <row r="39" spans="1:44" x14ac:dyDescent="0.25">
      <c r="A39" s="328"/>
      <c r="B39" s="329"/>
      <c r="C39" s="329"/>
      <c r="D39" s="329"/>
      <c r="E39" s="329"/>
      <c r="F39" s="329"/>
      <c r="G39" s="343"/>
      <c r="H39" s="343"/>
      <c r="I39" s="343"/>
      <c r="J39" s="343"/>
      <c r="K39" s="343"/>
      <c r="L39" s="343"/>
      <c r="M39" s="343"/>
      <c r="N39" s="339"/>
      <c r="O39" s="340"/>
      <c r="P39" s="341"/>
      <c r="Q39" s="359"/>
      <c r="R39" s="341">
        <f>IF(NOT(ISERROR(MATCH(Q39,_xlfn.ANCHORARRAY(E50),0))),P52&amp;"Por favor no seleccionar los criterios de impacto",Q39)</f>
        <v>0</v>
      </c>
      <c r="S39" s="340"/>
      <c r="T39" s="341"/>
      <c r="U39" s="358"/>
      <c r="V39" s="214">
        <v>3</v>
      </c>
      <c r="W39" s="188"/>
      <c r="X39" s="189" t="str">
        <f>IF(OR(Y39="Preventivo",Y39="Detectivo"),"Probabilidad",IF(Y39="Correctivo","Impacto",""))</f>
        <v/>
      </c>
      <c r="Y39" s="190"/>
      <c r="Z39" s="190"/>
      <c r="AA39" s="191" t="str">
        <f t="shared" si="37"/>
        <v/>
      </c>
      <c r="AB39" s="190"/>
      <c r="AC39" s="190"/>
      <c r="AD39" s="190"/>
      <c r="AE39" s="192" t="str">
        <f>IFERROR(IF(AND(X38="Probabilidad",X39="Probabilidad"),(AG38-(+AG38*AA39)),IF(AND(X38="Impacto",X39="Probabilidad"),(AG37-(+AG37*AA39)),IF(X39="Impacto",AG38,""))),"")</f>
        <v/>
      </c>
      <c r="AF39" s="193" t="str">
        <f t="shared" si="2"/>
        <v/>
      </c>
      <c r="AG39" s="191" t="str">
        <f t="shared" si="38"/>
        <v/>
      </c>
      <c r="AH39" s="193" t="str">
        <f t="shared" si="4"/>
        <v/>
      </c>
      <c r="AI39" s="191" t="str">
        <f t="shared" ref="AI39" si="41">IFERROR(IF(AND(X38="Impacto",X39="Impacto"),(AI38-(+AI38*AA39)),IF(AND(X38="Probabilidad",X39="Impacto"),(AI37-(+AI37*AA39)),IF(X39="Probabilidad",AI38,""))),"")</f>
        <v/>
      </c>
      <c r="AJ39" s="194" t="str">
        <f t="shared" si="40"/>
        <v/>
      </c>
      <c r="AK39" s="195"/>
      <c r="AL39" s="186"/>
      <c r="AM39" s="196"/>
      <c r="AN39" s="196"/>
      <c r="AO39" s="197"/>
      <c r="AP39" s="339"/>
      <c r="AQ39" s="339"/>
      <c r="AR39" s="339"/>
    </row>
    <row r="40" spans="1:44" x14ac:dyDescent="0.25">
      <c r="A40" s="328"/>
      <c r="B40" s="329"/>
      <c r="C40" s="329"/>
      <c r="D40" s="329"/>
      <c r="E40" s="329"/>
      <c r="F40" s="329"/>
      <c r="G40" s="343"/>
      <c r="H40" s="343"/>
      <c r="I40" s="343"/>
      <c r="J40" s="343"/>
      <c r="K40" s="343"/>
      <c r="L40" s="343"/>
      <c r="M40" s="343"/>
      <c r="N40" s="339"/>
      <c r="O40" s="340"/>
      <c r="P40" s="341"/>
      <c r="Q40" s="359"/>
      <c r="R40" s="341">
        <f>IF(NOT(ISERROR(MATCH(Q40,_xlfn.ANCHORARRAY(E51),0))),P53&amp;"Por favor no seleccionar los criterios de impacto",Q40)</f>
        <v>0</v>
      </c>
      <c r="S40" s="340"/>
      <c r="T40" s="341"/>
      <c r="U40" s="358"/>
      <c r="V40" s="214">
        <v>4</v>
      </c>
      <c r="W40" s="187"/>
      <c r="X40" s="189" t="str">
        <f t="shared" ref="X40:X42" si="42">IF(OR(Y40="Preventivo",Y40="Detectivo"),"Probabilidad",IF(Y40="Correctivo","Impacto",""))</f>
        <v/>
      </c>
      <c r="Y40" s="190"/>
      <c r="Z40" s="190"/>
      <c r="AA40" s="191" t="str">
        <f t="shared" si="37"/>
        <v/>
      </c>
      <c r="AB40" s="190"/>
      <c r="AC40" s="190"/>
      <c r="AD40" s="190"/>
      <c r="AE40" s="192" t="str">
        <f t="shared" ref="AE40:AE42" si="43">IFERROR(IF(AND(X39="Probabilidad",X40="Probabilidad"),(AG39-(+AG39*AA40)),IF(AND(X39="Impacto",X40="Probabilidad"),(AG38-(+AG38*AA40)),IF(X40="Impacto",AG39,""))),"")</f>
        <v/>
      </c>
      <c r="AF40" s="193" t="str">
        <f t="shared" si="2"/>
        <v/>
      </c>
      <c r="AG40" s="191" t="str">
        <f t="shared" si="38"/>
        <v/>
      </c>
      <c r="AH40" s="193" t="str">
        <f t="shared" si="4"/>
        <v/>
      </c>
      <c r="AI40" s="191" t="str">
        <f t="shared" si="14"/>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39"/>
      <c r="AQ40" s="339"/>
      <c r="AR40" s="339"/>
    </row>
    <row r="41" spans="1:44" x14ac:dyDescent="0.25">
      <c r="A41" s="328"/>
      <c r="B41" s="329"/>
      <c r="C41" s="329"/>
      <c r="D41" s="329"/>
      <c r="E41" s="329"/>
      <c r="F41" s="329"/>
      <c r="G41" s="343"/>
      <c r="H41" s="343"/>
      <c r="I41" s="343"/>
      <c r="J41" s="343"/>
      <c r="K41" s="343"/>
      <c r="L41" s="343"/>
      <c r="M41" s="343"/>
      <c r="N41" s="339"/>
      <c r="O41" s="340"/>
      <c r="P41" s="341"/>
      <c r="Q41" s="359"/>
      <c r="R41" s="341">
        <f>IF(NOT(ISERROR(MATCH(Q41,_xlfn.ANCHORARRAY(E52),0))),P54&amp;"Por favor no seleccionar los criterios de impacto",Q41)</f>
        <v>0</v>
      </c>
      <c r="S41" s="340"/>
      <c r="T41" s="341"/>
      <c r="U41" s="358"/>
      <c r="V41" s="214">
        <v>5</v>
      </c>
      <c r="W41" s="187"/>
      <c r="X41" s="189" t="str">
        <f t="shared" si="42"/>
        <v/>
      </c>
      <c r="Y41" s="190"/>
      <c r="Z41" s="190"/>
      <c r="AA41" s="191" t="str">
        <f t="shared" si="37"/>
        <v/>
      </c>
      <c r="AB41" s="190"/>
      <c r="AC41" s="190"/>
      <c r="AD41" s="190"/>
      <c r="AE41" s="192" t="str">
        <f t="shared" si="43"/>
        <v/>
      </c>
      <c r="AF41" s="193" t="str">
        <f t="shared" si="2"/>
        <v/>
      </c>
      <c r="AG41" s="191" t="str">
        <f t="shared" si="38"/>
        <v/>
      </c>
      <c r="AH41" s="193" t="str">
        <f t="shared" si="4"/>
        <v/>
      </c>
      <c r="AI41" s="191" t="str">
        <f t="shared" si="14"/>
        <v/>
      </c>
      <c r="AJ41" s="194"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39"/>
      <c r="AQ41" s="339"/>
      <c r="AR41" s="339"/>
    </row>
    <row r="42" spans="1:44" x14ac:dyDescent="0.25">
      <c r="A42" s="328"/>
      <c r="B42" s="329"/>
      <c r="C42" s="329"/>
      <c r="D42" s="329"/>
      <c r="E42" s="329"/>
      <c r="F42" s="329"/>
      <c r="G42" s="344"/>
      <c r="H42" s="344"/>
      <c r="I42" s="344"/>
      <c r="J42" s="344"/>
      <c r="K42" s="344"/>
      <c r="L42" s="344"/>
      <c r="M42" s="344"/>
      <c r="N42" s="339"/>
      <c r="O42" s="340"/>
      <c r="P42" s="341"/>
      <c r="Q42" s="359"/>
      <c r="R42" s="341">
        <f>IF(NOT(ISERROR(MATCH(Q42,_xlfn.ANCHORARRAY(E53),0))),P55&amp;"Por favor no seleccionar los criterios de impacto",Q42)</f>
        <v>0</v>
      </c>
      <c r="S42" s="340"/>
      <c r="T42" s="341"/>
      <c r="U42" s="358"/>
      <c r="V42" s="214">
        <v>6</v>
      </c>
      <c r="W42" s="187"/>
      <c r="X42" s="189" t="str">
        <f t="shared" si="42"/>
        <v/>
      </c>
      <c r="Y42" s="190"/>
      <c r="Z42" s="190"/>
      <c r="AA42" s="191" t="str">
        <f t="shared" si="37"/>
        <v/>
      </c>
      <c r="AB42" s="190"/>
      <c r="AC42" s="190"/>
      <c r="AD42" s="190"/>
      <c r="AE42" s="192" t="str">
        <f t="shared" si="43"/>
        <v/>
      </c>
      <c r="AF42" s="193" t="str">
        <f t="shared" si="2"/>
        <v/>
      </c>
      <c r="AG42" s="191" t="str">
        <f t="shared" si="38"/>
        <v/>
      </c>
      <c r="AH42" s="193" t="str">
        <f t="shared" si="4"/>
        <v/>
      </c>
      <c r="AI42" s="191" t="str">
        <f t="shared" si="14"/>
        <v/>
      </c>
      <c r="AJ42" s="194" t="str">
        <f t="shared" si="44"/>
        <v/>
      </c>
      <c r="AK42" s="195"/>
      <c r="AL42" s="186"/>
      <c r="AM42" s="196"/>
      <c r="AN42" s="196"/>
      <c r="AO42" s="197"/>
      <c r="AP42" s="339"/>
      <c r="AQ42" s="339"/>
      <c r="AR42" s="339"/>
    </row>
    <row r="43" spans="1:44" x14ac:dyDescent="0.25">
      <c r="A43" s="328">
        <v>6</v>
      </c>
      <c r="B43" s="329"/>
      <c r="C43" s="329"/>
      <c r="D43" s="329"/>
      <c r="E43" s="342"/>
      <c r="F43" s="329"/>
      <c r="G43" s="342"/>
      <c r="H43" s="342"/>
      <c r="I43" s="342"/>
      <c r="J43" s="342"/>
      <c r="K43" s="342"/>
      <c r="L43" s="342"/>
      <c r="M43" s="342"/>
      <c r="N43" s="339"/>
      <c r="O43" s="340" t="str">
        <f>IF(N43&lt;=0,"",IF(N43&lt;=2,"Muy Baja",IF(N43&lt;=24,"Baja",IF(N43&lt;=500,"Media",IF(N43&lt;=5000,"Alta","Muy Alta")))))</f>
        <v/>
      </c>
      <c r="P43" s="341" t="str">
        <f>IF(O43="","",IF(O43="Muy Baja",0.2,IF(O43="Baja",0.4,IF(O43="Media",0.6,IF(O43="Alta",0.8,IF(O43="Muy Alta",1,))))))</f>
        <v/>
      </c>
      <c r="Q43" s="359"/>
      <c r="R43" s="341">
        <f>IF(NOT(ISERROR(MATCH(Q43,'Tabla Impacto'!$B$222:$B$224,0))),'Tabla Impacto'!$F$224&amp;"Por favor no seleccionar los criterios de impacto(Afectación Económica o presupuestal y Pérdida Reputacional)",Q43)</f>
        <v>0</v>
      </c>
      <c r="S43" s="340" t="str">
        <f>IF(OR(R43='Tabla Impacto'!$C$12,R43='Tabla Impacto'!$D$12),"Leve",IF(OR(R43='Tabla Impacto'!$C$13,R43='Tabla Impacto'!$D$13),"Menor",IF(OR(R43='Tabla Impacto'!$C$14,R43='Tabla Impacto'!$D$14),"Moderado",IF(OR(R43='Tabla Impacto'!$C$15,R43='Tabla Impacto'!$D$15),"Mayor",IF(OR(R43='Tabla Impacto'!$C$16,R43='Tabla Impacto'!$D$16),"Catastrófico","")))))</f>
        <v/>
      </c>
      <c r="T43" s="341" t="str">
        <f>IF(S43="","",IF(S43="Leve",0.2,IF(S43="Menor",0.4,IF(S43="Moderado",0.6,IF(S43="Mayor",0.8,IF(S43="Catastrófico",1,))))))</f>
        <v/>
      </c>
      <c r="U43" s="358"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5">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39"/>
      <c r="AQ43" s="339"/>
      <c r="AR43" s="339"/>
    </row>
    <row r="44" spans="1:44" x14ac:dyDescent="0.25">
      <c r="A44" s="328"/>
      <c r="B44" s="329"/>
      <c r="C44" s="329"/>
      <c r="D44" s="329"/>
      <c r="E44" s="343"/>
      <c r="F44" s="329"/>
      <c r="G44" s="343"/>
      <c r="H44" s="343"/>
      <c r="I44" s="343"/>
      <c r="J44" s="343"/>
      <c r="K44" s="343"/>
      <c r="L44" s="343"/>
      <c r="M44" s="343"/>
      <c r="N44" s="339"/>
      <c r="O44" s="340"/>
      <c r="P44" s="341"/>
      <c r="Q44" s="359"/>
      <c r="R44" s="341">
        <f>IF(NOT(ISERROR(MATCH(Q44,_xlfn.ANCHORARRAY(E55),0))),P57&amp;"Por favor no seleccionar los criterios de impacto",Q44)</f>
        <v>0</v>
      </c>
      <c r="S44" s="340"/>
      <c r="T44" s="341"/>
      <c r="U44" s="358"/>
      <c r="V44" s="214">
        <v>2</v>
      </c>
      <c r="W44" s="187"/>
      <c r="X44" s="189" t="str">
        <f>IF(OR(Y44="Preventivo",Y44="Detectivo"),"Probabilidad",IF(Y44="Correctivo","Impacto",""))</f>
        <v/>
      </c>
      <c r="Y44" s="190"/>
      <c r="Z44" s="190"/>
      <c r="AA44" s="191" t="str">
        <f t="shared" ref="AA44:AA48" si="46">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7">+AE44</f>
        <v/>
      </c>
      <c r="AH44" s="193" t="str">
        <f t="shared" si="4"/>
        <v/>
      </c>
      <c r="AI44" s="191" t="str">
        <f t="shared" ref="AI44" si="48">IFERROR(IF(AND(X43="Impacto",X44="Impacto"),(AI43-(+AI43*AA44)),IF(X44="Impacto",($T$13-(+$T$13*AA44)),IF(X44="Probabilidad",AI43,""))),"")</f>
        <v/>
      </c>
      <c r="AJ44" s="194"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39"/>
      <c r="AQ44" s="339"/>
      <c r="AR44" s="339"/>
    </row>
    <row r="45" spans="1:44" x14ac:dyDescent="0.25">
      <c r="A45" s="328"/>
      <c r="B45" s="329"/>
      <c r="C45" s="329"/>
      <c r="D45" s="329"/>
      <c r="E45" s="343"/>
      <c r="F45" s="329"/>
      <c r="G45" s="343"/>
      <c r="H45" s="343"/>
      <c r="I45" s="343"/>
      <c r="J45" s="343"/>
      <c r="K45" s="343"/>
      <c r="L45" s="343"/>
      <c r="M45" s="343"/>
      <c r="N45" s="339"/>
      <c r="O45" s="340"/>
      <c r="P45" s="341"/>
      <c r="Q45" s="359"/>
      <c r="R45" s="341">
        <f>IF(NOT(ISERROR(MATCH(Q45,_xlfn.ANCHORARRAY(E56),0))),P58&amp;"Por favor no seleccionar los criterios de impacto",Q45)</f>
        <v>0</v>
      </c>
      <c r="S45" s="340"/>
      <c r="T45" s="341"/>
      <c r="U45" s="358"/>
      <c r="V45" s="214">
        <v>3</v>
      </c>
      <c r="W45" s="188"/>
      <c r="X45" s="189" t="str">
        <f>IF(OR(Y45="Preventivo",Y45="Detectivo"),"Probabilidad",IF(Y45="Correctivo","Impacto",""))</f>
        <v/>
      </c>
      <c r="Y45" s="190"/>
      <c r="Z45" s="190"/>
      <c r="AA45" s="191" t="str">
        <f t="shared" si="46"/>
        <v/>
      </c>
      <c r="AB45" s="190"/>
      <c r="AC45" s="190"/>
      <c r="AD45" s="190"/>
      <c r="AE45" s="192" t="str">
        <f>IFERROR(IF(AND(X44="Probabilidad",X45="Probabilidad"),(AG44-(+AG44*AA45)),IF(AND(X44="Impacto",X45="Probabilidad"),(AG43-(+AG43*AA45)),IF(X45="Impacto",AG44,""))),"")</f>
        <v/>
      </c>
      <c r="AF45" s="193" t="str">
        <f t="shared" si="2"/>
        <v/>
      </c>
      <c r="AG45" s="191" t="str">
        <f t="shared" si="47"/>
        <v/>
      </c>
      <c r="AH45" s="193" t="str">
        <f t="shared" si="4"/>
        <v/>
      </c>
      <c r="AI45" s="191" t="str">
        <f t="shared" ref="AI45" si="50">IFERROR(IF(AND(X44="Impacto",X45="Impacto"),(AI44-(+AI44*AA45)),IF(AND(X44="Probabilidad",X45="Impacto"),(AI43-(+AI43*AA45)),IF(X45="Probabilidad",AI44,""))),"")</f>
        <v/>
      </c>
      <c r="AJ45" s="194" t="str">
        <f t="shared" si="49"/>
        <v/>
      </c>
      <c r="AK45" s="195"/>
      <c r="AL45" s="186"/>
      <c r="AM45" s="196"/>
      <c r="AN45" s="196"/>
      <c r="AO45" s="197"/>
      <c r="AP45" s="339"/>
      <c r="AQ45" s="339"/>
      <c r="AR45" s="339"/>
    </row>
    <row r="46" spans="1:44" x14ac:dyDescent="0.25">
      <c r="A46" s="328"/>
      <c r="B46" s="329"/>
      <c r="C46" s="329"/>
      <c r="D46" s="329"/>
      <c r="E46" s="343"/>
      <c r="F46" s="329"/>
      <c r="G46" s="343"/>
      <c r="H46" s="343"/>
      <c r="I46" s="343"/>
      <c r="J46" s="343"/>
      <c r="K46" s="343"/>
      <c r="L46" s="343"/>
      <c r="M46" s="343"/>
      <c r="N46" s="339"/>
      <c r="O46" s="340"/>
      <c r="P46" s="341"/>
      <c r="Q46" s="359"/>
      <c r="R46" s="341">
        <f>IF(NOT(ISERROR(MATCH(Q46,_xlfn.ANCHORARRAY(E57),0))),P59&amp;"Por favor no seleccionar los criterios de impacto",Q46)</f>
        <v>0</v>
      </c>
      <c r="S46" s="340"/>
      <c r="T46" s="341"/>
      <c r="U46" s="358"/>
      <c r="V46" s="214">
        <v>4</v>
      </c>
      <c r="W46" s="187"/>
      <c r="X46" s="189" t="str">
        <f t="shared" ref="X46:X48" si="51">IF(OR(Y46="Preventivo",Y46="Detectivo"),"Probabilidad",IF(Y46="Correctivo","Impacto",""))</f>
        <v/>
      </c>
      <c r="Y46" s="190"/>
      <c r="Z46" s="190"/>
      <c r="AA46" s="191" t="str">
        <f t="shared" si="46"/>
        <v/>
      </c>
      <c r="AB46" s="190"/>
      <c r="AC46" s="190"/>
      <c r="AD46" s="190"/>
      <c r="AE46" s="192" t="str">
        <f t="shared" ref="AE46:AE48" si="52">IFERROR(IF(AND(X45="Probabilidad",X46="Probabilidad"),(AG45-(+AG45*AA46)),IF(AND(X45="Impacto",X46="Probabilidad"),(AG44-(+AG44*AA46)),IF(X46="Impacto",AG45,""))),"")</f>
        <v/>
      </c>
      <c r="AF46" s="193" t="str">
        <f t="shared" si="2"/>
        <v/>
      </c>
      <c r="AG46" s="191" t="str">
        <f t="shared" si="47"/>
        <v/>
      </c>
      <c r="AH46" s="193" t="str">
        <f t="shared" si="4"/>
        <v/>
      </c>
      <c r="AI46" s="191" t="str">
        <f t="shared" si="14"/>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39"/>
      <c r="AQ46" s="339"/>
      <c r="AR46" s="339"/>
    </row>
    <row r="47" spans="1:44" x14ac:dyDescent="0.25">
      <c r="A47" s="328"/>
      <c r="B47" s="329"/>
      <c r="C47" s="329"/>
      <c r="D47" s="329"/>
      <c r="E47" s="343"/>
      <c r="F47" s="329"/>
      <c r="G47" s="343"/>
      <c r="H47" s="343"/>
      <c r="I47" s="343"/>
      <c r="J47" s="343"/>
      <c r="K47" s="343"/>
      <c r="L47" s="343"/>
      <c r="M47" s="343"/>
      <c r="N47" s="339"/>
      <c r="O47" s="340"/>
      <c r="P47" s="341"/>
      <c r="Q47" s="359"/>
      <c r="R47" s="341">
        <f>IF(NOT(ISERROR(MATCH(Q47,_xlfn.ANCHORARRAY(E58),0))),P60&amp;"Por favor no seleccionar los criterios de impacto",Q47)</f>
        <v>0</v>
      </c>
      <c r="S47" s="340"/>
      <c r="T47" s="341"/>
      <c r="U47" s="358"/>
      <c r="V47" s="214">
        <v>5</v>
      </c>
      <c r="W47" s="187"/>
      <c r="X47" s="189" t="str">
        <f t="shared" si="51"/>
        <v/>
      </c>
      <c r="Y47" s="190"/>
      <c r="Z47" s="190"/>
      <c r="AA47" s="191" t="str">
        <f t="shared" si="46"/>
        <v/>
      </c>
      <c r="AB47" s="190"/>
      <c r="AC47" s="190"/>
      <c r="AD47" s="190"/>
      <c r="AE47" s="192" t="str">
        <f t="shared" si="52"/>
        <v/>
      </c>
      <c r="AF47" s="193" t="str">
        <f t="shared" si="2"/>
        <v/>
      </c>
      <c r="AG47" s="191" t="str">
        <f t="shared" si="47"/>
        <v/>
      </c>
      <c r="AH47" s="193" t="str">
        <f t="shared" si="4"/>
        <v/>
      </c>
      <c r="AI47" s="191" t="str">
        <f t="shared" si="14"/>
        <v/>
      </c>
      <c r="AJ47" s="194"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39"/>
      <c r="AQ47" s="339"/>
      <c r="AR47" s="339"/>
    </row>
    <row r="48" spans="1:44" x14ac:dyDescent="0.25">
      <c r="A48" s="328"/>
      <c r="B48" s="329"/>
      <c r="C48" s="329"/>
      <c r="D48" s="329"/>
      <c r="E48" s="344"/>
      <c r="F48" s="329"/>
      <c r="G48" s="344"/>
      <c r="H48" s="344"/>
      <c r="I48" s="344"/>
      <c r="J48" s="344"/>
      <c r="K48" s="344"/>
      <c r="L48" s="344"/>
      <c r="M48" s="344"/>
      <c r="N48" s="339"/>
      <c r="O48" s="340"/>
      <c r="P48" s="341"/>
      <c r="Q48" s="359"/>
      <c r="R48" s="341">
        <f>IF(NOT(ISERROR(MATCH(Q48,_xlfn.ANCHORARRAY(E59),0))),P61&amp;"Por favor no seleccionar los criterios de impacto",Q48)</f>
        <v>0</v>
      </c>
      <c r="S48" s="340"/>
      <c r="T48" s="341"/>
      <c r="U48" s="358"/>
      <c r="V48" s="214">
        <v>6</v>
      </c>
      <c r="W48" s="187"/>
      <c r="X48" s="189" t="str">
        <f t="shared" si="51"/>
        <v/>
      </c>
      <c r="Y48" s="190"/>
      <c r="Z48" s="190"/>
      <c r="AA48" s="191" t="str">
        <f t="shared" si="46"/>
        <v/>
      </c>
      <c r="AB48" s="190"/>
      <c r="AC48" s="190"/>
      <c r="AD48" s="190"/>
      <c r="AE48" s="192" t="str">
        <f t="shared" si="52"/>
        <v/>
      </c>
      <c r="AF48" s="193" t="str">
        <f t="shared" si="2"/>
        <v/>
      </c>
      <c r="AG48" s="191" t="str">
        <f t="shared" si="47"/>
        <v/>
      </c>
      <c r="AH48" s="193" t="str">
        <f>IFERROR(IF(AI48="","",IF(AI48&lt;=0.2,"Leve",IF(AI48&lt;=0.4,"Menor",IF(AI48&lt;=0.6,"Moderado",IF(AI48&lt;=0.8,"Mayor","Catastrófico"))))),"")</f>
        <v/>
      </c>
      <c r="AI48" s="191" t="str">
        <f t="shared" si="14"/>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39"/>
      <c r="AQ48" s="339"/>
      <c r="AR48" s="339"/>
    </row>
    <row r="49" spans="1:44" x14ac:dyDescent="0.25">
      <c r="A49" s="328">
        <v>7</v>
      </c>
      <c r="B49" s="329"/>
      <c r="C49" s="329"/>
      <c r="D49" s="367"/>
      <c r="E49" s="329"/>
      <c r="F49" s="329"/>
      <c r="G49" s="342"/>
      <c r="H49" s="342"/>
      <c r="I49" s="342"/>
      <c r="J49" s="342"/>
      <c r="K49" s="342"/>
      <c r="L49" s="342"/>
      <c r="M49" s="342"/>
      <c r="N49" s="339"/>
      <c r="O49" s="340" t="str">
        <f>IF(N49&lt;=0,"",IF(N49&lt;=2,"Muy Baja",IF(N49&lt;=24,"Baja",IF(N49&lt;=500,"Media",IF(N49&lt;=5000,"Alta","Muy Alta")))))</f>
        <v/>
      </c>
      <c r="P49" s="341" t="str">
        <f>IF(O49="","",IF(O49="Muy Baja",0.2,IF(O49="Baja",0.4,IF(O49="Media",0.6,IF(O49="Alta",0.8,IF(O49="Muy Alta",1,))))))</f>
        <v/>
      </c>
      <c r="Q49" s="359"/>
      <c r="R49" s="341">
        <f>IF(NOT(ISERROR(MATCH(Q49,'Tabla Impacto'!$B$222:$B$224,0))),'Tabla Impacto'!$F$224&amp;"Por favor no seleccionar los criterios de impacto(Afectación Económica o presupuestal y Pérdida Reputacional)",Q49)</f>
        <v>0</v>
      </c>
      <c r="S49" s="340" t="str">
        <f>IF(OR(R49='Tabla Impacto'!$C$12,R49='Tabla Impacto'!$D$12),"Leve",IF(OR(R49='Tabla Impacto'!$C$13,R49='Tabla Impacto'!$D$13),"Menor",IF(OR(R49='Tabla Impacto'!$C$14,R49='Tabla Impacto'!$D$14),"Moderado",IF(OR(R49='Tabla Impacto'!$C$15,R49='Tabla Impacto'!$D$15),"Mayor",IF(OR(R49='Tabla Impacto'!$C$16,R49='Tabla Impacto'!$D$16),"Catastrófico","")))))</f>
        <v/>
      </c>
      <c r="T49" s="341" t="str">
        <f>IF(S49="","",IF(S49="Leve",0.2,IF(S49="Menor",0.4,IF(S49="Moderado",0.6,IF(S49="Mayor",0.8,IF(S49="Catastrófico",1,))))))</f>
        <v/>
      </c>
      <c r="U49" s="358"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4">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39"/>
      <c r="AQ49" s="339"/>
      <c r="AR49" s="339"/>
    </row>
    <row r="50" spans="1:44" x14ac:dyDescent="0.25">
      <c r="A50" s="328"/>
      <c r="B50" s="329"/>
      <c r="C50" s="329"/>
      <c r="D50" s="367"/>
      <c r="E50" s="329"/>
      <c r="F50" s="329"/>
      <c r="G50" s="343"/>
      <c r="H50" s="343"/>
      <c r="I50" s="343"/>
      <c r="J50" s="343"/>
      <c r="K50" s="343"/>
      <c r="L50" s="343"/>
      <c r="M50" s="343"/>
      <c r="N50" s="339"/>
      <c r="O50" s="340"/>
      <c r="P50" s="341"/>
      <c r="Q50" s="359"/>
      <c r="R50" s="341">
        <f>IF(NOT(ISERROR(MATCH(Q50,_xlfn.ANCHORARRAY(E61),0))),P63&amp;"Por favor no seleccionar los criterios de impacto",Q50)</f>
        <v>0</v>
      </c>
      <c r="S50" s="340"/>
      <c r="T50" s="341"/>
      <c r="U50" s="358"/>
      <c r="V50" s="214">
        <v>2</v>
      </c>
      <c r="W50" s="187"/>
      <c r="X50" s="189" t="str">
        <f>IF(OR(Y50="Preventivo",Y50="Detectivo"),"Probabilidad",IF(Y50="Correctivo","Impacto",""))</f>
        <v/>
      </c>
      <c r="Y50" s="190"/>
      <c r="Z50" s="190"/>
      <c r="AA50" s="191" t="str">
        <f t="shared" ref="AA50:AA54" si="55">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6">+AE50</f>
        <v/>
      </c>
      <c r="AH50" s="193" t="str">
        <f t="shared" si="4"/>
        <v/>
      </c>
      <c r="AI50" s="191" t="str">
        <f t="shared" ref="AI50" si="57">IFERROR(IF(AND(X49="Impacto",X50="Impacto"),(AI49-(+AI49*AA50)),IF(X50="Impacto",($T$13-(+$T$13*AA50)),IF(X50="Probabilidad",AI49,""))),"")</f>
        <v/>
      </c>
      <c r="AJ50" s="194"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39"/>
      <c r="AQ50" s="339"/>
      <c r="AR50" s="339"/>
    </row>
    <row r="51" spans="1:44" x14ac:dyDescent="0.25">
      <c r="A51" s="328"/>
      <c r="B51" s="329"/>
      <c r="C51" s="329"/>
      <c r="D51" s="367"/>
      <c r="E51" s="329"/>
      <c r="F51" s="329"/>
      <c r="G51" s="343"/>
      <c r="H51" s="343"/>
      <c r="I51" s="343"/>
      <c r="J51" s="343"/>
      <c r="K51" s="343"/>
      <c r="L51" s="343"/>
      <c r="M51" s="343"/>
      <c r="N51" s="339"/>
      <c r="O51" s="340"/>
      <c r="P51" s="341"/>
      <c r="Q51" s="359"/>
      <c r="R51" s="341">
        <f>IF(NOT(ISERROR(MATCH(Q51,_xlfn.ANCHORARRAY(E62),0))),P64&amp;"Por favor no seleccionar los criterios de impacto",Q51)</f>
        <v>0</v>
      </c>
      <c r="S51" s="340"/>
      <c r="T51" s="341"/>
      <c r="U51" s="358"/>
      <c r="V51" s="214">
        <v>3</v>
      </c>
      <c r="W51" s="188"/>
      <c r="X51" s="189" t="str">
        <f>IF(OR(Y51="Preventivo",Y51="Detectivo"),"Probabilidad",IF(Y51="Correctivo","Impacto",""))</f>
        <v/>
      </c>
      <c r="Y51" s="190"/>
      <c r="Z51" s="190"/>
      <c r="AA51" s="191" t="str">
        <f t="shared" si="55"/>
        <v/>
      </c>
      <c r="AB51" s="190"/>
      <c r="AC51" s="190"/>
      <c r="AD51" s="190"/>
      <c r="AE51" s="192" t="str">
        <f>IFERROR(IF(AND(X50="Probabilidad",X51="Probabilidad"),(AG50-(+AG50*AA51)),IF(AND(X50="Impacto",X51="Probabilidad"),(AG49-(+AG49*AA51)),IF(X51="Impacto",AG50,""))),"")</f>
        <v/>
      </c>
      <c r="AF51" s="193" t="str">
        <f t="shared" si="2"/>
        <v/>
      </c>
      <c r="AG51" s="191" t="str">
        <f t="shared" si="56"/>
        <v/>
      </c>
      <c r="AH51" s="193" t="str">
        <f t="shared" si="4"/>
        <v/>
      </c>
      <c r="AI51" s="191" t="str">
        <f t="shared" ref="AI51" si="59">IFERROR(IF(AND(X50="Impacto",X51="Impacto"),(AI50-(+AI50*AA51)),IF(AND(X50="Probabilidad",X51="Impacto"),(AI49-(+AI49*AA51)),IF(X51="Probabilidad",AI50,""))),"")</f>
        <v/>
      </c>
      <c r="AJ51" s="194" t="str">
        <f t="shared" si="58"/>
        <v/>
      </c>
      <c r="AK51" s="195"/>
      <c r="AL51" s="186"/>
      <c r="AM51" s="196"/>
      <c r="AN51" s="196"/>
      <c r="AO51" s="197"/>
      <c r="AP51" s="339"/>
      <c r="AQ51" s="339"/>
      <c r="AR51" s="339"/>
    </row>
    <row r="52" spans="1:44" x14ac:dyDescent="0.25">
      <c r="A52" s="328"/>
      <c r="B52" s="329"/>
      <c r="C52" s="329"/>
      <c r="D52" s="367"/>
      <c r="E52" s="329"/>
      <c r="F52" s="329"/>
      <c r="G52" s="343"/>
      <c r="H52" s="343"/>
      <c r="I52" s="343"/>
      <c r="J52" s="343"/>
      <c r="K52" s="343"/>
      <c r="L52" s="343"/>
      <c r="M52" s="343"/>
      <c r="N52" s="339"/>
      <c r="O52" s="340"/>
      <c r="P52" s="341"/>
      <c r="Q52" s="359"/>
      <c r="R52" s="341">
        <f>IF(NOT(ISERROR(MATCH(Q52,_xlfn.ANCHORARRAY(E63),0))),P65&amp;"Por favor no seleccionar los criterios de impacto",Q52)</f>
        <v>0</v>
      </c>
      <c r="S52" s="340"/>
      <c r="T52" s="341"/>
      <c r="U52" s="358"/>
      <c r="V52" s="214">
        <v>4</v>
      </c>
      <c r="W52" s="187"/>
      <c r="X52" s="189" t="str">
        <f t="shared" ref="X52:X54" si="60">IF(OR(Y52="Preventivo",Y52="Detectivo"),"Probabilidad",IF(Y52="Correctivo","Impacto",""))</f>
        <v/>
      </c>
      <c r="Y52" s="190"/>
      <c r="Z52" s="190"/>
      <c r="AA52" s="191" t="str">
        <f t="shared" si="55"/>
        <v/>
      </c>
      <c r="AB52" s="190"/>
      <c r="AC52" s="190"/>
      <c r="AD52" s="190"/>
      <c r="AE52" s="192" t="str">
        <f t="shared" ref="AE52:AE54" si="61">IFERROR(IF(AND(X51="Probabilidad",X52="Probabilidad"),(AG51-(+AG51*AA52)),IF(AND(X51="Impacto",X52="Probabilidad"),(AG50-(+AG50*AA52)),IF(X52="Impacto",AG51,""))),"")</f>
        <v/>
      </c>
      <c r="AF52" s="193" t="str">
        <f t="shared" si="2"/>
        <v/>
      </c>
      <c r="AG52" s="191" t="str">
        <f t="shared" si="56"/>
        <v/>
      </c>
      <c r="AH52" s="193" t="str">
        <f t="shared" si="4"/>
        <v/>
      </c>
      <c r="AI52" s="191" t="str">
        <f t="shared" si="14"/>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39"/>
      <c r="AQ52" s="339"/>
      <c r="AR52" s="339"/>
    </row>
    <row r="53" spans="1:44" x14ac:dyDescent="0.25">
      <c r="A53" s="328"/>
      <c r="B53" s="329"/>
      <c r="C53" s="329"/>
      <c r="D53" s="367"/>
      <c r="E53" s="329"/>
      <c r="F53" s="329"/>
      <c r="G53" s="343"/>
      <c r="H53" s="343"/>
      <c r="I53" s="343"/>
      <c r="J53" s="343"/>
      <c r="K53" s="343"/>
      <c r="L53" s="343"/>
      <c r="M53" s="343"/>
      <c r="N53" s="339"/>
      <c r="O53" s="340"/>
      <c r="P53" s="341"/>
      <c r="Q53" s="359"/>
      <c r="R53" s="341">
        <f>IF(NOT(ISERROR(MATCH(Q53,_xlfn.ANCHORARRAY(E64),0))),P66&amp;"Por favor no seleccionar los criterios de impacto",Q53)</f>
        <v>0</v>
      </c>
      <c r="S53" s="340"/>
      <c r="T53" s="341"/>
      <c r="U53" s="358"/>
      <c r="V53" s="214">
        <v>5</v>
      </c>
      <c r="W53" s="187"/>
      <c r="X53" s="189" t="str">
        <f t="shared" si="60"/>
        <v/>
      </c>
      <c r="Y53" s="190"/>
      <c r="Z53" s="190"/>
      <c r="AA53" s="191" t="str">
        <f t="shared" si="55"/>
        <v/>
      </c>
      <c r="AB53" s="190"/>
      <c r="AC53" s="190"/>
      <c r="AD53" s="190"/>
      <c r="AE53" s="192" t="str">
        <f t="shared" si="61"/>
        <v/>
      </c>
      <c r="AF53" s="193" t="str">
        <f t="shared" si="2"/>
        <v/>
      </c>
      <c r="AG53" s="191" t="str">
        <f t="shared" si="56"/>
        <v/>
      </c>
      <c r="AH53" s="193" t="str">
        <f t="shared" si="4"/>
        <v/>
      </c>
      <c r="AI53" s="191" t="str">
        <f t="shared" si="14"/>
        <v/>
      </c>
      <c r="AJ53" s="194"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39"/>
      <c r="AQ53" s="339"/>
      <c r="AR53" s="339"/>
    </row>
    <row r="54" spans="1:44" x14ac:dyDescent="0.25">
      <c r="A54" s="328"/>
      <c r="B54" s="329"/>
      <c r="C54" s="329"/>
      <c r="D54" s="367"/>
      <c r="E54" s="329"/>
      <c r="F54" s="329"/>
      <c r="G54" s="344"/>
      <c r="H54" s="344"/>
      <c r="I54" s="344"/>
      <c r="J54" s="344"/>
      <c r="K54" s="344"/>
      <c r="L54" s="344"/>
      <c r="M54" s="344"/>
      <c r="N54" s="339"/>
      <c r="O54" s="340"/>
      <c r="P54" s="341"/>
      <c r="Q54" s="359"/>
      <c r="R54" s="341">
        <f>IF(NOT(ISERROR(MATCH(Q54,_xlfn.ANCHORARRAY(E65),0))),P67&amp;"Por favor no seleccionar los criterios de impacto",Q54)</f>
        <v>0</v>
      </c>
      <c r="S54" s="340"/>
      <c r="T54" s="341"/>
      <c r="U54" s="358"/>
      <c r="V54" s="214">
        <v>6</v>
      </c>
      <c r="W54" s="187"/>
      <c r="X54" s="189" t="str">
        <f t="shared" si="60"/>
        <v/>
      </c>
      <c r="Y54" s="190"/>
      <c r="Z54" s="190"/>
      <c r="AA54" s="191" t="str">
        <f t="shared" si="55"/>
        <v/>
      </c>
      <c r="AB54" s="190"/>
      <c r="AC54" s="190"/>
      <c r="AD54" s="190"/>
      <c r="AE54" s="192" t="str">
        <f t="shared" si="61"/>
        <v/>
      </c>
      <c r="AF54" s="193" t="str">
        <f t="shared" si="2"/>
        <v/>
      </c>
      <c r="AG54" s="191" t="str">
        <f t="shared" si="56"/>
        <v/>
      </c>
      <c r="AH54" s="193" t="str">
        <f t="shared" si="4"/>
        <v/>
      </c>
      <c r="AI54" s="191" t="str">
        <f t="shared" si="14"/>
        <v/>
      </c>
      <c r="AJ54" s="194" t="str">
        <f t="shared" si="62"/>
        <v/>
      </c>
      <c r="AK54" s="195"/>
      <c r="AL54" s="186"/>
      <c r="AM54" s="196"/>
      <c r="AN54" s="196"/>
      <c r="AO54" s="197"/>
      <c r="AP54" s="339"/>
      <c r="AQ54" s="339"/>
      <c r="AR54" s="339"/>
    </row>
    <row r="55" spans="1:44" x14ac:dyDescent="0.25">
      <c r="A55" s="328">
        <v>8</v>
      </c>
      <c r="B55" s="329"/>
      <c r="C55" s="329"/>
      <c r="D55" s="329"/>
      <c r="E55" s="329"/>
      <c r="F55" s="329"/>
      <c r="G55" s="342"/>
      <c r="H55" s="342"/>
      <c r="I55" s="342"/>
      <c r="J55" s="342"/>
      <c r="K55" s="342"/>
      <c r="L55" s="342"/>
      <c r="M55" s="342"/>
      <c r="N55" s="339"/>
      <c r="O55" s="340" t="str">
        <f>IF(N55&lt;=0,"",IF(N55&lt;=2,"Muy Baja",IF(N55&lt;=24,"Baja",IF(N55&lt;=500,"Media",IF(N55&lt;=5000,"Alta","Muy Alta")))))</f>
        <v/>
      </c>
      <c r="P55" s="341" t="str">
        <f>IF(O55="","",IF(O55="Muy Baja",0.2,IF(O55="Baja",0.4,IF(O55="Media",0.6,IF(O55="Alta",0.8,IF(O55="Muy Alta",1,))))))</f>
        <v/>
      </c>
      <c r="Q55" s="359"/>
      <c r="R55" s="341">
        <f>IF(NOT(ISERROR(MATCH(Q55,'Tabla Impacto'!$B$222:$B$224,0))),'Tabla Impacto'!$F$224&amp;"Por favor no seleccionar los criterios de impacto(Afectación Económica o presupuestal y Pérdida Reputacional)",Q55)</f>
        <v>0</v>
      </c>
      <c r="S55" s="340" t="str">
        <f>IF(OR(R55='Tabla Impacto'!$C$12,R55='Tabla Impacto'!$D$12),"Leve",IF(OR(R55='Tabla Impacto'!$C$13,R55='Tabla Impacto'!$D$13),"Menor",IF(OR(R55='Tabla Impacto'!$C$14,R55='Tabla Impacto'!$D$14),"Moderado",IF(OR(R55='Tabla Impacto'!$C$15,R55='Tabla Impacto'!$D$15),"Mayor",IF(OR(R55='Tabla Impacto'!$C$16,R55='Tabla Impacto'!$D$16),"Catastrófico","")))))</f>
        <v/>
      </c>
      <c r="T55" s="341" t="str">
        <f>IF(S55="","",IF(S55="Leve",0.2,IF(S55="Menor",0.4,IF(S55="Moderado",0.6,IF(S55="Mayor",0.8,IF(S55="Catastrófico",1,))))))</f>
        <v/>
      </c>
      <c r="U55" s="358"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3">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39"/>
      <c r="AQ55" s="339"/>
      <c r="AR55" s="339"/>
    </row>
    <row r="56" spans="1:44" x14ac:dyDescent="0.25">
      <c r="A56" s="328"/>
      <c r="B56" s="329"/>
      <c r="C56" s="329"/>
      <c r="D56" s="329"/>
      <c r="E56" s="329"/>
      <c r="F56" s="329"/>
      <c r="G56" s="343"/>
      <c r="H56" s="343"/>
      <c r="I56" s="343"/>
      <c r="J56" s="343"/>
      <c r="K56" s="343"/>
      <c r="L56" s="343"/>
      <c r="M56" s="343"/>
      <c r="N56" s="339"/>
      <c r="O56" s="340"/>
      <c r="P56" s="341"/>
      <c r="Q56" s="359"/>
      <c r="R56" s="341">
        <f>IF(NOT(ISERROR(MATCH(Q56,_xlfn.ANCHORARRAY(E67),0))),P69&amp;"Por favor no seleccionar los criterios de impacto",Q56)</f>
        <v>0</v>
      </c>
      <c r="S56" s="340"/>
      <c r="T56" s="341"/>
      <c r="U56" s="358"/>
      <c r="V56" s="214">
        <v>2</v>
      </c>
      <c r="W56" s="187"/>
      <c r="X56" s="189" t="str">
        <f>IF(OR(Y56="Preventivo",Y56="Detectivo"),"Probabilidad",IF(Y56="Correctivo","Impacto",""))</f>
        <v/>
      </c>
      <c r="Y56" s="190"/>
      <c r="Z56" s="190"/>
      <c r="AA56" s="191" t="str">
        <f t="shared" ref="AA56:AA60" si="64">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5">+AE56</f>
        <v/>
      </c>
      <c r="AH56" s="193" t="str">
        <f t="shared" si="4"/>
        <v/>
      </c>
      <c r="AI56" s="191" t="str">
        <f t="shared" ref="AI56" si="66">IFERROR(IF(AND(X55="Impacto",X56="Impacto"),(AI55-(+AI55*AA56)),IF(X56="Impacto",($T$13-(+$T$13*AA56)),IF(X56="Probabilidad",AI55,""))),"")</f>
        <v/>
      </c>
      <c r="AJ56" s="194"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39"/>
      <c r="AQ56" s="339"/>
      <c r="AR56" s="339"/>
    </row>
    <row r="57" spans="1:44" x14ac:dyDescent="0.25">
      <c r="A57" s="328"/>
      <c r="B57" s="329"/>
      <c r="C57" s="329"/>
      <c r="D57" s="329"/>
      <c r="E57" s="329"/>
      <c r="F57" s="329"/>
      <c r="G57" s="343"/>
      <c r="H57" s="343"/>
      <c r="I57" s="343"/>
      <c r="J57" s="343"/>
      <c r="K57" s="343"/>
      <c r="L57" s="343"/>
      <c r="M57" s="343"/>
      <c r="N57" s="339"/>
      <c r="O57" s="340"/>
      <c r="P57" s="341"/>
      <c r="Q57" s="359"/>
      <c r="R57" s="341">
        <f>IF(NOT(ISERROR(MATCH(Q57,_xlfn.ANCHORARRAY(E68),0))),P70&amp;"Por favor no seleccionar los criterios de impacto",Q57)</f>
        <v>0</v>
      </c>
      <c r="S57" s="340"/>
      <c r="T57" s="341"/>
      <c r="U57" s="358"/>
      <c r="V57" s="214">
        <v>3</v>
      </c>
      <c r="W57" s="188"/>
      <c r="X57" s="189" t="str">
        <f>IF(OR(Y57="Preventivo",Y57="Detectivo"),"Probabilidad",IF(Y57="Correctivo","Impacto",""))</f>
        <v/>
      </c>
      <c r="Y57" s="190"/>
      <c r="Z57" s="190"/>
      <c r="AA57" s="191" t="str">
        <f t="shared" si="64"/>
        <v/>
      </c>
      <c r="AB57" s="190"/>
      <c r="AC57" s="190"/>
      <c r="AD57" s="190"/>
      <c r="AE57" s="192" t="str">
        <f>IFERROR(IF(AND(X56="Probabilidad",X57="Probabilidad"),(AG56-(+AG56*AA57)),IF(AND(X56="Impacto",X57="Probabilidad"),(AG55-(+AG55*AA57)),IF(X57="Impacto",AG56,""))),"")</f>
        <v/>
      </c>
      <c r="AF57" s="193" t="str">
        <f t="shared" si="2"/>
        <v/>
      </c>
      <c r="AG57" s="191" t="str">
        <f t="shared" si="65"/>
        <v/>
      </c>
      <c r="AH57" s="193" t="str">
        <f t="shared" si="4"/>
        <v/>
      </c>
      <c r="AI57" s="191" t="str">
        <f t="shared" ref="AI57" si="68">IFERROR(IF(AND(X56="Impacto",X57="Impacto"),(AI56-(+AI56*AA57)),IF(AND(X56="Probabilidad",X57="Impacto"),(AI55-(+AI55*AA57)),IF(X57="Probabilidad",AI56,""))),"")</f>
        <v/>
      </c>
      <c r="AJ57" s="194" t="str">
        <f t="shared" si="67"/>
        <v/>
      </c>
      <c r="AK57" s="195"/>
      <c r="AL57" s="186"/>
      <c r="AM57" s="196"/>
      <c r="AN57" s="196"/>
      <c r="AO57" s="197"/>
      <c r="AP57" s="339"/>
      <c r="AQ57" s="339"/>
      <c r="AR57" s="339"/>
    </row>
    <row r="58" spans="1:44" x14ac:dyDescent="0.25">
      <c r="A58" s="328"/>
      <c r="B58" s="329"/>
      <c r="C58" s="329"/>
      <c r="D58" s="329"/>
      <c r="E58" s="329"/>
      <c r="F58" s="329"/>
      <c r="G58" s="343"/>
      <c r="H58" s="343"/>
      <c r="I58" s="343"/>
      <c r="J58" s="343"/>
      <c r="K58" s="343"/>
      <c r="L58" s="343"/>
      <c r="M58" s="343"/>
      <c r="N58" s="339"/>
      <c r="O58" s="340"/>
      <c r="P58" s="341"/>
      <c r="Q58" s="359"/>
      <c r="R58" s="341">
        <f>IF(NOT(ISERROR(MATCH(Q58,_xlfn.ANCHORARRAY(E69),0))),P71&amp;"Por favor no seleccionar los criterios de impacto",Q58)</f>
        <v>0</v>
      </c>
      <c r="S58" s="340"/>
      <c r="T58" s="341"/>
      <c r="U58" s="358"/>
      <c r="V58" s="214">
        <v>4</v>
      </c>
      <c r="W58" s="187"/>
      <c r="X58" s="189" t="str">
        <f t="shared" ref="X58:X60" si="69">IF(OR(Y58="Preventivo",Y58="Detectivo"),"Probabilidad",IF(Y58="Correctivo","Impacto",""))</f>
        <v/>
      </c>
      <c r="Y58" s="190"/>
      <c r="Z58" s="190"/>
      <c r="AA58" s="191" t="str">
        <f t="shared" si="64"/>
        <v/>
      </c>
      <c r="AB58" s="190"/>
      <c r="AC58" s="190"/>
      <c r="AD58" s="190"/>
      <c r="AE58" s="192" t="str">
        <f t="shared" ref="AE58:AE60" si="70">IFERROR(IF(AND(X57="Probabilidad",X58="Probabilidad"),(AG57-(+AG57*AA58)),IF(AND(X57="Impacto",X58="Probabilidad"),(AG56-(+AG56*AA58)),IF(X58="Impacto",AG57,""))),"")</f>
        <v/>
      </c>
      <c r="AF58" s="193" t="str">
        <f t="shared" si="2"/>
        <v/>
      </c>
      <c r="AG58" s="191" t="str">
        <f t="shared" si="65"/>
        <v/>
      </c>
      <c r="AH58" s="193" t="str">
        <f t="shared" si="4"/>
        <v/>
      </c>
      <c r="AI58" s="191" t="str">
        <f t="shared" si="14"/>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39"/>
      <c r="AQ58" s="339"/>
      <c r="AR58" s="339"/>
    </row>
    <row r="59" spans="1:44" x14ac:dyDescent="0.25">
      <c r="A59" s="328"/>
      <c r="B59" s="329"/>
      <c r="C59" s="329"/>
      <c r="D59" s="329"/>
      <c r="E59" s="329"/>
      <c r="F59" s="329"/>
      <c r="G59" s="343"/>
      <c r="H59" s="343"/>
      <c r="I59" s="343"/>
      <c r="J59" s="343"/>
      <c r="K59" s="343"/>
      <c r="L59" s="343"/>
      <c r="M59" s="343"/>
      <c r="N59" s="339"/>
      <c r="O59" s="340"/>
      <c r="P59" s="341"/>
      <c r="Q59" s="359"/>
      <c r="R59" s="341">
        <f>IF(NOT(ISERROR(MATCH(Q59,_xlfn.ANCHORARRAY(E70),0))),P72&amp;"Por favor no seleccionar los criterios de impacto",Q59)</f>
        <v>0</v>
      </c>
      <c r="S59" s="340"/>
      <c r="T59" s="341"/>
      <c r="U59" s="358"/>
      <c r="V59" s="214">
        <v>5</v>
      </c>
      <c r="W59" s="187"/>
      <c r="X59" s="189" t="str">
        <f t="shared" si="69"/>
        <v/>
      </c>
      <c r="Y59" s="190"/>
      <c r="Z59" s="190"/>
      <c r="AA59" s="191" t="str">
        <f t="shared" si="64"/>
        <v/>
      </c>
      <c r="AB59" s="190"/>
      <c r="AC59" s="190"/>
      <c r="AD59" s="190"/>
      <c r="AE59" s="192" t="str">
        <f t="shared" si="70"/>
        <v/>
      </c>
      <c r="AF59" s="193" t="str">
        <f t="shared" si="2"/>
        <v/>
      </c>
      <c r="AG59" s="191" t="str">
        <f t="shared" si="65"/>
        <v/>
      </c>
      <c r="AH59" s="193" t="str">
        <f t="shared" si="4"/>
        <v/>
      </c>
      <c r="AI59" s="191" t="str">
        <f t="shared" si="14"/>
        <v/>
      </c>
      <c r="AJ59" s="194"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39"/>
      <c r="AQ59" s="339"/>
      <c r="AR59" s="339"/>
    </row>
    <row r="60" spans="1:44" x14ac:dyDescent="0.25">
      <c r="A60" s="328"/>
      <c r="B60" s="329"/>
      <c r="C60" s="329"/>
      <c r="D60" s="329"/>
      <c r="E60" s="329"/>
      <c r="F60" s="329"/>
      <c r="G60" s="344"/>
      <c r="H60" s="344"/>
      <c r="I60" s="344"/>
      <c r="J60" s="344"/>
      <c r="K60" s="344"/>
      <c r="L60" s="344"/>
      <c r="M60" s="344"/>
      <c r="N60" s="339"/>
      <c r="O60" s="340"/>
      <c r="P60" s="341"/>
      <c r="Q60" s="359"/>
      <c r="R60" s="341">
        <f>IF(NOT(ISERROR(MATCH(Q60,_xlfn.ANCHORARRAY(E71),0))),Q73&amp;"Por favor no seleccionar los criterios de impacto",Q60)</f>
        <v>0</v>
      </c>
      <c r="S60" s="340"/>
      <c r="T60" s="341"/>
      <c r="U60" s="358"/>
      <c r="V60" s="214">
        <v>6</v>
      </c>
      <c r="W60" s="187"/>
      <c r="X60" s="189" t="str">
        <f t="shared" si="69"/>
        <v/>
      </c>
      <c r="Y60" s="190"/>
      <c r="Z60" s="190"/>
      <c r="AA60" s="191" t="str">
        <f t="shared" si="64"/>
        <v/>
      </c>
      <c r="AB60" s="190"/>
      <c r="AC60" s="190"/>
      <c r="AD60" s="190"/>
      <c r="AE60" s="192" t="str">
        <f t="shared" si="70"/>
        <v/>
      </c>
      <c r="AF60" s="193" t="str">
        <f t="shared" si="2"/>
        <v/>
      </c>
      <c r="AG60" s="191" t="str">
        <f t="shared" si="65"/>
        <v/>
      </c>
      <c r="AH60" s="193" t="str">
        <f t="shared" si="4"/>
        <v/>
      </c>
      <c r="AI60" s="191" t="str">
        <f t="shared" si="14"/>
        <v/>
      </c>
      <c r="AJ60" s="194" t="str">
        <f t="shared" si="71"/>
        <v/>
      </c>
      <c r="AK60" s="195"/>
      <c r="AL60" s="186"/>
      <c r="AM60" s="196"/>
      <c r="AN60" s="196"/>
      <c r="AO60" s="197"/>
      <c r="AP60" s="339"/>
      <c r="AQ60" s="339"/>
      <c r="AR60" s="339"/>
    </row>
    <row r="61" spans="1:44" x14ac:dyDescent="0.25">
      <c r="A61" s="328">
        <v>9</v>
      </c>
      <c r="B61" s="329"/>
      <c r="C61" s="329"/>
      <c r="D61" s="329"/>
      <c r="E61" s="329"/>
      <c r="F61" s="329"/>
      <c r="G61" s="342"/>
      <c r="H61" s="342"/>
      <c r="I61" s="221"/>
      <c r="J61" s="221"/>
      <c r="K61" s="221"/>
      <c r="L61" s="342"/>
      <c r="M61" s="342"/>
      <c r="N61" s="339"/>
      <c r="O61" s="340" t="str">
        <f>IF(N61&lt;=0,"",IF(N61&lt;=2,"Muy Baja",IF(N61&lt;=24,"Baja",IF(N61&lt;=500,"Media",IF(N61&lt;=5000,"Alta","Muy Alta")))))</f>
        <v/>
      </c>
      <c r="P61" s="341" t="str">
        <f>IF(O61="","",IF(O61="Muy Baja",0.2,IF(O61="Baja",0.4,IF(O61="Media",0.6,IF(O61="Alta",0.8,IF(O61="Muy Alta",1,))))))</f>
        <v/>
      </c>
      <c r="Q61" s="359"/>
      <c r="R61" s="341">
        <f>IF(NOT(ISERROR(MATCH(Q61,'Tabla Impacto'!$B$222:$B$224,0))),'Tabla Impacto'!$F$224&amp;"Por favor no seleccionar los criterios de impacto(Afectación Económica o presupuestal y Pérdida Reputacional)",Q61)</f>
        <v>0</v>
      </c>
      <c r="S61" s="340" t="str">
        <f>IF(OR(R61='Tabla Impacto'!$C$12,R61='Tabla Impacto'!$D$12),"Leve",IF(OR(R61='Tabla Impacto'!$C$13,R61='Tabla Impacto'!$D$13),"Menor",IF(OR(R61='Tabla Impacto'!$C$14,R61='Tabla Impacto'!$D$14),"Moderado",IF(OR(R61='Tabla Impacto'!$C$15,R61='Tabla Impacto'!$D$15),"Mayor",IF(OR(R61='Tabla Impacto'!$C$16,R61='Tabla Impacto'!$D$16),"Catastrófico","")))))</f>
        <v/>
      </c>
      <c r="T61" s="341" t="str">
        <f>IF(S61="","",IF(S61="Leve",0.2,IF(S61="Menor",0.4,IF(S61="Moderado",0.6,IF(S61="Mayor",0.8,IF(S61="Catastrófico",1,))))))</f>
        <v/>
      </c>
      <c r="U61" s="358"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2">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39"/>
      <c r="AQ61" s="339"/>
      <c r="AR61" s="339"/>
    </row>
    <row r="62" spans="1:44" x14ac:dyDescent="0.25">
      <c r="A62" s="328"/>
      <c r="B62" s="329"/>
      <c r="C62" s="329"/>
      <c r="D62" s="329"/>
      <c r="E62" s="329"/>
      <c r="F62" s="329"/>
      <c r="G62" s="343"/>
      <c r="H62" s="343"/>
      <c r="I62" s="222"/>
      <c r="J62" s="222"/>
      <c r="K62" s="222"/>
      <c r="L62" s="343"/>
      <c r="M62" s="343"/>
      <c r="N62" s="339"/>
      <c r="O62" s="340"/>
      <c r="P62" s="341"/>
      <c r="Q62" s="359"/>
      <c r="R62" s="341">
        <f>IF(NOT(ISERROR(MATCH(Q62,_xlfn.ANCHORARRAY(F73),0))),Q75&amp;"Por favor no seleccionar los criterios de impacto",Q62)</f>
        <v>0</v>
      </c>
      <c r="S62" s="340"/>
      <c r="T62" s="341"/>
      <c r="U62" s="358"/>
      <c r="V62" s="214">
        <v>2</v>
      </c>
      <c r="W62" s="187"/>
      <c r="X62" s="189" t="str">
        <f>IF(OR(Y62="Preventivo",Y62="Detectivo"),"Probabilidad",IF(Y62="Correctivo","Impacto",""))</f>
        <v/>
      </c>
      <c r="Y62" s="190"/>
      <c r="Z62" s="190"/>
      <c r="AA62" s="191" t="str">
        <f t="shared" ref="AA62:AA66" si="73">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4">+AE62</f>
        <v/>
      </c>
      <c r="AH62" s="193" t="str">
        <f t="shared" si="4"/>
        <v/>
      </c>
      <c r="AI62" s="191" t="str">
        <f t="shared" ref="AI62" si="75">IFERROR(IF(AND(X61="Impacto",X62="Impacto"),(AI61-(+AI61*AA62)),IF(X62="Impacto",($T$13-(+$T$13*AA62)),IF(X62="Probabilidad",AI61,""))),"")</f>
        <v/>
      </c>
      <c r="AJ62" s="194"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39"/>
      <c r="AQ62" s="339"/>
      <c r="AR62" s="339"/>
    </row>
    <row r="63" spans="1:44" x14ac:dyDescent="0.25">
      <c r="A63" s="328"/>
      <c r="B63" s="329"/>
      <c r="C63" s="329"/>
      <c r="D63" s="329"/>
      <c r="E63" s="329"/>
      <c r="F63" s="329"/>
      <c r="G63" s="343"/>
      <c r="H63" s="343"/>
      <c r="I63" s="222"/>
      <c r="J63" s="222"/>
      <c r="K63" s="222"/>
      <c r="L63" s="343"/>
      <c r="M63" s="343"/>
      <c r="N63" s="339"/>
      <c r="O63" s="340"/>
      <c r="P63" s="341"/>
      <c r="Q63" s="359"/>
      <c r="R63" s="341">
        <f>IF(NOT(ISERROR(MATCH(Q63,_xlfn.ANCHORARRAY(F74),0))),Q76&amp;"Por favor no seleccionar los criterios de impacto",Q63)</f>
        <v>0</v>
      </c>
      <c r="S63" s="340"/>
      <c r="T63" s="341"/>
      <c r="U63" s="358"/>
      <c r="V63" s="214">
        <v>3</v>
      </c>
      <c r="W63" s="187"/>
      <c r="X63" s="189" t="str">
        <f>IF(OR(Y63="Preventivo",Y63="Detectivo"),"Probabilidad",IF(Y63="Correctivo","Impacto",""))</f>
        <v/>
      </c>
      <c r="Y63" s="190"/>
      <c r="Z63" s="190"/>
      <c r="AA63" s="191" t="str">
        <f t="shared" si="73"/>
        <v/>
      </c>
      <c r="AB63" s="190"/>
      <c r="AC63" s="190"/>
      <c r="AD63" s="190"/>
      <c r="AE63" s="192" t="str">
        <f>IFERROR(IF(AND(X62="Probabilidad",X63="Probabilidad"),(AG62-(+AG62*AA63)),IF(AND(X62="Impacto",X63="Probabilidad"),(AG61-(+AG61*AA63)),IF(X63="Impacto",AG62,""))),"")</f>
        <v/>
      </c>
      <c r="AF63" s="193" t="str">
        <f t="shared" si="2"/>
        <v/>
      </c>
      <c r="AG63" s="191" t="str">
        <f t="shared" si="74"/>
        <v/>
      </c>
      <c r="AH63" s="193" t="str">
        <f t="shared" si="4"/>
        <v/>
      </c>
      <c r="AI63" s="191" t="str">
        <f t="shared" ref="AI63" si="77">IFERROR(IF(AND(X62="Impacto",X63="Impacto"),(AI62-(+AI62*AA63)),IF(AND(X62="Probabilidad",X63="Impacto"),(AI61-(+AI61*AA63)),IF(X63="Probabilidad",AI62,""))),"")</f>
        <v/>
      </c>
      <c r="AJ63" s="194" t="str">
        <f t="shared" si="76"/>
        <v/>
      </c>
      <c r="AK63" s="195"/>
      <c r="AL63" s="186"/>
      <c r="AM63" s="196"/>
      <c r="AN63" s="196"/>
      <c r="AO63" s="197"/>
      <c r="AP63" s="339"/>
      <c r="AQ63" s="339"/>
      <c r="AR63" s="339"/>
    </row>
    <row r="64" spans="1:44" x14ac:dyDescent="0.25">
      <c r="A64" s="328"/>
      <c r="B64" s="329"/>
      <c r="C64" s="329"/>
      <c r="D64" s="329"/>
      <c r="E64" s="329"/>
      <c r="F64" s="329"/>
      <c r="G64" s="343"/>
      <c r="H64" s="343"/>
      <c r="I64" s="222"/>
      <c r="J64" s="222"/>
      <c r="K64" s="222"/>
      <c r="L64" s="343"/>
      <c r="M64" s="343"/>
      <c r="N64" s="339"/>
      <c r="O64" s="340"/>
      <c r="P64" s="341"/>
      <c r="Q64" s="359"/>
      <c r="R64" s="341">
        <f>IF(NOT(ISERROR(MATCH(Q64,_xlfn.ANCHORARRAY(F75),0))),Q77&amp;"Por favor no seleccionar los criterios de impacto",Q64)</f>
        <v>0</v>
      </c>
      <c r="S64" s="340"/>
      <c r="T64" s="341"/>
      <c r="U64" s="358"/>
      <c r="V64" s="214">
        <v>4</v>
      </c>
      <c r="W64" s="187"/>
      <c r="X64" s="189" t="str">
        <f t="shared" ref="X64:X66" si="78">IF(OR(Y64="Preventivo",Y64="Detectivo"),"Probabilidad",IF(Y64="Correctivo","Impacto",""))</f>
        <v/>
      </c>
      <c r="Y64" s="190"/>
      <c r="Z64" s="190"/>
      <c r="AA64" s="191" t="str">
        <f t="shared" si="73"/>
        <v/>
      </c>
      <c r="AB64" s="190"/>
      <c r="AC64" s="190"/>
      <c r="AD64" s="190"/>
      <c r="AE64" s="192" t="str">
        <f t="shared" ref="AE64:AE66" si="79">IFERROR(IF(AND(X63="Probabilidad",X64="Probabilidad"),(AG63-(+AG63*AA64)),IF(AND(X63="Impacto",X64="Probabilidad"),(AG62-(+AG62*AA64)),IF(X64="Impacto",AG63,""))),"")</f>
        <v/>
      </c>
      <c r="AF64" s="193" t="str">
        <f t="shared" si="2"/>
        <v/>
      </c>
      <c r="AG64" s="191" t="str">
        <f t="shared" si="74"/>
        <v/>
      </c>
      <c r="AH64" s="193" t="str">
        <f t="shared" si="4"/>
        <v/>
      </c>
      <c r="AI64" s="191" t="str">
        <f t="shared" si="14"/>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39"/>
      <c r="AQ64" s="339"/>
      <c r="AR64" s="339"/>
    </row>
    <row r="65" spans="1:44" x14ac:dyDescent="0.25">
      <c r="A65" s="328"/>
      <c r="B65" s="329"/>
      <c r="C65" s="329"/>
      <c r="D65" s="329"/>
      <c r="E65" s="329"/>
      <c r="F65" s="329"/>
      <c r="G65" s="343"/>
      <c r="H65" s="343"/>
      <c r="I65" s="222"/>
      <c r="J65" s="222"/>
      <c r="K65" s="222"/>
      <c r="L65" s="343"/>
      <c r="M65" s="343"/>
      <c r="N65" s="339"/>
      <c r="O65" s="340"/>
      <c r="P65" s="341"/>
      <c r="Q65" s="359"/>
      <c r="R65" s="341">
        <f>IF(NOT(ISERROR(MATCH(Q65,_xlfn.ANCHORARRAY(F76),0))),Q78&amp;"Por favor no seleccionar los criterios de impacto",Q65)</f>
        <v>0</v>
      </c>
      <c r="S65" s="340"/>
      <c r="T65" s="341"/>
      <c r="U65" s="358"/>
      <c r="V65" s="214">
        <v>5</v>
      </c>
      <c r="W65" s="187"/>
      <c r="X65" s="189" t="str">
        <f t="shared" si="78"/>
        <v/>
      </c>
      <c r="Y65" s="190"/>
      <c r="Z65" s="190"/>
      <c r="AA65" s="191" t="str">
        <f t="shared" si="73"/>
        <v/>
      </c>
      <c r="AB65" s="190"/>
      <c r="AC65" s="190"/>
      <c r="AD65" s="190"/>
      <c r="AE65" s="192" t="str">
        <f t="shared" si="79"/>
        <v/>
      </c>
      <c r="AF65" s="193" t="str">
        <f t="shared" si="2"/>
        <v/>
      </c>
      <c r="AG65" s="191" t="str">
        <f t="shared" si="74"/>
        <v/>
      </c>
      <c r="AH65" s="193" t="str">
        <f t="shared" si="4"/>
        <v/>
      </c>
      <c r="AI65" s="191" t="str">
        <f t="shared" si="14"/>
        <v/>
      </c>
      <c r="AJ65" s="194"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39"/>
      <c r="AQ65" s="339"/>
      <c r="AR65" s="339"/>
    </row>
    <row r="66" spans="1:44" x14ac:dyDescent="0.25">
      <c r="A66" s="328"/>
      <c r="B66" s="329"/>
      <c r="C66" s="329"/>
      <c r="D66" s="329"/>
      <c r="E66" s="329"/>
      <c r="F66" s="329"/>
      <c r="G66" s="344"/>
      <c r="H66" s="344"/>
      <c r="I66" s="223"/>
      <c r="J66" s="223"/>
      <c r="K66" s="223"/>
      <c r="L66" s="344"/>
      <c r="M66" s="344"/>
      <c r="N66" s="339"/>
      <c r="O66" s="340"/>
      <c r="P66" s="341"/>
      <c r="Q66" s="359"/>
      <c r="R66" s="341">
        <f>IF(NOT(ISERROR(MATCH(Q66,_xlfn.ANCHORARRAY(F77),0))),Q79&amp;"Por favor no seleccionar los criterios de impacto",Q66)</f>
        <v>0</v>
      </c>
      <c r="S66" s="340"/>
      <c r="T66" s="341"/>
      <c r="U66" s="358"/>
      <c r="V66" s="214">
        <v>6</v>
      </c>
      <c r="W66" s="187"/>
      <c r="X66" s="189" t="str">
        <f t="shared" si="78"/>
        <v/>
      </c>
      <c r="Y66" s="190"/>
      <c r="Z66" s="190"/>
      <c r="AA66" s="191" t="str">
        <f t="shared" si="73"/>
        <v/>
      </c>
      <c r="AB66" s="190"/>
      <c r="AC66" s="190"/>
      <c r="AD66" s="190"/>
      <c r="AE66" s="192" t="str">
        <f t="shared" si="79"/>
        <v/>
      </c>
      <c r="AF66" s="193" t="str">
        <f t="shared" si="2"/>
        <v/>
      </c>
      <c r="AG66" s="191" t="str">
        <f t="shared" si="74"/>
        <v/>
      </c>
      <c r="AH66" s="193" t="str">
        <f t="shared" si="4"/>
        <v/>
      </c>
      <c r="AI66" s="191" t="str">
        <f t="shared" si="14"/>
        <v/>
      </c>
      <c r="AJ66" s="194" t="str">
        <f t="shared" si="80"/>
        <v/>
      </c>
      <c r="AK66" s="195"/>
      <c r="AL66" s="186"/>
      <c r="AM66" s="196"/>
      <c r="AN66" s="196"/>
      <c r="AO66" s="197"/>
      <c r="AP66" s="339"/>
      <c r="AQ66" s="339"/>
      <c r="AR66" s="339"/>
    </row>
    <row r="67" spans="1:44" x14ac:dyDescent="0.25">
      <c r="A67" s="328">
        <v>10</v>
      </c>
      <c r="B67" s="329"/>
      <c r="C67" s="329"/>
      <c r="D67" s="329"/>
      <c r="E67" s="329"/>
      <c r="F67" s="329"/>
      <c r="G67" s="342"/>
      <c r="H67" s="342"/>
      <c r="I67" s="221"/>
      <c r="J67" s="221"/>
      <c r="K67" s="221"/>
      <c r="L67" s="342"/>
      <c r="M67" s="342"/>
      <c r="N67" s="339"/>
      <c r="O67" s="340" t="str">
        <f>IF(N67&lt;=0,"",IF(N67&lt;=2,"Muy Baja",IF(N67&lt;=24,"Baja",IF(N67&lt;=500,"Media",IF(N67&lt;=5000,"Alta","Muy Alta")))))</f>
        <v/>
      </c>
      <c r="P67" s="341" t="str">
        <f>IF(O67="","",IF(O67="Muy Baja",0.2,IF(O67="Baja",0.4,IF(O67="Media",0.6,IF(O67="Alta",0.8,IF(O67="Muy Alta",1,))))))</f>
        <v/>
      </c>
      <c r="Q67" s="359"/>
      <c r="R67" s="341">
        <f>IF(NOT(ISERROR(MATCH(Q67,'Tabla Impacto'!$B$222:$B$224,0))),'Tabla Impacto'!$F$224&amp;"Por favor no seleccionar los criterios de impacto(Afectación Económica o presupuestal y Pérdida Reputacional)",Q67)</f>
        <v>0</v>
      </c>
      <c r="S67" s="340" t="str">
        <f>IF(OR(R67='Tabla Impacto'!$C$12,R67='Tabla Impacto'!$D$12),"Leve",IF(OR(R67='Tabla Impacto'!$C$13,R67='Tabla Impacto'!$D$13),"Menor",IF(OR(R67='Tabla Impacto'!$C$14,R67='Tabla Impacto'!$D$14),"Moderado",IF(OR(R67='Tabla Impacto'!$C$15,R67='Tabla Impacto'!$D$15),"Mayor",IF(OR(R67='Tabla Impacto'!$C$16,R67='Tabla Impacto'!$D$16),"Catastrófico","")))))</f>
        <v/>
      </c>
      <c r="T67" s="341" t="str">
        <f>IF(S67="","",IF(S67="Leve",0.2,IF(S67="Menor",0.4,IF(S67="Moderado",0.6,IF(S67="Mayor",0.8,IF(S67="Catastrófico",1,))))))</f>
        <v/>
      </c>
      <c r="U67" s="358"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1">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39"/>
      <c r="AQ67" s="339"/>
      <c r="AR67" s="339"/>
    </row>
    <row r="68" spans="1:44" x14ac:dyDescent="0.25">
      <c r="A68" s="328"/>
      <c r="B68" s="329"/>
      <c r="C68" s="329"/>
      <c r="D68" s="329"/>
      <c r="E68" s="329"/>
      <c r="F68" s="329"/>
      <c r="G68" s="343"/>
      <c r="H68" s="343"/>
      <c r="I68" s="222"/>
      <c r="J68" s="222"/>
      <c r="K68" s="222"/>
      <c r="L68" s="343"/>
      <c r="M68" s="343"/>
      <c r="N68" s="339"/>
      <c r="O68" s="340"/>
      <c r="P68" s="341"/>
      <c r="Q68" s="359"/>
      <c r="R68" s="341">
        <f>IF(NOT(ISERROR(MATCH(Q68,_xlfn.ANCHORARRAY(F79),0))),Q81&amp;"Por favor no seleccionar los criterios de impacto",Q68)</f>
        <v>0</v>
      </c>
      <c r="S68" s="340"/>
      <c r="T68" s="341"/>
      <c r="U68" s="358"/>
      <c r="V68" s="214">
        <v>2</v>
      </c>
      <c r="W68" s="187"/>
      <c r="X68" s="189" t="str">
        <f>IF(OR(Y68="Preventivo",Y68="Detectivo"),"Probabilidad",IF(Y68="Correctivo","Impacto",""))</f>
        <v/>
      </c>
      <c r="Y68" s="190"/>
      <c r="Z68" s="190"/>
      <c r="AA68" s="191" t="str">
        <f t="shared" ref="AA68:AA72" si="82">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3">+AE68</f>
        <v/>
      </c>
      <c r="AH68" s="193" t="str">
        <f t="shared" si="4"/>
        <v/>
      </c>
      <c r="AI68" s="191" t="str">
        <f t="shared" ref="AI68" si="84">IFERROR(IF(AND(X67="Impacto",X68="Impacto"),(AI67-(+AI67*AA68)),IF(X68="Impacto",($T$13-(+$T$13*AA68)),IF(X68="Probabilidad",AI67,""))),"")</f>
        <v/>
      </c>
      <c r="AJ68" s="194"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39"/>
      <c r="AQ68" s="339"/>
      <c r="AR68" s="339"/>
    </row>
    <row r="69" spans="1:44" x14ac:dyDescent="0.25">
      <c r="A69" s="328"/>
      <c r="B69" s="329"/>
      <c r="C69" s="329"/>
      <c r="D69" s="329"/>
      <c r="E69" s="329"/>
      <c r="F69" s="329"/>
      <c r="G69" s="343"/>
      <c r="H69" s="343"/>
      <c r="I69" s="222"/>
      <c r="J69" s="222"/>
      <c r="K69" s="222"/>
      <c r="L69" s="343"/>
      <c r="M69" s="343"/>
      <c r="N69" s="339"/>
      <c r="O69" s="340"/>
      <c r="P69" s="341"/>
      <c r="Q69" s="359"/>
      <c r="R69" s="341">
        <f>IF(NOT(ISERROR(MATCH(Q69,_xlfn.ANCHORARRAY(F80),0))),Q82&amp;"Por favor no seleccionar los criterios de impacto",Q69)</f>
        <v>0</v>
      </c>
      <c r="S69" s="340"/>
      <c r="T69" s="341"/>
      <c r="U69" s="358"/>
      <c r="V69" s="214">
        <v>3</v>
      </c>
      <c r="W69" s="187"/>
      <c r="X69" s="189" t="str">
        <f>IF(OR(Y69="Preventivo",Y69="Detectivo"),"Probabilidad",IF(Y69="Correctivo","Impacto",""))</f>
        <v/>
      </c>
      <c r="Y69" s="190"/>
      <c r="Z69" s="190"/>
      <c r="AA69" s="191" t="str">
        <f t="shared" si="82"/>
        <v/>
      </c>
      <c r="AB69" s="190"/>
      <c r="AC69" s="190"/>
      <c r="AD69" s="190"/>
      <c r="AE69" s="192" t="str">
        <f>IFERROR(IF(AND(X68="Probabilidad",X69="Probabilidad"),(AG68-(+AG68*AA69)),IF(AND(X68="Impacto",X69="Probabilidad"),(AG67-(+AG67*AA69)),IF(X69="Impacto",AG68,""))),"")</f>
        <v/>
      </c>
      <c r="AF69" s="193" t="str">
        <f t="shared" si="2"/>
        <v/>
      </c>
      <c r="AG69" s="191" t="str">
        <f t="shared" si="83"/>
        <v/>
      </c>
      <c r="AH69" s="193" t="str">
        <f t="shared" si="4"/>
        <v/>
      </c>
      <c r="AI69" s="191" t="str">
        <f t="shared" ref="AI69" si="86">IFERROR(IF(AND(X68="Impacto",X69="Impacto"),(AI68-(+AI68*AA69)),IF(AND(X68="Probabilidad",X69="Impacto"),(AI67-(+AI67*AA69)),IF(X69="Probabilidad",AI68,""))),"")</f>
        <v/>
      </c>
      <c r="AJ69" s="194" t="str">
        <f t="shared" si="85"/>
        <v/>
      </c>
      <c r="AK69" s="195"/>
      <c r="AL69" s="186"/>
      <c r="AM69" s="196"/>
      <c r="AN69" s="196"/>
      <c r="AO69" s="197"/>
      <c r="AP69" s="339"/>
      <c r="AQ69" s="339"/>
      <c r="AR69" s="339"/>
    </row>
    <row r="70" spans="1:44" x14ac:dyDescent="0.25">
      <c r="A70" s="328"/>
      <c r="B70" s="329"/>
      <c r="C70" s="329"/>
      <c r="D70" s="329"/>
      <c r="E70" s="329"/>
      <c r="F70" s="329"/>
      <c r="G70" s="343"/>
      <c r="H70" s="343"/>
      <c r="I70" s="222"/>
      <c r="J70" s="222"/>
      <c r="K70" s="222"/>
      <c r="L70" s="343"/>
      <c r="M70" s="343"/>
      <c r="N70" s="339"/>
      <c r="O70" s="340"/>
      <c r="P70" s="341"/>
      <c r="Q70" s="359"/>
      <c r="R70" s="341">
        <f>IF(NOT(ISERROR(MATCH(Q70,_xlfn.ANCHORARRAY(F81),0))),Q83&amp;"Por favor no seleccionar los criterios de impacto",Q70)</f>
        <v>0</v>
      </c>
      <c r="S70" s="340"/>
      <c r="T70" s="341"/>
      <c r="U70" s="358"/>
      <c r="V70" s="214">
        <v>4</v>
      </c>
      <c r="W70" s="187"/>
      <c r="X70" s="189" t="str">
        <f t="shared" ref="X70:X72" si="87">IF(OR(Y70="Preventivo",Y70="Detectivo"),"Probabilidad",IF(Y70="Correctivo","Impacto",""))</f>
        <v/>
      </c>
      <c r="Y70" s="190"/>
      <c r="Z70" s="190"/>
      <c r="AA70" s="191" t="str">
        <f t="shared" si="82"/>
        <v/>
      </c>
      <c r="AB70" s="190"/>
      <c r="AC70" s="190"/>
      <c r="AD70" s="190"/>
      <c r="AE70" s="192" t="str">
        <f t="shared" ref="AE70:AE72" si="88">IFERROR(IF(AND(X69="Probabilidad",X70="Probabilidad"),(AG69-(+AG69*AA70)),IF(AND(X69="Impacto",X70="Probabilidad"),(AG68-(+AG68*AA70)),IF(X70="Impacto",AG69,""))),"")</f>
        <v/>
      </c>
      <c r="AF70" s="193" t="str">
        <f t="shared" si="2"/>
        <v/>
      </c>
      <c r="AG70" s="191" t="str">
        <f t="shared" si="83"/>
        <v/>
      </c>
      <c r="AH70" s="193" t="str">
        <f t="shared" si="4"/>
        <v/>
      </c>
      <c r="AI70" s="191" t="str">
        <f t="shared" si="14"/>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39"/>
      <c r="AQ70" s="339"/>
      <c r="AR70" s="339"/>
    </row>
    <row r="71" spans="1:44" x14ac:dyDescent="0.25">
      <c r="A71" s="328"/>
      <c r="B71" s="329"/>
      <c r="C71" s="329"/>
      <c r="D71" s="329"/>
      <c r="E71" s="329"/>
      <c r="F71" s="329"/>
      <c r="G71" s="343"/>
      <c r="H71" s="343"/>
      <c r="I71" s="222"/>
      <c r="J71" s="222"/>
      <c r="K71" s="222"/>
      <c r="L71" s="343"/>
      <c r="M71" s="343"/>
      <c r="N71" s="339"/>
      <c r="O71" s="340"/>
      <c r="P71" s="341"/>
      <c r="Q71" s="359"/>
      <c r="R71" s="341">
        <f>IF(NOT(ISERROR(MATCH(Q71,_xlfn.ANCHORARRAY(F82),0))),Q84&amp;"Por favor no seleccionar los criterios de impacto",Q71)</f>
        <v>0</v>
      </c>
      <c r="S71" s="340"/>
      <c r="T71" s="341"/>
      <c r="U71" s="358"/>
      <c r="V71" s="214">
        <v>5</v>
      </c>
      <c r="W71" s="187"/>
      <c r="X71" s="189" t="str">
        <f t="shared" si="87"/>
        <v/>
      </c>
      <c r="Y71" s="190"/>
      <c r="Z71" s="190"/>
      <c r="AA71" s="191" t="str">
        <f t="shared" si="82"/>
        <v/>
      </c>
      <c r="AB71" s="190"/>
      <c r="AC71" s="190"/>
      <c r="AD71" s="190"/>
      <c r="AE71" s="192" t="str">
        <f t="shared" si="88"/>
        <v/>
      </c>
      <c r="AF71" s="193" t="str">
        <f t="shared" si="2"/>
        <v/>
      </c>
      <c r="AG71" s="191" t="str">
        <f t="shared" si="83"/>
        <v/>
      </c>
      <c r="AH71" s="193" t="str">
        <f t="shared" si="4"/>
        <v/>
      </c>
      <c r="AI71" s="191" t="str">
        <f t="shared" si="14"/>
        <v/>
      </c>
      <c r="AJ71" s="194"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39"/>
      <c r="AQ71" s="339"/>
      <c r="AR71" s="339"/>
    </row>
    <row r="72" spans="1:44" x14ac:dyDescent="0.25">
      <c r="A72" s="328"/>
      <c r="B72" s="329"/>
      <c r="C72" s="329"/>
      <c r="D72" s="329"/>
      <c r="E72" s="329"/>
      <c r="F72" s="329"/>
      <c r="G72" s="344"/>
      <c r="H72" s="344"/>
      <c r="I72" s="223"/>
      <c r="J72" s="223"/>
      <c r="K72" s="223"/>
      <c r="L72" s="344"/>
      <c r="M72" s="344"/>
      <c r="N72" s="339"/>
      <c r="O72" s="340"/>
      <c r="P72" s="341"/>
      <c r="Q72" s="359"/>
      <c r="R72" s="341">
        <f>IF(NOT(ISERROR(MATCH(Q72,_xlfn.ANCHORARRAY(F83),0))),Q85&amp;"Por favor no seleccionar los criterios de impacto",Q72)</f>
        <v>0</v>
      </c>
      <c r="S72" s="340"/>
      <c r="T72" s="341"/>
      <c r="U72" s="358"/>
      <c r="V72" s="214">
        <v>6</v>
      </c>
      <c r="W72" s="187"/>
      <c r="X72" s="189" t="str">
        <f t="shared" si="87"/>
        <v/>
      </c>
      <c r="Y72" s="190"/>
      <c r="Z72" s="190"/>
      <c r="AA72" s="191" t="str">
        <f t="shared" si="82"/>
        <v/>
      </c>
      <c r="AB72" s="190"/>
      <c r="AC72" s="190"/>
      <c r="AD72" s="190"/>
      <c r="AE72" s="192" t="str">
        <f t="shared" si="88"/>
        <v/>
      </c>
      <c r="AF72" s="193" t="str">
        <f t="shared" si="2"/>
        <v/>
      </c>
      <c r="AG72" s="191" t="str">
        <f t="shared" si="83"/>
        <v/>
      </c>
      <c r="AH72" s="193" t="str">
        <f t="shared" si="4"/>
        <v/>
      </c>
      <c r="AI72" s="191" t="str">
        <f t="shared" si="14"/>
        <v/>
      </c>
      <c r="AJ72" s="194" t="str">
        <f t="shared" si="89"/>
        <v/>
      </c>
      <c r="AK72" s="195"/>
      <c r="AL72" s="186"/>
      <c r="AM72" s="196"/>
      <c r="AN72" s="196"/>
      <c r="AO72" s="197"/>
      <c r="AP72" s="339"/>
      <c r="AQ72" s="339"/>
      <c r="AR72" s="339"/>
    </row>
    <row r="73" spans="1:44" x14ac:dyDescent="0.25">
      <c r="A73" s="216"/>
      <c r="B73" s="365" t="s">
        <v>285</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row>
    <row r="75" spans="1:44" ht="15.6" x14ac:dyDescent="0.25">
      <c r="A75" s="198"/>
      <c r="B75" s="206" t="s">
        <v>286</v>
      </c>
      <c r="C75" s="198"/>
      <c r="D75" s="198"/>
      <c r="E75" s="198"/>
      <c r="N75" s="198"/>
    </row>
    <row r="76" spans="1:44" s="259" customFormat="1" x14ac:dyDescent="0.25">
      <c r="A76" s="258"/>
      <c r="B76" s="258"/>
      <c r="C76" s="258"/>
      <c r="D76" s="258"/>
      <c r="E76" s="258"/>
      <c r="N76" s="260"/>
      <c r="AL76" s="261"/>
    </row>
  </sheetData>
  <dataConsolidate/>
  <mergeCells count="299">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H25:H30"/>
    <mergeCell ref="J13:J18"/>
    <mergeCell ref="K13:K18"/>
    <mergeCell ref="I19:I24"/>
    <mergeCell ref="J19:J24"/>
    <mergeCell ref="K19:K24"/>
    <mergeCell ref="I25:I30"/>
    <mergeCell ref="F19:F24"/>
    <mergeCell ref="J25:J30"/>
    <mergeCell ref="K25:K30"/>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37:A42"/>
    <mergeCell ref="B37:B42"/>
    <mergeCell ref="C37:C42"/>
    <mergeCell ref="A43:A48"/>
    <mergeCell ref="B43:B48"/>
    <mergeCell ref="C43:C48"/>
    <mergeCell ref="D43:D48"/>
    <mergeCell ref="E43:E48"/>
    <mergeCell ref="D37:D42"/>
    <mergeCell ref="E37:E42"/>
    <mergeCell ref="B55:B60"/>
    <mergeCell ref="C55:C60"/>
    <mergeCell ref="D55:D60"/>
    <mergeCell ref="E55:E60"/>
    <mergeCell ref="A49:A54"/>
    <mergeCell ref="B49:B54"/>
    <mergeCell ref="C49:C54"/>
    <mergeCell ref="D49:D54"/>
    <mergeCell ref="E49:E54"/>
    <mergeCell ref="A55:A60"/>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dataValidations count="1">
    <dataValidation allowBlank="1" showInputMessage="1" showErrorMessage="1" error="Recuerde que las acciones se generan bajo la medida de mitigar el riesgo" sqref="AP19:AR24"/>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'Tabla Valoración controles'!$D$4:$D$6</xm:f>
          </x14:formula1>
          <xm:sqref>Y13:Y72</xm:sqref>
        </x14:dataValidation>
        <x14:dataValidation type="list" allowBlank="1" showInputMessage="1" showErrorMessage="1">
          <x14:formula1>
            <xm:f>'Tabla Valoración controles'!$D$7:$D$8</xm:f>
          </x14:formula1>
          <xm:sqref>Z13:Z72</xm:sqref>
        </x14:dataValidation>
        <x14:dataValidation type="list" allowBlank="1" showInputMessage="1" showErrorMessage="1">
          <x14:formula1>
            <xm:f>'Tabla Valoración controles'!$D$9:$D$10</xm:f>
          </x14:formula1>
          <xm:sqref>AB13:AB72</xm:sqref>
        </x14:dataValidation>
        <x14:dataValidation type="list" allowBlank="1" showInputMessage="1" showErrorMessage="1">
          <x14:formula1>
            <xm:f>'Tabla Valoración controles'!$D$11:$D$12</xm:f>
          </x14:formula1>
          <xm:sqref>AC13:AC72</xm:sqref>
        </x14:dataValidation>
        <x14:dataValidation type="list" allowBlank="1" showInputMessage="1" showErrorMessage="1">
          <x14:formula1>
            <xm:f>'Tabla Valoración controles'!$D$13:$D$14</xm:f>
          </x14:formula1>
          <xm:sqref>AD13:AD72</xm:sqref>
        </x14:dataValidation>
        <x14:dataValidation type="list" allowBlank="1" showInputMessage="1" showErrorMessage="1">
          <x14:formula1>
            <xm:f>Listas!$E$2:$E$4</xm:f>
          </x14:formula1>
          <xm:sqref>B13:B72</xm:sqref>
        </x14:dataValidation>
        <x14:dataValidation type="list" allowBlank="1" showInputMessage="1" showErrorMessage="1">
          <x14:formula1>
            <xm:f>Listas!$B$2:$B$5</xm:f>
          </x14:formula1>
          <xm:sqref>AK13:AK72</xm:sqref>
        </x14:dataValidation>
        <x14:dataValidation type="list" allowBlank="1" showInputMessage="1" showErrorMessage="1">
          <x14:formula1>
            <xm:f>'Tabla Impacto'!$F$211:$F$222</xm:f>
          </x14:formula1>
          <xm:sqref>Q13:Q72</xm:sqref>
        </x14:dataValidation>
        <x14:dataValidation type="custom" allowBlank="1" showInputMessage="1" showErrorMessage="1" error="Recuerde que las acciones se generan bajo la medida de mitigar el riesgo">
          <x14:formula1>
            <xm:f>IF(OR(#REF!=Listas!$B$2,#REF!=Listas!$B$3,#REF!=Listas!$B$4),ISBLANK(#REF!),ISTEXT(#REF!))</xm:f>
          </x14:formula1>
          <xm:sqref>AP25:AR25 AP67:AR67 AP61:AR61 AP55:AR55 AP49:AR49 AP43:AR43 AP37:AR37 AP31:AR31</xm:sqref>
        </x14:dataValidation>
        <x14:dataValidation type="list" allowBlank="1" showInputMessage="1" showErrorMessage="1">
          <x14:formula1>
            <xm:f>Listas!$B$12:$B$16</xm:f>
          </x14:formula1>
          <xm:sqref>F13:F72</xm:sqref>
        </x14:dataValidation>
        <x14:dataValidation type="list" allowBlank="1" showInputMessage="1" showErrorMessage="1">
          <x14:formula1>
            <xm:f>Listas!$F$8:$F$9</xm:f>
          </x14:formula1>
          <xm:sqref>G13:G72</xm:sqref>
        </x14:dataValidation>
        <x14:dataValidation type="list" allowBlank="1" showInputMessage="1" showErrorMessage="1">
          <x14:formula1>
            <xm:f>Intructivo!$C$300:$C$316</xm:f>
          </x14:formula1>
          <xm:sqref>C6 U6:V6</xm:sqref>
        </x14:dataValidation>
        <x14:dataValidation type="list" allowBlank="1" showInputMessage="1" showErrorMessage="1">
          <x14:formula1>
            <xm:f>Listas!$H$8:$H$12</xm:f>
          </x14:formula1>
          <xm:sqref>L13:L72</xm:sqref>
        </x14:dataValidation>
        <x14:dataValidation type="list" allowBlank="1" showInputMessage="1" showErrorMessage="1">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2" zoomScale="40" zoomScaleNormal="40" workbookViewId="0">
      <selection activeCell="Z14" sqref="Z14:AA15"/>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475" t="s">
        <v>287</v>
      </c>
      <c r="C2" s="475"/>
      <c r="D2" s="475"/>
      <c r="E2" s="475"/>
      <c r="F2" s="475"/>
      <c r="G2" s="475"/>
      <c r="H2" s="475"/>
      <c r="I2" s="475"/>
      <c r="J2" s="443" t="s">
        <v>15</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475"/>
      <c r="C3" s="475"/>
      <c r="D3" s="475"/>
      <c r="E3" s="475"/>
      <c r="F3" s="475"/>
      <c r="G3" s="475"/>
      <c r="H3" s="475"/>
      <c r="I3" s="475"/>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475"/>
      <c r="C4" s="475"/>
      <c r="D4" s="475"/>
      <c r="E4" s="475"/>
      <c r="F4" s="475"/>
      <c r="G4" s="475"/>
      <c r="H4" s="475"/>
      <c r="I4" s="475"/>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390" t="s">
        <v>288</v>
      </c>
      <c r="C6" s="390"/>
      <c r="D6" s="391"/>
      <c r="E6" s="428" t="s">
        <v>289</v>
      </c>
      <c r="F6" s="429"/>
      <c r="G6" s="429"/>
      <c r="H6" s="429"/>
      <c r="I6" s="430"/>
      <c r="J6" s="439" t="str">
        <f>IF(AND('Riesgos de Gestión'!$O$13="Muy Alta",'Riesgos de Gestión'!$S$13="Leve"),CONCATENATE("R",'Riesgos de Gestión'!$A$13),"")</f>
        <v/>
      </c>
      <c r="K6" s="440"/>
      <c r="L6" s="440" t="str">
        <f>IF(AND('Riesgos de Gestión'!$O$19="Muy Alta",'Riesgos de Gestión'!$S$19="Leve"),CONCATENATE("R",'Riesgos de Gestión'!$A$19),"")</f>
        <v/>
      </c>
      <c r="M6" s="440"/>
      <c r="N6" s="440" t="str">
        <f>IF(AND('Riesgos de Gestión'!$O$25="Muy Alta",'Riesgos de Gestión'!$S$25="Leve"),CONCATENATE("R",'Riesgos de Gestión'!$A$25),"")</f>
        <v/>
      </c>
      <c r="O6" s="442"/>
      <c r="P6" s="439" t="str">
        <f>IF(AND('Riesgos de Gestión'!$O$13="Muy Alta",'Riesgos de Gestión'!$S$13="Menor"),CONCATENATE("R",'Riesgos de Gestión'!$A$13),"")</f>
        <v/>
      </c>
      <c r="Q6" s="440"/>
      <c r="R6" s="440" t="str">
        <f>IF(AND('Riesgos de Gestión'!$O$19="Muy Alta",'Riesgos de Gestión'!$S$19="Menor"),CONCATENATE("R",'Riesgos de Gestión'!$A$19),"")</f>
        <v/>
      </c>
      <c r="S6" s="440"/>
      <c r="T6" s="440" t="str">
        <f>IF(AND('Riesgos de Gestión'!$O$25="Muy Alta",'Riesgos de Gestión'!$S$25="Menor"),CONCATENATE("R",'Riesgos de Gestión'!$A$25),"")</f>
        <v/>
      </c>
      <c r="U6" s="442"/>
      <c r="V6" s="439" t="str">
        <f>IF(AND('Riesgos de Gestión'!$O$13="Muy Alta",'Riesgos de Gestión'!$S$13="Moderado"),CONCATENATE("R",'Riesgos de Gestión'!$A$13),"")</f>
        <v/>
      </c>
      <c r="W6" s="440"/>
      <c r="X6" s="440" t="str">
        <f>IF(AND('Riesgos de Gestión'!$O$19="Muy Alta",'Riesgos de Gestión'!$S$19="Moderado"),CONCATENATE("R",'Riesgos de Gestión'!$A$19),"")</f>
        <v/>
      </c>
      <c r="Y6" s="440"/>
      <c r="Z6" s="440" t="str">
        <f>IF(AND('Riesgos de Gestión'!$O$25="Muy Alta",'Riesgos de Gestión'!$S$25="Moderado"),CONCATENATE("R",'Riesgos de Gestión'!$A$25),"")</f>
        <v/>
      </c>
      <c r="AA6" s="442"/>
      <c r="AB6" s="439" t="str">
        <f>IF(AND('Riesgos de Gestión'!$O$13="Muy Alta",'Riesgos de Gestión'!$S$13="Mayor"),CONCATENATE("R",'Riesgos de Gestión'!$A$13),"")</f>
        <v/>
      </c>
      <c r="AC6" s="440"/>
      <c r="AD6" s="440" t="str">
        <f>IF(AND('Riesgos de Gestión'!$O$19="Muy Alta",'Riesgos de Gestión'!$S$19="Mayor"),CONCATENATE("R",'Riesgos de Gestión'!$A$19),"")</f>
        <v/>
      </c>
      <c r="AE6" s="440"/>
      <c r="AF6" s="440" t="str">
        <f>IF(AND('Riesgos de Gestión'!$O$25="Muy Alta",'Riesgos de Gestión'!$S$25="Mayor"),CONCATENATE("R",'Riesgos de Gestión'!$A$25),"")</f>
        <v/>
      </c>
      <c r="AG6" s="442"/>
      <c r="AH6" s="454" t="str">
        <f>IF(AND('Riesgos de Gestión'!$O$13="Muy Alta",'Riesgos de Gestión'!$S$13="Catastrófico"),CONCATENATE("R",'Riesgos de Gestión'!$A$13),"")</f>
        <v/>
      </c>
      <c r="AI6" s="455"/>
      <c r="AJ6" s="455" t="str">
        <f>IF(AND('Riesgos de Gestión'!$O$19="Muy Alta",'Riesgos de Gestión'!$S$19="Catastrófico"),CONCATENATE("R",'Riesgos de Gestión'!$A$19),"")</f>
        <v/>
      </c>
      <c r="AK6" s="455"/>
      <c r="AL6" s="455" t="str">
        <f>IF(AND('Riesgos de Gestión'!$O$25="Muy Alta",'Riesgos de Gestión'!$S$25="Catastrófico"),CONCATENATE("R",'Riesgos de Gestión'!$A$25),"")</f>
        <v/>
      </c>
      <c r="AM6" s="456"/>
      <c r="AO6" s="392" t="s">
        <v>290</v>
      </c>
      <c r="AP6" s="393"/>
      <c r="AQ6" s="393"/>
      <c r="AR6" s="393"/>
      <c r="AS6" s="393"/>
      <c r="AT6" s="39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390"/>
      <c r="C7" s="390"/>
      <c r="D7" s="391"/>
      <c r="E7" s="431"/>
      <c r="F7" s="432"/>
      <c r="G7" s="432"/>
      <c r="H7" s="432"/>
      <c r="I7" s="433"/>
      <c r="J7" s="441"/>
      <c r="K7" s="437"/>
      <c r="L7" s="437"/>
      <c r="M7" s="437"/>
      <c r="N7" s="437"/>
      <c r="O7" s="438"/>
      <c r="P7" s="441"/>
      <c r="Q7" s="437"/>
      <c r="R7" s="437"/>
      <c r="S7" s="437"/>
      <c r="T7" s="437"/>
      <c r="U7" s="438"/>
      <c r="V7" s="441"/>
      <c r="W7" s="437"/>
      <c r="X7" s="437"/>
      <c r="Y7" s="437"/>
      <c r="Z7" s="437"/>
      <c r="AA7" s="438"/>
      <c r="AB7" s="441"/>
      <c r="AC7" s="437"/>
      <c r="AD7" s="437"/>
      <c r="AE7" s="437"/>
      <c r="AF7" s="437"/>
      <c r="AG7" s="438"/>
      <c r="AH7" s="448"/>
      <c r="AI7" s="449"/>
      <c r="AJ7" s="449"/>
      <c r="AK7" s="449"/>
      <c r="AL7" s="449"/>
      <c r="AM7" s="450"/>
      <c r="AN7" s="66"/>
      <c r="AO7" s="395"/>
      <c r="AP7" s="396"/>
      <c r="AQ7" s="396"/>
      <c r="AR7" s="396"/>
      <c r="AS7" s="396"/>
      <c r="AT7" s="39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390"/>
      <c r="C8" s="390"/>
      <c r="D8" s="391"/>
      <c r="E8" s="431"/>
      <c r="F8" s="432"/>
      <c r="G8" s="432"/>
      <c r="H8" s="432"/>
      <c r="I8" s="433"/>
      <c r="J8" s="441" t="str">
        <f>IF(AND('Riesgos de Gestión'!$O$31="Muy Alta",'Riesgos de Gestión'!$S$31="Leve"),CONCATENATE("R",'Riesgos de Gestión'!$A$31),"")</f>
        <v/>
      </c>
      <c r="K8" s="437"/>
      <c r="L8" s="437" t="str">
        <f>IF(AND('Riesgos de Gestión'!$O$37="Muy Alta",'Riesgos de Gestión'!$S$37="Leve"),CONCATENATE("R",'Riesgos de Gestión'!$A$37),"")</f>
        <v/>
      </c>
      <c r="M8" s="437"/>
      <c r="N8" s="437" t="str">
        <f>IF(AND('Riesgos de Gestión'!$O$43="Muy Alta",'Riesgos de Gestión'!$S$43="Leve"),CONCATENATE("R",'Riesgos de Gestión'!$A$43),"")</f>
        <v/>
      </c>
      <c r="O8" s="438"/>
      <c r="P8" s="441" t="str">
        <f>IF(AND('Riesgos de Gestión'!$O$31="Muy Alta",'Riesgos de Gestión'!$S$31="Menor"),CONCATENATE("R",'Riesgos de Gestión'!$A$31),"")</f>
        <v/>
      </c>
      <c r="Q8" s="437"/>
      <c r="R8" s="437" t="str">
        <f>IF(AND('Riesgos de Gestión'!$O$37="Muy Alta",'Riesgos de Gestión'!$S$37="Menor"),CONCATENATE("R",'Riesgos de Gestión'!$A$37),"")</f>
        <v/>
      </c>
      <c r="S8" s="437"/>
      <c r="T8" s="437" t="str">
        <f>IF(AND('Riesgos de Gestión'!$O$43="Muy Alta",'Riesgos de Gestión'!$S$43="Menor"),CONCATENATE("R",'Riesgos de Gestión'!$A$43),"")</f>
        <v/>
      </c>
      <c r="U8" s="438"/>
      <c r="V8" s="441" t="str">
        <f>IF(AND('Riesgos de Gestión'!$O$31="Muy Alta",'Riesgos de Gestión'!$S$31="Moderado"),CONCATENATE("R",'Riesgos de Gestión'!$A$31),"")</f>
        <v/>
      </c>
      <c r="W8" s="437"/>
      <c r="X8" s="437" t="str">
        <f>IF(AND('Riesgos de Gestión'!$O$37="Muy Alta",'Riesgos de Gestión'!$S$37="Moderado"),CONCATENATE("R",'Riesgos de Gestión'!$A$37),"")</f>
        <v/>
      </c>
      <c r="Y8" s="437"/>
      <c r="Z8" s="437" t="str">
        <f>IF(AND('Riesgos de Gestión'!$O$43="Muy Alta",'Riesgos de Gestión'!$S$43="Moderado"),CONCATENATE("R",'Riesgos de Gestión'!$A$43),"")</f>
        <v/>
      </c>
      <c r="AA8" s="438"/>
      <c r="AB8" s="441" t="str">
        <f>IF(AND('Riesgos de Gestión'!$O$31="Muy Alta",'Riesgos de Gestión'!$S$31="Mayor"),CONCATENATE("R",'Riesgos de Gestión'!$A$31),"")</f>
        <v/>
      </c>
      <c r="AC8" s="437"/>
      <c r="AD8" s="437" t="str">
        <f>IF(AND('Riesgos de Gestión'!$O$37="Muy Alta",'Riesgos de Gestión'!$S$37="Mayor"),CONCATENATE("R",'Riesgos de Gestión'!$A$37),"")</f>
        <v/>
      </c>
      <c r="AE8" s="437"/>
      <c r="AF8" s="437" t="str">
        <f>IF(AND('Riesgos de Gestión'!$O$43="Muy Alta",'Riesgos de Gestión'!$S$43="Mayor"),CONCATENATE("R",'Riesgos de Gestión'!$A$43),"")</f>
        <v/>
      </c>
      <c r="AG8" s="438"/>
      <c r="AH8" s="448" t="str">
        <f>IF(AND('Riesgos de Gestión'!$O$31="Muy Alta",'Riesgos de Gestión'!$S$31="Catastrófico"),CONCATENATE("R",'Riesgos de Gestión'!$A$31),"")</f>
        <v/>
      </c>
      <c r="AI8" s="449"/>
      <c r="AJ8" s="449" t="str">
        <f>IF(AND('Riesgos de Gestión'!$O$37="Muy Alta",'Riesgos de Gestión'!$S$37="Catastrófico"),CONCATENATE("R",'Riesgos de Gestión'!$A$37),"")</f>
        <v/>
      </c>
      <c r="AK8" s="449"/>
      <c r="AL8" s="449" t="str">
        <f>IF(AND('Riesgos de Gestión'!$O$43="Muy Alta",'Riesgos de Gestión'!$S$43="Catastrófico"),CONCATENATE("R",'Riesgos de Gestión'!$A$43),"")</f>
        <v/>
      </c>
      <c r="AM8" s="450"/>
      <c r="AN8" s="66"/>
      <c r="AO8" s="395"/>
      <c r="AP8" s="396"/>
      <c r="AQ8" s="396"/>
      <c r="AR8" s="396"/>
      <c r="AS8" s="396"/>
      <c r="AT8" s="39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390"/>
      <c r="C9" s="390"/>
      <c r="D9" s="391"/>
      <c r="E9" s="431"/>
      <c r="F9" s="432"/>
      <c r="G9" s="432"/>
      <c r="H9" s="432"/>
      <c r="I9" s="433"/>
      <c r="J9" s="441"/>
      <c r="K9" s="437"/>
      <c r="L9" s="437"/>
      <c r="M9" s="437"/>
      <c r="N9" s="437"/>
      <c r="O9" s="438"/>
      <c r="P9" s="441"/>
      <c r="Q9" s="437"/>
      <c r="R9" s="437"/>
      <c r="S9" s="437"/>
      <c r="T9" s="437"/>
      <c r="U9" s="438"/>
      <c r="V9" s="441"/>
      <c r="W9" s="437"/>
      <c r="X9" s="437"/>
      <c r="Y9" s="437"/>
      <c r="Z9" s="437"/>
      <c r="AA9" s="438"/>
      <c r="AB9" s="441"/>
      <c r="AC9" s="437"/>
      <c r="AD9" s="437"/>
      <c r="AE9" s="437"/>
      <c r="AF9" s="437"/>
      <c r="AG9" s="438"/>
      <c r="AH9" s="448"/>
      <c r="AI9" s="449"/>
      <c r="AJ9" s="449"/>
      <c r="AK9" s="449"/>
      <c r="AL9" s="449"/>
      <c r="AM9" s="450"/>
      <c r="AN9" s="66"/>
      <c r="AO9" s="395"/>
      <c r="AP9" s="396"/>
      <c r="AQ9" s="396"/>
      <c r="AR9" s="396"/>
      <c r="AS9" s="396"/>
      <c r="AT9" s="39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390"/>
      <c r="C10" s="390"/>
      <c r="D10" s="391"/>
      <c r="E10" s="431"/>
      <c r="F10" s="432"/>
      <c r="G10" s="432"/>
      <c r="H10" s="432"/>
      <c r="I10" s="433"/>
      <c r="J10" s="441" t="str">
        <f>IF(AND('Riesgos de Gestión'!$O$49="Muy Alta",'Riesgos de Gestión'!$S$49="Leve"),CONCATENATE("R",'Riesgos de Gestión'!$A$49),"")</f>
        <v/>
      </c>
      <c r="K10" s="437"/>
      <c r="L10" s="437" t="str">
        <f>IF(AND('Riesgos de Gestión'!$O$55="Muy Alta",'Riesgos de Gestión'!$S$55="Leve"),CONCATENATE("R",'Riesgos de Gestión'!$A$55),"")</f>
        <v/>
      </c>
      <c r="M10" s="437"/>
      <c r="N10" s="437" t="str">
        <f>IF(AND('Riesgos de Gestión'!$O$61="Muy Alta",'Riesgos de Gestión'!$S$61="Leve"),CONCATENATE("R",'Riesgos de Gestión'!$A$61),"")</f>
        <v/>
      </c>
      <c r="O10" s="438"/>
      <c r="P10" s="441" t="str">
        <f>IF(AND('Riesgos de Gestión'!$O$49="Muy Alta",'Riesgos de Gestión'!$S$49="Menor"),CONCATENATE("R",'Riesgos de Gestión'!$A$49),"")</f>
        <v/>
      </c>
      <c r="Q10" s="437"/>
      <c r="R10" s="437" t="str">
        <f>IF(AND('Riesgos de Gestión'!$O$55="Muy Alta",'Riesgos de Gestión'!$S$55="Menor"),CONCATENATE("R",'Riesgos de Gestión'!$A$55),"")</f>
        <v/>
      </c>
      <c r="S10" s="437"/>
      <c r="T10" s="437" t="str">
        <f>IF(AND('Riesgos de Gestión'!$O$61="Muy Alta",'Riesgos de Gestión'!$S$61="Menor"),CONCATENATE("R",'Riesgos de Gestión'!$A$61),"")</f>
        <v/>
      </c>
      <c r="U10" s="438"/>
      <c r="V10" s="441" t="str">
        <f>IF(AND('Riesgos de Gestión'!$O$49="Muy Alta",'Riesgos de Gestión'!$S$49="Moderado"),CONCATENATE("R",'Riesgos de Gestión'!$A$49),"")</f>
        <v/>
      </c>
      <c r="W10" s="437"/>
      <c r="X10" s="437" t="str">
        <f>IF(AND('Riesgos de Gestión'!$O$55="Muy Alta",'Riesgos de Gestión'!$S$55="Moderado"),CONCATENATE("R",'Riesgos de Gestión'!$A$55),"")</f>
        <v/>
      </c>
      <c r="Y10" s="437"/>
      <c r="Z10" s="437" t="str">
        <f>IF(AND('Riesgos de Gestión'!$O$61="Muy Alta",'Riesgos de Gestión'!$S$61="Moderado"),CONCATENATE("R",'Riesgos de Gestión'!$A$61),"")</f>
        <v/>
      </c>
      <c r="AA10" s="438"/>
      <c r="AB10" s="441" t="str">
        <f>IF(AND('Riesgos de Gestión'!$O$49="Muy Alta",'Riesgos de Gestión'!$S$49="Mayor"),CONCATENATE("R",'Riesgos de Gestión'!$A$49),"")</f>
        <v/>
      </c>
      <c r="AC10" s="437"/>
      <c r="AD10" s="437" t="str">
        <f>IF(AND('Riesgos de Gestión'!$O$55="Muy Alta",'Riesgos de Gestión'!$S$55="Mayor"),CONCATENATE("R",'Riesgos de Gestión'!$A$55),"")</f>
        <v/>
      </c>
      <c r="AE10" s="437"/>
      <c r="AF10" s="437" t="str">
        <f>IF(AND('Riesgos de Gestión'!$O$61="Muy Alta",'Riesgos de Gestión'!$S$61="Mayor"),CONCATENATE("R",'Riesgos de Gestión'!$A$61),"")</f>
        <v/>
      </c>
      <c r="AG10" s="438"/>
      <c r="AH10" s="448" t="str">
        <f>IF(AND('Riesgos de Gestión'!$O$49="Muy Alta",'Riesgos de Gestión'!$S$49="Catastrófico"),CONCATENATE("R",'Riesgos de Gestión'!$A$49),"")</f>
        <v/>
      </c>
      <c r="AI10" s="449"/>
      <c r="AJ10" s="449" t="str">
        <f>IF(AND('Riesgos de Gestión'!$O$55="Muy Alta",'Riesgos de Gestión'!$S$55="Catastrófico"),CONCATENATE("R",'Riesgos de Gestión'!$A$55),"")</f>
        <v/>
      </c>
      <c r="AK10" s="449"/>
      <c r="AL10" s="449" t="str">
        <f>IF(AND('Riesgos de Gestión'!$O$61="Muy Alta",'Riesgos de Gestión'!$S$61="Catastrófico"),CONCATENATE("R",'Riesgos de Gestión'!$A$61),"")</f>
        <v/>
      </c>
      <c r="AM10" s="450"/>
      <c r="AN10" s="66"/>
      <c r="AO10" s="395"/>
      <c r="AP10" s="396"/>
      <c r="AQ10" s="396"/>
      <c r="AR10" s="396"/>
      <c r="AS10" s="396"/>
      <c r="AT10" s="39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390"/>
      <c r="C11" s="390"/>
      <c r="D11" s="391"/>
      <c r="E11" s="431"/>
      <c r="F11" s="432"/>
      <c r="G11" s="432"/>
      <c r="H11" s="432"/>
      <c r="I11" s="433"/>
      <c r="J11" s="441"/>
      <c r="K11" s="437"/>
      <c r="L11" s="437"/>
      <c r="M11" s="437"/>
      <c r="N11" s="437"/>
      <c r="O11" s="438"/>
      <c r="P11" s="441"/>
      <c r="Q11" s="437"/>
      <c r="R11" s="437"/>
      <c r="S11" s="437"/>
      <c r="T11" s="437"/>
      <c r="U11" s="438"/>
      <c r="V11" s="441"/>
      <c r="W11" s="437"/>
      <c r="X11" s="437"/>
      <c r="Y11" s="437"/>
      <c r="Z11" s="437"/>
      <c r="AA11" s="438"/>
      <c r="AB11" s="441"/>
      <c r="AC11" s="437"/>
      <c r="AD11" s="437"/>
      <c r="AE11" s="437"/>
      <c r="AF11" s="437"/>
      <c r="AG11" s="438"/>
      <c r="AH11" s="448"/>
      <c r="AI11" s="449"/>
      <c r="AJ11" s="449"/>
      <c r="AK11" s="449"/>
      <c r="AL11" s="449"/>
      <c r="AM11" s="450"/>
      <c r="AN11" s="66"/>
      <c r="AO11" s="395"/>
      <c r="AP11" s="396"/>
      <c r="AQ11" s="396"/>
      <c r="AR11" s="396"/>
      <c r="AS11" s="396"/>
      <c r="AT11" s="39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390"/>
      <c r="C12" s="390"/>
      <c r="D12" s="391"/>
      <c r="E12" s="431"/>
      <c r="F12" s="432"/>
      <c r="G12" s="432"/>
      <c r="H12" s="432"/>
      <c r="I12" s="433"/>
      <c r="J12" s="441" t="str">
        <f>IF(AND('Riesgos de Gestión'!$O$67="Muy Alta",'Riesgos de Gestión'!$S$67="Leve"),CONCATENATE("R",'Riesgos de Gestión'!$A$67),"")</f>
        <v/>
      </c>
      <c r="K12" s="437"/>
      <c r="L12" s="437" t="str">
        <f>IF(AND('Riesgos de Gestión'!$P$73="Muy Alta",'Riesgos de Gestión'!$T$73="Leve"),CONCATENATE("R",'Riesgos de Gestión'!$A$73),"")</f>
        <v/>
      </c>
      <c r="M12" s="437"/>
      <c r="N12" s="437" t="str">
        <f>IF(AND('Riesgos de Gestión'!$P$79="Muy Alta",'Riesgos de Gestión'!$T$79="Leve"),CONCATENATE("R",'Riesgos de Gestión'!$A$79),"")</f>
        <v/>
      </c>
      <c r="O12" s="438"/>
      <c r="P12" s="441" t="str">
        <f>IF(AND('Riesgos de Gestión'!$O$67="Muy Alta",'Riesgos de Gestión'!$S$67="Menor"),CONCATENATE("R",'Riesgos de Gestión'!$A$67),"")</f>
        <v/>
      </c>
      <c r="Q12" s="437"/>
      <c r="R12" s="437" t="str">
        <f>IF(AND('Riesgos de Gestión'!$P$73="Muy Alta",'Riesgos de Gestión'!$T$73="Menor"),CONCATENATE("R",'Riesgos de Gestión'!$A$73),"")</f>
        <v/>
      </c>
      <c r="S12" s="437"/>
      <c r="T12" s="437" t="str">
        <f>IF(AND('Riesgos de Gestión'!$P$79="Muy Alta",'Riesgos de Gestión'!$T$79="Menor"),CONCATENATE("R",'Riesgos de Gestión'!$A$79),"")</f>
        <v/>
      </c>
      <c r="U12" s="438"/>
      <c r="V12" s="441" t="str">
        <f>IF(AND('Riesgos de Gestión'!$O$67="Muy Alta",'Riesgos de Gestión'!$S$67="Moderado"),CONCATENATE("R",'Riesgos de Gestión'!$A$67),"")</f>
        <v/>
      </c>
      <c r="W12" s="437"/>
      <c r="X12" s="437" t="str">
        <f>IF(AND('Riesgos de Gestión'!$P$73="Muy Alta",'Riesgos de Gestión'!$T$73="Moderado"),CONCATENATE("R",'Riesgos de Gestión'!$A$73),"")</f>
        <v/>
      </c>
      <c r="Y12" s="437"/>
      <c r="Z12" s="437" t="str">
        <f>IF(AND('Riesgos de Gestión'!$P$79="Muy Alta",'Riesgos de Gestión'!$T$79="Moderado"),CONCATENATE("R",'Riesgos de Gestión'!$A$79),"")</f>
        <v/>
      </c>
      <c r="AA12" s="438"/>
      <c r="AB12" s="441" t="str">
        <f>IF(AND('Riesgos de Gestión'!$O$67="Muy Alta",'Riesgos de Gestión'!$S$67="Mayor"),CONCATENATE("R",'Riesgos de Gestión'!$A$67),"")</f>
        <v/>
      </c>
      <c r="AC12" s="437"/>
      <c r="AD12" s="437" t="str">
        <f>IF(AND('Riesgos de Gestión'!$P$73="Muy Alta",'Riesgos de Gestión'!$T$73="Mayor"),CONCATENATE("R",'Riesgos de Gestión'!$A$73),"")</f>
        <v/>
      </c>
      <c r="AE12" s="437"/>
      <c r="AF12" s="437" t="str">
        <f>IF(AND('Riesgos de Gestión'!$P$79="Muy Alta",'Riesgos de Gestión'!$T$79="Mayor"),CONCATENATE("R",'Riesgos de Gestión'!$A$79),"")</f>
        <v/>
      </c>
      <c r="AG12" s="438"/>
      <c r="AH12" s="448" t="str">
        <f>IF(AND('Riesgos de Gestión'!$O$67="Muy Alta",'Riesgos de Gestión'!$S$67="Catastrófico"),CONCATENATE("R",'Riesgos de Gestión'!$A$67),"")</f>
        <v/>
      </c>
      <c r="AI12" s="449"/>
      <c r="AJ12" s="449" t="str">
        <f>IF(AND('Riesgos de Gestión'!$P$73="Muy Alta",'Riesgos de Gestión'!$T$73="Catastrófico"),CONCATENATE("R",'Riesgos de Gestión'!$A$73),"")</f>
        <v/>
      </c>
      <c r="AK12" s="449"/>
      <c r="AL12" s="449" t="str">
        <f>IF(AND('Riesgos de Gestión'!$P$79="Muy Alta",'Riesgos de Gestión'!$T$79="Catastrófico"),CONCATENATE("R",'Riesgos de Gestión'!$A$79),"")</f>
        <v/>
      </c>
      <c r="AM12" s="450"/>
      <c r="AN12" s="66"/>
      <c r="AO12" s="395"/>
      <c r="AP12" s="396"/>
      <c r="AQ12" s="396"/>
      <c r="AR12" s="396"/>
      <c r="AS12" s="396"/>
      <c r="AT12" s="39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390"/>
      <c r="C13" s="390"/>
      <c r="D13" s="391"/>
      <c r="E13" s="434"/>
      <c r="F13" s="435"/>
      <c r="G13" s="435"/>
      <c r="H13" s="435"/>
      <c r="I13" s="436"/>
      <c r="J13" s="441"/>
      <c r="K13" s="437"/>
      <c r="L13" s="437"/>
      <c r="M13" s="437"/>
      <c r="N13" s="437"/>
      <c r="O13" s="438"/>
      <c r="P13" s="441"/>
      <c r="Q13" s="437"/>
      <c r="R13" s="437"/>
      <c r="S13" s="437"/>
      <c r="T13" s="437"/>
      <c r="U13" s="438"/>
      <c r="V13" s="441"/>
      <c r="W13" s="437"/>
      <c r="X13" s="437"/>
      <c r="Y13" s="437"/>
      <c r="Z13" s="437"/>
      <c r="AA13" s="438"/>
      <c r="AB13" s="441"/>
      <c r="AC13" s="437"/>
      <c r="AD13" s="437"/>
      <c r="AE13" s="437"/>
      <c r="AF13" s="437"/>
      <c r="AG13" s="438"/>
      <c r="AH13" s="451"/>
      <c r="AI13" s="452"/>
      <c r="AJ13" s="452"/>
      <c r="AK13" s="452"/>
      <c r="AL13" s="452"/>
      <c r="AM13" s="453"/>
      <c r="AN13" s="66"/>
      <c r="AO13" s="398"/>
      <c r="AP13" s="399"/>
      <c r="AQ13" s="399"/>
      <c r="AR13" s="399"/>
      <c r="AS13" s="399"/>
      <c r="AT13" s="40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390"/>
      <c r="C14" s="390"/>
      <c r="D14" s="391"/>
      <c r="E14" s="428" t="s">
        <v>291</v>
      </c>
      <c r="F14" s="429"/>
      <c r="G14" s="429"/>
      <c r="H14" s="429"/>
      <c r="I14" s="429"/>
      <c r="J14" s="463" t="str">
        <f>IF(AND('Riesgos de Gestión'!$O$13="Alta",'Riesgos de Gestión'!$S$13="Leve"),CONCATENATE("R",'Riesgos de Gestión'!$A$13),"")</f>
        <v/>
      </c>
      <c r="K14" s="464"/>
      <c r="L14" s="464" t="str">
        <f>IF(AND('Riesgos de Gestión'!$O$19="Alta",'Riesgos de Gestión'!$S$19="Leve"),CONCATENATE("R",'Riesgos de Gestión'!$A$19),"")</f>
        <v/>
      </c>
      <c r="M14" s="464"/>
      <c r="N14" s="464" t="str">
        <f>IF(AND('Riesgos de Gestión'!$O$25="Alta",'Riesgos de Gestión'!$S$25="Leve"),CONCATENATE("R",'Riesgos de Gestión'!$A$25),"")</f>
        <v/>
      </c>
      <c r="O14" s="465"/>
      <c r="P14" s="463" t="str">
        <f>IF(AND('Riesgos de Gestión'!$O$13="Alta",'Riesgos de Gestión'!$S$13="Menor"),CONCATENATE("R",'Riesgos de Gestión'!$A$13),"")</f>
        <v/>
      </c>
      <c r="Q14" s="464"/>
      <c r="R14" s="464" t="str">
        <f>IF(AND('Riesgos de Gestión'!$O$19="Alta",'Riesgos de Gestión'!$S$19="Menor"),CONCATENATE("R",'Riesgos de Gestión'!$A$19),"")</f>
        <v/>
      </c>
      <c r="S14" s="464"/>
      <c r="T14" s="464" t="str">
        <f>IF(AND('Riesgos de Gestión'!$O$25="Alta",'Riesgos de Gestión'!$S$25="Menor"),CONCATENATE("R",'Riesgos de Gestión'!$A$25),"")</f>
        <v/>
      </c>
      <c r="U14" s="465"/>
      <c r="V14" s="439" t="str">
        <f>IF(AND('Riesgos de Gestión'!$O$13="Alta",'Riesgos de Gestión'!$S$13="Moderado"),CONCATENATE("R",'Riesgos de Gestión'!$A$13),"")</f>
        <v/>
      </c>
      <c r="W14" s="440"/>
      <c r="X14" s="440" t="str">
        <f>IF(AND('Riesgos de Gestión'!$O$19="Alta",'Riesgos de Gestión'!$S$19="Moderado"),CONCATENATE("R",'Riesgos de Gestión'!$A$19),"")</f>
        <v/>
      </c>
      <c r="Y14" s="440"/>
      <c r="Z14" s="440" t="str">
        <f>IF(AND('Riesgos de Gestión'!$O$25="Alta",'Riesgos de Gestión'!$S$25="Moderado"),CONCATENATE("R",'Riesgos de Gestión'!$A$25),"")</f>
        <v/>
      </c>
      <c r="AA14" s="442"/>
      <c r="AB14" s="439" t="str">
        <f>IF(AND('Riesgos de Gestión'!$O$13="Alta",'Riesgos de Gestión'!$S$13="Mayor"),CONCATENATE("R",'Riesgos de Gestión'!$A$13),"")</f>
        <v/>
      </c>
      <c r="AC14" s="440"/>
      <c r="AD14" s="440" t="str">
        <f>IF(AND('Riesgos de Gestión'!$O$19="Alta",'Riesgos de Gestión'!$S$19="Mayor"),CONCATENATE("R",'Riesgos de Gestión'!$A$19),"")</f>
        <v/>
      </c>
      <c r="AE14" s="440"/>
      <c r="AF14" s="440" t="str">
        <f>IF(AND('Riesgos de Gestión'!$O$25="Alta",'Riesgos de Gestión'!$S$25="Mayor"),CONCATENATE("R",'Riesgos de Gestión'!$A$25),"")</f>
        <v/>
      </c>
      <c r="AG14" s="442"/>
      <c r="AH14" s="454" t="str">
        <f>IF(AND('Riesgos de Gestión'!$O$13="Alta",'Riesgos de Gestión'!$S$13="Catastrófico"),CONCATENATE("R",'Riesgos de Gestión'!$A$13),"")</f>
        <v/>
      </c>
      <c r="AI14" s="455"/>
      <c r="AJ14" s="455" t="str">
        <f>IF(AND('Riesgos de Gestión'!$O$19="Alta",'Riesgos de Gestión'!$S$19="Catastrófico"),CONCATENATE("R",'Riesgos de Gestión'!$A$19),"")</f>
        <v/>
      </c>
      <c r="AK14" s="455"/>
      <c r="AL14" s="455" t="str">
        <f>IF(AND('Riesgos de Gestión'!$O$25="Alta",'Riesgos de Gestión'!$S$25="Catastrófico"),CONCATENATE("R",'Riesgos de Gestión'!$A$25),"")</f>
        <v/>
      </c>
      <c r="AM14" s="456"/>
      <c r="AN14" s="66"/>
      <c r="AO14" s="401" t="s">
        <v>292</v>
      </c>
      <c r="AP14" s="402"/>
      <c r="AQ14" s="402"/>
      <c r="AR14" s="402"/>
      <c r="AS14" s="402"/>
      <c r="AT14" s="40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390"/>
      <c r="C15" s="390"/>
      <c r="D15" s="391"/>
      <c r="E15" s="431"/>
      <c r="F15" s="432"/>
      <c r="G15" s="432"/>
      <c r="H15" s="432"/>
      <c r="I15" s="432"/>
      <c r="J15" s="457"/>
      <c r="K15" s="458"/>
      <c r="L15" s="458"/>
      <c r="M15" s="458"/>
      <c r="N15" s="458"/>
      <c r="O15" s="459"/>
      <c r="P15" s="457"/>
      <c r="Q15" s="458"/>
      <c r="R15" s="458"/>
      <c r="S15" s="458"/>
      <c r="T15" s="458"/>
      <c r="U15" s="459"/>
      <c r="V15" s="441"/>
      <c r="W15" s="437"/>
      <c r="X15" s="437"/>
      <c r="Y15" s="437"/>
      <c r="Z15" s="437"/>
      <c r="AA15" s="438"/>
      <c r="AB15" s="441"/>
      <c r="AC15" s="437"/>
      <c r="AD15" s="437"/>
      <c r="AE15" s="437"/>
      <c r="AF15" s="437"/>
      <c r="AG15" s="438"/>
      <c r="AH15" s="448"/>
      <c r="AI15" s="449"/>
      <c r="AJ15" s="449"/>
      <c r="AK15" s="449"/>
      <c r="AL15" s="449"/>
      <c r="AM15" s="450"/>
      <c r="AN15" s="66"/>
      <c r="AO15" s="404"/>
      <c r="AP15" s="405"/>
      <c r="AQ15" s="405"/>
      <c r="AR15" s="405"/>
      <c r="AS15" s="405"/>
      <c r="AT15" s="40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390"/>
      <c r="C16" s="390"/>
      <c r="D16" s="391"/>
      <c r="E16" s="431"/>
      <c r="F16" s="432"/>
      <c r="G16" s="432"/>
      <c r="H16" s="432"/>
      <c r="I16" s="432"/>
      <c r="J16" s="457" t="str">
        <f>IF(AND('Riesgos de Gestión'!$O$31="Alta",'Riesgos de Gestión'!$S$31="Leve"),CONCATENATE("R",'Riesgos de Gestión'!$A$31),"")</f>
        <v/>
      </c>
      <c r="K16" s="458"/>
      <c r="L16" s="458" t="str">
        <f>IF(AND('Riesgos de Gestión'!$O$37="Alta",'Riesgos de Gestión'!$S$37="Leve"),CONCATENATE("R",'Riesgos de Gestión'!$A$37),"")</f>
        <v/>
      </c>
      <c r="M16" s="458"/>
      <c r="N16" s="458" t="str">
        <f>IF(AND('Riesgos de Gestión'!$O$43="Alta",'Riesgos de Gestión'!$S$43="Leve"),CONCATENATE("R",'Riesgos de Gestión'!$A$43),"")</f>
        <v/>
      </c>
      <c r="O16" s="459"/>
      <c r="P16" s="457" t="str">
        <f>IF(AND('Riesgos de Gestión'!$O$31="Alta",'Riesgos de Gestión'!$S$31="Menor"),CONCATENATE("R",'Riesgos de Gestión'!$A$31),"")</f>
        <v/>
      </c>
      <c r="Q16" s="458"/>
      <c r="R16" s="458" t="str">
        <f>IF(AND('Riesgos de Gestión'!$O$37="Alta",'Riesgos de Gestión'!$S$37="Menor"),CONCATENATE("R",'Riesgos de Gestión'!$A$37),"")</f>
        <v/>
      </c>
      <c r="S16" s="458"/>
      <c r="T16" s="458" t="str">
        <f>IF(AND('Riesgos de Gestión'!$O$43="Alta",'Riesgos de Gestión'!$S$43="Menor"),CONCATENATE("R",'Riesgos de Gestión'!$A$43),"")</f>
        <v/>
      </c>
      <c r="U16" s="459"/>
      <c r="V16" s="441" t="str">
        <f>IF(AND('Riesgos de Gestión'!$O$31="Alta",'Riesgos de Gestión'!$S$31="Moderado"),CONCATENATE("R",'Riesgos de Gestión'!$A$31),"")</f>
        <v/>
      </c>
      <c r="W16" s="437"/>
      <c r="X16" s="437" t="str">
        <f>IF(AND('Riesgos de Gestión'!$O$37="Alta",'Riesgos de Gestión'!$S$37="Moderado"),CONCATENATE("R",'Riesgos de Gestión'!$A$37),"")</f>
        <v/>
      </c>
      <c r="Y16" s="437"/>
      <c r="Z16" s="437" t="str">
        <f>IF(AND('Riesgos de Gestión'!$O$43="Alta",'Riesgos de Gestión'!$S$43="Moderado"),CONCATENATE("R",'Riesgos de Gestión'!$A$43),"")</f>
        <v/>
      </c>
      <c r="AA16" s="438"/>
      <c r="AB16" s="441" t="str">
        <f>IF(AND('Riesgos de Gestión'!$O$31="Alta",'Riesgos de Gestión'!$S$31="Mayor"),CONCATENATE("R",'Riesgos de Gestión'!$A$31),"")</f>
        <v/>
      </c>
      <c r="AC16" s="437"/>
      <c r="AD16" s="437" t="str">
        <f>IF(AND('Riesgos de Gestión'!$O$37="Alta",'Riesgos de Gestión'!$S$37="Mayor"),CONCATENATE("R",'Riesgos de Gestión'!$A$37),"")</f>
        <v/>
      </c>
      <c r="AE16" s="437"/>
      <c r="AF16" s="437" t="str">
        <f>IF(AND('Riesgos de Gestión'!$O$43="Alta",'Riesgos de Gestión'!$S$43="Mayor"),CONCATENATE("R",'Riesgos de Gestión'!$A$43),"")</f>
        <v/>
      </c>
      <c r="AG16" s="438"/>
      <c r="AH16" s="448" t="str">
        <f>IF(AND('Riesgos de Gestión'!$O$31="Alta",'Riesgos de Gestión'!$S$31="Catastrófico"),CONCATENATE("R",'Riesgos de Gestión'!$A$31),"")</f>
        <v/>
      </c>
      <c r="AI16" s="449"/>
      <c r="AJ16" s="449" t="str">
        <f>IF(AND('Riesgos de Gestión'!$O$37="Alta",'Riesgos de Gestión'!$S$37="Catastrófico"),CONCATENATE("R",'Riesgos de Gestión'!$A$37),"")</f>
        <v/>
      </c>
      <c r="AK16" s="449"/>
      <c r="AL16" s="449" t="str">
        <f>IF(AND('Riesgos de Gestión'!$O$43="Alta",'Riesgos de Gestión'!$S$43="Catastrófico"),CONCATENATE("R",'Riesgos de Gestión'!$A$43),"")</f>
        <v/>
      </c>
      <c r="AM16" s="450"/>
      <c r="AN16" s="66"/>
      <c r="AO16" s="404"/>
      <c r="AP16" s="405"/>
      <c r="AQ16" s="405"/>
      <c r="AR16" s="405"/>
      <c r="AS16" s="405"/>
      <c r="AT16" s="40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390"/>
      <c r="C17" s="390"/>
      <c r="D17" s="391"/>
      <c r="E17" s="431"/>
      <c r="F17" s="432"/>
      <c r="G17" s="432"/>
      <c r="H17" s="432"/>
      <c r="I17" s="432"/>
      <c r="J17" s="457"/>
      <c r="K17" s="458"/>
      <c r="L17" s="458"/>
      <c r="M17" s="458"/>
      <c r="N17" s="458"/>
      <c r="O17" s="459"/>
      <c r="P17" s="457"/>
      <c r="Q17" s="458"/>
      <c r="R17" s="458"/>
      <c r="S17" s="458"/>
      <c r="T17" s="458"/>
      <c r="U17" s="459"/>
      <c r="V17" s="441"/>
      <c r="W17" s="437"/>
      <c r="X17" s="437"/>
      <c r="Y17" s="437"/>
      <c r="Z17" s="437"/>
      <c r="AA17" s="438"/>
      <c r="AB17" s="441"/>
      <c r="AC17" s="437"/>
      <c r="AD17" s="437"/>
      <c r="AE17" s="437"/>
      <c r="AF17" s="437"/>
      <c r="AG17" s="438"/>
      <c r="AH17" s="448"/>
      <c r="AI17" s="449"/>
      <c r="AJ17" s="449"/>
      <c r="AK17" s="449"/>
      <c r="AL17" s="449"/>
      <c r="AM17" s="450"/>
      <c r="AN17" s="66"/>
      <c r="AO17" s="404"/>
      <c r="AP17" s="405"/>
      <c r="AQ17" s="405"/>
      <c r="AR17" s="405"/>
      <c r="AS17" s="405"/>
      <c r="AT17" s="40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390"/>
      <c r="C18" s="390"/>
      <c r="D18" s="391"/>
      <c r="E18" s="431"/>
      <c r="F18" s="432"/>
      <c r="G18" s="432"/>
      <c r="H18" s="432"/>
      <c r="I18" s="432"/>
      <c r="J18" s="457" t="str">
        <f>IF(AND('Riesgos de Gestión'!$O$49="Alta",'Riesgos de Gestión'!$S$49="Leve"),CONCATENATE("R",'Riesgos de Gestión'!$A$49),"")</f>
        <v/>
      </c>
      <c r="K18" s="458"/>
      <c r="L18" s="458" t="str">
        <f>IF(AND('Riesgos de Gestión'!$O$55="Alta",'Riesgos de Gestión'!$S$55="Leve"),CONCATENATE("R",'Riesgos de Gestión'!$A$55),"")</f>
        <v/>
      </c>
      <c r="M18" s="458"/>
      <c r="N18" s="458" t="str">
        <f>IF(AND('Riesgos de Gestión'!$O$61="Alta",'Riesgos de Gestión'!$S$61="Leve"),CONCATENATE("R",'Riesgos de Gestión'!$A$61),"")</f>
        <v/>
      </c>
      <c r="O18" s="459"/>
      <c r="P18" s="457" t="str">
        <f>IF(AND('Riesgos de Gestión'!$O$49="Alta",'Riesgos de Gestión'!$S$49="Menor"),CONCATENATE("R",'Riesgos de Gestión'!$A$49),"")</f>
        <v/>
      </c>
      <c r="Q18" s="458"/>
      <c r="R18" s="458" t="str">
        <f>IF(AND('Riesgos de Gestión'!$O$55="Alta",'Riesgos de Gestión'!$S$55="Menor"),CONCATENATE("R",'Riesgos de Gestión'!$A$55),"")</f>
        <v/>
      </c>
      <c r="S18" s="458"/>
      <c r="T18" s="458" t="str">
        <f>IF(AND('Riesgos de Gestión'!$O$61="Alta",'Riesgos de Gestión'!$S$61="Menor"),CONCATENATE("R",'Riesgos de Gestión'!$A$61),"")</f>
        <v/>
      </c>
      <c r="U18" s="459"/>
      <c r="V18" s="441" t="str">
        <f>IF(AND('Riesgos de Gestión'!$O$49="Alta",'Riesgos de Gestión'!$S$49="Moderado"),CONCATENATE("R",'Riesgos de Gestión'!$A$49),"")</f>
        <v/>
      </c>
      <c r="W18" s="437"/>
      <c r="X18" s="437" t="str">
        <f>IF(AND('Riesgos de Gestión'!$O$55="Alta",'Riesgos de Gestión'!$S$55="Moderado"),CONCATENATE("R",'Riesgos de Gestión'!$A$55),"")</f>
        <v/>
      </c>
      <c r="Y18" s="437"/>
      <c r="Z18" s="437" t="str">
        <f>IF(AND('Riesgos de Gestión'!$O$61="Alta",'Riesgos de Gestión'!$S$61="Moderado"),CONCATENATE("R",'Riesgos de Gestión'!$A$61),"")</f>
        <v/>
      </c>
      <c r="AA18" s="438"/>
      <c r="AB18" s="441" t="str">
        <f>IF(AND('Riesgos de Gestión'!$O$49="Alta",'Riesgos de Gestión'!$S$49="Mayor"),CONCATENATE("R",'Riesgos de Gestión'!$A$49),"")</f>
        <v/>
      </c>
      <c r="AC18" s="437"/>
      <c r="AD18" s="437" t="str">
        <f>IF(AND('Riesgos de Gestión'!$O$55="Alta",'Riesgos de Gestión'!$S$55="Mayor"),CONCATENATE("R",'Riesgos de Gestión'!$A$55),"")</f>
        <v/>
      </c>
      <c r="AE18" s="437"/>
      <c r="AF18" s="437" t="str">
        <f>IF(AND('Riesgos de Gestión'!$O$61="Alta",'Riesgos de Gestión'!$S$61="Mayor"),CONCATENATE("R",'Riesgos de Gestión'!$A$61),"")</f>
        <v/>
      </c>
      <c r="AG18" s="438"/>
      <c r="AH18" s="448" t="str">
        <f>IF(AND('Riesgos de Gestión'!$O$49="Alta",'Riesgos de Gestión'!$S$49="Catastrófico"),CONCATENATE("R",'Riesgos de Gestión'!$A$49),"")</f>
        <v/>
      </c>
      <c r="AI18" s="449"/>
      <c r="AJ18" s="449" t="str">
        <f>IF(AND('Riesgos de Gestión'!$O$55="Alta",'Riesgos de Gestión'!$S$55="Catastrófico"),CONCATENATE("R",'Riesgos de Gestión'!$A$55),"")</f>
        <v/>
      </c>
      <c r="AK18" s="449"/>
      <c r="AL18" s="449" t="str">
        <f>IF(AND('Riesgos de Gestión'!$O$61="Alta",'Riesgos de Gestión'!$S$61="Catastrófico"),CONCATENATE("R",'Riesgos de Gestión'!$A$61),"")</f>
        <v/>
      </c>
      <c r="AM18" s="450"/>
      <c r="AN18" s="66"/>
      <c r="AO18" s="404"/>
      <c r="AP18" s="405"/>
      <c r="AQ18" s="405"/>
      <c r="AR18" s="405"/>
      <c r="AS18" s="405"/>
      <c r="AT18" s="40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390"/>
      <c r="C19" s="390"/>
      <c r="D19" s="391"/>
      <c r="E19" s="431"/>
      <c r="F19" s="432"/>
      <c r="G19" s="432"/>
      <c r="H19" s="432"/>
      <c r="I19" s="432"/>
      <c r="J19" s="457"/>
      <c r="K19" s="458"/>
      <c r="L19" s="458"/>
      <c r="M19" s="458"/>
      <c r="N19" s="458"/>
      <c r="O19" s="459"/>
      <c r="P19" s="457"/>
      <c r="Q19" s="458"/>
      <c r="R19" s="458"/>
      <c r="S19" s="458"/>
      <c r="T19" s="458"/>
      <c r="U19" s="459"/>
      <c r="V19" s="441"/>
      <c r="W19" s="437"/>
      <c r="X19" s="437"/>
      <c r="Y19" s="437"/>
      <c r="Z19" s="437"/>
      <c r="AA19" s="438"/>
      <c r="AB19" s="441"/>
      <c r="AC19" s="437"/>
      <c r="AD19" s="437"/>
      <c r="AE19" s="437"/>
      <c r="AF19" s="437"/>
      <c r="AG19" s="438"/>
      <c r="AH19" s="448"/>
      <c r="AI19" s="449"/>
      <c r="AJ19" s="449"/>
      <c r="AK19" s="449"/>
      <c r="AL19" s="449"/>
      <c r="AM19" s="450"/>
      <c r="AN19" s="66"/>
      <c r="AO19" s="404"/>
      <c r="AP19" s="405"/>
      <c r="AQ19" s="405"/>
      <c r="AR19" s="405"/>
      <c r="AS19" s="405"/>
      <c r="AT19" s="40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390"/>
      <c r="C20" s="390"/>
      <c r="D20" s="391"/>
      <c r="E20" s="431"/>
      <c r="F20" s="432"/>
      <c r="G20" s="432"/>
      <c r="H20" s="432"/>
      <c r="I20" s="432"/>
      <c r="J20" s="457" t="str">
        <f>IF(AND('Riesgos de Gestión'!$O$67="Alta",'Riesgos de Gestión'!$S$67="Leve"),CONCATENATE("R",'Riesgos de Gestión'!$A$67),"")</f>
        <v/>
      </c>
      <c r="K20" s="458"/>
      <c r="L20" s="458" t="str">
        <f>IF(AND('Riesgos de Gestión'!$P$73="Alta",'Riesgos de Gestión'!$T$73="Leve"),CONCATENATE("R",'Riesgos de Gestión'!$A$73),"")</f>
        <v/>
      </c>
      <c r="M20" s="458"/>
      <c r="N20" s="458" t="str">
        <f>IF(AND('Riesgos de Gestión'!$P$79="Alta",'Riesgos de Gestión'!$T$79="Leve"),CONCATENATE("R",'Riesgos de Gestión'!$A$79),"")</f>
        <v/>
      </c>
      <c r="O20" s="459"/>
      <c r="P20" s="457" t="str">
        <f>IF(AND('Riesgos de Gestión'!$O$67="Alta",'Riesgos de Gestión'!$S$67="Menor"),CONCATENATE("R",'Riesgos de Gestión'!$A$67),"")</f>
        <v/>
      </c>
      <c r="Q20" s="458"/>
      <c r="R20" s="458" t="str">
        <f>IF(AND('Riesgos de Gestión'!$P$73="Alta",'Riesgos de Gestión'!$T$73="Menor"),CONCATENATE("R",'Riesgos de Gestión'!$A$73),"")</f>
        <v/>
      </c>
      <c r="S20" s="458"/>
      <c r="T20" s="458" t="str">
        <f>IF(AND('Riesgos de Gestión'!$P$79="Alta",'Riesgos de Gestión'!$T$79="Menor"),CONCATENATE("R",'Riesgos de Gestión'!$A$79),"")</f>
        <v/>
      </c>
      <c r="U20" s="459"/>
      <c r="V20" s="441" t="str">
        <f>IF(AND('Riesgos de Gestión'!$O$67="Alta",'Riesgos de Gestión'!$S$67="Moderado"),CONCATENATE("R",'Riesgos de Gestión'!$A$67),"")</f>
        <v/>
      </c>
      <c r="W20" s="437"/>
      <c r="X20" s="437" t="str">
        <f>IF(AND('Riesgos de Gestión'!$P$73="Alta",'Riesgos de Gestión'!$T$73="Moderado"),CONCATENATE("R",'Riesgos de Gestión'!$A$73),"")</f>
        <v/>
      </c>
      <c r="Y20" s="437"/>
      <c r="Z20" s="437" t="str">
        <f>IF(AND('Riesgos de Gestión'!$P$79="Alta",'Riesgos de Gestión'!$T$79="Moderado"),CONCATENATE("R",'Riesgos de Gestión'!$A$79),"")</f>
        <v/>
      </c>
      <c r="AA20" s="438"/>
      <c r="AB20" s="441" t="str">
        <f>IF(AND('Riesgos de Gestión'!$O$67="Alta",'Riesgos de Gestión'!$S$67="Mayor"),CONCATENATE("R",'Riesgos de Gestión'!$A$67),"")</f>
        <v/>
      </c>
      <c r="AC20" s="437"/>
      <c r="AD20" s="437" t="str">
        <f>IF(AND('Riesgos de Gestión'!$P$73="Alta",'Riesgos de Gestión'!$T$73="Mayor"),CONCATENATE("R",'Riesgos de Gestión'!$A$73),"")</f>
        <v/>
      </c>
      <c r="AE20" s="437"/>
      <c r="AF20" s="437" t="str">
        <f>IF(AND('Riesgos de Gestión'!$P$79="Alta",'Riesgos de Gestión'!$T$79="Mayor"),CONCATENATE("R",'Riesgos de Gestión'!$A$79),"")</f>
        <v/>
      </c>
      <c r="AG20" s="438"/>
      <c r="AH20" s="448" t="str">
        <f>IF(AND('Riesgos de Gestión'!$O$67="Alta",'Riesgos de Gestión'!$S$67="Catastrófico"),CONCATENATE("R",'Riesgos de Gestión'!$A$67),"")</f>
        <v/>
      </c>
      <c r="AI20" s="449"/>
      <c r="AJ20" s="449" t="str">
        <f>IF(AND('Riesgos de Gestión'!$P$73="Alta",'Riesgos de Gestión'!$T$73="Catastrófico"),CONCATENATE("R",'Riesgos de Gestión'!$A$73),"")</f>
        <v/>
      </c>
      <c r="AK20" s="449"/>
      <c r="AL20" s="449" t="str">
        <f>IF(AND('Riesgos de Gestión'!$P$79="Alta",'Riesgos de Gestión'!$T$79="Catastrófico"),CONCATENATE("R",'Riesgos de Gestión'!$A$79),"")</f>
        <v/>
      </c>
      <c r="AM20" s="450"/>
      <c r="AN20" s="66"/>
      <c r="AO20" s="404"/>
      <c r="AP20" s="405"/>
      <c r="AQ20" s="405"/>
      <c r="AR20" s="405"/>
      <c r="AS20" s="405"/>
      <c r="AT20" s="40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390"/>
      <c r="C21" s="390"/>
      <c r="D21" s="391"/>
      <c r="E21" s="434"/>
      <c r="F21" s="435"/>
      <c r="G21" s="435"/>
      <c r="H21" s="435"/>
      <c r="I21" s="435"/>
      <c r="J21" s="460"/>
      <c r="K21" s="461"/>
      <c r="L21" s="461"/>
      <c r="M21" s="461"/>
      <c r="N21" s="461"/>
      <c r="O21" s="462"/>
      <c r="P21" s="460"/>
      <c r="Q21" s="461"/>
      <c r="R21" s="461"/>
      <c r="S21" s="461"/>
      <c r="T21" s="461"/>
      <c r="U21" s="462"/>
      <c r="V21" s="445"/>
      <c r="W21" s="446"/>
      <c r="X21" s="446"/>
      <c r="Y21" s="446"/>
      <c r="Z21" s="446"/>
      <c r="AA21" s="447"/>
      <c r="AB21" s="445"/>
      <c r="AC21" s="446"/>
      <c r="AD21" s="446"/>
      <c r="AE21" s="446"/>
      <c r="AF21" s="446"/>
      <c r="AG21" s="447"/>
      <c r="AH21" s="451"/>
      <c r="AI21" s="452"/>
      <c r="AJ21" s="452"/>
      <c r="AK21" s="452"/>
      <c r="AL21" s="452"/>
      <c r="AM21" s="453"/>
      <c r="AN21" s="66"/>
      <c r="AO21" s="407"/>
      <c r="AP21" s="408"/>
      <c r="AQ21" s="408"/>
      <c r="AR21" s="408"/>
      <c r="AS21" s="408"/>
      <c r="AT21" s="40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390"/>
      <c r="C22" s="390"/>
      <c r="D22" s="391"/>
      <c r="E22" s="428" t="s">
        <v>293</v>
      </c>
      <c r="F22" s="429"/>
      <c r="G22" s="429"/>
      <c r="H22" s="429"/>
      <c r="I22" s="430"/>
      <c r="J22" s="463" t="str">
        <f>IF(AND('Riesgos de Gestión'!$O$13="Media",'Riesgos de Gestión'!$S$13="Leve"),CONCATENATE("R",'Riesgos de Gestión'!$A$13),"")</f>
        <v/>
      </c>
      <c r="K22" s="464"/>
      <c r="L22" s="464" t="str">
        <f>IF(AND('Riesgos de Gestión'!$O$19="Media",'Riesgos de Gestión'!$S$19="Leve"),CONCATENATE("R",'Riesgos de Gestión'!$A$19),"")</f>
        <v/>
      </c>
      <c r="M22" s="464"/>
      <c r="N22" s="464" t="str">
        <f>IF(AND('Riesgos de Gestión'!$O$25="Media",'Riesgos de Gestión'!$S$25="Leve"),CONCATENATE("R",'Riesgos de Gestión'!$A$25),"")</f>
        <v/>
      </c>
      <c r="O22" s="465"/>
      <c r="P22" s="463" t="str">
        <f>IF(AND('Riesgos de Gestión'!$O$13="Media",'Riesgos de Gestión'!$S$13="Menor"),CONCATENATE("R",'Riesgos de Gestión'!$A$13),"")</f>
        <v>R1</v>
      </c>
      <c r="Q22" s="464"/>
      <c r="R22" s="464" t="str">
        <f>IF(AND('Riesgos de Gestión'!$O$19="Media",'Riesgos de Gestión'!$S$19="Menor"),CONCATENATE("R",'Riesgos de Gestión'!$A$19),"")</f>
        <v>R2</v>
      </c>
      <c r="S22" s="464"/>
      <c r="T22" s="464" t="str">
        <f>IF(AND('Riesgos de Gestión'!$O$25="Media",'Riesgos de Gestión'!$S$25="Menor"),CONCATENATE("R",'Riesgos de Gestión'!$A$25),"")</f>
        <v/>
      </c>
      <c r="U22" s="465"/>
      <c r="V22" s="463" t="str">
        <f>IF(AND('Riesgos de Gestión'!$O$13="Media",'Riesgos de Gestión'!$S$13="Moderado"),CONCATENATE("R",'Riesgos de Gestión'!$A$13),"")</f>
        <v/>
      </c>
      <c r="W22" s="464"/>
      <c r="X22" s="464" t="str">
        <f>IF(AND('Riesgos de Gestión'!$O$19="Media",'Riesgos de Gestión'!$S$19="Moderado"),CONCATENATE("R",'Riesgos de Gestión'!$A$19),"")</f>
        <v/>
      </c>
      <c r="Y22" s="464"/>
      <c r="Z22" s="464" t="str">
        <f>IF(AND('Riesgos de Gestión'!$O$25="Media",'Riesgos de Gestión'!$S$25="Moderado"),CONCATENATE("R",'Riesgos de Gestión'!$A$25),"")</f>
        <v/>
      </c>
      <c r="AA22" s="465"/>
      <c r="AB22" s="439" t="str">
        <f>IF(AND('Riesgos de Gestión'!$O$13="Media",'Riesgos de Gestión'!$S$13="Mayor"),CONCATENATE("R",'Riesgos de Gestión'!$A$13),"")</f>
        <v/>
      </c>
      <c r="AC22" s="440"/>
      <c r="AD22" s="440" t="str">
        <f>IF(AND('Riesgos de Gestión'!$O$19="Media",'Riesgos de Gestión'!$S$19="Mayor"),CONCATENATE("R",'Riesgos de Gestión'!$A$19),"")</f>
        <v/>
      </c>
      <c r="AE22" s="440"/>
      <c r="AF22" s="440" t="str">
        <f>IF(AND('Riesgos de Gestión'!$O$25="Media",'Riesgos de Gestión'!$S$25="Mayor"),CONCATENATE("R",'Riesgos de Gestión'!$A$25),"")</f>
        <v/>
      </c>
      <c r="AG22" s="442"/>
      <c r="AH22" s="454" t="str">
        <f>IF(AND('Riesgos de Gestión'!$O$13="Media",'Riesgos de Gestión'!$S$13="Catastrófico"),CONCATENATE("R",'Riesgos de Gestión'!$A$13),"")</f>
        <v/>
      </c>
      <c r="AI22" s="455"/>
      <c r="AJ22" s="455" t="str">
        <f>IF(AND('Riesgos de Gestión'!$O$19="Media",'Riesgos de Gestión'!$S$19="Catastrófico"),CONCATENATE("R",'Riesgos de Gestión'!$A$19),"")</f>
        <v/>
      </c>
      <c r="AK22" s="455"/>
      <c r="AL22" s="455" t="str">
        <f>IF(AND('Riesgos de Gestión'!$O$25="Media",'Riesgos de Gestión'!$S$25="Catastrófico"),CONCATENATE("R",'Riesgos de Gestión'!$A$25),"")</f>
        <v/>
      </c>
      <c r="AM22" s="456"/>
      <c r="AN22" s="66"/>
      <c r="AO22" s="410" t="s">
        <v>294</v>
      </c>
      <c r="AP22" s="411"/>
      <c r="AQ22" s="411"/>
      <c r="AR22" s="411"/>
      <c r="AS22" s="411"/>
      <c r="AT22" s="41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390"/>
      <c r="C23" s="390"/>
      <c r="D23" s="391"/>
      <c r="E23" s="431"/>
      <c r="F23" s="432"/>
      <c r="G23" s="432"/>
      <c r="H23" s="432"/>
      <c r="I23" s="433"/>
      <c r="J23" s="457"/>
      <c r="K23" s="458"/>
      <c r="L23" s="458"/>
      <c r="M23" s="458"/>
      <c r="N23" s="458"/>
      <c r="O23" s="459"/>
      <c r="P23" s="457"/>
      <c r="Q23" s="458"/>
      <c r="R23" s="458"/>
      <c r="S23" s="458"/>
      <c r="T23" s="458"/>
      <c r="U23" s="459"/>
      <c r="V23" s="457"/>
      <c r="W23" s="458"/>
      <c r="X23" s="458"/>
      <c r="Y23" s="458"/>
      <c r="Z23" s="458"/>
      <c r="AA23" s="459"/>
      <c r="AB23" s="441"/>
      <c r="AC23" s="437"/>
      <c r="AD23" s="437"/>
      <c r="AE23" s="437"/>
      <c r="AF23" s="437"/>
      <c r="AG23" s="438"/>
      <c r="AH23" s="448"/>
      <c r="AI23" s="449"/>
      <c r="AJ23" s="449"/>
      <c r="AK23" s="449"/>
      <c r="AL23" s="449"/>
      <c r="AM23" s="450"/>
      <c r="AN23" s="66"/>
      <c r="AO23" s="413"/>
      <c r="AP23" s="414"/>
      <c r="AQ23" s="414"/>
      <c r="AR23" s="414"/>
      <c r="AS23" s="414"/>
      <c r="AT23" s="41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390"/>
      <c r="C24" s="390"/>
      <c r="D24" s="391"/>
      <c r="E24" s="431"/>
      <c r="F24" s="432"/>
      <c r="G24" s="432"/>
      <c r="H24" s="432"/>
      <c r="I24" s="433"/>
      <c r="J24" s="457" t="str">
        <f>IF(AND('Riesgos de Gestión'!$O$31="Media",'Riesgos de Gestión'!$S$31="Leve"),CONCATENATE("R",'Riesgos de Gestión'!$A$31),"")</f>
        <v/>
      </c>
      <c r="K24" s="458"/>
      <c r="L24" s="458" t="str">
        <f>IF(AND('Riesgos de Gestión'!$O$37="Media",'Riesgos de Gestión'!$S$37="Leve"),CONCATENATE("R",'Riesgos de Gestión'!$A$37),"")</f>
        <v/>
      </c>
      <c r="M24" s="458"/>
      <c r="N24" s="458" t="str">
        <f>IF(AND('Riesgos de Gestión'!$O$43="Media",'Riesgos de Gestión'!$S$43="Leve"),CONCATENATE("R",'Riesgos de Gestión'!$A$43),"")</f>
        <v/>
      </c>
      <c r="O24" s="459"/>
      <c r="P24" s="457" t="str">
        <f>IF(AND('Riesgos de Gestión'!$O$31="Media",'Riesgos de Gestión'!$S$31="Menor"),CONCATENATE("R",'Riesgos de Gestión'!$A$31),"")</f>
        <v/>
      </c>
      <c r="Q24" s="458"/>
      <c r="R24" s="458" t="str">
        <f>IF(AND('Riesgos de Gestión'!$O$37="Media",'Riesgos de Gestión'!$S$37="Menor"),CONCATENATE("R",'Riesgos de Gestión'!$A$37),"")</f>
        <v/>
      </c>
      <c r="S24" s="458"/>
      <c r="T24" s="458" t="str">
        <f>IF(AND('Riesgos de Gestión'!$O$43="Media",'Riesgos de Gestión'!$S$43="Menor"),CONCATENATE("R",'Riesgos de Gestión'!$A$43),"")</f>
        <v/>
      </c>
      <c r="U24" s="459"/>
      <c r="V24" s="457" t="str">
        <f>IF(AND('Riesgos de Gestión'!$O$31="Media",'Riesgos de Gestión'!$S$31="Moderado"),CONCATENATE("R",'Riesgos de Gestión'!$A$31),"")</f>
        <v/>
      </c>
      <c r="W24" s="458"/>
      <c r="X24" s="458" t="str">
        <f>IF(AND('Riesgos de Gestión'!$O$37="Media",'Riesgos de Gestión'!$S$37="Moderado"),CONCATENATE("R",'Riesgos de Gestión'!$A$37),"")</f>
        <v/>
      </c>
      <c r="Y24" s="458"/>
      <c r="Z24" s="458" t="str">
        <f>IF(AND('Riesgos de Gestión'!$O$43="Media",'Riesgos de Gestión'!$S$43="Moderado"),CONCATENATE("R",'Riesgos de Gestión'!$A$43),"")</f>
        <v/>
      </c>
      <c r="AA24" s="459"/>
      <c r="AB24" s="441" t="str">
        <f>IF(AND('Riesgos de Gestión'!$O$31="Media",'Riesgos de Gestión'!$S$31="Mayor"),CONCATENATE("R",'Riesgos de Gestión'!$A$31),"")</f>
        <v/>
      </c>
      <c r="AC24" s="437"/>
      <c r="AD24" s="437" t="str">
        <f>IF(AND('Riesgos de Gestión'!$O$37="Media",'Riesgos de Gestión'!$S$37="Mayor"),CONCATENATE("R",'Riesgos de Gestión'!$A$37),"")</f>
        <v/>
      </c>
      <c r="AE24" s="437"/>
      <c r="AF24" s="437" t="str">
        <f>IF(AND('Riesgos de Gestión'!$O$43="Media",'Riesgos de Gestión'!$S$43="Mayor"),CONCATENATE("R",'Riesgos de Gestión'!$A$43),"")</f>
        <v/>
      </c>
      <c r="AG24" s="438"/>
      <c r="AH24" s="448" t="str">
        <f>IF(AND('Riesgos de Gestión'!$O$31="Media",'Riesgos de Gestión'!$S$31="Catastrófico"),CONCATENATE("R",'Riesgos de Gestión'!$A$31),"")</f>
        <v/>
      </c>
      <c r="AI24" s="449"/>
      <c r="AJ24" s="449" t="str">
        <f>IF(AND('Riesgos de Gestión'!$O$37="Media",'Riesgos de Gestión'!$S$37="Catastrófico"),CONCATENATE("R",'Riesgos de Gestión'!$A$37),"")</f>
        <v/>
      </c>
      <c r="AK24" s="449"/>
      <c r="AL24" s="449" t="str">
        <f>IF(AND('Riesgos de Gestión'!$O$43="Media",'Riesgos de Gestión'!$S$43="Catastrófico"),CONCATENATE("R",'Riesgos de Gestión'!$A$43),"")</f>
        <v/>
      </c>
      <c r="AM24" s="450"/>
      <c r="AN24" s="66"/>
      <c r="AO24" s="413"/>
      <c r="AP24" s="414"/>
      <c r="AQ24" s="414"/>
      <c r="AR24" s="414"/>
      <c r="AS24" s="414"/>
      <c r="AT24" s="41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390"/>
      <c r="C25" s="390"/>
      <c r="D25" s="391"/>
      <c r="E25" s="431"/>
      <c r="F25" s="432"/>
      <c r="G25" s="432"/>
      <c r="H25" s="432"/>
      <c r="I25" s="433"/>
      <c r="J25" s="457"/>
      <c r="K25" s="458"/>
      <c r="L25" s="458"/>
      <c r="M25" s="458"/>
      <c r="N25" s="458"/>
      <c r="O25" s="459"/>
      <c r="P25" s="457"/>
      <c r="Q25" s="458"/>
      <c r="R25" s="458"/>
      <c r="S25" s="458"/>
      <c r="T25" s="458"/>
      <c r="U25" s="459"/>
      <c r="V25" s="457"/>
      <c r="W25" s="458"/>
      <c r="X25" s="458"/>
      <c r="Y25" s="458"/>
      <c r="Z25" s="458"/>
      <c r="AA25" s="459"/>
      <c r="AB25" s="441"/>
      <c r="AC25" s="437"/>
      <c r="AD25" s="437"/>
      <c r="AE25" s="437"/>
      <c r="AF25" s="437"/>
      <c r="AG25" s="438"/>
      <c r="AH25" s="448"/>
      <c r="AI25" s="449"/>
      <c r="AJ25" s="449"/>
      <c r="AK25" s="449"/>
      <c r="AL25" s="449"/>
      <c r="AM25" s="450"/>
      <c r="AN25" s="66"/>
      <c r="AO25" s="413"/>
      <c r="AP25" s="414"/>
      <c r="AQ25" s="414"/>
      <c r="AR25" s="414"/>
      <c r="AS25" s="414"/>
      <c r="AT25" s="41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390"/>
      <c r="C26" s="390"/>
      <c r="D26" s="391"/>
      <c r="E26" s="431"/>
      <c r="F26" s="432"/>
      <c r="G26" s="432"/>
      <c r="H26" s="432"/>
      <c r="I26" s="433"/>
      <c r="J26" s="457" t="str">
        <f>IF(AND('Riesgos de Gestión'!$O$49="Media",'Riesgos de Gestión'!$S$49="Leve"),CONCATENATE("R",'Riesgos de Gestión'!$A$49),"")</f>
        <v/>
      </c>
      <c r="K26" s="458"/>
      <c r="L26" s="458" t="str">
        <f>IF(AND('Riesgos de Gestión'!$O$55="Media",'Riesgos de Gestión'!$S$55="Leve"),CONCATENATE("R",'Riesgos de Gestión'!$A$55),"")</f>
        <v/>
      </c>
      <c r="M26" s="458"/>
      <c r="N26" s="458" t="str">
        <f>IF(AND('Riesgos de Gestión'!$O$61="Media",'Riesgos de Gestión'!$S$61="Leve"),CONCATENATE("R",'Riesgos de Gestión'!$A$61),"")</f>
        <v/>
      </c>
      <c r="O26" s="459"/>
      <c r="P26" s="457" t="str">
        <f>IF(AND('Riesgos de Gestión'!$O$49="Media",'Riesgos de Gestión'!$S$49="Menor"),CONCATENATE("R",'Riesgos de Gestión'!$A$49),"")</f>
        <v/>
      </c>
      <c r="Q26" s="458"/>
      <c r="R26" s="458" t="str">
        <f>IF(AND('Riesgos de Gestión'!$O$55="Media",'Riesgos de Gestión'!$S$55="Menor"),CONCATENATE("R",'Riesgos de Gestión'!$A$55),"")</f>
        <v/>
      </c>
      <c r="S26" s="458"/>
      <c r="T26" s="458" t="str">
        <f>IF(AND('Riesgos de Gestión'!$O$61="Media",'Riesgos de Gestión'!$S$61="Menor"),CONCATENATE("R",'Riesgos de Gestión'!$A$61),"")</f>
        <v/>
      </c>
      <c r="U26" s="459"/>
      <c r="V26" s="457" t="str">
        <f>IF(AND('Riesgos de Gestión'!$O$49="Media",'Riesgos de Gestión'!$S$49="Moderado"),CONCATENATE("R",'Riesgos de Gestión'!$A$49),"")</f>
        <v/>
      </c>
      <c r="W26" s="458"/>
      <c r="X26" s="458" t="str">
        <f>IF(AND('Riesgos de Gestión'!$O$55="Media",'Riesgos de Gestión'!$S$55="Moderado"),CONCATENATE("R",'Riesgos de Gestión'!$A$55),"")</f>
        <v/>
      </c>
      <c r="Y26" s="458"/>
      <c r="Z26" s="458" t="str">
        <f>IF(AND('Riesgos de Gestión'!$O$61="Media",'Riesgos de Gestión'!$S$61="Moderado"),CONCATENATE("R",'Riesgos de Gestión'!$A$61),"")</f>
        <v/>
      </c>
      <c r="AA26" s="459"/>
      <c r="AB26" s="441" t="str">
        <f>IF(AND('Riesgos de Gestión'!$O$49="Media",'Riesgos de Gestión'!$S$49="Mayor"),CONCATENATE("R",'Riesgos de Gestión'!$A$49),"")</f>
        <v/>
      </c>
      <c r="AC26" s="437"/>
      <c r="AD26" s="437" t="str">
        <f>IF(AND('Riesgos de Gestión'!$O$55="Media",'Riesgos de Gestión'!$S$55="Mayor"),CONCATENATE("R",'Riesgos de Gestión'!$A$55),"")</f>
        <v/>
      </c>
      <c r="AE26" s="437"/>
      <c r="AF26" s="437" t="str">
        <f>IF(AND('Riesgos de Gestión'!$O$61="Media",'Riesgos de Gestión'!$S$61="Mayor"),CONCATENATE("R",'Riesgos de Gestión'!$A$61),"")</f>
        <v/>
      </c>
      <c r="AG26" s="438"/>
      <c r="AH26" s="448" t="str">
        <f>IF(AND('Riesgos de Gestión'!$O$49="Media",'Riesgos de Gestión'!$S$49="Catastrófico"),CONCATENATE("R",'Riesgos de Gestión'!$A$49),"")</f>
        <v/>
      </c>
      <c r="AI26" s="449"/>
      <c r="AJ26" s="449" t="str">
        <f>IF(AND('Riesgos de Gestión'!$O$55="Media",'Riesgos de Gestión'!$S$55="Catastrófico"),CONCATENATE("R",'Riesgos de Gestión'!$A$55),"")</f>
        <v/>
      </c>
      <c r="AK26" s="449"/>
      <c r="AL26" s="449" t="str">
        <f>IF(AND('Riesgos de Gestión'!$O$61="Media",'Riesgos de Gestión'!$S$61="Catastrófico"),CONCATENATE("R",'Riesgos de Gestión'!$A$61),"")</f>
        <v/>
      </c>
      <c r="AM26" s="450"/>
      <c r="AN26" s="66"/>
      <c r="AO26" s="413"/>
      <c r="AP26" s="414"/>
      <c r="AQ26" s="414"/>
      <c r="AR26" s="414"/>
      <c r="AS26" s="414"/>
      <c r="AT26" s="41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390"/>
      <c r="C27" s="390"/>
      <c r="D27" s="391"/>
      <c r="E27" s="431"/>
      <c r="F27" s="432"/>
      <c r="G27" s="432"/>
      <c r="H27" s="432"/>
      <c r="I27" s="433"/>
      <c r="J27" s="457"/>
      <c r="K27" s="458"/>
      <c r="L27" s="458"/>
      <c r="M27" s="458"/>
      <c r="N27" s="458"/>
      <c r="O27" s="459"/>
      <c r="P27" s="457"/>
      <c r="Q27" s="458"/>
      <c r="R27" s="458"/>
      <c r="S27" s="458"/>
      <c r="T27" s="458"/>
      <c r="U27" s="459"/>
      <c r="V27" s="457"/>
      <c r="W27" s="458"/>
      <c r="X27" s="458"/>
      <c r="Y27" s="458"/>
      <c r="Z27" s="458"/>
      <c r="AA27" s="459"/>
      <c r="AB27" s="441"/>
      <c r="AC27" s="437"/>
      <c r="AD27" s="437"/>
      <c r="AE27" s="437"/>
      <c r="AF27" s="437"/>
      <c r="AG27" s="438"/>
      <c r="AH27" s="448"/>
      <c r="AI27" s="449"/>
      <c r="AJ27" s="449"/>
      <c r="AK27" s="449"/>
      <c r="AL27" s="449"/>
      <c r="AM27" s="450"/>
      <c r="AN27" s="66"/>
      <c r="AO27" s="413"/>
      <c r="AP27" s="414"/>
      <c r="AQ27" s="414"/>
      <c r="AR27" s="414"/>
      <c r="AS27" s="414"/>
      <c r="AT27" s="41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390"/>
      <c r="C28" s="390"/>
      <c r="D28" s="391"/>
      <c r="E28" s="431"/>
      <c r="F28" s="432"/>
      <c r="G28" s="432"/>
      <c r="H28" s="432"/>
      <c r="I28" s="433"/>
      <c r="J28" s="457" t="str">
        <f>IF(AND('Riesgos de Gestión'!$O$67="Media",'Riesgos de Gestión'!$S$67="Leve"),CONCATENATE("R",'Riesgos de Gestión'!$A$67),"")</f>
        <v/>
      </c>
      <c r="K28" s="458"/>
      <c r="L28" s="458" t="str">
        <f>IF(AND('Riesgos de Gestión'!$P$73="Media",'Riesgos de Gestión'!$T$73="Leve"),CONCATENATE("R",'Riesgos de Gestión'!$A$73),"")</f>
        <v/>
      </c>
      <c r="M28" s="458"/>
      <c r="N28" s="458" t="str">
        <f>IF(AND('Riesgos de Gestión'!$P$79="Media",'Riesgos de Gestión'!$T$79="Leve"),CONCATENATE("R",'Riesgos de Gestión'!$A$79),"")</f>
        <v/>
      </c>
      <c r="O28" s="459"/>
      <c r="P28" s="457" t="str">
        <f>IF(AND('Riesgos de Gestión'!$O$67="Media",'Riesgos de Gestión'!$S$67="Menor"),CONCATENATE("R",'Riesgos de Gestión'!$A$67),"")</f>
        <v/>
      </c>
      <c r="Q28" s="458"/>
      <c r="R28" s="458" t="str">
        <f>IF(AND('Riesgos de Gestión'!$P$73="Media",'Riesgos de Gestión'!$T$73="Menor"),CONCATENATE("R",'Riesgos de Gestión'!$A$73),"")</f>
        <v/>
      </c>
      <c r="S28" s="458"/>
      <c r="T28" s="458" t="str">
        <f>IF(AND('Riesgos de Gestión'!$P$79="Media",'Riesgos de Gestión'!$T$79="Menor"),CONCATENATE("R",'Riesgos de Gestión'!$A$79),"")</f>
        <v/>
      </c>
      <c r="U28" s="459"/>
      <c r="V28" s="457" t="str">
        <f>IF(AND('Riesgos de Gestión'!$O$67="Media",'Riesgos de Gestión'!$S$67="Moderado"),CONCATENATE("R",'Riesgos de Gestión'!$A$67),"")</f>
        <v/>
      </c>
      <c r="W28" s="458"/>
      <c r="X28" s="458" t="str">
        <f>IF(AND('Riesgos de Gestión'!$P$73="Media",'Riesgos de Gestión'!$T$73="Moderado"),CONCATENATE("R",'Riesgos de Gestión'!$A$73),"")</f>
        <v/>
      </c>
      <c r="Y28" s="458"/>
      <c r="Z28" s="458" t="str">
        <f>IF(AND('Riesgos de Gestión'!$P$79="Media",'Riesgos de Gestión'!$T$79="Moderado"),CONCATENATE("R",'Riesgos de Gestión'!$A$79),"")</f>
        <v/>
      </c>
      <c r="AA28" s="459"/>
      <c r="AB28" s="441" t="str">
        <f>IF(AND('Riesgos de Gestión'!$O$67="Media",'Riesgos de Gestión'!$S$67="Mayor"),CONCATENATE("R",'Riesgos de Gestión'!$A$67),"")</f>
        <v/>
      </c>
      <c r="AC28" s="437"/>
      <c r="AD28" s="437" t="str">
        <f>IF(AND('Riesgos de Gestión'!$P$73="Media",'Riesgos de Gestión'!$T$73="Mayor"),CONCATENATE("R",'Riesgos de Gestión'!$A$73),"")</f>
        <v/>
      </c>
      <c r="AE28" s="437"/>
      <c r="AF28" s="437" t="str">
        <f>IF(AND('Riesgos de Gestión'!$P$79="Media",'Riesgos de Gestión'!$T$79="Mayor"),CONCATENATE("R",'Riesgos de Gestión'!$A$79),"")</f>
        <v/>
      </c>
      <c r="AG28" s="438"/>
      <c r="AH28" s="448" t="str">
        <f>IF(AND('Riesgos de Gestión'!$O$67="Media",'Riesgos de Gestión'!$S$67="Catastrófico"),CONCATENATE("R",'Riesgos de Gestión'!$A$67),"")</f>
        <v/>
      </c>
      <c r="AI28" s="449"/>
      <c r="AJ28" s="449" t="str">
        <f>IF(AND('Riesgos de Gestión'!$P$73="Media",'Riesgos de Gestión'!$T$73="Catastrófico"),CONCATENATE("R",'Riesgos de Gestión'!$A$73),"")</f>
        <v/>
      </c>
      <c r="AK28" s="449"/>
      <c r="AL28" s="449" t="str">
        <f>IF(AND('Riesgos de Gestión'!$P$79="Media",'Riesgos de Gestión'!$T$79="Catastrófico"),CONCATENATE("R",'Riesgos de Gestión'!$A$79),"")</f>
        <v/>
      </c>
      <c r="AM28" s="450"/>
      <c r="AN28" s="66"/>
      <c r="AO28" s="413"/>
      <c r="AP28" s="414"/>
      <c r="AQ28" s="414"/>
      <c r="AR28" s="414"/>
      <c r="AS28" s="414"/>
      <c r="AT28" s="41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390"/>
      <c r="C29" s="390"/>
      <c r="D29" s="391"/>
      <c r="E29" s="434"/>
      <c r="F29" s="435"/>
      <c r="G29" s="435"/>
      <c r="H29" s="435"/>
      <c r="I29" s="436"/>
      <c r="J29" s="457"/>
      <c r="K29" s="458"/>
      <c r="L29" s="458"/>
      <c r="M29" s="458"/>
      <c r="N29" s="458"/>
      <c r="O29" s="459"/>
      <c r="P29" s="460"/>
      <c r="Q29" s="461"/>
      <c r="R29" s="461"/>
      <c r="S29" s="461"/>
      <c r="T29" s="461"/>
      <c r="U29" s="462"/>
      <c r="V29" s="460"/>
      <c r="W29" s="461"/>
      <c r="X29" s="461"/>
      <c r="Y29" s="461"/>
      <c r="Z29" s="461"/>
      <c r="AA29" s="462"/>
      <c r="AB29" s="445"/>
      <c r="AC29" s="446"/>
      <c r="AD29" s="446"/>
      <c r="AE29" s="446"/>
      <c r="AF29" s="446"/>
      <c r="AG29" s="447"/>
      <c r="AH29" s="451"/>
      <c r="AI29" s="452"/>
      <c r="AJ29" s="452"/>
      <c r="AK29" s="452"/>
      <c r="AL29" s="452"/>
      <c r="AM29" s="453"/>
      <c r="AN29" s="66"/>
      <c r="AO29" s="416"/>
      <c r="AP29" s="417"/>
      <c r="AQ29" s="417"/>
      <c r="AR29" s="417"/>
      <c r="AS29" s="417"/>
      <c r="AT29" s="41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390"/>
      <c r="C30" s="390"/>
      <c r="D30" s="391"/>
      <c r="E30" s="428" t="s">
        <v>295</v>
      </c>
      <c r="F30" s="429"/>
      <c r="G30" s="429"/>
      <c r="H30" s="429"/>
      <c r="I30" s="429"/>
      <c r="J30" s="472" t="str">
        <f>IF(AND('Riesgos de Gestión'!$O$13="Baja",'Riesgos de Gestión'!$S$13="Leve"),CONCATENATE("R",'Riesgos de Gestión'!$A$13),"")</f>
        <v/>
      </c>
      <c r="K30" s="473"/>
      <c r="L30" s="473" t="str">
        <f>IF(AND('Riesgos de Gestión'!$O$19="Baja",'Riesgos de Gestión'!$S$19="Leve"),CONCATENATE("R",'Riesgos de Gestión'!$A$19),"")</f>
        <v/>
      </c>
      <c r="M30" s="473"/>
      <c r="N30" s="473" t="str">
        <f>IF(AND('Riesgos de Gestión'!$O$25="Baja",'Riesgos de Gestión'!$S$25="Leve"),CONCATENATE("R",'Riesgos de Gestión'!$A$25),"")</f>
        <v/>
      </c>
      <c r="O30" s="474"/>
      <c r="P30" s="464" t="str">
        <f>IF(AND('Riesgos de Gestión'!$O$13="Baja",'Riesgos de Gestión'!$S$13="Menor"),CONCATENATE("R",'Riesgos de Gestión'!$A$13),"")</f>
        <v/>
      </c>
      <c r="Q30" s="464"/>
      <c r="R30" s="464" t="str">
        <f>IF(AND('Riesgos de Gestión'!$O$19="Baja",'Riesgos de Gestión'!$S$19="Menor"),CONCATENATE("R",'Riesgos de Gestión'!$A$19),"")</f>
        <v/>
      </c>
      <c r="S30" s="464"/>
      <c r="T30" s="464" t="str">
        <f>IF(AND('Riesgos de Gestión'!$O$25="Baja",'Riesgos de Gestión'!$S$25="Menor"),CONCATENATE("R",'Riesgos de Gestión'!$A$25),"")</f>
        <v/>
      </c>
      <c r="U30" s="465"/>
      <c r="V30" s="463" t="str">
        <f>IF(AND('Riesgos de Gestión'!$O$13="Baja",'Riesgos de Gestión'!$S$13="Moderado"),CONCATENATE("R",'Riesgos de Gestión'!$A$13),"")</f>
        <v/>
      </c>
      <c r="W30" s="464"/>
      <c r="X30" s="464" t="str">
        <f>IF(AND('Riesgos de Gestión'!$O$19="Baja",'Riesgos de Gestión'!$S$19="Moderado"),CONCATENATE("R",'Riesgos de Gestión'!$A$19),"")</f>
        <v/>
      </c>
      <c r="Y30" s="464"/>
      <c r="Z30" s="464" t="str">
        <f>IF(AND('Riesgos de Gestión'!$O$25="Baja",'Riesgos de Gestión'!$S$25="Moderado"),CONCATENATE("R",'Riesgos de Gestión'!$A$25),"")</f>
        <v/>
      </c>
      <c r="AA30" s="465"/>
      <c r="AB30" s="439" t="str">
        <f>IF(AND('Riesgos de Gestión'!$O$13="Baja",'Riesgos de Gestión'!$S$13="Mayor"),CONCATENATE("R",'Riesgos de Gestión'!$A$13),"")</f>
        <v/>
      </c>
      <c r="AC30" s="440"/>
      <c r="AD30" s="440" t="str">
        <f>IF(AND('Riesgos de Gestión'!$O$19="Baja",'Riesgos de Gestión'!$S$19="Mayor"),CONCATENATE("R",'Riesgos de Gestión'!$A$19),"")</f>
        <v/>
      </c>
      <c r="AE30" s="440"/>
      <c r="AF30" s="440" t="str">
        <f>IF(AND('Riesgos de Gestión'!$O$25="Baja",'Riesgos de Gestión'!$S$25="Mayor"),CONCATENATE("R",'Riesgos de Gestión'!$A$25),"")</f>
        <v/>
      </c>
      <c r="AG30" s="442"/>
      <c r="AH30" s="454" t="str">
        <f>IF(AND('Riesgos de Gestión'!$O$13="Baja",'Riesgos de Gestión'!$S$13="Catastrófico"),CONCATENATE("R",'Riesgos de Gestión'!$A$13),"")</f>
        <v/>
      </c>
      <c r="AI30" s="455"/>
      <c r="AJ30" s="455" t="str">
        <f>IF(AND('Riesgos de Gestión'!$O$19="Baja",'Riesgos de Gestión'!$S$19="Catastrófico"),CONCATENATE("R",'Riesgos de Gestión'!$A$19),"")</f>
        <v/>
      </c>
      <c r="AK30" s="455"/>
      <c r="AL30" s="455" t="str">
        <f>IF(AND('Riesgos de Gestión'!$O$25="Baja",'Riesgos de Gestión'!$S$25="Catastrófico"),CONCATENATE("R",'Riesgos de Gestión'!$A$25),"")</f>
        <v/>
      </c>
      <c r="AM30" s="456"/>
      <c r="AN30" s="66"/>
      <c r="AO30" s="419" t="s">
        <v>296</v>
      </c>
      <c r="AP30" s="420"/>
      <c r="AQ30" s="420"/>
      <c r="AR30" s="420"/>
      <c r="AS30" s="420"/>
      <c r="AT30" s="42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390"/>
      <c r="C31" s="390"/>
      <c r="D31" s="391"/>
      <c r="E31" s="431"/>
      <c r="F31" s="432"/>
      <c r="G31" s="432"/>
      <c r="H31" s="432"/>
      <c r="I31" s="432"/>
      <c r="J31" s="468"/>
      <c r="K31" s="466"/>
      <c r="L31" s="466"/>
      <c r="M31" s="466"/>
      <c r="N31" s="466"/>
      <c r="O31" s="467"/>
      <c r="P31" s="458"/>
      <c r="Q31" s="458"/>
      <c r="R31" s="458"/>
      <c r="S31" s="458"/>
      <c r="T31" s="458"/>
      <c r="U31" s="459"/>
      <c r="V31" s="457"/>
      <c r="W31" s="458"/>
      <c r="X31" s="458"/>
      <c r="Y31" s="458"/>
      <c r="Z31" s="458"/>
      <c r="AA31" s="459"/>
      <c r="AB31" s="441"/>
      <c r="AC31" s="437"/>
      <c r="AD31" s="437"/>
      <c r="AE31" s="437"/>
      <c r="AF31" s="437"/>
      <c r="AG31" s="438"/>
      <c r="AH31" s="448"/>
      <c r="AI31" s="449"/>
      <c r="AJ31" s="449"/>
      <c r="AK31" s="449"/>
      <c r="AL31" s="449"/>
      <c r="AM31" s="450"/>
      <c r="AN31" s="66"/>
      <c r="AO31" s="422"/>
      <c r="AP31" s="423"/>
      <c r="AQ31" s="423"/>
      <c r="AR31" s="423"/>
      <c r="AS31" s="423"/>
      <c r="AT31" s="42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390"/>
      <c r="C32" s="390"/>
      <c r="D32" s="391"/>
      <c r="E32" s="431"/>
      <c r="F32" s="432"/>
      <c r="G32" s="432"/>
      <c r="H32" s="432"/>
      <c r="I32" s="432"/>
      <c r="J32" s="468" t="str">
        <f>IF(AND('Riesgos de Gestión'!$O$31="Baja",'Riesgos de Gestión'!$S$31="Leve"),CONCATENATE("R",'Riesgos de Gestión'!$A$31),"")</f>
        <v/>
      </c>
      <c r="K32" s="466"/>
      <c r="L32" s="466" t="str">
        <f>IF(AND('Riesgos de Gestión'!$O$37="Baja",'Riesgos de Gestión'!$S$37="Leve"),CONCATENATE("R",'Riesgos de Gestión'!$A$37),"")</f>
        <v/>
      </c>
      <c r="M32" s="466"/>
      <c r="N32" s="466" t="str">
        <f>IF(AND('Riesgos de Gestión'!$O$43="Baja",'Riesgos de Gestión'!$S$43="Leve"),CONCATENATE("R",'Riesgos de Gestión'!$A$43),"")</f>
        <v/>
      </c>
      <c r="O32" s="467"/>
      <c r="P32" s="458" t="str">
        <f>IF(AND('Riesgos de Gestión'!$O$31="Baja",'Riesgos de Gestión'!$S$31="Menor"),CONCATENATE("R",'Riesgos de Gestión'!$A$31),"")</f>
        <v/>
      </c>
      <c r="Q32" s="458"/>
      <c r="R32" s="458" t="str">
        <f>IF(AND('Riesgos de Gestión'!$O$37="Baja",'Riesgos de Gestión'!$S$37="Menor"),CONCATENATE("R",'Riesgos de Gestión'!$A$37),"")</f>
        <v/>
      </c>
      <c r="S32" s="458"/>
      <c r="T32" s="458" t="str">
        <f>IF(AND('Riesgos de Gestión'!$O$43="Baja",'Riesgos de Gestión'!$S$43="Menor"),CONCATENATE("R",'Riesgos de Gestión'!$A$43),"")</f>
        <v/>
      </c>
      <c r="U32" s="459"/>
      <c r="V32" s="457" t="str">
        <f>IF(AND('Riesgos de Gestión'!$O$31="Baja",'Riesgos de Gestión'!$S$31="Moderado"),CONCATENATE("R",'Riesgos de Gestión'!$A$31),"")</f>
        <v/>
      </c>
      <c r="W32" s="458"/>
      <c r="X32" s="458" t="str">
        <f>IF(AND('Riesgos de Gestión'!$O$37="Baja",'Riesgos de Gestión'!$S$37="Moderado"),CONCATENATE("R",'Riesgos de Gestión'!$A$37),"")</f>
        <v/>
      </c>
      <c r="Y32" s="458"/>
      <c r="Z32" s="458" t="str">
        <f>IF(AND('Riesgos de Gestión'!$O$43="Baja",'Riesgos de Gestión'!$S$43="Moderado"),CONCATENATE("R",'Riesgos de Gestión'!$A$43),"")</f>
        <v/>
      </c>
      <c r="AA32" s="459"/>
      <c r="AB32" s="441" t="str">
        <f>IF(AND('Riesgos de Gestión'!$O$31="Baja",'Riesgos de Gestión'!$S$31="Mayor"),CONCATENATE("R",'Riesgos de Gestión'!$A$31),"")</f>
        <v/>
      </c>
      <c r="AC32" s="437"/>
      <c r="AD32" s="437" t="str">
        <f>IF(AND('Riesgos de Gestión'!$O$37="Baja",'Riesgos de Gestión'!$S$37="Mayor"),CONCATENATE("R",'Riesgos de Gestión'!$A$37),"")</f>
        <v/>
      </c>
      <c r="AE32" s="437"/>
      <c r="AF32" s="437" t="str">
        <f>IF(AND('Riesgos de Gestión'!$O$43="Baja",'Riesgos de Gestión'!$S$43="Mayor"),CONCATENATE("R",'Riesgos de Gestión'!$A$43),"")</f>
        <v/>
      </c>
      <c r="AG32" s="438"/>
      <c r="AH32" s="448" t="str">
        <f>IF(AND('Riesgos de Gestión'!$O$31="Baja",'Riesgos de Gestión'!$S$31="Catastrófico"),CONCATENATE("R",'Riesgos de Gestión'!$A$31),"")</f>
        <v/>
      </c>
      <c r="AI32" s="449"/>
      <c r="AJ32" s="449" t="str">
        <f>IF(AND('Riesgos de Gestión'!$O$37="Baja",'Riesgos de Gestión'!$S$37="Catastrófico"),CONCATENATE("R",'Riesgos de Gestión'!$A$37),"")</f>
        <v/>
      </c>
      <c r="AK32" s="449"/>
      <c r="AL32" s="449" t="str">
        <f>IF(AND('Riesgos de Gestión'!$O$43="Baja",'Riesgos de Gestión'!$S$43="Catastrófico"),CONCATENATE("R",'Riesgos de Gestión'!$A$43),"")</f>
        <v/>
      </c>
      <c r="AM32" s="450"/>
      <c r="AN32" s="66"/>
      <c r="AO32" s="422"/>
      <c r="AP32" s="423"/>
      <c r="AQ32" s="423"/>
      <c r="AR32" s="423"/>
      <c r="AS32" s="423"/>
      <c r="AT32" s="42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390"/>
      <c r="C33" s="390"/>
      <c r="D33" s="391"/>
      <c r="E33" s="431"/>
      <c r="F33" s="432"/>
      <c r="G33" s="432"/>
      <c r="H33" s="432"/>
      <c r="I33" s="432"/>
      <c r="J33" s="468"/>
      <c r="K33" s="466"/>
      <c r="L33" s="466"/>
      <c r="M33" s="466"/>
      <c r="N33" s="466"/>
      <c r="O33" s="467"/>
      <c r="P33" s="458"/>
      <c r="Q33" s="458"/>
      <c r="R33" s="458"/>
      <c r="S33" s="458"/>
      <c r="T33" s="458"/>
      <c r="U33" s="459"/>
      <c r="V33" s="457"/>
      <c r="W33" s="458"/>
      <c r="X33" s="458"/>
      <c r="Y33" s="458"/>
      <c r="Z33" s="458"/>
      <c r="AA33" s="459"/>
      <c r="AB33" s="441"/>
      <c r="AC33" s="437"/>
      <c r="AD33" s="437"/>
      <c r="AE33" s="437"/>
      <c r="AF33" s="437"/>
      <c r="AG33" s="438"/>
      <c r="AH33" s="448"/>
      <c r="AI33" s="449"/>
      <c r="AJ33" s="449"/>
      <c r="AK33" s="449"/>
      <c r="AL33" s="449"/>
      <c r="AM33" s="450"/>
      <c r="AN33" s="66"/>
      <c r="AO33" s="422"/>
      <c r="AP33" s="423"/>
      <c r="AQ33" s="423"/>
      <c r="AR33" s="423"/>
      <c r="AS33" s="423"/>
      <c r="AT33" s="42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390"/>
      <c r="C34" s="390"/>
      <c r="D34" s="391"/>
      <c r="E34" s="431"/>
      <c r="F34" s="432"/>
      <c r="G34" s="432"/>
      <c r="H34" s="432"/>
      <c r="I34" s="432"/>
      <c r="J34" s="468" t="str">
        <f>IF(AND('Riesgos de Gestión'!$O$49="Baja",'Riesgos de Gestión'!$S$49="Leve"),CONCATENATE("R",'Riesgos de Gestión'!$A$49),"")</f>
        <v/>
      </c>
      <c r="K34" s="466"/>
      <c r="L34" s="466" t="str">
        <f>IF(AND('Riesgos de Gestión'!$O$55="Baja",'Riesgos de Gestión'!$S$55="Leve"),CONCATENATE("R",'Riesgos de Gestión'!$A$55),"")</f>
        <v/>
      </c>
      <c r="M34" s="466"/>
      <c r="N34" s="466" t="str">
        <f>IF(AND('Riesgos de Gestión'!$O$61="Baja",'Riesgos de Gestión'!$S$61="Leve"),CONCATENATE("R",'Riesgos de Gestión'!$A$61),"")</f>
        <v/>
      </c>
      <c r="O34" s="467"/>
      <c r="P34" s="458" t="str">
        <f>IF(AND('Riesgos de Gestión'!$O$49="Baja",'Riesgos de Gestión'!$S$49="Menor"),CONCATENATE("R",'Riesgos de Gestión'!$A$49),"")</f>
        <v/>
      </c>
      <c r="Q34" s="458"/>
      <c r="R34" s="458" t="str">
        <f>IF(AND('Riesgos de Gestión'!$O$55="Baja",'Riesgos de Gestión'!$S$55="Menor"),CONCATENATE("R",'Riesgos de Gestión'!$A$55),"")</f>
        <v/>
      </c>
      <c r="S34" s="458"/>
      <c r="T34" s="458" t="str">
        <f>IF(AND('Riesgos de Gestión'!$O$61="Baja",'Riesgos de Gestión'!$S$61="Menor"),CONCATENATE("R",'Riesgos de Gestión'!$A$61),"")</f>
        <v/>
      </c>
      <c r="U34" s="459"/>
      <c r="V34" s="457" t="str">
        <f>IF(AND('Riesgos de Gestión'!$O$49="Baja",'Riesgos de Gestión'!$S$49="Moderado"),CONCATENATE("R",'Riesgos de Gestión'!$A$49),"")</f>
        <v/>
      </c>
      <c r="W34" s="458"/>
      <c r="X34" s="458" t="str">
        <f>IF(AND('Riesgos de Gestión'!$O$55="Baja",'Riesgos de Gestión'!$S$55="Moderado"),CONCATENATE("R",'Riesgos de Gestión'!$A$55),"")</f>
        <v/>
      </c>
      <c r="Y34" s="458"/>
      <c r="Z34" s="458" t="str">
        <f>IF(AND('Riesgos de Gestión'!$O$61="Baja",'Riesgos de Gestión'!$S$61="Moderado"),CONCATENATE("R",'Riesgos de Gestión'!$A$61),"")</f>
        <v/>
      </c>
      <c r="AA34" s="459"/>
      <c r="AB34" s="441" t="str">
        <f>IF(AND('Riesgos de Gestión'!$O$49="Baja",'Riesgos de Gestión'!$S$49="Mayor"),CONCATENATE("R",'Riesgos de Gestión'!$A$49),"")</f>
        <v/>
      </c>
      <c r="AC34" s="437"/>
      <c r="AD34" s="437" t="str">
        <f>IF(AND('Riesgos de Gestión'!$O$55="Baja",'Riesgos de Gestión'!$S$55="Mayor"),CONCATENATE("R",'Riesgos de Gestión'!$A$55),"")</f>
        <v/>
      </c>
      <c r="AE34" s="437"/>
      <c r="AF34" s="437" t="str">
        <f>IF(AND('Riesgos de Gestión'!$O$61="Baja",'Riesgos de Gestión'!$S$61="Mayor"),CONCATENATE("R",'Riesgos de Gestión'!$A$61),"")</f>
        <v/>
      </c>
      <c r="AG34" s="438"/>
      <c r="AH34" s="448" t="str">
        <f>IF(AND('Riesgos de Gestión'!$O$49="Baja",'Riesgos de Gestión'!$S$49="Catastrófico"),CONCATENATE("R",'Riesgos de Gestión'!$A$49),"")</f>
        <v/>
      </c>
      <c r="AI34" s="449"/>
      <c r="AJ34" s="449" t="str">
        <f>IF(AND('Riesgos de Gestión'!$O$55="Baja",'Riesgos de Gestión'!$S$55="Catastrófico"),CONCATENATE("R",'Riesgos de Gestión'!$A$55),"")</f>
        <v/>
      </c>
      <c r="AK34" s="449"/>
      <c r="AL34" s="449" t="str">
        <f>IF(AND('Riesgos de Gestión'!$O$61="Baja",'Riesgos de Gestión'!$S$61="Catastrófico"),CONCATENATE("R",'Riesgos de Gestión'!$A$61),"")</f>
        <v/>
      </c>
      <c r="AM34" s="450"/>
      <c r="AN34" s="66"/>
      <c r="AO34" s="422"/>
      <c r="AP34" s="423"/>
      <c r="AQ34" s="423"/>
      <c r="AR34" s="423"/>
      <c r="AS34" s="423"/>
      <c r="AT34" s="42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390"/>
      <c r="C35" s="390"/>
      <c r="D35" s="391"/>
      <c r="E35" s="431"/>
      <c r="F35" s="432"/>
      <c r="G35" s="432"/>
      <c r="H35" s="432"/>
      <c r="I35" s="432"/>
      <c r="J35" s="468"/>
      <c r="K35" s="466"/>
      <c r="L35" s="466"/>
      <c r="M35" s="466"/>
      <c r="N35" s="466"/>
      <c r="O35" s="467"/>
      <c r="P35" s="458"/>
      <c r="Q35" s="458"/>
      <c r="R35" s="458"/>
      <c r="S35" s="458"/>
      <c r="T35" s="458"/>
      <c r="U35" s="459"/>
      <c r="V35" s="457"/>
      <c r="W35" s="458"/>
      <c r="X35" s="458"/>
      <c r="Y35" s="458"/>
      <c r="Z35" s="458"/>
      <c r="AA35" s="459"/>
      <c r="AB35" s="441"/>
      <c r="AC35" s="437"/>
      <c r="AD35" s="437"/>
      <c r="AE35" s="437"/>
      <c r="AF35" s="437"/>
      <c r="AG35" s="438"/>
      <c r="AH35" s="448"/>
      <c r="AI35" s="449"/>
      <c r="AJ35" s="449"/>
      <c r="AK35" s="449"/>
      <c r="AL35" s="449"/>
      <c r="AM35" s="450"/>
      <c r="AN35" s="66"/>
      <c r="AO35" s="422"/>
      <c r="AP35" s="423"/>
      <c r="AQ35" s="423"/>
      <c r="AR35" s="423"/>
      <c r="AS35" s="423"/>
      <c r="AT35" s="42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390"/>
      <c r="C36" s="390"/>
      <c r="D36" s="391"/>
      <c r="E36" s="431"/>
      <c r="F36" s="432"/>
      <c r="G36" s="432"/>
      <c r="H36" s="432"/>
      <c r="I36" s="432"/>
      <c r="J36" s="468" t="str">
        <f>IF(AND('Riesgos de Gestión'!$O$67="Baja",'Riesgos de Gestión'!$S$67="Leve"),CONCATENATE("R",'Riesgos de Gestión'!$A$67),"")</f>
        <v/>
      </c>
      <c r="K36" s="466"/>
      <c r="L36" s="466" t="str">
        <f>IF(AND('Riesgos de Gestión'!$P$73="Baja",'Riesgos de Gestión'!$T$73="Leve"),CONCATENATE("R",'Riesgos de Gestión'!$A$73),"")</f>
        <v/>
      </c>
      <c r="M36" s="466"/>
      <c r="N36" s="466" t="str">
        <f>IF(AND('Riesgos de Gestión'!$P$79="Baja",'Riesgos de Gestión'!$T$79="Leve"),CONCATENATE("R",'Riesgos de Gestión'!$A$79),"")</f>
        <v/>
      </c>
      <c r="O36" s="467"/>
      <c r="P36" s="458" t="str">
        <f>IF(AND('Riesgos de Gestión'!$O$67="Baja",'Riesgos de Gestión'!$S$67="Menor"),CONCATENATE("R",'Riesgos de Gestión'!$A$67),"")</f>
        <v/>
      </c>
      <c r="Q36" s="458"/>
      <c r="R36" s="458" t="str">
        <f>IF(AND('Riesgos de Gestión'!$P$73="Baja",'Riesgos de Gestión'!$T$73="Menor"),CONCATENATE("R",'Riesgos de Gestión'!$A$73),"")</f>
        <v/>
      </c>
      <c r="S36" s="458"/>
      <c r="T36" s="458" t="str">
        <f>IF(AND('Riesgos de Gestión'!$P$79="Baja",'Riesgos de Gestión'!$T$79="Menor"),CONCATENATE("R",'Riesgos de Gestión'!$A$79),"")</f>
        <v/>
      </c>
      <c r="U36" s="459"/>
      <c r="V36" s="457" t="str">
        <f>IF(AND('Riesgos de Gestión'!$O$67="Baja",'Riesgos de Gestión'!$S$67="Moderado"),CONCATENATE("R",'Riesgos de Gestión'!$A$67),"")</f>
        <v/>
      </c>
      <c r="W36" s="458"/>
      <c r="X36" s="458" t="str">
        <f>IF(AND('Riesgos de Gestión'!$P$73="Baja",'Riesgos de Gestión'!$T$73="Moderado"),CONCATENATE("R",'Riesgos de Gestión'!$A$73),"")</f>
        <v/>
      </c>
      <c r="Y36" s="458"/>
      <c r="Z36" s="458" t="str">
        <f>IF(AND('Riesgos de Gestión'!$P$79="Baja",'Riesgos de Gestión'!$T$79="Moderado"),CONCATENATE("R",'Riesgos de Gestión'!$A$79),"")</f>
        <v/>
      </c>
      <c r="AA36" s="459"/>
      <c r="AB36" s="441" t="str">
        <f>IF(AND('Riesgos de Gestión'!$O$67="Baja",'Riesgos de Gestión'!$S$67="Mayor"),CONCATENATE("R",'Riesgos de Gestión'!$A$67),"")</f>
        <v/>
      </c>
      <c r="AC36" s="437"/>
      <c r="AD36" s="437" t="str">
        <f>IF(AND('Riesgos de Gestión'!$P$73="Baja",'Riesgos de Gestión'!$T$73="Mayor"),CONCATENATE("R",'Riesgos de Gestión'!$A$73),"")</f>
        <v/>
      </c>
      <c r="AE36" s="437"/>
      <c r="AF36" s="437" t="str">
        <f>IF(AND('Riesgos de Gestión'!$P$79="Baja",'Riesgos de Gestión'!$T$79="Mayor"),CONCATENATE("R",'Riesgos de Gestión'!$A$79),"")</f>
        <v/>
      </c>
      <c r="AG36" s="438"/>
      <c r="AH36" s="448" t="str">
        <f>IF(AND('Riesgos de Gestión'!$O$67="Baja",'Riesgos de Gestión'!$S$67="Catastrófico"),CONCATENATE("R",'Riesgos de Gestión'!$A$67),"")</f>
        <v/>
      </c>
      <c r="AI36" s="449"/>
      <c r="AJ36" s="449" t="str">
        <f>IF(AND('Riesgos de Gestión'!$P$73="Baja",'Riesgos de Gestión'!$T$73="Catastrófico"),CONCATENATE("R",'Riesgos de Gestión'!$A$73),"")</f>
        <v/>
      </c>
      <c r="AK36" s="449"/>
      <c r="AL36" s="449" t="str">
        <f>IF(AND('Riesgos de Gestión'!$P$79="Baja",'Riesgos de Gestión'!$T$79="Catastrófico"),CONCATENATE("R",'Riesgos de Gestión'!$A$79),"")</f>
        <v/>
      </c>
      <c r="AM36" s="450"/>
      <c r="AN36" s="66"/>
      <c r="AO36" s="422"/>
      <c r="AP36" s="423"/>
      <c r="AQ36" s="423"/>
      <c r="AR36" s="423"/>
      <c r="AS36" s="423"/>
      <c r="AT36" s="42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390"/>
      <c r="C37" s="390"/>
      <c r="D37" s="391"/>
      <c r="E37" s="434"/>
      <c r="F37" s="435"/>
      <c r="G37" s="435"/>
      <c r="H37" s="435"/>
      <c r="I37" s="435"/>
      <c r="J37" s="469"/>
      <c r="K37" s="470"/>
      <c r="L37" s="470"/>
      <c r="M37" s="470"/>
      <c r="N37" s="470"/>
      <c r="O37" s="471"/>
      <c r="P37" s="461"/>
      <c r="Q37" s="461"/>
      <c r="R37" s="461"/>
      <c r="S37" s="461"/>
      <c r="T37" s="461"/>
      <c r="U37" s="462"/>
      <c r="V37" s="460"/>
      <c r="W37" s="461"/>
      <c r="X37" s="461"/>
      <c r="Y37" s="461"/>
      <c r="Z37" s="461"/>
      <c r="AA37" s="462"/>
      <c r="AB37" s="445"/>
      <c r="AC37" s="446"/>
      <c r="AD37" s="446"/>
      <c r="AE37" s="446"/>
      <c r="AF37" s="446"/>
      <c r="AG37" s="447"/>
      <c r="AH37" s="451"/>
      <c r="AI37" s="452"/>
      <c r="AJ37" s="452"/>
      <c r="AK37" s="452"/>
      <c r="AL37" s="452"/>
      <c r="AM37" s="453"/>
      <c r="AN37" s="66"/>
      <c r="AO37" s="425"/>
      <c r="AP37" s="426"/>
      <c r="AQ37" s="426"/>
      <c r="AR37" s="426"/>
      <c r="AS37" s="426"/>
      <c r="AT37" s="42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390"/>
      <c r="C38" s="390"/>
      <c r="D38" s="391"/>
      <c r="E38" s="428" t="s">
        <v>297</v>
      </c>
      <c r="F38" s="429"/>
      <c r="G38" s="429"/>
      <c r="H38" s="429"/>
      <c r="I38" s="430"/>
      <c r="J38" s="472" t="str">
        <f>IF(AND('Riesgos de Gestión'!$O$13="Muy Baja",'Riesgos de Gestión'!$S$13="Leve"),CONCATENATE("R",'Riesgos de Gestión'!$A$13),"")</f>
        <v/>
      </c>
      <c r="K38" s="473"/>
      <c r="L38" s="473" t="str">
        <f>IF(AND('Riesgos de Gestión'!$O$19="Muy Baja",'Riesgos de Gestión'!$S$19="Leve"),CONCATENATE("R",'Riesgos de Gestión'!$A$19),"")</f>
        <v/>
      </c>
      <c r="M38" s="473"/>
      <c r="N38" s="473" t="str">
        <f>IF(AND('Riesgos de Gestión'!$O$25="Muy Baja",'Riesgos de Gestión'!$S$25="Leve"),CONCATENATE("R",'Riesgos de Gestión'!$A$25),"")</f>
        <v/>
      </c>
      <c r="O38" s="474"/>
      <c r="P38" s="472" t="str">
        <f>IF(AND('Riesgos de Gestión'!$O$13="Muy Baja",'Riesgos de Gestión'!$S$13="Menor"),CONCATENATE("R",'Riesgos de Gestión'!$A$13),"")</f>
        <v/>
      </c>
      <c r="Q38" s="473"/>
      <c r="R38" s="473" t="str">
        <f>IF(AND('Riesgos de Gestión'!$O$19="Muy Baja",'Riesgos de Gestión'!$S$19="Menor"),CONCATENATE("R",'Riesgos de Gestión'!$A$19),"")</f>
        <v/>
      </c>
      <c r="S38" s="473"/>
      <c r="T38" s="473" t="str">
        <f>IF(AND('Riesgos de Gestión'!$O$25="Muy Baja",'Riesgos de Gestión'!$S$25="Menor"),CONCATENATE("R",'Riesgos de Gestión'!$A$25),"")</f>
        <v/>
      </c>
      <c r="U38" s="474"/>
      <c r="V38" s="463" t="str">
        <f>IF(AND('Riesgos de Gestión'!$O$13="Muy Baja",'Riesgos de Gestión'!$S$13="Moderado"),CONCATENATE("R",'Riesgos de Gestión'!$A$13),"")</f>
        <v/>
      </c>
      <c r="W38" s="464"/>
      <c r="X38" s="464" t="str">
        <f>IF(AND('Riesgos de Gestión'!$O$19="Muy Baja",'Riesgos de Gestión'!$S$19="Moderado"),CONCATENATE("R",'Riesgos de Gestión'!$A$19),"")</f>
        <v/>
      </c>
      <c r="Y38" s="464"/>
      <c r="Z38" s="464" t="str">
        <f>IF(AND('Riesgos de Gestión'!$O$25="Muy Baja",'Riesgos de Gestión'!$S$25="Moderado"),CONCATENATE("R",'Riesgos de Gestión'!$A$25),"")</f>
        <v/>
      </c>
      <c r="AA38" s="465"/>
      <c r="AB38" s="439" t="str">
        <f>IF(AND('Riesgos de Gestión'!$O$13="Muy Baja",'Riesgos de Gestión'!$S$13="Mayor"),CONCATENATE("R",'Riesgos de Gestión'!$A$13),"")</f>
        <v/>
      </c>
      <c r="AC38" s="440"/>
      <c r="AD38" s="440" t="str">
        <f>IF(AND('Riesgos de Gestión'!$O$19="Muy Baja",'Riesgos de Gestión'!$S$19="Mayor"),CONCATENATE("R",'Riesgos de Gestión'!$A$19),"")</f>
        <v/>
      </c>
      <c r="AE38" s="440"/>
      <c r="AF38" s="440" t="str">
        <f>IF(AND('Riesgos de Gestión'!$O$25="Muy Baja",'Riesgos de Gestión'!$S$25="Mayor"),CONCATENATE("R",'Riesgos de Gestión'!$A$25),"")</f>
        <v/>
      </c>
      <c r="AG38" s="442"/>
      <c r="AH38" s="454" t="str">
        <f>IF(AND('Riesgos de Gestión'!$O$13="Muy Baja",'Riesgos de Gestión'!$S$13="Catastrófico"),CONCATENATE("R",'Riesgos de Gestión'!$A$13),"")</f>
        <v/>
      </c>
      <c r="AI38" s="455"/>
      <c r="AJ38" s="455" t="str">
        <f>IF(AND('Riesgos de Gestión'!$O$19="Muy Baja",'Riesgos de Gestión'!$S$19="Catastrófico"),CONCATENATE("R",'Riesgos de Gestión'!$A$19),"")</f>
        <v/>
      </c>
      <c r="AK38" s="455"/>
      <c r="AL38" s="455" t="str">
        <f>IF(AND('Riesgos de Gestión'!$O$25="Muy Baja",'Riesgos de Gestión'!$S$25="Catastrófico"),CONCATENATE("R",'Riesgos de Gestión'!$A$25),"")</f>
        <v/>
      </c>
      <c r="AM38" s="45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390"/>
      <c r="C39" s="390"/>
      <c r="D39" s="391"/>
      <c r="E39" s="431"/>
      <c r="F39" s="432"/>
      <c r="G39" s="432"/>
      <c r="H39" s="432"/>
      <c r="I39" s="433"/>
      <c r="J39" s="468"/>
      <c r="K39" s="466"/>
      <c r="L39" s="466"/>
      <c r="M39" s="466"/>
      <c r="N39" s="466"/>
      <c r="O39" s="467"/>
      <c r="P39" s="468"/>
      <c r="Q39" s="466"/>
      <c r="R39" s="466"/>
      <c r="S39" s="466"/>
      <c r="T39" s="466"/>
      <c r="U39" s="467"/>
      <c r="V39" s="457"/>
      <c r="W39" s="458"/>
      <c r="X39" s="458"/>
      <c r="Y39" s="458"/>
      <c r="Z39" s="458"/>
      <c r="AA39" s="459"/>
      <c r="AB39" s="441"/>
      <c r="AC39" s="437"/>
      <c r="AD39" s="437"/>
      <c r="AE39" s="437"/>
      <c r="AF39" s="437"/>
      <c r="AG39" s="438"/>
      <c r="AH39" s="448"/>
      <c r="AI39" s="449"/>
      <c r="AJ39" s="449"/>
      <c r="AK39" s="449"/>
      <c r="AL39" s="449"/>
      <c r="AM39" s="450"/>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390"/>
      <c r="C40" s="390"/>
      <c r="D40" s="391"/>
      <c r="E40" s="431"/>
      <c r="F40" s="432"/>
      <c r="G40" s="432"/>
      <c r="H40" s="432"/>
      <c r="I40" s="433"/>
      <c r="J40" s="468" t="str">
        <f>IF(AND('Riesgos de Gestión'!$O$31="Muy Baja",'Riesgos de Gestión'!$S$31="Leve"),CONCATENATE("R",'Riesgos de Gestión'!$A$31),"")</f>
        <v/>
      </c>
      <c r="K40" s="466"/>
      <c r="L40" s="466" t="str">
        <f>IF(AND('Riesgos de Gestión'!$O$37="Muy Baja",'Riesgos de Gestión'!$S$37="Leve"),CONCATENATE("R",'Riesgos de Gestión'!$A$37),"")</f>
        <v/>
      </c>
      <c r="M40" s="466"/>
      <c r="N40" s="466" t="str">
        <f>IF(AND('Riesgos de Gestión'!$O$43="Muy Baja",'Riesgos de Gestión'!$S$43="Leve"),CONCATENATE("R",'Riesgos de Gestión'!$A$43),"")</f>
        <v/>
      </c>
      <c r="O40" s="467"/>
      <c r="P40" s="468" t="str">
        <f>IF(AND('Riesgos de Gestión'!$O$31="Muy Baja",'Riesgos de Gestión'!$S$31="Menor"),CONCATENATE("R",'Riesgos de Gestión'!$A$31),"")</f>
        <v/>
      </c>
      <c r="Q40" s="466"/>
      <c r="R40" s="466" t="str">
        <f>IF(AND('Riesgos de Gestión'!$O$37="Muy Baja",'Riesgos de Gestión'!$S$37="Menor"),CONCATENATE("R",'Riesgos de Gestión'!$A$37),"")</f>
        <v/>
      </c>
      <c r="S40" s="466"/>
      <c r="T40" s="466" t="str">
        <f>IF(AND('Riesgos de Gestión'!$O$43="Muy Baja",'Riesgos de Gestión'!$S$43="Menor"),CONCATENATE("R",'Riesgos de Gestión'!$A$43),"")</f>
        <v/>
      </c>
      <c r="U40" s="467"/>
      <c r="V40" s="457" t="str">
        <f>IF(AND('Riesgos de Gestión'!$O$31="Muy Baja",'Riesgos de Gestión'!$S$31="Moderado"),CONCATENATE("R",'Riesgos de Gestión'!$A$31),"")</f>
        <v/>
      </c>
      <c r="W40" s="458"/>
      <c r="X40" s="458" t="str">
        <f>IF(AND('Riesgos de Gestión'!$O$37="Muy Baja",'Riesgos de Gestión'!$S$37="Moderado"),CONCATENATE("R",'Riesgos de Gestión'!$A$37),"")</f>
        <v/>
      </c>
      <c r="Y40" s="458"/>
      <c r="Z40" s="458" t="str">
        <f>IF(AND('Riesgos de Gestión'!$O$43="Muy Baja",'Riesgos de Gestión'!$S$43="Moderado"),CONCATENATE("R",'Riesgos de Gestión'!$A$43),"")</f>
        <v/>
      </c>
      <c r="AA40" s="459"/>
      <c r="AB40" s="441" t="str">
        <f>IF(AND('Riesgos de Gestión'!$O$31="Muy Baja",'Riesgos de Gestión'!$S$31="Mayor"),CONCATENATE("R",'Riesgos de Gestión'!$A$31),"")</f>
        <v/>
      </c>
      <c r="AC40" s="437"/>
      <c r="AD40" s="437" t="str">
        <f>IF(AND('Riesgos de Gestión'!$O$37="Muy Baja",'Riesgos de Gestión'!$S$37="Mayor"),CONCATENATE("R",'Riesgos de Gestión'!$A$37),"")</f>
        <v/>
      </c>
      <c r="AE40" s="437"/>
      <c r="AF40" s="437" t="str">
        <f>IF(AND('Riesgos de Gestión'!$O$43="Muy Baja",'Riesgos de Gestión'!$S$43="Mayor"),CONCATENATE("R",'Riesgos de Gestión'!$A$43),"")</f>
        <v/>
      </c>
      <c r="AG40" s="438"/>
      <c r="AH40" s="448" t="str">
        <f>IF(AND('Riesgos de Gestión'!$O$31="Muy Baja",'Riesgos de Gestión'!$S$31="Catastrófico"),CONCATENATE("R",'Riesgos de Gestión'!$A$31),"")</f>
        <v/>
      </c>
      <c r="AI40" s="449"/>
      <c r="AJ40" s="449" t="str">
        <f>IF(AND('Riesgos de Gestión'!$O$37="Muy Baja",'Riesgos de Gestión'!$S$37="Catastrófico"),CONCATENATE("R",'Riesgos de Gestión'!$A$37),"")</f>
        <v/>
      </c>
      <c r="AK40" s="449"/>
      <c r="AL40" s="449" t="str">
        <f>IF(AND('Riesgos de Gestión'!$O$43="Muy Baja",'Riesgos de Gestión'!$S$43="Catastrófico"),CONCATENATE("R",'Riesgos de Gestión'!$A$43),"")</f>
        <v/>
      </c>
      <c r="AM40" s="450"/>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390"/>
      <c r="C41" s="390"/>
      <c r="D41" s="391"/>
      <c r="E41" s="431"/>
      <c r="F41" s="432"/>
      <c r="G41" s="432"/>
      <c r="H41" s="432"/>
      <c r="I41" s="433"/>
      <c r="J41" s="468"/>
      <c r="K41" s="466"/>
      <c r="L41" s="466"/>
      <c r="M41" s="466"/>
      <c r="N41" s="466"/>
      <c r="O41" s="467"/>
      <c r="P41" s="468"/>
      <c r="Q41" s="466"/>
      <c r="R41" s="466"/>
      <c r="S41" s="466"/>
      <c r="T41" s="466"/>
      <c r="U41" s="467"/>
      <c r="V41" s="457"/>
      <c r="W41" s="458"/>
      <c r="X41" s="458"/>
      <c r="Y41" s="458"/>
      <c r="Z41" s="458"/>
      <c r="AA41" s="459"/>
      <c r="AB41" s="441"/>
      <c r="AC41" s="437"/>
      <c r="AD41" s="437"/>
      <c r="AE41" s="437"/>
      <c r="AF41" s="437"/>
      <c r="AG41" s="438"/>
      <c r="AH41" s="448"/>
      <c r="AI41" s="449"/>
      <c r="AJ41" s="449"/>
      <c r="AK41" s="449"/>
      <c r="AL41" s="449"/>
      <c r="AM41" s="450"/>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390"/>
      <c r="C42" s="390"/>
      <c r="D42" s="391"/>
      <c r="E42" s="431"/>
      <c r="F42" s="432"/>
      <c r="G42" s="432"/>
      <c r="H42" s="432"/>
      <c r="I42" s="433"/>
      <c r="J42" s="468" t="str">
        <f>IF(AND('Riesgos de Gestión'!$O$49="Muy Baja",'Riesgos de Gestión'!$S$49="Leve"),CONCATENATE("R",'Riesgos de Gestión'!$A$49),"")</f>
        <v/>
      </c>
      <c r="K42" s="466"/>
      <c r="L42" s="466" t="str">
        <f>IF(AND('Riesgos de Gestión'!$O$55="Muy Baja",'Riesgos de Gestión'!$S$55="Leve"),CONCATENATE("R",'Riesgos de Gestión'!$A$55),"")</f>
        <v/>
      </c>
      <c r="M42" s="466"/>
      <c r="N42" s="466" t="str">
        <f>IF(AND('Riesgos de Gestión'!$O$61="Muy Baja",'Riesgos de Gestión'!$S$61="Leve"),CONCATENATE("R",'Riesgos de Gestión'!$A$61),"")</f>
        <v/>
      </c>
      <c r="O42" s="467"/>
      <c r="P42" s="468" t="str">
        <f>IF(AND('Riesgos de Gestión'!$O$49="Muy Baja",'Riesgos de Gestión'!$S$49="Menor"),CONCATENATE("R",'Riesgos de Gestión'!$A$49),"")</f>
        <v/>
      </c>
      <c r="Q42" s="466"/>
      <c r="R42" s="466" t="str">
        <f>IF(AND('Riesgos de Gestión'!$O$55="Muy Baja",'Riesgos de Gestión'!$S$55="Menor"),CONCATENATE("R",'Riesgos de Gestión'!$A$55),"")</f>
        <v/>
      </c>
      <c r="S42" s="466"/>
      <c r="T42" s="466" t="str">
        <f>IF(AND('Riesgos de Gestión'!$O$61="Muy Baja",'Riesgos de Gestión'!$S$61="Menor"),CONCATENATE("R",'Riesgos de Gestión'!$A$61),"")</f>
        <v/>
      </c>
      <c r="U42" s="467"/>
      <c r="V42" s="457" t="str">
        <f>IF(AND('Riesgos de Gestión'!$O$49="Muy Baja",'Riesgos de Gestión'!$S$49="Moderado"),CONCATENATE("R",'Riesgos de Gestión'!$A$49),"")</f>
        <v/>
      </c>
      <c r="W42" s="458"/>
      <c r="X42" s="458" t="str">
        <f>IF(AND('Riesgos de Gestión'!$O$55="Muy Baja",'Riesgos de Gestión'!$S$55="Moderado"),CONCATENATE("R",'Riesgos de Gestión'!$A$55),"")</f>
        <v/>
      </c>
      <c r="Y42" s="458"/>
      <c r="Z42" s="458" t="str">
        <f>IF(AND('Riesgos de Gestión'!$O$61="Muy Baja",'Riesgos de Gestión'!$S$61="Moderado"),CONCATENATE("R",'Riesgos de Gestión'!$A$61),"")</f>
        <v/>
      </c>
      <c r="AA42" s="459"/>
      <c r="AB42" s="441" t="str">
        <f>IF(AND('Riesgos de Gestión'!$O$49="Muy Baja",'Riesgos de Gestión'!$S$49="Mayor"),CONCATENATE("R",'Riesgos de Gestión'!$A$49),"")</f>
        <v/>
      </c>
      <c r="AC42" s="437"/>
      <c r="AD42" s="437" t="str">
        <f>IF(AND('Riesgos de Gestión'!$O$55="Muy Baja",'Riesgos de Gestión'!$S$55="Mayor"),CONCATENATE("R",'Riesgos de Gestión'!$A$55),"")</f>
        <v/>
      </c>
      <c r="AE42" s="437"/>
      <c r="AF42" s="437" t="str">
        <f>IF(AND('Riesgos de Gestión'!$O$61="Muy Baja",'Riesgos de Gestión'!$S$61="Mayor"),CONCATENATE("R",'Riesgos de Gestión'!$A$61),"")</f>
        <v/>
      </c>
      <c r="AG42" s="438"/>
      <c r="AH42" s="448" t="str">
        <f>IF(AND('Riesgos de Gestión'!$O$49="Muy Baja",'Riesgos de Gestión'!$S$49="Catastrófico"),CONCATENATE("R",'Riesgos de Gestión'!$A$49),"")</f>
        <v/>
      </c>
      <c r="AI42" s="449"/>
      <c r="AJ42" s="449" t="str">
        <f>IF(AND('Riesgos de Gestión'!$O$55="Muy Baja",'Riesgos de Gestión'!$S$55="Catastrófico"),CONCATENATE("R",'Riesgos de Gestión'!$A$55),"")</f>
        <v/>
      </c>
      <c r="AK42" s="449"/>
      <c r="AL42" s="449" t="str">
        <f>IF(AND('Riesgos de Gestión'!$O$61="Muy Baja",'Riesgos de Gestión'!$S$61="Catastrófico"),CONCATENATE("R",'Riesgos de Gestión'!$A$61),"")</f>
        <v/>
      </c>
      <c r="AM42" s="450"/>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390"/>
      <c r="C43" s="390"/>
      <c r="D43" s="391"/>
      <c r="E43" s="431"/>
      <c r="F43" s="432"/>
      <c r="G43" s="432"/>
      <c r="H43" s="432"/>
      <c r="I43" s="433"/>
      <c r="J43" s="468"/>
      <c r="K43" s="466"/>
      <c r="L43" s="466"/>
      <c r="M43" s="466"/>
      <c r="N43" s="466"/>
      <c r="O43" s="467"/>
      <c r="P43" s="468"/>
      <c r="Q43" s="466"/>
      <c r="R43" s="466"/>
      <c r="S43" s="466"/>
      <c r="T43" s="466"/>
      <c r="U43" s="467"/>
      <c r="V43" s="457"/>
      <c r="W43" s="458"/>
      <c r="X43" s="458"/>
      <c r="Y43" s="458"/>
      <c r="Z43" s="458"/>
      <c r="AA43" s="459"/>
      <c r="AB43" s="441"/>
      <c r="AC43" s="437"/>
      <c r="AD43" s="437"/>
      <c r="AE43" s="437"/>
      <c r="AF43" s="437"/>
      <c r="AG43" s="438"/>
      <c r="AH43" s="448"/>
      <c r="AI43" s="449"/>
      <c r="AJ43" s="449"/>
      <c r="AK43" s="449"/>
      <c r="AL43" s="449"/>
      <c r="AM43" s="450"/>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390"/>
      <c r="C44" s="390"/>
      <c r="D44" s="391"/>
      <c r="E44" s="431"/>
      <c r="F44" s="432"/>
      <c r="G44" s="432"/>
      <c r="H44" s="432"/>
      <c r="I44" s="433"/>
      <c r="J44" s="468" t="str">
        <f>IF(AND('Riesgos de Gestión'!$O$67="Muy Baja",'Riesgos de Gestión'!$S$67="Leve"),CONCATENATE("R",'Riesgos de Gestión'!$A$67),"")</f>
        <v/>
      </c>
      <c r="K44" s="466"/>
      <c r="L44" s="466" t="str">
        <f>IF(AND('Riesgos de Gestión'!$P$73="Muy Baja",'Riesgos de Gestión'!$T$73="Leve"),CONCATENATE("R",'Riesgos de Gestión'!$A$73),"")</f>
        <v/>
      </c>
      <c r="M44" s="466"/>
      <c r="N44" s="466" t="str">
        <f>IF(AND('Riesgos de Gestión'!$P$79="Muy Baja",'Riesgos de Gestión'!$T$79="Leve"),CONCATENATE("R",'Riesgos de Gestión'!$A$79),"")</f>
        <v/>
      </c>
      <c r="O44" s="467"/>
      <c r="P44" s="468" t="str">
        <f>IF(AND('Riesgos de Gestión'!$O$67="Muy Baja",'Riesgos de Gestión'!$S$67="Menor"),CONCATENATE("R",'Riesgos de Gestión'!$A$67),"")</f>
        <v/>
      </c>
      <c r="Q44" s="466"/>
      <c r="R44" s="466" t="str">
        <f>IF(AND('Riesgos de Gestión'!$P$73="Muy Baja",'Riesgos de Gestión'!$T$73="Menor"),CONCATENATE("R",'Riesgos de Gestión'!$A$73),"")</f>
        <v/>
      </c>
      <c r="S44" s="466"/>
      <c r="T44" s="466" t="str">
        <f>IF(AND('Riesgos de Gestión'!$P$79="Muy Baja",'Riesgos de Gestión'!$T$79="Menor"),CONCATENATE("R",'Riesgos de Gestión'!$A$79),"")</f>
        <v/>
      </c>
      <c r="U44" s="467"/>
      <c r="V44" s="457" t="str">
        <f>IF(AND('Riesgos de Gestión'!$O$67="Muy Baja",'Riesgos de Gestión'!$S$67="Moderado"),CONCATENATE("R",'Riesgos de Gestión'!$A$67),"")</f>
        <v/>
      </c>
      <c r="W44" s="458"/>
      <c r="X44" s="458" t="str">
        <f>IF(AND('Riesgos de Gestión'!$P$73="Muy Baja",'Riesgos de Gestión'!$T$73="Moderado"),CONCATENATE("R",'Riesgos de Gestión'!$A$73),"")</f>
        <v/>
      </c>
      <c r="Y44" s="458"/>
      <c r="Z44" s="458" t="str">
        <f>IF(AND('Riesgos de Gestión'!$P$79="Muy Baja",'Riesgos de Gestión'!$T$79="Moderado"),CONCATENATE("R",'Riesgos de Gestión'!$A$79),"")</f>
        <v/>
      </c>
      <c r="AA44" s="459"/>
      <c r="AB44" s="441" t="str">
        <f>IF(AND('Riesgos de Gestión'!$O$67="Muy Baja",'Riesgos de Gestión'!$S$67="Mayor"),CONCATENATE("R",'Riesgos de Gestión'!$A$67),"")</f>
        <v/>
      </c>
      <c r="AC44" s="437"/>
      <c r="AD44" s="437" t="str">
        <f>IF(AND('Riesgos de Gestión'!$P$73="Muy Baja",'Riesgos de Gestión'!$T$73="Mayor"),CONCATENATE("R",'Riesgos de Gestión'!$A$73),"")</f>
        <v/>
      </c>
      <c r="AE44" s="437"/>
      <c r="AF44" s="437" t="str">
        <f>IF(AND('Riesgos de Gestión'!$P$79="Muy Baja",'Riesgos de Gestión'!$T$79="Mayor"),CONCATENATE("R",'Riesgos de Gestión'!$A$79),"")</f>
        <v/>
      </c>
      <c r="AG44" s="438"/>
      <c r="AH44" s="448" t="str">
        <f>IF(AND('Riesgos de Gestión'!$O$67="Muy Baja",'Riesgos de Gestión'!$S$67="Catastrófico"),CONCATENATE("R",'Riesgos de Gestión'!$A$67),"")</f>
        <v/>
      </c>
      <c r="AI44" s="449"/>
      <c r="AJ44" s="449" t="str">
        <f>IF(AND('Riesgos de Gestión'!$P$73="Muy Baja",'Riesgos de Gestión'!$T$73="Catastrófico"),CONCATENATE("R",'Riesgos de Gestión'!$A$73),"")</f>
        <v/>
      </c>
      <c r="AK44" s="449"/>
      <c r="AL44" s="449" t="str">
        <f>IF(AND('Riesgos de Gestión'!$P$79="Muy Baja",'Riesgos de Gestión'!$T$79="Catastrófico"),CONCATENATE("R",'Riesgos de Gestión'!$A$79),"")</f>
        <v/>
      </c>
      <c r="AM44" s="450"/>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390"/>
      <c r="C45" s="390"/>
      <c r="D45" s="391"/>
      <c r="E45" s="434"/>
      <c r="F45" s="435"/>
      <c r="G45" s="435"/>
      <c r="H45" s="435"/>
      <c r="I45" s="436"/>
      <c r="J45" s="469"/>
      <c r="K45" s="470"/>
      <c r="L45" s="470"/>
      <c r="M45" s="470"/>
      <c r="N45" s="470"/>
      <c r="O45" s="471"/>
      <c r="P45" s="469"/>
      <c r="Q45" s="470"/>
      <c r="R45" s="470"/>
      <c r="S45" s="470"/>
      <c r="T45" s="470"/>
      <c r="U45" s="471"/>
      <c r="V45" s="460"/>
      <c r="W45" s="461"/>
      <c r="X45" s="461"/>
      <c r="Y45" s="461"/>
      <c r="Z45" s="461"/>
      <c r="AA45" s="462"/>
      <c r="AB45" s="445"/>
      <c r="AC45" s="446"/>
      <c r="AD45" s="446"/>
      <c r="AE45" s="446"/>
      <c r="AF45" s="446"/>
      <c r="AG45" s="447"/>
      <c r="AH45" s="451"/>
      <c r="AI45" s="452"/>
      <c r="AJ45" s="452"/>
      <c r="AK45" s="452"/>
      <c r="AL45" s="452"/>
      <c r="AM45" s="453"/>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28" t="s">
        <v>298</v>
      </c>
      <c r="K46" s="429"/>
      <c r="L46" s="429"/>
      <c r="M46" s="429"/>
      <c r="N46" s="429"/>
      <c r="O46" s="430"/>
      <c r="P46" s="428" t="s">
        <v>299</v>
      </c>
      <c r="Q46" s="429"/>
      <c r="R46" s="429"/>
      <c r="S46" s="429"/>
      <c r="T46" s="429"/>
      <c r="U46" s="430"/>
      <c r="V46" s="428" t="s">
        <v>300</v>
      </c>
      <c r="W46" s="429"/>
      <c r="X46" s="429"/>
      <c r="Y46" s="429"/>
      <c r="Z46" s="429"/>
      <c r="AA46" s="430"/>
      <c r="AB46" s="428" t="s">
        <v>301</v>
      </c>
      <c r="AC46" s="444"/>
      <c r="AD46" s="429"/>
      <c r="AE46" s="429"/>
      <c r="AF46" s="429"/>
      <c r="AG46" s="430"/>
      <c r="AH46" s="428" t="s">
        <v>302</v>
      </c>
      <c r="AI46" s="429"/>
      <c r="AJ46" s="429"/>
      <c r="AK46" s="429"/>
      <c r="AL46" s="429"/>
      <c r="AM46" s="43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31"/>
      <c r="K47" s="432"/>
      <c r="L47" s="432"/>
      <c r="M47" s="432"/>
      <c r="N47" s="432"/>
      <c r="O47" s="433"/>
      <c r="P47" s="431"/>
      <c r="Q47" s="432"/>
      <c r="R47" s="432"/>
      <c r="S47" s="432"/>
      <c r="T47" s="432"/>
      <c r="U47" s="433"/>
      <c r="V47" s="431"/>
      <c r="W47" s="432"/>
      <c r="X47" s="432"/>
      <c r="Y47" s="432"/>
      <c r="Z47" s="432"/>
      <c r="AA47" s="433"/>
      <c r="AB47" s="431"/>
      <c r="AC47" s="432"/>
      <c r="AD47" s="432"/>
      <c r="AE47" s="432"/>
      <c r="AF47" s="432"/>
      <c r="AG47" s="433"/>
      <c r="AH47" s="431"/>
      <c r="AI47" s="432"/>
      <c r="AJ47" s="432"/>
      <c r="AK47" s="432"/>
      <c r="AL47" s="432"/>
      <c r="AM47" s="433"/>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31"/>
      <c r="K48" s="432"/>
      <c r="L48" s="432"/>
      <c r="M48" s="432"/>
      <c r="N48" s="432"/>
      <c r="O48" s="433"/>
      <c r="P48" s="431"/>
      <c r="Q48" s="432"/>
      <c r="R48" s="432"/>
      <c r="S48" s="432"/>
      <c r="T48" s="432"/>
      <c r="U48" s="433"/>
      <c r="V48" s="431"/>
      <c r="W48" s="432"/>
      <c r="X48" s="432"/>
      <c r="Y48" s="432"/>
      <c r="Z48" s="432"/>
      <c r="AA48" s="433"/>
      <c r="AB48" s="431"/>
      <c r="AC48" s="432"/>
      <c r="AD48" s="432"/>
      <c r="AE48" s="432"/>
      <c r="AF48" s="432"/>
      <c r="AG48" s="433"/>
      <c r="AH48" s="431"/>
      <c r="AI48" s="432"/>
      <c r="AJ48" s="432"/>
      <c r="AK48" s="432"/>
      <c r="AL48" s="432"/>
      <c r="AM48" s="433"/>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31"/>
      <c r="K49" s="432"/>
      <c r="L49" s="432"/>
      <c r="M49" s="432"/>
      <c r="N49" s="432"/>
      <c r="O49" s="433"/>
      <c r="P49" s="431"/>
      <c r="Q49" s="432"/>
      <c r="R49" s="432"/>
      <c r="S49" s="432"/>
      <c r="T49" s="432"/>
      <c r="U49" s="433"/>
      <c r="V49" s="431"/>
      <c r="W49" s="432"/>
      <c r="X49" s="432"/>
      <c r="Y49" s="432"/>
      <c r="Z49" s="432"/>
      <c r="AA49" s="433"/>
      <c r="AB49" s="431"/>
      <c r="AC49" s="432"/>
      <c r="AD49" s="432"/>
      <c r="AE49" s="432"/>
      <c r="AF49" s="432"/>
      <c r="AG49" s="433"/>
      <c r="AH49" s="431"/>
      <c r="AI49" s="432"/>
      <c r="AJ49" s="432"/>
      <c r="AK49" s="432"/>
      <c r="AL49" s="432"/>
      <c r="AM49" s="433"/>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31"/>
      <c r="K50" s="432"/>
      <c r="L50" s="432"/>
      <c r="M50" s="432"/>
      <c r="N50" s="432"/>
      <c r="O50" s="433"/>
      <c r="P50" s="431"/>
      <c r="Q50" s="432"/>
      <c r="R50" s="432"/>
      <c r="S50" s="432"/>
      <c r="T50" s="432"/>
      <c r="U50" s="433"/>
      <c r="V50" s="431"/>
      <c r="W50" s="432"/>
      <c r="X50" s="432"/>
      <c r="Y50" s="432"/>
      <c r="Z50" s="432"/>
      <c r="AA50" s="433"/>
      <c r="AB50" s="431"/>
      <c r="AC50" s="432"/>
      <c r="AD50" s="432"/>
      <c r="AE50" s="432"/>
      <c r="AF50" s="432"/>
      <c r="AG50" s="433"/>
      <c r="AH50" s="431"/>
      <c r="AI50" s="432"/>
      <c r="AJ50" s="432"/>
      <c r="AK50" s="432"/>
      <c r="AL50" s="432"/>
      <c r="AM50" s="433"/>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34"/>
      <c r="K51" s="435"/>
      <c r="L51" s="435"/>
      <c r="M51" s="435"/>
      <c r="N51" s="435"/>
      <c r="O51" s="436"/>
      <c r="P51" s="434"/>
      <c r="Q51" s="435"/>
      <c r="R51" s="435"/>
      <c r="S51" s="435"/>
      <c r="T51" s="435"/>
      <c r="U51" s="436"/>
      <c r="V51" s="434"/>
      <c r="W51" s="435"/>
      <c r="X51" s="435"/>
      <c r="Y51" s="435"/>
      <c r="Z51" s="435"/>
      <c r="AA51" s="436"/>
      <c r="AB51" s="434"/>
      <c r="AC51" s="435"/>
      <c r="AD51" s="435"/>
      <c r="AE51" s="435"/>
      <c r="AF51" s="435"/>
      <c r="AG51" s="436"/>
      <c r="AH51" s="434"/>
      <c r="AI51" s="435"/>
      <c r="AJ51" s="435"/>
      <c r="AK51" s="435"/>
      <c r="AL51" s="435"/>
      <c r="AM51" s="43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V27" sqref="V27:AA3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01" t="s">
        <v>303</v>
      </c>
      <c r="C2" s="502"/>
      <c r="D2" s="502"/>
      <c r="E2" s="502"/>
      <c r="F2" s="502"/>
      <c r="G2" s="502"/>
      <c r="H2" s="502"/>
      <c r="I2" s="502"/>
      <c r="J2" s="443" t="s">
        <v>15</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02"/>
      <c r="C3" s="502"/>
      <c r="D3" s="502"/>
      <c r="E3" s="502"/>
      <c r="F3" s="502"/>
      <c r="G3" s="502"/>
      <c r="H3" s="502"/>
      <c r="I3" s="502"/>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02"/>
      <c r="C4" s="502"/>
      <c r="D4" s="502"/>
      <c r="E4" s="502"/>
      <c r="F4" s="502"/>
      <c r="G4" s="502"/>
      <c r="H4" s="502"/>
      <c r="I4" s="502"/>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390" t="s">
        <v>288</v>
      </c>
      <c r="C6" s="390"/>
      <c r="D6" s="391"/>
      <c r="E6" s="485" t="s">
        <v>289</v>
      </c>
      <c r="F6" s="486"/>
      <c r="G6" s="486"/>
      <c r="H6" s="486"/>
      <c r="I6" s="503"/>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92" t="s">
        <v>290</v>
      </c>
      <c r="AP6" s="493"/>
      <c r="AQ6" s="493"/>
      <c r="AR6" s="493"/>
      <c r="AS6" s="493"/>
      <c r="AT6" s="49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390"/>
      <c r="C7" s="390"/>
      <c r="D7" s="391"/>
      <c r="E7" s="489"/>
      <c r="F7" s="488"/>
      <c r="G7" s="488"/>
      <c r="H7" s="488"/>
      <c r="I7" s="504"/>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5"/>
      <c r="AP7" s="496"/>
      <c r="AQ7" s="496"/>
      <c r="AR7" s="496"/>
      <c r="AS7" s="496"/>
      <c r="AT7" s="49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390"/>
      <c r="C8" s="390"/>
      <c r="D8" s="391"/>
      <c r="E8" s="489"/>
      <c r="F8" s="488"/>
      <c r="G8" s="488"/>
      <c r="H8" s="488"/>
      <c r="I8" s="504"/>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5"/>
      <c r="AP8" s="496"/>
      <c r="AQ8" s="496"/>
      <c r="AR8" s="496"/>
      <c r="AS8" s="496"/>
      <c r="AT8" s="49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390"/>
      <c r="C9" s="390"/>
      <c r="D9" s="391"/>
      <c r="E9" s="489"/>
      <c r="F9" s="488"/>
      <c r="G9" s="488"/>
      <c r="H9" s="488"/>
      <c r="I9" s="504"/>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5"/>
      <c r="AP9" s="496"/>
      <c r="AQ9" s="496"/>
      <c r="AR9" s="496"/>
      <c r="AS9" s="496"/>
      <c r="AT9" s="49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390"/>
      <c r="C10" s="390"/>
      <c r="D10" s="391"/>
      <c r="E10" s="489"/>
      <c r="F10" s="488"/>
      <c r="G10" s="488"/>
      <c r="H10" s="488"/>
      <c r="I10" s="504"/>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5"/>
      <c r="AP10" s="496"/>
      <c r="AQ10" s="496"/>
      <c r="AR10" s="496"/>
      <c r="AS10" s="496"/>
      <c r="AT10" s="49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390"/>
      <c r="C11" s="390"/>
      <c r="D11" s="391"/>
      <c r="E11" s="489"/>
      <c r="F11" s="488"/>
      <c r="G11" s="488"/>
      <c r="H11" s="488"/>
      <c r="I11" s="504"/>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5"/>
      <c r="AP11" s="496"/>
      <c r="AQ11" s="496"/>
      <c r="AR11" s="496"/>
      <c r="AS11" s="496"/>
      <c r="AT11" s="49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390"/>
      <c r="C12" s="390"/>
      <c r="D12" s="391"/>
      <c r="E12" s="489"/>
      <c r="F12" s="488"/>
      <c r="G12" s="488"/>
      <c r="H12" s="488"/>
      <c r="I12" s="504"/>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5"/>
      <c r="AP12" s="496"/>
      <c r="AQ12" s="496"/>
      <c r="AR12" s="496"/>
      <c r="AS12" s="496"/>
      <c r="AT12" s="49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390"/>
      <c r="C13" s="390"/>
      <c r="D13" s="391"/>
      <c r="E13" s="489"/>
      <c r="F13" s="488"/>
      <c r="G13" s="488"/>
      <c r="H13" s="488"/>
      <c r="I13" s="504"/>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5"/>
      <c r="AP13" s="496"/>
      <c r="AQ13" s="496"/>
      <c r="AR13" s="496"/>
      <c r="AS13" s="496"/>
      <c r="AT13" s="49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390"/>
      <c r="C14" s="390"/>
      <c r="D14" s="391"/>
      <c r="E14" s="489"/>
      <c r="F14" s="488"/>
      <c r="G14" s="488"/>
      <c r="H14" s="488"/>
      <c r="I14" s="504"/>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5"/>
      <c r="AP14" s="496"/>
      <c r="AQ14" s="496"/>
      <c r="AR14" s="496"/>
      <c r="AS14" s="496"/>
      <c r="AT14" s="49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390"/>
      <c r="C15" s="390"/>
      <c r="D15" s="391"/>
      <c r="E15" s="490"/>
      <c r="F15" s="491"/>
      <c r="G15" s="491"/>
      <c r="H15" s="491"/>
      <c r="I15" s="505"/>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498"/>
      <c r="AP15" s="499"/>
      <c r="AQ15" s="499"/>
      <c r="AR15" s="499"/>
      <c r="AS15" s="499"/>
      <c r="AT15" s="50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390"/>
      <c r="C16" s="390"/>
      <c r="D16" s="391"/>
      <c r="E16" s="485" t="s">
        <v>291</v>
      </c>
      <c r="F16" s="486"/>
      <c r="G16" s="486"/>
      <c r="H16" s="486"/>
      <c r="I16" s="486"/>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76" t="s">
        <v>292</v>
      </c>
      <c r="AP16" s="477"/>
      <c r="AQ16" s="477"/>
      <c r="AR16" s="477"/>
      <c r="AS16" s="477"/>
      <c r="AT16" s="47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390"/>
      <c r="C17" s="390"/>
      <c r="D17" s="391"/>
      <c r="E17" s="487"/>
      <c r="F17" s="488"/>
      <c r="G17" s="488"/>
      <c r="H17" s="488"/>
      <c r="I17" s="488"/>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79"/>
      <c r="AP17" s="480"/>
      <c r="AQ17" s="480"/>
      <c r="AR17" s="480"/>
      <c r="AS17" s="480"/>
      <c r="AT17" s="48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390"/>
      <c r="C18" s="390"/>
      <c r="D18" s="391"/>
      <c r="E18" s="489"/>
      <c r="F18" s="488"/>
      <c r="G18" s="488"/>
      <c r="H18" s="488"/>
      <c r="I18" s="488"/>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79"/>
      <c r="AP18" s="480"/>
      <c r="AQ18" s="480"/>
      <c r="AR18" s="480"/>
      <c r="AS18" s="480"/>
      <c r="AT18" s="48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390"/>
      <c r="C19" s="390"/>
      <c r="D19" s="391"/>
      <c r="E19" s="489"/>
      <c r="F19" s="488"/>
      <c r="G19" s="488"/>
      <c r="H19" s="488"/>
      <c r="I19" s="488"/>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79"/>
      <c r="AP19" s="480"/>
      <c r="AQ19" s="480"/>
      <c r="AR19" s="480"/>
      <c r="AS19" s="480"/>
      <c r="AT19" s="48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390"/>
      <c r="C20" s="390"/>
      <c r="D20" s="391"/>
      <c r="E20" s="489"/>
      <c r="F20" s="488"/>
      <c r="G20" s="488"/>
      <c r="H20" s="488"/>
      <c r="I20" s="488"/>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79"/>
      <c r="AP20" s="480"/>
      <c r="AQ20" s="480"/>
      <c r="AR20" s="480"/>
      <c r="AS20" s="480"/>
      <c r="AT20" s="48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390"/>
      <c r="C21" s="390"/>
      <c r="D21" s="391"/>
      <c r="E21" s="489"/>
      <c r="F21" s="488"/>
      <c r="G21" s="488"/>
      <c r="H21" s="488"/>
      <c r="I21" s="488"/>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79"/>
      <c r="AP21" s="480"/>
      <c r="AQ21" s="480"/>
      <c r="AR21" s="480"/>
      <c r="AS21" s="480"/>
      <c r="AT21" s="4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390"/>
      <c r="C22" s="390"/>
      <c r="D22" s="391"/>
      <c r="E22" s="489"/>
      <c r="F22" s="488"/>
      <c r="G22" s="488"/>
      <c r="H22" s="488"/>
      <c r="I22" s="488"/>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79"/>
      <c r="AP22" s="480"/>
      <c r="AQ22" s="480"/>
      <c r="AR22" s="480"/>
      <c r="AS22" s="480"/>
      <c r="AT22" s="48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390"/>
      <c r="C23" s="390"/>
      <c r="D23" s="391"/>
      <c r="E23" s="489"/>
      <c r="F23" s="488"/>
      <c r="G23" s="488"/>
      <c r="H23" s="488"/>
      <c r="I23" s="488"/>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79"/>
      <c r="AP23" s="480"/>
      <c r="AQ23" s="480"/>
      <c r="AR23" s="480"/>
      <c r="AS23" s="480"/>
      <c r="AT23" s="48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390"/>
      <c r="C24" s="390"/>
      <c r="D24" s="391"/>
      <c r="E24" s="489"/>
      <c r="F24" s="488"/>
      <c r="G24" s="488"/>
      <c r="H24" s="488"/>
      <c r="I24" s="488"/>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79"/>
      <c r="AP24" s="480"/>
      <c r="AQ24" s="480"/>
      <c r="AR24" s="480"/>
      <c r="AS24" s="480"/>
      <c r="AT24" s="48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390"/>
      <c r="C25" s="390"/>
      <c r="D25" s="391"/>
      <c r="E25" s="490"/>
      <c r="F25" s="491"/>
      <c r="G25" s="491"/>
      <c r="H25" s="491"/>
      <c r="I25" s="491"/>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82"/>
      <c r="AP25" s="483"/>
      <c r="AQ25" s="483"/>
      <c r="AR25" s="483"/>
      <c r="AS25" s="483"/>
      <c r="AT25" s="48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390"/>
      <c r="C26" s="390"/>
      <c r="D26" s="391"/>
      <c r="E26" s="485" t="s">
        <v>293</v>
      </c>
      <c r="F26" s="486"/>
      <c r="G26" s="486"/>
      <c r="H26" s="486"/>
      <c r="I26" s="503"/>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5" t="s">
        <v>294</v>
      </c>
      <c r="AP26" s="516"/>
      <c r="AQ26" s="516"/>
      <c r="AR26" s="516"/>
      <c r="AS26" s="516"/>
      <c r="AT26" s="517"/>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390"/>
      <c r="C27" s="390"/>
      <c r="D27" s="391"/>
      <c r="E27" s="487"/>
      <c r="F27" s="488"/>
      <c r="G27" s="488"/>
      <c r="H27" s="488"/>
      <c r="I27" s="504"/>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R2C1</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8"/>
      <c r="AP27" s="519"/>
      <c r="AQ27" s="519"/>
      <c r="AR27" s="519"/>
      <c r="AS27" s="519"/>
      <c r="AT27" s="520"/>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390"/>
      <c r="C28" s="390"/>
      <c r="D28" s="391"/>
      <c r="E28" s="489"/>
      <c r="F28" s="488"/>
      <c r="G28" s="488"/>
      <c r="H28" s="488"/>
      <c r="I28" s="504"/>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8"/>
      <c r="AP28" s="519"/>
      <c r="AQ28" s="519"/>
      <c r="AR28" s="519"/>
      <c r="AS28" s="519"/>
      <c r="AT28" s="520"/>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390"/>
      <c r="C29" s="390"/>
      <c r="D29" s="391"/>
      <c r="E29" s="489"/>
      <c r="F29" s="488"/>
      <c r="G29" s="488"/>
      <c r="H29" s="488"/>
      <c r="I29" s="504"/>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8"/>
      <c r="AP29" s="519"/>
      <c r="AQ29" s="519"/>
      <c r="AR29" s="519"/>
      <c r="AS29" s="519"/>
      <c r="AT29" s="520"/>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390"/>
      <c r="C30" s="390"/>
      <c r="D30" s="391"/>
      <c r="E30" s="489"/>
      <c r="F30" s="488"/>
      <c r="G30" s="488"/>
      <c r="H30" s="488"/>
      <c r="I30" s="504"/>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8"/>
      <c r="AP30" s="519"/>
      <c r="AQ30" s="519"/>
      <c r="AR30" s="519"/>
      <c r="AS30" s="519"/>
      <c r="AT30" s="52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390"/>
      <c r="C31" s="390"/>
      <c r="D31" s="391"/>
      <c r="E31" s="489"/>
      <c r="F31" s="488"/>
      <c r="G31" s="488"/>
      <c r="H31" s="488"/>
      <c r="I31" s="504"/>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8"/>
      <c r="AP31" s="519"/>
      <c r="AQ31" s="519"/>
      <c r="AR31" s="519"/>
      <c r="AS31" s="519"/>
      <c r="AT31" s="52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390"/>
      <c r="C32" s="390"/>
      <c r="D32" s="391"/>
      <c r="E32" s="489"/>
      <c r="F32" s="488"/>
      <c r="G32" s="488"/>
      <c r="H32" s="488"/>
      <c r="I32" s="504"/>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8"/>
      <c r="AP32" s="519"/>
      <c r="AQ32" s="519"/>
      <c r="AR32" s="519"/>
      <c r="AS32" s="519"/>
      <c r="AT32" s="52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390"/>
      <c r="C33" s="390"/>
      <c r="D33" s="391"/>
      <c r="E33" s="489"/>
      <c r="F33" s="488"/>
      <c r="G33" s="488"/>
      <c r="H33" s="488"/>
      <c r="I33" s="504"/>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8"/>
      <c r="AP33" s="519"/>
      <c r="AQ33" s="519"/>
      <c r="AR33" s="519"/>
      <c r="AS33" s="519"/>
      <c r="AT33" s="52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390"/>
      <c r="C34" s="390"/>
      <c r="D34" s="391"/>
      <c r="E34" s="489"/>
      <c r="F34" s="488"/>
      <c r="G34" s="488"/>
      <c r="H34" s="488"/>
      <c r="I34" s="504"/>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8"/>
      <c r="AP34" s="519"/>
      <c r="AQ34" s="519"/>
      <c r="AR34" s="519"/>
      <c r="AS34" s="519"/>
      <c r="AT34" s="52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390"/>
      <c r="C35" s="390"/>
      <c r="D35" s="391"/>
      <c r="E35" s="490"/>
      <c r="F35" s="491"/>
      <c r="G35" s="491"/>
      <c r="H35" s="491"/>
      <c r="I35" s="505"/>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21"/>
      <c r="AP35" s="522"/>
      <c r="AQ35" s="522"/>
      <c r="AR35" s="522"/>
      <c r="AS35" s="522"/>
      <c r="AT35" s="52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390"/>
      <c r="C36" s="390"/>
      <c r="D36" s="391"/>
      <c r="E36" s="485" t="s">
        <v>295</v>
      </c>
      <c r="F36" s="486"/>
      <c r="G36" s="486"/>
      <c r="H36" s="486"/>
      <c r="I36" s="486"/>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R1C1</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6" t="s">
        <v>296</v>
      </c>
      <c r="AP36" s="507"/>
      <c r="AQ36" s="507"/>
      <c r="AR36" s="507"/>
      <c r="AS36" s="507"/>
      <c r="AT36" s="50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390"/>
      <c r="C37" s="390"/>
      <c r="D37" s="391"/>
      <c r="E37" s="487"/>
      <c r="F37" s="488"/>
      <c r="G37" s="488"/>
      <c r="H37" s="488"/>
      <c r="I37" s="488"/>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R2C2</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9"/>
      <c r="AP37" s="510"/>
      <c r="AQ37" s="510"/>
      <c r="AR37" s="510"/>
      <c r="AS37" s="510"/>
      <c r="AT37" s="51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390"/>
      <c r="C38" s="390"/>
      <c r="D38" s="391"/>
      <c r="E38" s="489"/>
      <c r="F38" s="488"/>
      <c r="G38" s="488"/>
      <c r="H38" s="488"/>
      <c r="I38" s="488"/>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9"/>
      <c r="AP38" s="510"/>
      <c r="AQ38" s="510"/>
      <c r="AR38" s="510"/>
      <c r="AS38" s="510"/>
      <c r="AT38" s="511"/>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390"/>
      <c r="C39" s="390"/>
      <c r="D39" s="391"/>
      <c r="E39" s="489"/>
      <c r="F39" s="488"/>
      <c r="G39" s="488"/>
      <c r="H39" s="488"/>
      <c r="I39" s="488"/>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9"/>
      <c r="AP39" s="510"/>
      <c r="AQ39" s="510"/>
      <c r="AR39" s="510"/>
      <c r="AS39" s="510"/>
      <c r="AT39" s="511"/>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390"/>
      <c r="C40" s="390"/>
      <c r="D40" s="391"/>
      <c r="E40" s="489"/>
      <c r="F40" s="488"/>
      <c r="G40" s="488"/>
      <c r="H40" s="488"/>
      <c r="I40" s="488"/>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9"/>
      <c r="AP40" s="510"/>
      <c r="AQ40" s="510"/>
      <c r="AR40" s="510"/>
      <c r="AS40" s="510"/>
      <c r="AT40" s="511"/>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390"/>
      <c r="C41" s="390"/>
      <c r="D41" s="391"/>
      <c r="E41" s="489"/>
      <c r="F41" s="488"/>
      <c r="G41" s="488"/>
      <c r="H41" s="488"/>
      <c r="I41" s="488"/>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9"/>
      <c r="AP41" s="510"/>
      <c r="AQ41" s="510"/>
      <c r="AR41" s="510"/>
      <c r="AS41" s="510"/>
      <c r="AT41" s="511"/>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390"/>
      <c r="C42" s="390"/>
      <c r="D42" s="391"/>
      <c r="E42" s="489"/>
      <c r="F42" s="488"/>
      <c r="G42" s="488"/>
      <c r="H42" s="488"/>
      <c r="I42" s="488"/>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9"/>
      <c r="AP42" s="510"/>
      <c r="AQ42" s="510"/>
      <c r="AR42" s="510"/>
      <c r="AS42" s="510"/>
      <c r="AT42" s="511"/>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390"/>
      <c r="C43" s="390"/>
      <c r="D43" s="391"/>
      <c r="E43" s="489"/>
      <c r="F43" s="488"/>
      <c r="G43" s="488"/>
      <c r="H43" s="488"/>
      <c r="I43" s="488"/>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9"/>
      <c r="AP43" s="510"/>
      <c r="AQ43" s="510"/>
      <c r="AR43" s="510"/>
      <c r="AS43" s="510"/>
      <c r="AT43" s="511"/>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390"/>
      <c r="C44" s="390"/>
      <c r="D44" s="391"/>
      <c r="E44" s="489"/>
      <c r="F44" s="488"/>
      <c r="G44" s="488"/>
      <c r="H44" s="488"/>
      <c r="I44" s="488"/>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9"/>
      <c r="AP44" s="510"/>
      <c r="AQ44" s="510"/>
      <c r="AR44" s="510"/>
      <c r="AS44" s="510"/>
      <c r="AT44" s="511"/>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390"/>
      <c r="C45" s="390"/>
      <c r="D45" s="391"/>
      <c r="E45" s="490"/>
      <c r="F45" s="491"/>
      <c r="G45" s="491"/>
      <c r="H45" s="491"/>
      <c r="I45" s="491"/>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12"/>
      <c r="AP45" s="513"/>
      <c r="AQ45" s="513"/>
      <c r="AR45" s="513"/>
      <c r="AS45" s="513"/>
      <c r="AT45" s="514"/>
    </row>
    <row r="46" spans="1:80" ht="46.5" customHeight="1" x14ac:dyDescent="0.45">
      <c r="A46" s="66"/>
      <c r="B46" s="390"/>
      <c r="C46" s="390"/>
      <c r="D46" s="391"/>
      <c r="E46" s="485" t="s">
        <v>297</v>
      </c>
      <c r="F46" s="486"/>
      <c r="G46" s="486"/>
      <c r="H46" s="486"/>
      <c r="I46" s="503"/>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390"/>
      <c r="C47" s="390"/>
      <c r="D47" s="391"/>
      <c r="E47" s="487"/>
      <c r="F47" s="488"/>
      <c r="G47" s="488"/>
      <c r="H47" s="488"/>
      <c r="I47" s="504"/>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R2C3</v>
      </c>
      <c r="S47" s="60" t="str">
        <f>IF(AND('Riesgos de Gestión'!$AF$22="Muy Baja",'Riesgos de Gestión'!$AH$22="Menor"),CONCATENATE("R2C",'Riesgos de Gestión'!$V$22),"")</f>
        <v>R2C4</v>
      </c>
      <c r="T47" s="60" t="str">
        <f>IF(AND('Riesgos de Gestión'!$AF$23="Muy Baja",'Riesgos de Gestión'!$AH$23="Menor"),CONCATENATE("R2C",'Riesgos de Gestión'!$V$23),"")</f>
        <v>R2C5</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390"/>
      <c r="C48" s="390"/>
      <c r="D48" s="391"/>
      <c r="E48" s="487"/>
      <c r="F48" s="488"/>
      <c r="G48" s="488"/>
      <c r="H48" s="488"/>
      <c r="I48" s="504"/>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390"/>
      <c r="C49" s="390"/>
      <c r="D49" s="391"/>
      <c r="E49" s="489"/>
      <c r="F49" s="488"/>
      <c r="G49" s="488"/>
      <c r="H49" s="488"/>
      <c r="I49" s="504"/>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390"/>
      <c r="C50" s="390"/>
      <c r="D50" s="391"/>
      <c r="E50" s="489"/>
      <c r="F50" s="488"/>
      <c r="G50" s="488"/>
      <c r="H50" s="488"/>
      <c r="I50" s="504"/>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390"/>
      <c r="C51" s="390"/>
      <c r="D51" s="391"/>
      <c r="E51" s="489"/>
      <c r="F51" s="488"/>
      <c r="G51" s="488"/>
      <c r="H51" s="488"/>
      <c r="I51" s="504"/>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390"/>
      <c r="C52" s="390"/>
      <c r="D52" s="391"/>
      <c r="E52" s="489"/>
      <c r="F52" s="488"/>
      <c r="G52" s="488"/>
      <c r="H52" s="488"/>
      <c r="I52" s="504"/>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390"/>
      <c r="C53" s="390"/>
      <c r="D53" s="391"/>
      <c r="E53" s="489"/>
      <c r="F53" s="488"/>
      <c r="G53" s="488"/>
      <c r="H53" s="488"/>
      <c r="I53" s="504"/>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390"/>
      <c r="C54" s="390"/>
      <c r="D54" s="391"/>
      <c r="E54" s="489"/>
      <c r="F54" s="488"/>
      <c r="G54" s="488"/>
      <c r="H54" s="488"/>
      <c r="I54" s="504"/>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390"/>
      <c r="C55" s="390"/>
      <c r="D55" s="391"/>
      <c r="E55" s="490"/>
      <c r="F55" s="491"/>
      <c r="G55" s="491"/>
      <c r="H55" s="491"/>
      <c r="I55" s="505"/>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485" t="s">
        <v>298</v>
      </c>
      <c r="K56" s="486"/>
      <c r="L56" s="486"/>
      <c r="M56" s="486"/>
      <c r="N56" s="486"/>
      <c r="O56" s="503"/>
      <c r="P56" s="485" t="s">
        <v>299</v>
      </c>
      <c r="Q56" s="486"/>
      <c r="R56" s="486"/>
      <c r="S56" s="486"/>
      <c r="T56" s="486"/>
      <c r="U56" s="503"/>
      <c r="V56" s="485" t="s">
        <v>300</v>
      </c>
      <c r="W56" s="486"/>
      <c r="X56" s="486"/>
      <c r="Y56" s="486"/>
      <c r="Z56" s="486"/>
      <c r="AA56" s="503"/>
      <c r="AB56" s="485" t="s">
        <v>301</v>
      </c>
      <c r="AC56" s="524"/>
      <c r="AD56" s="486"/>
      <c r="AE56" s="486"/>
      <c r="AF56" s="486"/>
      <c r="AG56" s="503"/>
      <c r="AH56" s="485" t="s">
        <v>302</v>
      </c>
      <c r="AI56" s="486"/>
      <c r="AJ56" s="486"/>
      <c r="AK56" s="486"/>
      <c r="AL56" s="486"/>
      <c r="AM56" s="503"/>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489"/>
      <c r="K57" s="488"/>
      <c r="L57" s="488"/>
      <c r="M57" s="488"/>
      <c r="N57" s="488"/>
      <c r="O57" s="504"/>
      <c r="P57" s="489"/>
      <c r="Q57" s="488"/>
      <c r="R57" s="488"/>
      <c r="S57" s="488"/>
      <c r="T57" s="488"/>
      <c r="U57" s="504"/>
      <c r="V57" s="489"/>
      <c r="W57" s="488"/>
      <c r="X57" s="488"/>
      <c r="Y57" s="488"/>
      <c r="Z57" s="488"/>
      <c r="AA57" s="504"/>
      <c r="AB57" s="489"/>
      <c r="AC57" s="488"/>
      <c r="AD57" s="488"/>
      <c r="AE57" s="488"/>
      <c r="AF57" s="488"/>
      <c r="AG57" s="504"/>
      <c r="AH57" s="489"/>
      <c r="AI57" s="488"/>
      <c r="AJ57" s="488"/>
      <c r="AK57" s="488"/>
      <c r="AL57" s="488"/>
      <c r="AM57" s="504"/>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489"/>
      <c r="K58" s="488"/>
      <c r="L58" s="488"/>
      <c r="M58" s="488"/>
      <c r="N58" s="488"/>
      <c r="O58" s="504"/>
      <c r="P58" s="489"/>
      <c r="Q58" s="488"/>
      <c r="R58" s="488"/>
      <c r="S58" s="488"/>
      <c r="T58" s="488"/>
      <c r="U58" s="504"/>
      <c r="V58" s="489"/>
      <c r="W58" s="488"/>
      <c r="X58" s="488"/>
      <c r="Y58" s="488"/>
      <c r="Z58" s="488"/>
      <c r="AA58" s="504"/>
      <c r="AB58" s="489"/>
      <c r="AC58" s="488"/>
      <c r="AD58" s="488"/>
      <c r="AE58" s="488"/>
      <c r="AF58" s="488"/>
      <c r="AG58" s="504"/>
      <c r="AH58" s="489"/>
      <c r="AI58" s="488"/>
      <c r="AJ58" s="488"/>
      <c r="AK58" s="488"/>
      <c r="AL58" s="488"/>
      <c r="AM58" s="504"/>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489"/>
      <c r="K59" s="488"/>
      <c r="L59" s="488"/>
      <c r="M59" s="488"/>
      <c r="N59" s="488"/>
      <c r="O59" s="504"/>
      <c r="P59" s="489"/>
      <c r="Q59" s="488"/>
      <c r="R59" s="488"/>
      <c r="S59" s="488"/>
      <c r="T59" s="488"/>
      <c r="U59" s="504"/>
      <c r="V59" s="489"/>
      <c r="W59" s="488"/>
      <c r="X59" s="488"/>
      <c r="Y59" s="488"/>
      <c r="Z59" s="488"/>
      <c r="AA59" s="504"/>
      <c r="AB59" s="489"/>
      <c r="AC59" s="488"/>
      <c r="AD59" s="488"/>
      <c r="AE59" s="488"/>
      <c r="AF59" s="488"/>
      <c r="AG59" s="504"/>
      <c r="AH59" s="489"/>
      <c r="AI59" s="488"/>
      <c r="AJ59" s="488"/>
      <c r="AK59" s="488"/>
      <c r="AL59" s="488"/>
      <c r="AM59" s="504"/>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489"/>
      <c r="K60" s="488"/>
      <c r="L60" s="488"/>
      <c r="M60" s="488"/>
      <c r="N60" s="488"/>
      <c r="O60" s="504"/>
      <c r="P60" s="489"/>
      <c r="Q60" s="488"/>
      <c r="R60" s="488"/>
      <c r="S60" s="488"/>
      <c r="T60" s="488"/>
      <c r="U60" s="504"/>
      <c r="V60" s="489"/>
      <c r="W60" s="488"/>
      <c r="X60" s="488"/>
      <c r="Y60" s="488"/>
      <c r="Z60" s="488"/>
      <c r="AA60" s="504"/>
      <c r="AB60" s="489"/>
      <c r="AC60" s="488"/>
      <c r="AD60" s="488"/>
      <c r="AE60" s="488"/>
      <c r="AF60" s="488"/>
      <c r="AG60" s="504"/>
      <c r="AH60" s="489"/>
      <c r="AI60" s="488"/>
      <c r="AJ60" s="488"/>
      <c r="AK60" s="488"/>
      <c r="AL60" s="488"/>
      <c r="AM60" s="504"/>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490"/>
      <c r="K61" s="491"/>
      <c r="L61" s="491"/>
      <c r="M61" s="491"/>
      <c r="N61" s="491"/>
      <c r="O61" s="505"/>
      <c r="P61" s="490"/>
      <c r="Q61" s="491"/>
      <c r="R61" s="491"/>
      <c r="S61" s="491"/>
      <c r="T61" s="491"/>
      <c r="U61" s="505"/>
      <c r="V61" s="490"/>
      <c r="W61" s="491"/>
      <c r="X61" s="491"/>
      <c r="Y61" s="491"/>
      <c r="Z61" s="491"/>
      <c r="AA61" s="505"/>
      <c r="AB61" s="490"/>
      <c r="AC61" s="491"/>
      <c r="AD61" s="491"/>
      <c r="AE61" s="491"/>
      <c r="AF61" s="491"/>
      <c r="AG61" s="505"/>
      <c r="AH61" s="490"/>
      <c r="AI61" s="491"/>
      <c r="AJ61" s="491"/>
      <c r="AK61" s="491"/>
      <c r="AL61" s="491"/>
      <c r="AM61" s="505"/>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L75"/>
  <sheetViews>
    <sheetView zoomScale="70" zoomScaleNormal="70" zoomScaleSheetLayoutView="40" zoomScalePageLayoutView="60" workbookViewId="0">
      <selection activeCell="D11" sqref="D11:D12"/>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25.33203125" style="218" customWidth="1"/>
    <col min="5" max="5" width="40.109375" style="218" customWidth="1"/>
    <col min="6" max="6" width="17.6640625" style="198" customWidth="1"/>
    <col min="7" max="7" width="16" style="198" customWidth="1"/>
    <col min="8" max="8" width="24.33203125" style="198" customWidth="1"/>
    <col min="9" max="10" width="28.44140625" style="198" customWidth="1"/>
    <col min="11" max="11" width="24.33203125" style="198" customWidth="1"/>
    <col min="12" max="12" width="19.44140625" style="198" customWidth="1"/>
    <col min="13" max="13" width="20.5546875" style="198" customWidth="1"/>
    <col min="14" max="14" width="14.6640625" style="219" customWidth="1"/>
    <col min="15" max="15" width="16.6640625" style="198" customWidth="1"/>
    <col min="16" max="16" width="10.44140625" style="198" hidden="1" customWidth="1"/>
    <col min="17" max="17" width="12.88671875" style="198" customWidth="1"/>
    <col min="18" max="18" width="35.88671875" style="198" hidden="1" customWidth="1"/>
    <col min="19" max="19" width="17.109375" style="198" customWidth="1"/>
    <col min="20" max="20" width="17.5546875" style="198" hidden="1" customWidth="1"/>
    <col min="21" max="21" width="15" style="198" customWidth="1"/>
    <col min="22" max="22" width="16" style="198" customWidth="1"/>
    <col min="23" max="23" width="32.6640625" style="198" customWidth="1"/>
    <col min="24" max="24" width="26.88671875" style="198" hidden="1" customWidth="1"/>
    <col min="25" max="25" width="5.88671875" style="198" customWidth="1"/>
    <col min="26" max="26" width="6.88671875" style="198" customWidth="1"/>
    <col min="27" max="27" width="5" style="198" hidden="1" customWidth="1"/>
    <col min="28" max="28" width="5.5546875" style="198" customWidth="1"/>
    <col min="29" max="29" width="7.109375" style="198" customWidth="1"/>
    <col min="30" max="30" width="6.6640625" style="198" customWidth="1"/>
    <col min="31" max="31" width="7.5546875" style="198" hidden="1" customWidth="1"/>
    <col min="32" max="32" width="8.5546875" style="198" customWidth="1"/>
    <col min="33" max="37" width="10.88671875" style="198" customWidth="1"/>
    <col min="38" max="38" width="10.88671875" style="217" customWidth="1"/>
    <col min="39" max="39" width="23" style="198" customWidth="1"/>
    <col min="40" max="40" width="18.88671875" style="198" customWidth="1"/>
    <col min="41" max="41" width="21.5546875" style="198" customWidth="1"/>
    <col min="42" max="42" width="22.44140625" style="198" customWidth="1"/>
    <col min="43" max="43" width="16.44140625" style="198" customWidth="1"/>
    <col min="44" max="44" width="20.5546875" style="198" customWidth="1"/>
    <col min="45" max="16384" width="11.44140625" style="198"/>
  </cols>
  <sheetData>
    <row r="1" spans="1:272" s="201" customFormat="1" ht="21" x14ac:dyDescent="0.35">
      <c r="A1" s="330"/>
      <c r="B1" s="331"/>
      <c r="C1" s="332"/>
      <c r="D1" s="319" t="s">
        <v>208</v>
      </c>
      <c r="E1" s="320"/>
      <c r="F1" s="320"/>
      <c r="G1" s="320"/>
      <c r="H1" s="320"/>
      <c r="I1" s="320"/>
      <c r="J1" s="320"/>
      <c r="K1" s="320"/>
      <c r="L1" s="320"/>
      <c r="M1" s="320"/>
      <c r="N1" s="320"/>
      <c r="O1" s="320"/>
      <c r="P1" s="320"/>
      <c r="Q1" s="320"/>
      <c r="R1" s="320"/>
      <c r="S1" s="320"/>
      <c r="T1" s="321"/>
      <c r="U1" s="252"/>
      <c r="V1" s="252"/>
      <c r="W1" s="252"/>
      <c r="X1" s="346"/>
      <c r="Y1" s="346"/>
      <c r="Z1" s="346"/>
      <c r="AA1" s="346"/>
      <c r="AB1" s="346"/>
      <c r="AC1" s="346"/>
      <c r="AD1" s="346"/>
      <c r="AE1" s="346"/>
      <c r="AF1" s="346"/>
      <c r="AG1" s="346"/>
      <c r="AH1" s="346"/>
      <c r="AI1" s="346"/>
      <c r="AJ1" s="346"/>
      <c r="AK1" s="346"/>
      <c r="AL1" s="346"/>
      <c r="AM1" s="346"/>
      <c r="AN1" s="346"/>
      <c r="AO1" s="346"/>
      <c r="AP1" s="346"/>
      <c r="AQ1" s="346"/>
      <c r="AR1" s="34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6" thickBot="1" x14ac:dyDescent="0.4">
      <c r="A2" s="333"/>
      <c r="B2" s="334"/>
      <c r="C2" s="335"/>
      <c r="D2" s="322"/>
      <c r="E2" s="323"/>
      <c r="F2" s="323"/>
      <c r="G2" s="323"/>
      <c r="H2" s="323"/>
      <c r="I2" s="323"/>
      <c r="J2" s="323"/>
      <c r="K2" s="323"/>
      <c r="L2" s="323"/>
      <c r="M2" s="323"/>
      <c r="N2" s="323"/>
      <c r="O2" s="323"/>
      <c r="P2" s="323"/>
      <c r="Q2" s="323"/>
      <c r="R2" s="323"/>
      <c r="S2" s="323"/>
      <c r="T2" s="324"/>
      <c r="U2" s="252"/>
      <c r="V2" s="252"/>
      <c r="W2" s="252"/>
      <c r="X2" s="346"/>
      <c r="Y2" s="346"/>
      <c r="Z2" s="346"/>
      <c r="AA2" s="346"/>
      <c r="AB2" s="346"/>
      <c r="AC2" s="346"/>
      <c r="AD2" s="346"/>
      <c r="AE2" s="346"/>
      <c r="AF2" s="346"/>
      <c r="AG2" s="346"/>
      <c r="AH2" s="346"/>
      <c r="AI2" s="346"/>
      <c r="AJ2" s="346"/>
      <c r="AK2" s="346"/>
      <c r="AL2" s="346"/>
      <c r="AM2" s="346"/>
      <c r="AN2" s="346"/>
      <c r="AO2" s="346"/>
      <c r="AP2" s="346"/>
      <c r="AQ2" s="346"/>
      <c r="AR2" s="34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4">
      <c r="A3" s="333"/>
      <c r="B3" s="334"/>
      <c r="C3" s="335"/>
      <c r="D3" s="325" t="s">
        <v>209</v>
      </c>
      <c r="E3" s="326"/>
      <c r="F3" s="326"/>
      <c r="G3" s="326"/>
      <c r="H3" s="326"/>
      <c r="I3" s="327"/>
      <c r="J3" s="325" t="s">
        <v>210</v>
      </c>
      <c r="K3" s="326"/>
      <c r="L3" s="326"/>
      <c r="M3" s="326"/>
      <c r="N3" s="326"/>
      <c r="O3" s="326"/>
      <c r="P3" s="326"/>
      <c r="Q3" s="326"/>
      <c r="R3" s="326"/>
      <c r="S3" s="326"/>
      <c r="T3" s="327"/>
      <c r="U3" s="253"/>
      <c r="V3" s="253"/>
      <c r="W3" s="252"/>
      <c r="X3" s="347"/>
      <c r="Y3" s="347"/>
      <c r="Z3" s="347"/>
      <c r="AA3" s="347"/>
      <c r="AB3" s="347"/>
      <c r="AC3" s="347"/>
      <c r="AD3" s="347"/>
      <c r="AE3" s="347"/>
      <c r="AF3" s="347"/>
      <c r="AG3" s="347"/>
      <c r="AH3" s="347"/>
      <c r="AI3" s="347"/>
      <c r="AJ3" s="347"/>
      <c r="AK3" s="347"/>
      <c r="AL3" s="347"/>
      <c r="AM3" s="347"/>
      <c r="AN3" s="347"/>
      <c r="AO3" s="347"/>
      <c r="AP3" s="347"/>
      <c r="AQ3" s="347"/>
      <c r="AR3" s="34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4">
      <c r="A4" s="336"/>
      <c r="B4" s="337"/>
      <c r="C4" s="338"/>
      <c r="D4" s="325" t="s">
        <v>211</v>
      </c>
      <c r="E4" s="326"/>
      <c r="F4" s="326"/>
      <c r="G4" s="326"/>
      <c r="H4" s="326"/>
      <c r="I4" s="326"/>
      <c r="J4" s="326"/>
      <c r="K4" s="326"/>
      <c r="L4" s="326"/>
      <c r="M4" s="326"/>
      <c r="N4" s="326"/>
      <c r="O4" s="326"/>
      <c r="P4" s="326"/>
      <c r="Q4" s="326"/>
      <c r="R4" s="326"/>
      <c r="S4" s="326"/>
      <c r="T4" s="327"/>
      <c r="U4" s="252"/>
      <c r="V4" s="252"/>
      <c r="W4" s="252"/>
      <c r="X4" s="347"/>
      <c r="Y4" s="347"/>
      <c r="Z4" s="347"/>
      <c r="AA4" s="347"/>
      <c r="AB4" s="347"/>
      <c r="AC4" s="347"/>
      <c r="AD4" s="347"/>
      <c r="AE4" s="347"/>
      <c r="AF4" s="347"/>
      <c r="AG4" s="347"/>
      <c r="AH4" s="347"/>
      <c r="AI4" s="347"/>
      <c r="AJ4" s="347"/>
      <c r="AK4" s="347"/>
      <c r="AL4" s="347"/>
      <c r="AM4" s="347"/>
      <c r="AN4" s="347"/>
      <c r="AO4" s="347"/>
      <c r="AP4" s="347"/>
      <c r="AQ4" s="347"/>
      <c r="AR4" s="34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3">
      <c r="A6" s="348" t="s">
        <v>212</v>
      </c>
      <c r="B6" s="349"/>
      <c r="C6" s="355"/>
      <c r="D6" s="356"/>
      <c r="E6" s="356"/>
      <c r="F6" s="356"/>
      <c r="G6" s="356"/>
      <c r="H6" s="356"/>
      <c r="I6" s="356"/>
      <c r="J6" s="356"/>
      <c r="K6" s="356"/>
      <c r="L6" s="356"/>
      <c r="M6" s="356"/>
      <c r="N6" s="356"/>
      <c r="O6" s="356"/>
      <c r="P6" s="356"/>
      <c r="Q6" s="356"/>
      <c r="R6" s="356"/>
      <c r="S6" s="356"/>
      <c r="T6" s="357"/>
      <c r="U6" s="255"/>
      <c r="V6" s="255"/>
      <c r="W6" s="354"/>
      <c r="X6" s="354"/>
      <c r="Y6" s="354"/>
      <c r="Z6" s="345"/>
      <c r="AA6" s="345"/>
      <c r="AB6" s="345"/>
      <c r="AC6" s="345"/>
      <c r="AD6" s="345"/>
      <c r="AE6" s="345"/>
      <c r="AF6" s="345"/>
      <c r="AG6" s="345"/>
      <c r="AH6" s="345"/>
      <c r="AI6" s="345"/>
      <c r="AJ6" s="345"/>
      <c r="AK6" s="345"/>
      <c r="AL6" s="345"/>
      <c r="AM6" s="345"/>
      <c r="AN6" s="345"/>
      <c r="AO6" s="345"/>
      <c r="AP6" s="345"/>
      <c r="AQ6" s="345"/>
      <c r="AR6" s="34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5">
      <c r="A7" s="350" t="s">
        <v>213</v>
      </c>
      <c r="B7" s="351"/>
      <c r="C7" s="316"/>
      <c r="D7" s="317"/>
      <c r="E7" s="317"/>
      <c r="F7" s="317"/>
      <c r="G7" s="317"/>
      <c r="H7" s="317"/>
      <c r="I7" s="317"/>
      <c r="J7" s="317"/>
      <c r="K7" s="317"/>
      <c r="L7" s="317"/>
      <c r="M7" s="317"/>
      <c r="N7" s="317"/>
      <c r="O7" s="317"/>
      <c r="P7" s="317"/>
      <c r="Q7" s="317"/>
      <c r="R7" s="317"/>
      <c r="S7" s="317"/>
      <c r="T7" s="318"/>
      <c r="U7" s="256"/>
      <c r="V7" s="256"/>
      <c r="W7" s="257"/>
      <c r="X7" s="257"/>
      <c r="Y7" s="257"/>
      <c r="Z7" s="345"/>
      <c r="AA7" s="345"/>
      <c r="AB7" s="345"/>
      <c r="AC7" s="345"/>
      <c r="AD7" s="345"/>
      <c r="AE7" s="345"/>
      <c r="AF7" s="345"/>
      <c r="AG7" s="345"/>
      <c r="AH7" s="345"/>
      <c r="AI7" s="345"/>
      <c r="AJ7" s="345"/>
      <c r="AK7" s="345"/>
      <c r="AL7" s="345"/>
      <c r="AM7" s="345"/>
      <c r="AN7" s="345"/>
      <c r="AO7" s="345"/>
      <c r="AP7" s="345"/>
      <c r="AQ7" s="345"/>
      <c r="AR7" s="34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5">
      <c r="A8" s="352" t="s">
        <v>215</v>
      </c>
      <c r="B8" s="353"/>
      <c r="C8" s="316"/>
      <c r="D8" s="317"/>
      <c r="E8" s="317"/>
      <c r="F8" s="317"/>
      <c r="G8" s="317"/>
      <c r="H8" s="317"/>
      <c r="I8" s="317"/>
      <c r="J8" s="317"/>
      <c r="K8" s="317"/>
      <c r="L8" s="317"/>
      <c r="M8" s="317"/>
      <c r="N8" s="317"/>
      <c r="O8" s="317"/>
      <c r="P8" s="317"/>
      <c r="Q8" s="317"/>
      <c r="R8" s="317"/>
      <c r="S8" s="317"/>
      <c r="T8" s="318"/>
      <c r="U8" s="256"/>
      <c r="V8" s="256"/>
      <c r="W8" s="257"/>
      <c r="X8" s="257"/>
      <c r="Y8" s="257"/>
      <c r="Z8" s="345"/>
      <c r="AA8" s="345"/>
      <c r="AB8" s="345"/>
      <c r="AC8" s="345"/>
      <c r="AD8" s="345"/>
      <c r="AE8" s="345"/>
      <c r="AF8" s="345"/>
      <c r="AG8" s="345"/>
      <c r="AH8" s="345"/>
      <c r="AI8" s="345"/>
      <c r="AJ8" s="345"/>
      <c r="AK8" s="345"/>
      <c r="AL8" s="345"/>
      <c r="AM8" s="345"/>
      <c r="AN8" s="345"/>
      <c r="AO8" s="345"/>
      <c r="AP8" s="345"/>
      <c r="AQ8" s="345"/>
      <c r="AR8" s="34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5">
      <c r="A10" s="360" t="s">
        <v>217</v>
      </c>
      <c r="B10" s="361"/>
      <c r="C10" s="361"/>
      <c r="D10" s="361"/>
      <c r="E10" s="361"/>
      <c r="F10" s="362"/>
      <c r="G10" s="378" t="s">
        <v>218</v>
      </c>
      <c r="H10" s="379"/>
      <c r="I10" s="379"/>
      <c r="J10" s="379"/>
      <c r="K10" s="380"/>
      <c r="L10" s="387" t="s">
        <v>219</v>
      </c>
      <c r="M10" s="388"/>
      <c r="N10" s="224"/>
      <c r="O10" s="224"/>
      <c r="P10" s="389" t="s">
        <v>220</v>
      </c>
      <c r="Q10" s="389"/>
      <c r="R10" s="389"/>
      <c r="S10" s="389"/>
      <c r="T10" s="389"/>
      <c r="U10" s="389"/>
      <c r="V10" s="389"/>
      <c r="W10" s="389" t="s">
        <v>221</v>
      </c>
      <c r="X10" s="389"/>
      <c r="Y10" s="389"/>
      <c r="Z10" s="389"/>
      <c r="AA10" s="389"/>
      <c r="AB10" s="389"/>
      <c r="AC10" s="389"/>
      <c r="AD10" s="389"/>
      <c r="AE10" s="389"/>
      <c r="AF10" s="381" t="s">
        <v>222</v>
      </c>
      <c r="AG10" s="382"/>
      <c r="AH10" s="382"/>
      <c r="AI10" s="382"/>
      <c r="AJ10" s="383"/>
      <c r="AK10" s="381" t="s">
        <v>223</v>
      </c>
      <c r="AL10" s="382"/>
      <c r="AM10" s="382"/>
      <c r="AN10" s="382"/>
      <c r="AO10" s="383"/>
      <c r="AP10" s="381" t="s">
        <v>224</v>
      </c>
      <c r="AQ10" s="382"/>
      <c r="AR10" s="383"/>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5">
      <c r="A11" s="370" t="s">
        <v>225</v>
      </c>
      <c r="B11" s="371" t="s">
        <v>15</v>
      </c>
      <c r="C11" s="364" t="s">
        <v>17</v>
      </c>
      <c r="D11" s="364" t="s">
        <v>19</v>
      </c>
      <c r="E11" s="371" t="s">
        <v>21</v>
      </c>
      <c r="F11" s="364" t="s">
        <v>23</v>
      </c>
      <c r="G11" s="373" t="s">
        <v>124</v>
      </c>
      <c r="H11" s="373" t="s">
        <v>304</v>
      </c>
      <c r="I11" s="373" t="s">
        <v>227</v>
      </c>
      <c r="J11" s="373" t="s">
        <v>228</v>
      </c>
      <c r="K11" s="373" t="s">
        <v>229</v>
      </c>
      <c r="L11" s="387"/>
      <c r="M11" s="388"/>
      <c r="N11" s="375" t="s">
        <v>230</v>
      </c>
      <c r="O11" s="375" t="s">
        <v>231</v>
      </c>
      <c r="P11" s="363" t="s">
        <v>232</v>
      </c>
      <c r="Q11" s="375" t="s">
        <v>233</v>
      </c>
      <c r="R11" s="375" t="s">
        <v>234</v>
      </c>
      <c r="S11" s="375" t="s">
        <v>235</v>
      </c>
      <c r="T11" s="363" t="s">
        <v>232</v>
      </c>
      <c r="U11" s="375" t="s">
        <v>29</v>
      </c>
      <c r="V11" s="376" t="s">
        <v>236</v>
      </c>
      <c r="W11" s="375" t="s">
        <v>31</v>
      </c>
      <c r="X11" s="375" t="s">
        <v>33</v>
      </c>
      <c r="Y11" s="375" t="s">
        <v>237</v>
      </c>
      <c r="Z11" s="375"/>
      <c r="AA11" s="375"/>
      <c r="AB11" s="375"/>
      <c r="AC11" s="375"/>
      <c r="AD11" s="375"/>
      <c r="AE11" s="376" t="s">
        <v>238</v>
      </c>
      <c r="AF11" s="376" t="s">
        <v>239</v>
      </c>
      <c r="AG11" s="376" t="s">
        <v>232</v>
      </c>
      <c r="AH11" s="376" t="s">
        <v>240</v>
      </c>
      <c r="AI11" s="376" t="s">
        <v>232</v>
      </c>
      <c r="AJ11" s="376" t="s">
        <v>241</v>
      </c>
      <c r="AK11" s="376" t="s">
        <v>49</v>
      </c>
      <c r="AL11" s="375" t="s">
        <v>242</v>
      </c>
      <c r="AM11" s="375" t="s">
        <v>243</v>
      </c>
      <c r="AN11" s="375" t="s">
        <v>244</v>
      </c>
      <c r="AO11" s="375" t="s">
        <v>245</v>
      </c>
      <c r="AP11" s="375" t="s">
        <v>242</v>
      </c>
      <c r="AQ11" s="375" t="s">
        <v>244</v>
      </c>
      <c r="AR11" s="375" t="s">
        <v>243</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3">
      <c r="A12" s="370"/>
      <c r="B12" s="371"/>
      <c r="C12" s="364"/>
      <c r="D12" s="364"/>
      <c r="E12" s="371"/>
      <c r="F12" s="364"/>
      <c r="G12" s="374"/>
      <c r="H12" s="374"/>
      <c r="I12" s="374"/>
      <c r="J12" s="374"/>
      <c r="K12" s="374"/>
      <c r="L12" s="250" t="s">
        <v>246</v>
      </c>
      <c r="M12" s="250" t="s">
        <v>247</v>
      </c>
      <c r="N12" s="375"/>
      <c r="O12" s="375"/>
      <c r="P12" s="363"/>
      <c r="Q12" s="363"/>
      <c r="R12" s="375"/>
      <c r="S12" s="363"/>
      <c r="T12" s="363"/>
      <c r="U12" s="375"/>
      <c r="V12" s="376"/>
      <c r="W12" s="375"/>
      <c r="X12" s="375"/>
      <c r="Y12" s="210" t="s">
        <v>248</v>
      </c>
      <c r="Z12" s="210" t="s">
        <v>249</v>
      </c>
      <c r="AA12" s="210" t="s">
        <v>250</v>
      </c>
      <c r="AB12" s="210" t="s">
        <v>251</v>
      </c>
      <c r="AC12" s="210" t="s">
        <v>252</v>
      </c>
      <c r="AD12" s="210" t="s">
        <v>253</v>
      </c>
      <c r="AE12" s="376"/>
      <c r="AF12" s="376"/>
      <c r="AG12" s="376"/>
      <c r="AH12" s="376"/>
      <c r="AI12" s="376"/>
      <c r="AJ12" s="376"/>
      <c r="AK12" s="376"/>
      <c r="AL12" s="375"/>
      <c r="AM12" s="375"/>
      <c r="AN12" s="375"/>
      <c r="AO12" s="375"/>
      <c r="AP12" s="375"/>
      <c r="AQ12" s="375"/>
      <c r="AR12" s="375"/>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x14ac:dyDescent="0.3">
      <c r="A13" s="328">
        <v>1</v>
      </c>
      <c r="B13" s="329"/>
      <c r="C13" s="329"/>
      <c r="D13" s="329"/>
      <c r="E13" s="372"/>
      <c r="F13" s="329"/>
      <c r="G13" s="342"/>
      <c r="H13" s="342"/>
      <c r="I13" s="342"/>
      <c r="J13" s="342"/>
      <c r="K13" s="342"/>
      <c r="L13" s="342"/>
      <c r="M13" s="342"/>
      <c r="N13" s="339"/>
      <c r="O13" s="340" t="str">
        <f>IF(N13&lt;=0,"",IF(N13&lt;=2,"Muy Baja",IF(N13&lt;=24,"Baja",IF(N13&lt;=500,"Media",IF(N13&lt;=5000,"Alta","Muy Alta")))))</f>
        <v/>
      </c>
      <c r="P13" s="341" t="str">
        <f>IF(O13="","",IF(O13="Muy Baja",0.2,IF(O13="Baja",0.4,IF(O13="Media",0.6,IF(O13="Alta",0.8,IF(O13="Muy Alta",1,))))))</f>
        <v/>
      </c>
      <c r="Q13" s="359"/>
      <c r="R13" s="341">
        <f>IF(NOT(ISERROR(MATCH(Q13,'Tabla Impacto'!$B$222:$B$224,0))),'Tabla Impacto'!$F$224&amp;"Por favor no seleccionar los criterios de impacto(Afectación Económica o presupuestal y Pérdida Reputacional)",Q13)</f>
        <v>0</v>
      </c>
      <c r="S13" s="340" t="str">
        <f>IF(OR(R13='Tabla Impacto'!$C$12,R13='Tabla Impacto'!$D$12),"Leve",IF(OR(R13='Tabla Impacto'!$C$13,R13='Tabla Impacto'!$D$13),"Menor",IF(OR(R13='Tabla Impacto'!$C$14,R13='Tabla Impacto'!$D$14),"Moderado",IF(OR(R13='Tabla Impacto'!$C$15,R13='Tabla Impacto'!$D$15),"Mayor",IF(OR(R13='Tabla Impacto'!$C$16,R13='Tabla Impacto'!$D$16),"Catastrófico","")))))</f>
        <v/>
      </c>
      <c r="T13" s="341" t="str">
        <f>IF(S13="","",IF(S13="Leve",0.2,IF(S13="Menor",0.4,IF(S13="Moderado",0.6,IF(S13="Mayor",0.8,IF(S13="Catastrófico",1,))))))</f>
        <v/>
      </c>
      <c r="U13" s="358"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4">
        <v>1</v>
      </c>
      <c r="W13" s="240"/>
      <c r="X13" s="189" t="str">
        <f t="shared" ref="X13:X18" si="0">IF(OR(Y13="Preventivo",Y13="Detectivo"),"Probabilidad",IF(Y13="Correctivo","Impacto",""))</f>
        <v/>
      </c>
      <c r="Y13" s="190"/>
      <c r="Z13" s="190"/>
      <c r="AA13" s="191" t="str">
        <f>IF(AND(Y13="Preventivo",Z13="Automático"),"50%",IF(AND(Y13="Preventivo",Z13="Manual"),"40%",IF(AND(Y13="Detectivo",Z13="Automático"),"40%",IF(AND(Y13="Detectivo",Z13="Manual"),"30%",IF(AND(Y13="Correctivo",Z13="Automático"),"35%",IF(AND(Y13="Correctivo",Z13="Manual"),"25%",""))))))</f>
        <v/>
      </c>
      <c r="AB13" s="190"/>
      <c r="AC13" s="190"/>
      <c r="AD13" s="190"/>
      <c r="AE13" s="192" t="str">
        <f>IFERROR(IF(X13="Probabilidad",(P13-(+P13*AA13)),IF(X13="Impacto",P13,"")),"")</f>
        <v/>
      </c>
      <c r="AF13" s="193" t="str">
        <f>IFERROR(IF(AE13="","",IF(AE13&lt;=0.2,"Muy Baja",IF(AE13&lt;=0.4,"Baja",IF(AE13&lt;=0.6,"Media",IF(AE13&lt;=0.8,"Alta","Muy Alta"))))),"")</f>
        <v/>
      </c>
      <c r="AG13" s="191" t="str">
        <f>+AE13</f>
        <v/>
      </c>
      <c r="AH13" s="193" t="str">
        <f>IFERROR(IF(AI13="","",IF(AI13&lt;=0.2,"Leve",IF(AI13&lt;=0.4,"Menor",IF(AI13&lt;=0.6,"Moderado",IF(AI13&lt;=0.8,"Mayor","Catastrófico"))))),"")</f>
        <v/>
      </c>
      <c r="AI13" s="191" t="str">
        <f>IFERROR(IF(X13="Impacto",(T13-(+T13*AA13)),IF(X13="Probabilidad",T13,"")),"")</f>
        <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5"/>
      <c r="AL13" s="186"/>
      <c r="AM13" s="196"/>
      <c r="AN13" s="196"/>
      <c r="AO13" s="197"/>
      <c r="AP13" s="329"/>
      <c r="AQ13" s="329"/>
      <c r="AR13" s="329"/>
    </row>
    <row r="14" spans="1:272" x14ac:dyDescent="0.25">
      <c r="A14" s="328"/>
      <c r="B14" s="329"/>
      <c r="C14" s="329"/>
      <c r="D14" s="329"/>
      <c r="E14" s="372"/>
      <c r="F14" s="329"/>
      <c r="G14" s="343"/>
      <c r="H14" s="343"/>
      <c r="I14" s="343"/>
      <c r="J14" s="343"/>
      <c r="K14" s="343"/>
      <c r="L14" s="343"/>
      <c r="M14" s="343"/>
      <c r="N14" s="339"/>
      <c r="O14" s="340"/>
      <c r="P14" s="341"/>
      <c r="Q14" s="359"/>
      <c r="R14" s="341">
        <f>IF(NOT(ISERROR(MATCH(Q14,_xlfn.ANCHORARRAY(E25),0))),P27&amp;"Por favor no seleccionar los criterios de impacto",Q14)</f>
        <v>0</v>
      </c>
      <c r="S14" s="340"/>
      <c r="T14" s="341"/>
      <c r="U14" s="358"/>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29"/>
      <c r="AQ14" s="329"/>
      <c r="AR14" s="329"/>
    </row>
    <row r="15" spans="1:272" x14ac:dyDescent="0.25">
      <c r="A15" s="328"/>
      <c r="B15" s="329"/>
      <c r="C15" s="329"/>
      <c r="D15" s="329"/>
      <c r="E15" s="372"/>
      <c r="F15" s="329"/>
      <c r="G15" s="343"/>
      <c r="H15" s="343"/>
      <c r="I15" s="343"/>
      <c r="J15" s="343"/>
      <c r="K15" s="343"/>
      <c r="L15" s="343"/>
      <c r="M15" s="343"/>
      <c r="N15" s="339"/>
      <c r="O15" s="340"/>
      <c r="P15" s="341"/>
      <c r="Q15" s="359"/>
      <c r="R15" s="341">
        <f>IF(NOT(ISERROR(MATCH(Q15,_xlfn.ANCHORARRAY(E26),0))),P28&amp;"Por favor no seleccionar los criterios de impacto",Q15)</f>
        <v>0</v>
      </c>
      <c r="S15" s="340"/>
      <c r="T15" s="341"/>
      <c r="U15" s="358"/>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29"/>
      <c r="AQ15" s="329"/>
      <c r="AR15" s="329"/>
    </row>
    <row r="16" spans="1:272" x14ac:dyDescent="0.25">
      <c r="A16" s="328"/>
      <c r="B16" s="329"/>
      <c r="C16" s="329"/>
      <c r="D16" s="329"/>
      <c r="E16" s="372"/>
      <c r="F16" s="329"/>
      <c r="G16" s="343"/>
      <c r="H16" s="343"/>
      <c r="I16" s="343"/>
      <c r="J16" s="343"/>
      <c r="K16" s="343"/>
      <c r="L16" s="343"/>
      <c r="M16" s="343"/>
      <c r="N16" s="339"/>
      <c r="O16" s="340"/>
      <c r="P16" s="341"/>
      <c r="Q16" s="359"/>
      <c r="R16" s="341">
        <f>IF(NOT(ISERROR(MATCH(Q16,_xlfn.ANCHORARRAY(E27),0))),P29&amp;"Por favor no seleccionar los criterios de impacto",Q16)</f>
        <v>0</v>
      </c>
      <c r="S16" s="340"/>
      <c r="T16" s="341"/>
      <c r="U16" s="358"/>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29"/>
      <c r="AQ16" s="329"/>
      <c r="AR16" s="329"/>
    </row>
    <row r="17" spans="1:44" x14ac:dyDescent="0.25">
      <c r="A17" s="328"/>
      <c r="B17" s="329"/>
      <c r="C17" s="329"/>
      <c r="D17" s="329"/>
      <c r="E17" s="372"/>
      <c r="F17" s="329"/>
      <c r="G17" s="343"/>
      <c r="H17" s="343"/>
      <c r="I17" s="343"/>
      <c r="J17" s="343"/>
      <c r="K17" s="343"/>
      <c r="L17" s="343"/>
      <c r="M17" s="343"/>
      <c r="N17" s="339"/>
      <c r="O17" s="340"/>
      <c r="P17" s="341"/>
      <c r="Q17" s="359"/>
      <c r="R17" s="341">
        <f>IF(NOT(ISERROR(MATCH(Q17,_xlfn.ANCHORARRAY(E28),0))),P30&amp;"Por favor no seleccionar los criterios de impacto",Q17)</f>
        <v>0</v>
      </c>
      <c r="S17" s="340"/>
      <c r="T17" s="341"/>
      <c r="U17" s="358"/>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29"/>
      <c r="AQ17" s="329"/>
      <c r="AR17" s="329"/>
    </row>
    <row r="18" spans="1:44" ht="37.5" customHeight="1" x14ac:dyDescent="0.25">
      <c r="A18" s="328"/>
      <c r="B18" s="329"/>
      <c r="C18" s="329"/>
      <c r="D18" s="329"/>
      <c r="E18" s="372"/>
      <c r="F18" s="329"/>
      <c r="G18" s="344"/>
      <c r="H18" s="344"/>
      <c r="I18" s="344"/>
      <c r="J18" s="344"/>
      <c r="K18" s="344"/>
      <c r="L18" s="344"/>
      <c r="M18" s="344"/>
      <c r="N18" s="339"/>
      <c r="O18" s="340"/>
      <c r="P18" s="341"/>
      <c r="Q18" s="359"/>
      <c r="R18" s="341">
        <f>IF(NOT(ISERROR(MATCH(Q18,_xlfn.ANCHORARRAY(E29),0))),P31&amp;"Por favor no seleccionar los criterios de impacto",Q18)</f>
        <v>0</v>
      </c>
      <c r="S18" s="340"/>
      <c r="T18" s="341"/>
      <c r="U18" s="358"/>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29"/>
      <c r="AQ18" s="329"/>
      <c r="AR18" s="329"/>
    </row>
    <row r="19" spans="1:44" ht="37.5" customHeight="1" x14ac:dyDescent="0.25">
      <c r="A19" s="328">
        <v>2</v>
      </c>
      <c r="B19" s="329"/>
      <c r="C19" s="329"/>
      <c r="D19" s="329"/>
      <c r="E19" s="372"/>
      <c r="F19" s="329"/>
      <c r="G19" s="342"/>
      <c r="H19" s="342"/>
      <c r="I19" s="342"/>
      <c r="J19" s="342"/>
      <c r="K19" s="342"/>
      <c r="L19" s="342"/>
      <c r="M19" s="342"/>
      <c r="N19" s="339"/>
      <c r="O19" s="340" t="str">
        <f>IF(N19&lt;=0,"",IF(N19&lt;=2,"Muy Baja",IF(N19&lt;=24,"Baja",IF(N19&lt;=500,"Media",IF(N19&lt;=5000,"Alta","Muy Alta")))))</f>
        <v/>
      </c>
      <c r="P19" s="341" t="str">
        <f>IF(O19="","",IF(O19="Muy Baja",0.2,IF(O19="Baja",0.4,IF(O19="Media",0.6,IF(O19="Alta",0.8,IF(O19="Muy Alta",1,))))))</f>
        <v/>
      </c>
      <c r="Q19" s="359"/>
      <c r="R19" s="341">
        <f>IF(NOT(ISERROR(MATCH(Q19,'Tabla Impacto'!$B$222:$B$224,0))),'Tabla Impacto'!$F$224&amp;"Por favor no seleccionar los criterios de impacto(Afectación Económica o presupuestal y Pérdida Reputacional)",Q19)</f>
        <v>0</v>
      </c>
      <c r="S19" s="340" t="str">
        <f>IF(OR(R19='Tabla Impacto'!$C$12,R19='Tabla Impacto'!$D$12),"Leve",IF(OR(R19='Tabla Impacto'!$C$13,R19='Tabla Impacto'!$D$13),"Menor",IF(OR(R19='Tabla Impacto'!$C$14,R19='Tabla Impacto'!$D$14),"Moderado",IF(OR(R19='Tabla Impacto'!$C$15,R19='Tabla Impacto'!$D$15),"Mayor",IF(OR(R19='Tabla Impacto'!$C$16,R19='Tabla Impacto'!$D$16),"Catastrófico","")))))</f>
        <v/>
      </c>
      <c r="T19" s="341" t="str">
        <f>IF(S19="","",IF(S19="Leve",0.2,IF(S19="Menor",0.4,IF(S19="Moderado",0.6,IF(S19="Mayor",0.8,IF(S19="Catastrófico",1,))))))</f>
        <v/>
      </c>
      <c r="U19" s="358"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39"/>
      <c r="AQ19" s="339"/>
      <c r="AR19" s="339"/>
    </row>
    <row r="20" spans="1:44" ht="37.5" customHeight="1" x14ac:dyDescent="0.25">
      <c r="A20" s="328"/>
      <c r="B20" s="329"/>
      <c r="C20" s="329"/>
      <c r="D20" s="329"/>
      <c r="E20" s="372"/>
      <c r="F20" s="329"/>
      <c r="G20" s="343"/>
      <c r="H20" s="343"/>
      <c r="I20" s="343"/>
      <c r="J20" s="343"/>
      <c r="K20" s="343"/>
      <c r="L20" s="343"/>
      <c r="M20" s="343"/>
      <c r="N20" s="339"/>
      <c r="O20" s="340"/>
      <c r="P20" s="341"/>
      <c r="Q20" s="359"/>
      <c r="R20" s="341">
        <f>IF(NOT(ISERROR(MATCH(Q20,_xlfn.ANCHORARRAY(E31),0))),P33&amp;"Por favor no seleccionar los criterios de impacto",Q20)</f>
        <v>0</v>
      </c>
      <c r="S20" s="340"/>
      <c r="T20" s="341"/>
      <c r="U20" s="358"/>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39"/>
      <c r="AQ20" s="339"/>
      <c r="AR20" s="339"/>
    </row>
    <row r="21" spans="1:44" ht="37.5" customHeight="1" x14ac:dyDescent="0.25">
      <c r="A21" s="328"/>
      <c r="B21" s="329"/>
      <c r="C21" s="329"/>
      <c r="D21" s="329"/>
      <c r="E21" s="372"/>
      <c r="F21" s="329"/>
      <c r="G21" s="343"/>
      <c r="H21" s="343"/>
      <c r="I21" s="343"/>
      <c r="J21" s="343"/>
      <c r="K21" s="343"/>
      <c r="L21" s="343"/>
      <c r="M21" s="343"/>
      <c r="N21" s="339"/>
      <c r="O21" s="340"/>
      <c r="P21" s="341"/>
      <c r="Q21" s="359"/>
      <c r="R21" s="341">
        <f>IF(NOT(ISERROR(MATCH(Q21,_xlfn.ANCHORARRAY(E32),0))),P34&amp;"Por favor no seleccionar los criterios de impacto",Q21)</f>
        <v>0</v>
      </c>
      <c r="S21" s="340"/>
      <c r="T21" s="341"/>
      <c r="U21" s="358"/>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39"/>
      <c r="AQ21" s="339"/>
      <c r="AR21" s="339"/>
    </row>
    <row r="22" spans="1:44" ht="37.5" customHeight="1" x14ac:dyDescent="0.25">
      <c r="A22" s="328"/>
      <c r="B22" s="329"/>
      <c r="C22" s="329"/>
      <c r="D22" s="329"/>
      <c r="E22" s="372"/>
      <c r="F22" s="329"/>
      <c r="G22" s="343"/>
      <c r="H22" s="343"/>
      <c r="I22" s="343"/>
      <c r="J22" s="343"/>
      <c r="K22" s="343"/>
      <c r="L22" s="343"/>
      <c r="M22" s="343"/>
      <c r="N22" s="339"/>
      <c r="O22" s="340"/>
      <c r="P22" s="341"/>
      <c r="Q22" s="359"/>
      <c r="R22" s="341">
        <f>IF(NOT(ISERROR(MATCH(Q22,_xlfn.ANCHORARRAY(E33),0))),P35&amp;"Por favor no seleccionar los criterios de impacto",Q22)</f>
        <v>0</v>
      </c>
      <c r="S22" s="340"/>
      <c r="T22" s="341"/>
      <c r="U22" s="358"/>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39"/>
      <c r="AQ22" s="339"/>
      <c r="AR22" s="339"/>
    </row>
    <row r="23" spans="1:44" ht="37.5" customHeight="1" x14ac:dyDescent="0.25">
      <c r="A23" s="328"/>
      <c r="B23" s="329"/>
      <c r="C23" s="329"/>
      <c r="D23" s="329"/>
      <c r="E23" s="372"/>
      <c r="F23" s="329"/>
      <c r="G23" s="343"/>
      <c r="H23" s="343"/>
      <c r="I23" s="343"/>
      <c r="J23" s="343"/>
      <c r="K23" s="343"/>
      <c r="L23" s="343"/>
      <c r="M23" s="343"/>
      <c r="N23" s="339"/>
      <c r="O23" s="340"/>
      <c r="P23" s="341"/>
      <c r="Q23" s="359"/>
      <c r="R23" s="341">
        <f>IF(NOT(ISERROR(MATCH(Q23,_xlfn.ANCHORARRAY(E34),0))),P36&amp;"Por favor no seleccionar los criterios de impacto",Q23)</f>
        <v>0</v>
      </c>
      <c r="S23" s="340"/>
      <c r="T23" s="341"/>
      <c r="U23" s="358"/>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39"/>
      <c r="AQ23" s="339"/>
      <c r="AR23" s="339"/>
    </row>
    <row r="24" spans="1:44" ht="37.5" customHeight="1" x14ac:dyDescent="0.25">
      <c r="A24" s="328"/>
      <c r="B24" s="329"/>
      <c r="C24" s="329"/>
      <c r="D24" s="329"/>
      <c r="E24" s="372"/>
      <c r="F24" s="329"/>
      <c r="G24" s="344"/>
      <c r="H24" s="344"/>
      <c r="I24" s="344"/>
      <c r="J24" s="344"/>
      <c r="K24" s="344"/>
      <c r="L24" s="344"/>
      <c r="M24" s="344"/>
      <c r="N24" s="339"/>
      <c r="O24" s="340"/>
      <c r="P24" s="341"/>
      <c r="Q24" s="359"/>
      <c r="R24" s="341">
        <f>IF(NOT(ISERROR(MATCH(Q24,_xlfn.ANCHORARRAY(E35),0))),P37&amp;"Por favor no seleccionar los criterios de impacto",Q24)</f>
        <v>0</v>
      </c>
      <c r="S24" s="340"/>
      <c r="T24" s="341"/>
      <c r="U24" s="358"/>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39"/>
      <c r="AQ24" s="339"/>
      <c r="AR24" s="339"/>
    </row>
    <row r="25" spans="1:44" ht="37.5" customHeight="1" x14ac:dyDescent="0.25">
      <c r="A25" s="328">
        <v>3</v>
      </c>
      <c r="B25" s="329"/>
      <c r="C25" s="329"/>
      <c r="D25" s="329"/>
      <c r="E25" s="372"/>
      <c r="F25" s="329"/>
      <c r="G25" s="342"/>
      <c r="H25" s="342"/>
      <c r="I25" s="342"/>
      <c r="J25" s="342"/>
      <c r="K25" s="342"/>
      <c r="L25" s="342"/>
      <c r="M25" s="342"/>
      <c r="N25" s="339"/>
      <c r="O25" s="340" t="str">
        <f>IF(N25&lt;=0,"",IF(N25&lt;=2,"Muy Baja",IF(N25&lt;=24,"Baja",IF(N25&lt;=500,"Media",IF(N25&lt;=5000,"Alta","Muy Alta")))))</f>
        <v/>
      </c>
      <c r="P25" s="341" t="str">
        <f>IF(O25="","",IF(O25="Muy Baja",0.2,IF(O25="Baja",0.4,IF(O25="Media",0.6,IF(O25="Alta",0.8,IF(O25="Muy Alta",1,))))))</f>
        <v/>
      </c>
      <c r="Q25" s="359"/>
      <c r="R25" s="341">
        <f>IF(NOT(ISERROR(MATCH(Q25,'Tabla Impacto'!$B$222:$B$224,0))),'Tabla Impacto'!$F$224&amp;"Por favor no seleccionar los criterios de impacto(Afectación Económica o presupuestal y Pérdida Reputacional)",Q25)</f>
        <v>0</v>
      </c>
      <c r="S25" s="340" t="str">
        <f>IF(OR(R25='Tabla Impacto'!$C$12,R25='Tabla Impacto'!$D$12),"Leve",IF(OR(R25='Tabla Impacto'!$C$13,R25='Tabla Impacto'!$D$13),"Menor",IF(OR(R25='Tabla Impacto'!$C$14,R25='Tabla Impacto'!$D$14),"Moderado",IF(OR(R25='Tabla Impacto'!$C$15,R25='Tabla Impacto'!$D$15),"Mayor",IF(OR(R25='Tabla Impacto'!$C$16,R25='Tabla Impacto'!$D$16),"Catastrófico","")))))</f>
        <v/>
      </c>
      <c r="T25" s="341" t="str">
        <f>IF(S25="","",IF(S25="Leve",0.2,IF(S25="Menor",0.4,IF(S25="Moderado",0.6,IF(S25="Mayor",0.8,IF(S25="Catastrófico",1,))))))</f>
        <v/>
      </c>
      <c r="U25" s="358"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39"/>
      <c r="AQ25" s="339"/>
      <c r="AR25" s="339"/>
    </row>
    <row r="26" spans="1:44" ht="37.5" customHeight="1" x14ac:dyDescent="0.25">
      <c r="A26" s="328"/>
      <c r="B26" s="329"/>
      <c r="C26" s="329"/>
      <c r="D26" s="329"/>
      <c r="E26" s="372"/>
      <c r="F26" s="329"/>
      <c r="G26" s="343"/>
      <c r="H26" s="343"/>
      <c r="I26" s="343"/>
      <c r="J26" s="343"/>
      <c r="K26" s="343"/>
      <c r="L26" s="343"/>
      <c r="M26" s="343"/>
      <c r="N26" s="339"/>
      <c r="O26" s="340"/>
      <c r="P26" s="341"/>
      <c r="Q26" s="359"/>
      <c r="R26" s="341">
        <f>IF(NOT(ISERROR(MATCH(Q26,_xlfn.ANCHORARRAY(E37),0))),P39&amp;"Por favor no seleccionar los criterios de impacto",Q26)</f>
        <v>0</v>
      </c>
      <c r="S26" s="340"/>
      <c r="T26" s="341"/>
      <c r="U26" s="358"/>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39"/>
      <c r="AQ26" s="339"/>
      <c r="AR26" s="339"/>
    </row>
    <row r="27" spans="1:44" ht="37.5" customHeight="1" x14ac:dyDescent="0.25">
      <c r="A27" s="328"/>
      <c r="B27" s="329"/>
      <c r="C27" s="329"/>
      <c r="D27" s="329"/>
      <c r="E27" s="372"/>
      <c r="F27" s="329"/>
      <c r="G27" s="343"/>
      <c r="H27" s="343"/>
      <c r="I27" s="343"/>
      <c r="J27" s="343"/>
      <c r="K27" s="343"/>
      <c r="L27" s="343"/>
      <c r="M27" s="343"/>
      <c r="N27" s="339"/>
      <c r="O27" s="340"/>
      <c r="P27" s="341"/>
      <c r="Q27" s="359"/>
      <c r="R27" s="341">
        <f>IF(NOT(ISERROR(MATCH(Q27,_xlfn.ANCHORARRAY(E38),0))),P40&amp;"Por favor no seleccionar los criterios de impacto",Q27)</f>
        <v>0</v>
      </c>
      <c r="S27" s="340"/>
      <c r="T27" s="341"/>
      <c r="U27" s="358"/>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39"/>
      <c r="AQ27" s="339"/>
      <c r="AR27" s="339"/>
    </row>
    <row r="28" spans="1:44" ht="37.5" customHeight="1" x14ac:dyDescent="0.25">
      <c r="A28" s="328"/>
      <c r="B28" s="329"/>
      <c r="C28" s="329"/>
      <c r="D28" s="329"/>
      <c r="E28" s="372"/>
      <c r="F28" s="329"/>
      <c r="G28" s="343"/>
      <c r="H28" s="343"/>
      <c r="I28" s="343"/>
      <c r="J28" s="343"/>
      <c r="K28" s="343"/>
      <c r="L28" s="343"/>
      <c r="M28" s="343"/>
      <c r="N28" s="339"/>
      <c r="O28" s="340"/>
      <c r="P28" s="341"/>
      <c r="Q28" s="359"/>
      <c r="R28" s="341">
        <f>IF(NOT(ISERROR(MATCH(Q28,_xlfn.ANCHORARRAY(E39),0))),P41&amp;"Por favor no seleccionar los criterios de impacto",Q28)</f>
        <v>0</v>
      </c>
      <c r="S28" s="340"/>
      <c r="T28" s="341"/>
      <c r="U28" s="358"/>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39"/>
      <c r="AQ28" s="339"/>
      <c r="AR28" s="339"/>
    </row>
    <row r="29" spans="1:44" ht="37.5" customHeight="1" x14ac:dyDescent="0.25">
      <c r="A29" s="328"/>
      <c r="B29" s="329"/>
      <c r="C29" s="329"/>
      <c r="D29" s="329"/>
      <c r="E29" s="372"/>
      <c r="F29" s="329"/>
      <c r="G29" s="343"/>
      <c r="H29" s="343"/>
      <c r="I29" s="343"/>
      <c r="J29" s="343"/>
      <c r="K29" s="343"/>
      <c r="L29" s="343"/>
      <c r="M29" s="343"/>
      <c r="N29" s="339"/>
      <c r="O29" s="340"/>
      <c r="P29" s="341"/>
      <c r="Q29" s="359"/>
      <c r="R29" s="341">
        <f>IF(NOT(ISERROR(MATCH(Q29,_xlfn.ANCHORARRAY(E40),0))),P42&amp;"Por favor no seleccionar los criterios de impacto",Q29)</f>
        <v>0</v>
      </c>
      <c r="S29" s="340"/>
      <c r="T29" s="341"/>
      <c r="U29" s="358"/>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39"/>
      <c r="AQ29" s="339"/>
      <c r="AR29" s="339"/>
    </row>
    <row r="30" spans="1:44" ht="37.5" customHeight="1" x14ac:dyDescent="0.25">
      <c r="A30" s="328"/>
      <c r="B30" s="329"/>
      <c r="C30" s="329"/>
      <c r="D30" s="329"/>
      <c r="E30" s="372"/>
      <c r="F30" s="329"/>
      <c r="G30" s="344"/>
      <c r="H30" s="344"/>
      <c r="I30" s="344"/>
      <c r="J30" s="344"/>
      <c r="K30" s="344"/>
      <c r="L30" s="344"/>
      <c r="M30" s="344"/>
      <c r="N30" s="339"/>
      <c r="O30" s="340"/>
      <c r="P30" s="341"/>
      <c r="Q30" s="359"/>
      <c r="R30" s="341">
        <f>IF(NOT(ISERROR(MATCH(Q30,_xlfn.ANCHORARRAY(E41),0))),P43&amp;"Por favor no seleccionar los criterios de impacto",Q30)</f>
        <v>0</v>
      </c>
      <c r="S30" s="340"/>
      <c r="T30" s="341"/>
      <c r="U30" s="358"/>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39"/>
      <c r="AQ30" s="339"/>
      <c r="AR30" s="339"/>
    </row>
    <row r="31" spans="1:44" ht="37.5" customHeight="1" x14ac:dyDescent="0.25">
      <c r="A31" s="328">
        <v>4</v>
      </c>
      <c r="B31" s="329"/>
      <c r="C31" s="329"/>
      <c r="D31" s="329"/>
      <c r="E31" s="329"/>
      <c r="F31" s="329"/>
      <c r="G31" s="342"/>
      <c r="H31" s="342"/>
      <c r="I31" s="342"/>
      <c r="J31" s="342"/>
      <c r="K31" s="342"/>
      <c r="L31" s="342"/>
      <c r="M31" s="342"/>
      <c r="N31" s="339"/>
      <c r="O31" s="340" t="str">
        <f>IF(N31&lt;=0,"",IF(N31&lt;=2,"Muy Baja",IF(N31&lt;=24,"Baja",IF(N31&lt;=500,"Media",IF(N31&lt;=5000,"Alta","Muy Alta")))))</f>
        <v/>
      </c>
      <c r="P31" s="341" t="str">
        <f>IF(O31="","",IF(O31="Muy Baja",0.2,IF(O31="Baja",0.4,IF(O31="Media",0.6,IF(O31="Alta",0.8,IF(O31="Muy Alta",1,))))))</f>
        <v/>
      </c>
      <c r="Q31" s="359"/>
      <c r="R31" s="341">
        <f>IF(NOT(ISERROR(MATCH(Q31,'Tabla Impacto'!$B$222:$B$224,0))),'Tabla Impacto'!$F$224&amp;"Por favor no seleccionar los criterios de impacto(Afectación Económica o presupuestal y Pérdida Reputacional)",Q31)</f>
        <v>0</v>
      </c>
      <c r="S31" s="340" t="str">
        <f>IF(OR(R31='Tabla Impacto'!$C$12,R31='Tabla Impacto'!$D$12),"Leve",IF(OR(R31='Tabla Impacto'!$C$13,R31='Tabla Impacto'!$D$13),"Menor",IF(OR(R31='Tabla Impacto'!$C$14,R31='Tabla Impacto'!$D$14),"Moderado",IF(OR(R31='Tabla Impacto'!$C$15,R31='Tabla Impacto'!$D$15),"Mayor",IF(OR(R31='Tabla Impacto'!$C$16,R31='Tabla Impacto'!$D$16),"Catastrófico","")))))</f>
        <v/>
      </c>
      <c r="T31" s="341" t="str">
        <f>IF(S31="","",IF(S31="Leve",0.2,IF(S31="Menor",0.4,IF(S31="Moderado",0.6,IF(S31="Mayor",0.8,IF(S31="Catastrófico",1,))))))</f>
        <v/>
      </c>
      <c r="U31" s="358"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39"/>
      <c r="AQ31" s="339"/>
      <c r="AR31" s="339"/>
    </row>
    <row r="32" spans="1:44" ht="37.5" customHeight="1" x14ac:dyDescent="0.25">
      <c r="A32" s="328"/>
      <c r="B32" s="329"/>
      <c r="C32" s="329"/>
      <c r="D32" s="329"/>
      <c r="E32" s="329"/>
      <c r="F32" s="329"/>
      <c r="G32" s="343"/>
      <c r="H32" s="343"/>
      <c r="I32" s="343"/>
      <c r="J32" s="343"/>
      <c r="K32" s="343"/>
      <c r="L32" s="343"/>
      <c r="M32" s="343"/>
      <c r="N32" s="339"/>
      <c r="O32" s="340"/>
      <c r="P32" s="341"/>
      <c r="Q32" s="359"/>
      <c r="R32" s="341">
        <f>IF(NOT(ISERROR(MATCH(Q32,_xlfn.ANCHORARRAY(E43),0))),P45&amp;"Por favor no seleccionar los criterios de impacto",Q32)</f>
        <v>0</v>
      </c>
      <c r="S32" s="340"/>
      <c r="T32" s="341"/>
      <c r="U32" s="358"/>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39"/>
      <c r="AQ32" s="339"/>
      <c r="AR32" s="339"/>
    </row>
    <row r="33" spans="1:44" ht="37.5" customHeight="1" x14ac:dyDescent="0.25">
      <c r="A33" s="328"/>
      <c r="B33" s="329"/>
      <c r="C33" s="329"/>
      <c r="D33" s="329"/>
      <c r="E33" s="329"/>
      <c r="F33" s="329"/>
      <c r="G33" s="343"/>
      <c r="H33" s="343"/>
      <c r="I33" s="343"/>
      <c r="J33" s="343"/>
      <c r="K33" s="343"/>
      <c r="L33" s="343"/>
      <c r="M33" s="343"/>
      <c r="N33" s="339"/>
      <c r="O33" s="340"/>
      <c r="P33" s="341"/>
      <c r="Q33" s="359"/>
      <c r="R33" s="341">
        <f>IF(NOT(ISERROR(MATCH(Q33,_xlfn.ANCHORARRAY(E44),0))),P46&amp;"Por favor no seleccionar los criterios de impacto",Q33)</f>
        <v>0</v>
      </c>
      <c r="S33" s="340"/>
      <c r="T33" s="341"/>
      <c r="U33" s="358"/>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39"/>
      <c r="AQ33" s="339"/>
      <c r="AR33" s="339"/>
    </row>
    <row r="34" spans="1:44" ht="37.5" customHeight="1" x14ac:dyDescent="0.25">
      <c r="A34" s="328"/>
      <c r="B34" s="329"/>
      <c r="C34" s="329"/>
      <c r="D34" s="329"/>
      <c r="E34" s="329"/>
      <c r="F34" s="329"/>
      <c r="G34" s="343"/>
      <c r="H34" s="343"/>
      <c r="I34" s="343"/>
      <c r="J34" s="343"/>
      <c r="K34" s="343"/>
      <c r="L34" s="343"/>
      <c r="M34" s="343"/>
      <c r="N34" s="339"/>
      <c r="O34" s="340"/>
      <c r="P34" s="341"/>
      <c r="Q34" s="359"/>
      <c r="R34" s="341">
        <f>IF(NOT(ISERROR(MATCH(Q34,_xlfn.ANCHORARRAY(E45),0))),P47&amp;"Por favor no seleccionar los criterios de impacto",Q34)</f>
        <v>0</v>
      </c>
      <c r="S34" s="340"/>
      <c r="T34" s="341"/>
      <c r="U34" s="358"/>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39"/>
      <c r="AQ34" s="339"/>
      <c r="AR34" s="339"/>
    </row>
    <row r="35" spans="1:44" ht="37.5" customHeight="1" x14ac:dyDescent="0.25">
      <c r="A35" s="328"/>
      <c r="B35" s="329"/>
      <c r="C35" s="329"/>
      <c r="D35" s="329"/>
      <c r="E35" s="329"/>
      <c r="F35" s="329"/>
      <c r="G35" s="343"/>
      <c r="H35" s="343"/>
      <c r="I35" s="343"/>
      <c r="J35" s="343"/>
      <c r="K35" s="343"/>
      <c r="L35" s="343"/>
      <c r="M35" s="343"/>
      <c r="N35" s="339"/>
      <c r="O35" s="340"/>
      <c r="P35" s="341"/>
      <c r="Q35" s="359"/>
      <c r="R35" s="341">
        <f>IF(NOT(ISERROR(MATCH(Q35,_xlfn.ANCHORARRAY(E46),0))),P48&amp;"Por favor no seleccionar los criterios de impacto",Q35)</f>
        <v>0</v>
      </c>
      <c r="S35" s="340"/>
      <c r="T35" s="341"/>
      <c r="U35" s="358"/>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39"/>
      <c r="AQ35" s="339"/>
      <c r="AR35" s="339"/>
    </row>
    <row r="36" spans="1:44" ht="37.5" customHeight="1" x14ac:dyDescent="0.25">
      <c r="A36" s="328"/>
      <c r="B36" s="329"/>
      <c r="C36" s="329"/>
      <c r="D36" s="329"/>
      <c r="E36" s="329"/>
      <c r="F36" s="329"/>
      <c r="G36" s="344"/>
      <c r="H36" s="344"/>
      <c r="I36" s="344"/>
      <c r="J36" s="344"/>
      <c r="K36" s="344"/>
      <c r="L36" s="344"/>
      <c r="M36" s="344"/>
      <c r="N36" s="339"/>
      <c r="O36" s="340"/>
      <c r="P36" s="341"/>
      <c r="Q36" s="359"/>
      <c r="R36" s="341">
        <f>IF(NOT(ISERROR(MATCH(Q36,_xlfn.ANCHORARRAY(E47),0))),P49&amp;"Por favor no seleccionar los criterios de impacto",Q36)</f>
        <v>0</v>
      </c>
      <c r="S36" s="340"/>
      <c r="T36" s="341"/>
      <c r="U36" s="358"/>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39"/>
      <c r="AQ36" s="339"/>
      <c r="AR36" s="339"/>
    </row>
    <row r="37" spans="1:44" ht="37.5" customHeight="1" x14ac:dyDescent="0.25">
      <c r="A37" s="328">
        <v>5</v>
      </c>
      <c r="B37" s="329"/>
      <c r="C37" s="329"/>
      <c r="D37" s="329"/>
      <c r="E37" s="329"/>
      <c r="F37" s="329"/>
      <c r="G37" s="342"/>
      <c r="H37" s="342"/>
      <c r="I37" s="342"/>
      <c r="J37" s="342"/>
      <c r="K37" s="342"/>
      <c r="L37" s="342"/>
      <c r="M37" s="342"/>
      <c r="N37" s="339"/>
      <c r="O37" s="340" t="str">
        <f>IF(N37&lt;=0,"",IF(N37&lt;=2,"Muy Baja",IF(N37&lt;=24,"Baja",IF(N37&lt;=500,"Media",IF(N37&lt;=5000,"Alta","Muy Alta")))))</f>
        <v/>
      </c>
      <c r="P37" s="341" t="str">
        <f>IF(O37="","",IF(O37="Muy Baja",0.2,IF(O37="Baja",0.4,IF(O37="Media",0.6,IF(O37="Alta",0.8,IF(O37="Muy Alta",1,))))))</f>
        <v/>
      </c>
      <c r="Q37" s="359"/>
      <c r="R37" s="341">
        <f>IF(NOT(ISERROR(MATCH(Q37,'Tabla Impacto'!$B$222:$B$224,0))),'Tabla Impacto'!$F$224&amp;"Por favor no seleccionar los criterios de impacto(Afectación Económica o presupuestal y Pérdida Reputacional)",Q37)</f>
        <v>0</v>
      </c>
      <c r="S37" s="340" t="str">
        <f>IF(OR(R37='Tabla Impacto'!$C$12,R37='Tabla Impacto'!$D$12),"Leve",IF(OR(R37='Tabla Impacto'!$C$13,R37='Tabla Impacto'!$D$13),"Menor",IF(OR(R37='Tabla Impacto'!$C$14,R37='Tabla Impacto'!$D$14),"Moderado",IF(OR(R37='Tabla Impacto'!$C$15,R37='Tabla Impacto'!$D$15),"Mayor",IF(OR(R37='Tabla Impacto'!$C$16,R37='Tabla Impacto'!$D$16),"Catastrófico","")))))</f>
        <v/>
      </c>
      <c r="T37" s="341" t="str">
        <f>IF(S37="","",IF(S37="Leve",0.2,IF(S37="Menor",0.4,IF(S37="Moderado",0.6,IF(S37="Mayor",0.8,IF(S37="Catastrófico",1,))))))</f>
        <v/>
      </c>
      <c r="U37" s="358"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39"/>
      <c r="AQ37" s="339"/>
      <c r="AR37" s="339"/>
    </row>
    <row r="38" spans="1:44" ht="37.5" customHeight="1" x14ac:dyDescent="0.25">
      <c r="A38" s="328"/>
      <c r="B38" s="329"/>
      <c r="C38" s="329"/>
      <c r="D38" s="329"/>
      <c r="E38" s="329"/>
      <c r="F38" s="329"/>
      <c r="G38" s="343"/>
      <c r="H38" s="343"/>
      <c r="I38" s="343"/>
      <c r="J38" s="343"/>
      <c r="K38" s="343"/>
      <c r="L38" s="343"/>
      <c r="M38" s="343"/>
      <c r="N38" s="339"/>
      <c r="O38" s="340"/>
      <c r="P38" s="341"/>
      <c r="Q38" s="359"/>
      <c r="R38" s="341">
        <f>IF(NOT(ISERROR(MATCH(Q38,_xlfn.ANCHORARRAY(E49),0))),P51&amp;"Por favor no seleccionar los criterios de impacto",Q38)</f>
        <v>0</v>
      </c>
      <c r="S38" s="340"/>
      <c r="T38" s="341"/>
      <c r="U38" s="358"/>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39"/>
      <c r="AQ38" s="339"/>
      <c r="AR38" s="339"/>
    </row>
    <row r="39" spans="1:44" ht="37.5" customHeight="1" x14ac:dyDescent="0.25">
      <c r="A39" s="328"/>
      <c r="B39" s="329"/>
      <c r="C39" s="329"/>
      <c r="D39" s="329"/>
      <c r="E39" s="329"/>
      <c r="F39" s="329"/>
      <c r="G39" s="343"/>
      <c r="H39" s="343"/>
      <c r="I39" s="343"/>
      <c r="J39" s="343"/>
      <c r="K39" s="343"/>
      <c r="L39" s="343"/>
      <c r="M39" s="343"/>
      <c r="N39" s="339"/>
      <c r="O39" s="340"/>
      <c r="P39" s="341"/>
      <c r="Q39" s="359"/>
      <c r="R39" s="341">
        <f>IF(NOT(ISERROR(MATCH(Q39,_xlfn.ANCHORARRAY(E50),0))),P52&amp;"Por favor no seleccionar los criterios de impacto",Q39)</f>
        <v>0</v>
      </c>
      <c r="S39" s="340"/>
      <c r="T39" s="341"/>
      <c r="U39" s="358"/>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39"/>
      <c r="AQ39" s="339"/>
      <c r="AR39" s="339"/>
    </row>
    <row r="40" spans="1:44" ht="37.5" customHeight="1" x14ac:dyDescent="0.25">
      <c r="A40" s="328"/>
      <c r="B40" s="329"/>
      <c r="C40" s="329"/>
      <c r="D40" s="329"/>
      <c r="E40" s="329"/>
      <c r="F40" s="329"/>
      <c r="G40" s="343"/>
      <c r="H40" s="343"/>
      <c r="I40" s="343"/>
      <c r="J40" s="343"/>
      <c r="K40" s="343"/>
      <c r="L40" s="343"/>
      <c r="M40" s="343"/>
      <c r="N40" s="339"/>
      <c r="O40" s="340"/>
      <c r="P40" s="341"/>
      <c r="Q40" s="359"/>
      <c r="R40" s="341">
        <f>IF(NOT(ISERROR(MATCH(Q40,_xlfn.ANCHORARRAY(E51),0))),P53&amp;"Por favor no seleccionar los criterios de impacto",Q40)</f>
        <v>0</v>
      </c>
      <c r="S40" s="340"/>
      <c r="T40" s="341"/>
      <c r="U40" s="358"/>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39"/>
      <c r="AQ40" s="339"/>
      <c r="AR40" s="339"/>
    </row>
    <row r="41" spans="1:44" ht="37.5" customHeight="1" x14ac:dyDescent="0.25">
      <c r="A41" s="328"/>
      <c r="B41" s="329"/>
      <c r="C41" s="329"/>
      <c r="D41" s="329"/>
      <c r="E41" s="329"/>
      <c r="F41" s="329"/>
      <c r="G41" s="343"/>
      <c r="H41" s="343"/>
      <c r="I41" s="343"/>
      <c r="J41" s="343"/>
      <c r="K41" s="343"/>
      <c r="L41" s="343"/>
      <c r="M41" s="343"/>
      <c r="N41" s="339"/>
      <c r="O41" s="340"/>
      <c r="P41" s="341"/>
      <c r="Q41" s="359"/>
      <c r="R41" s="341">
        <f>IF(NOT(ISERROR(MATCH(Q41,_xlfn.ANCHORARRAY(E52),0))),P54&amp;"Por favor no seleccionar los criterios de impacto",Q41)</f>
        <v>0</v>
      </c>
      <c r="S41" s="340"/>
      <c r="T41" s="341"/>
      <c r="U41" s="358"/>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39"/>
      <c r="AQ41" s="339"/>
      <c r="AR41" s="339"/>
    </row>
    <row r="42" spans="1:44" ht="37.5" customHeight="1" x14ac:dyDescent="0.25">
      <c r="A42" s="328"/>
      <c r="B42" s="329"/>
      <c r="C42" s="329"/>
      <c r="D42" s="329"/>
      <c r="E42" s="329"/>
      <c r="F42" s="329"/>
      <c r="G42" s="344"/>
      <c r="H42" s="344"/>
      <c r="I42" s="344"/>
      <c r="J42" s="344"/>
      <c r="K42" s="344"/>
      <c r="L42" s="344"/>
      <c r="M42" s="344"/>
      <c r="N42" s="339"/>
      <c r="O42" s="340"/>
      <c r="P42" s="341"/>
      <c r="Q42" s="359"/>
      <c r="R42" s="341">
        <f>IF(NOT(ISERROR(MATCH(Q42,_xlfn.ANCHORARRAY(E53),0))),P55&amp;"Por favor no seleccionar los criterios de impacto",Q42)</f>
        <v>0</v>
      </c>
      <c r="S42" s="340"/>
      <c r="T42" s="341"/>
      <c r="U42" s="358"/>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39"/>
      <c r="AQ42" s="339"/>
      <c r="AR42" s="339"/>
    </row>
    <row r="43" spans="1:44" ht="37.5" customHeight="1" x14ac:dyDescent="0.25">
      <c r="A43" s="328">
        <v>6</v>
      </c>
      <c r="B43" s="329"/>
      <c r="C43" s="329"/>
      <c r="D43" s="329"/>
      <c r="E43" s="342"/>
      <c r="F43" s="329"/>
      <c r="G43" s="342"/>
      <c r="H43" s="342"/>
      <c r="I43" s="342"/>
      <c r="J43" s="342"/>
      <c r="K43" s="342"/>
      <c r="L43" s="342"/>
      <c r="M43" s="342"/>
      <c r="N43" s="339"/>
      <c r="O43" s="340" t="str">
        <f>IF(N43&lt;=0,"",IF(N43&lt;=2,"Muy Baja",IF(N43&lt;=24,"Baja",IF(N43&lt;=500,"Media",IF(N43&lt;=5000,"Alta","Muy Alta")))))</f>
        <v/>
      </c>
      <c r="P43" s="341" t="str">
        <f>IF(O43="","",IF(O43="Muy Baja",0.2,IF(O43="Baja",0.4,IF(O43="Media",0.6,IF(O43="Alta",0.8,IF(O43="Muy Alta",1,))))))</f>
        <v/>
      </c>
      <c r="Q43" s="359"/>
      <c r="R43" s="341">
        <f>IF(NOT(ISERROR(MATCH(Q43,'Tabla Impacto'!$B$222:$B$224,0))),'Tabla Impacto'!$F$224&amp;"Por favor no seleccionar los criterios de impacto(Afectación Económica o presupuestal y Pérdida Reputacional)",Q43)</f>
        <v>0</v>
      </c>
      <c r="S43" s="340" t="str">
        <f>IF(OR(R43='Tabla Impacto'!$C$12,R43='Tabla Impacto'!$D$12),"Leve",IF(OR(R43='Tabla Impacto'!$C$13,R43='Tabla Impacto'!$D$13),"Menor",IF(OR(R43='Tabla Impacto'!$C$14,R43='Tabla Impacto'!$D$14),"Moderado",IF(OR(R43='Tabla Impacto'!$C$15,R43='Tabla Impacto'!$D$15),"Mayor",IF(OR(R43='Tabla Impacto'!$C$16,R43='Tabla Impacto'!$D$16),"Catastrófico","")))))</f>
        <v/>
      </c>
      <c r="T43" s="341" t="str">
        <f>IF(S43="","",IF(S43="Leve",0.2,IF(S43="Menor",0.4,IF(S43="Moderado",0.6,IF(S43="Mayor",0.8,IF(S43="Catastrófico",1,))))))</f>
        <v/>
      </c>
      <c r="U43" s="358"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39"/>
      <c r="AQ43" s="339"/>
      <c r="AR43" s="339"/>
    </row>
    <row r="44" spans="1:44" ht="37.5" customHeight="1" x14ac:dyDescent="0.25">
      <c r="A44" s="328"/>
      <c r="B44" s="329"/>
      <c r="C44" s="329"/>
      <c r="D44" s="329"/>
      <c r="E44" s="343"/>
      <c r="F44" s="329"/>
      <c r="G44" s="343"/>
      <c r="H44" s="343"/>
      <c r="I44" s="343"/>
      <c r="J44" s="343"/>
      <c r="K44" s="343"/>
      <c r="L44" s="343"/>
      <c r="M44" s="343"/>
      <c r="N44" s="339"/>
      <c r="O44" s="340"/>
      <c r="P44" s="341"/>
      <c r="Q44" s="359"/>
      <c r="R44" s="341">
        <f>IF(NOT(ISERROR(MATCH(Q44,_xlfn.ANCHORARRAY(E55),0))),P57&amp;"Por favor no seleccionar los criterios de impacto",Q44)</f>
        <v>0</v>
      </c>
      <c r="S44" s="340"/>
      <c r="T44" s="341"/>
      <c r="U44" s="358"/>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39"/>
      <c r="AQ44" s="339"/>
      <c r="AR44" s="339"/>
    </row>
    <row r="45" spans="1:44" ht="37.5" customHeight="1" x14ac:dyDescent="0.25">
      <c r="A45" s="328"/>
      <c r="B45" s="329"/>
      <c r="C45" s="329"/>
      <c r="D45" s="329"/>
      <c r="E45" s="343"/>
      <c r="F45" s="329"/>
      <c r="G45" s="343"/>
      <c r="H45" s="343"/>
      <c r="I45" s="343"/>
      <c r="J45" s="343"/>
      <c r="K45" s="343"/>
      <c r="L45" s="343"/>
      <c r="M45" s="343"/>
      <c r="N45" s="339"/>
      <c r="O45" s="340"/>
      <c r="P45" s="341"/>
      <c r="Q45" s="359"/>
      <c r="R45" s="341">
        <f>IF(NOT(ISERROR(MATCH(Q45,_xlfn.ANCHORARRAY(E56),0))),P58&amp;"Por favor no seleccionar los criterios de impacto",Q45)</f>
        <v>0</v>
      </c>
      <c r="S45" s="340"/>
      <c r="T45" s="341"/>
      <c r="U45" s="358"/>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39"/>
      <c r="AQ45" s="339"/>
      <c r="AR45" s="339"/>
    </row>
    <row r="46" spans="1:44" ht="37.5" customHeight="1" x14ac:dyDescent="0.25">
      <c r="A46" s="328"/>
      <c r="B46" s="329"/>
      <c r="C46" s="329"/>
      <c r="D46" s="329"/>
      <c r="E46" s="343"/>
      <c r="F46" s="329"/>
      <c r="G46" s="343"/>
      <c r="H46" s="343"/>
      <c r="I46" s="343"/>
      <c r="J46" s="343"/>
      <c r="K46" s="343"/>
      <c r="L46" s="343"/>
      <c r="M46" s="343"/>
      <c r="N46" s="339"/>
      <c r="O46" s="340"/>
      <c r="P46" s="341"/>
      <c r="Q46" s="359"/>
      <c r="R46" s="341">
        <f>IF(NOT(ISERROR(MATCH(Q46,_xlfn.ANCHORARRAY(E57),0))),P59&amp;"Por favor no seleccionar los criterios de impacto",Q46)</f>
        <v>0</v>
      </c>
      <c r="S46" s="340"/>
      <c r="T46" s="341"/>
      <c r="U46" s="358"/>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39"/>
      <c r="AQ46" s="339"/>
      <c r="AR46" s="339"/>
    </row>
    <row r="47" spans="1:44" ht="37.5" customHeight="1" x14ac:dyDescent="0.25">
      <c r="A47" s="328"/>
      <c r="B47" s="329"/>
      <c r="C47" s="329"/>
      <c r="D47" s="329"/>
      <c r="E47" s="343"/>
      <c r="F47" s="329"/>
      <c r="G47" s="343"/>
      <c r="H47" s="343"/>
      <c r="I47" s="343"/>
      <c r="J47" s="343"/>
      <c r="K47" s="343"/>
      <c r="L47" s="343"/>
      <c r="M47" s="343"/>
      <c r="N47" s="339"/>
      <c r="O47" s="340"/>
      <c r="P47" s="341"/>
      <c r="Q47" s="359"/>
      <c r="R47" s="341">
        <f>IF(NOT(ISERROR(MATCH(Q47,_xlfn.ANCHORARRAY(E58),0))),P60&amp;"Por favor no seleccionar los criterios de impacto",Q47)</f>
        <v>0</v>
      </c>
      <c r="S47" s="340"/>
      <c r="T47" s="341"/>
      <c r="U47" s="358"/>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39"/>
      <c r="AQ47" s="339"/>
      <c r="AR47" s="339"/>
    </row>
    <row r="48" spans="1:44" ht="37.5" customHeight="1" x14ac:dyDescent="0.25">
      <c r="A48" s="328"/>
      <c r="B48" s="329"/>
      <c r="C48" s="329"/>
      <c r="D48" s="329"/>
      <c r="E48" s="344"/>
      <c r="F48" s="329"/>
      <c r="G48" s="344"/>
      <c r="H48" s="344"/>
      <c r="I48" s="344"/>
      <c r="J48" s="344"/>
      <c r="K48" s="344"/>
      <c r="L48" s="344"/>
      <c r="M48" s="344"/>
      <c r="N48" s="339"/>
      <c r="O48" s="340"/>
      <c r="P48" s="341"/>
      <c r="Q48" s="359"/>
      <c r="R48" s="341">
        <f>IF(NOT(ISERROR(MATCH(Q48,_xlfn.ANCHORARRAY(E59),0))),P61&amp;"Por favor no seleccionar los criterios de impacto",Q48)</f>
        <v>0</v>
      </c>
      <c r="S48" s="340"/>
      <c r="T48" s="341"/>
      <c r="U48" s="358"/>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39"/>
      <c r="AQ48" s="339"/>
      <c r="AR48" s="339"/>
    </row>
    <row r="49" spans="1:44" ht="37.5" customHeight="1" x14ac:dyDescent="0.25">
      <c r="A49" s="328">
        <v>7</v>
      </c>
      <c r="B49" s="329"/>
      <c r="C49" s="329"/>
      <c r="D49" s="367"/>
      <c r="E49" s="329"/>
      <c r="F49" s="329"/>
      <c r="G49" s="342"/>
      <c r="H49" s="342"/>
      <c r="I49" s="342"/>
      <c r="J49" s="342"/>
      <c r="K49" s="342"/>
      <c r="L49" s="342"/>
      <c r="M49" s="342"/>
      <c r="N49" s="339"/>
      <c r="O49" s="340" t="str">
        <f>IF(N49&lt;=0,"",IF(N49&lt;=2,"Muy Baja",IF(N49&lt;=24,"Baja",IF(N49&lt;=500,"Media",IF(N49&lt;=5000,"Alta","Muy Alta")))))</f>
        <v/>
      </c>
      <c r="P49" s="341" t="str">
        <f>IF(O49="","",IF(O49="Muy Baja",0.2,IF(O49="Baja",0.4,IF(O49="Media",0.6,IF(O49="Alta",0.8,IF(O49="Muy Alta",1,))))))</f>
        <v/>
      </c>
      <c r="Q49" s="359"/>
      <c r="R49" s="341">
        <f>IF(NOT(ISERROR(MATCH(Q49,'Tabla Impacto'!$B$222:$B$224,0))),'Tabla Impacto'!$F$224&amp;"Por favor no seleccionar los criterios de impacto(Afectación Económica o presupuestal y Pérdida Reputacional)",Q49)</f>
        <v>0</v>
      </c>
      <c r="S49" s="340" t="str">
        <f>IF(OR(R49='Tabla Impacto'!$C$12,R49='Tabla Impacto'!$D$12),"Leve",IF(OR(R49='Tabla Impacto'!$C$13,R49='Tabla Impacto'!$D$13),"Menor",IF(OR(R49='Tabla Impacto'!$C$14,R49='Tabla Impacto'!$D$14),"Moderado",IF(OR(R49='Tabla Impacto'!$C$15,R49='Tabla Impacto'!$D$15),"Mayor",IF(OR(R49='Tabla Impacto'!$C$16,R49='Tabla Impacto'!$D$16),"Catastrófico","")))))</f>
        <v/>
      </c>
      <c r="T49" s="341" t="str">
        <f>IF(S49="","",IF(S49="Leve",0.2,IF(S49="Menor",0.4,IF(S49="Moderado",0.6,IF(S49="Mayor",0.8,IF(S49="Catastrófico",1,))))))</f>
        <v/>
      </c>
      <c r="U49" s="358"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39"/>
      <c r="AQ49" s="339"/>
      <c r="AR49" s="339"/>
    </row>
    <row r="50" spans="1:44" ht="37.5" customHeight="1" x14ac:dyDescent="0.25">
      <c r="A50" s="328"/>
      <c r="B50" s="329"/>
      <c r="C50" s="329"/>
      <c r="D50" s="367"/>
      <c r="E50" s="329"/>
      <c r="F50" s="329"/>
      <c r="G50" s="343"/>
      <c r="H50" s="343"/>
      <c r="I50" s="343"/>
      <c r="J50" s="343"/>
      <c r="K50" s="343"/>
      <c r="L50" s="343"/>
      <c r="M50" s="343"/>
      <c r="N50" s="339"/>
      <c r="O50" s="340"/>
      <c r="P50" s="341"/>
      <c r="Q50" s="359"/>
      <c r="R50" s="341">
        <f>IF(NOT(ISERROR(MATCH(Q50,_xlfn.ANCHORARRAY(E61),0))),P63&amp;"Por favor no seleccionar los criterios de impacto",Q50)</f>
        <v>0</v>
      </c>
      <c r="S50" s="340"/>
      <c r="T50" s="341"/>
      <c r="U50" s="358"/>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39"/>
      <c r="AQ50" s="339"/>
      <c r="AR50" s="339"/>
    </row>
    <row r="51" spans="1:44" ht="37.5" customHeight="1" x14ac:dyDescent="0.25">
      <c r="A51" s="328"/>
      <c r="B51" s="329"/>
      <c r="C51" s="329"/>
      <c r="D51" s="367"/>
      <c r="E51" s="329"/>
      <c r="F51" s="329"/>
      <c r="G51" s="343"/>
      <c r="H51" s="343"/>
      <c r="I51" s="343"/>
      <c r="J51" s="343"/>
      <c r="K51" s="343"/>
      <c r="L51" s="343"/>
      <c r="M51" s="343"/>
      <c r="N51" s="339"/>
      <c r="O51" s="340"/>
      <c r="P51" s="341"/>
      <c r="Q51" s="359"/>
      <c r="R51" s="341">
        <f>IF(NOT(ISERROR(MATCH(Q51,_xlfn.ANCHORARRAY(E62),0))),P64&amp;"Por favor no seleccionar los criterios de impacto",Q51)</f>
        <v>0</v>
      </c>
      <c r="S51" s="340"/>
      <c r="T51" s="341"/>
      <c r="U51" s="358"/>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39"/>
      <c r="AQ51" s="339"/>
      <c r="AR51" s="339"/>
    </row>
    <row r="52" spans="1:44" ht="37.5" customHeight="1" x14ac:dyDescent="0.25">
      <c r="A52" s="328"/>
      <c r="B52" s="329"/>
      <c r="C52" s="329"/>
      <c r="D52" s="367"/>
      <c r="E52" s="329"/>
      <c r="F52" s="329"/>
      <c r="G52" s="343"/>
      <c r="H52" s="343"/>
      <c r="I52" s="343"/>
      <c r="J52" s="343"/>
      <c r="K52" s="343"/>
      <c r="L52" s="343"/>
      <c r="M52" s="343"/>
      <c r="N52" s="339"/>
      <c r="O52" s="340"/>
      <c r="P52" s="341"/>
      <c r="Q52" s="359"/>
      <c r="R52" s="341">
        <f>IF(NOT(ISERROR(MATCH(Q52,_xlfn.ANCHORARRAY(E63),0))),P65&amp;"Por favor no seleccionar los criterios de impacto",Q52)</f>
        <v>0</v>
      </c>
      <c r="S52" s="340"/>
      <c r="T52" s="341"/>
      <c r="U52" s="358"/>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39"/>
      <c r="AQ52" s="339"/>
      <c r="AR52" s="339"/>
    </row>
    <row r="53" spans="1:44" ht="37.5" customHeight="1" x14ac:dyDescent="0.25">
      <c r="A53" s="328"/>
      <c r="B53" s="329"/>
      <c r="C53" s="329"/>
      <c r="D53" s="367"/>
      <c r="E53" s="329"/>
      <c r="F53" s="329"/>
      <c r="G53" s="343"/>
      <c r="H53" s="343"/>
      <c r="I53" s="343"/>
      <c r="J53" s="343"/>
      <c r="K53" s="343"/>
      <c r="L53" s="343"/>
      <c r="M53" s="343"/>
      <c r="N53" s="339"/>
      <c r="O53" s="340"/>
      <c r="P53" s="341"/>
      <c r="Q53" s="359"/>
      <c r="R53" s="341">
        <f>IF(NOT(ISERROR(MATCH(Q53,_xlfn.ANCHORARRAY(E64),0))),P66&amp;"Por favor no seleccionar los criterios de impacto",Q53)</f>
        <v>0</v>
      </c>
      <c r="S53" s="340"/>
      <c r="T53" s="341"/>
      <c r="U53" s="358"/>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39"/>
      <c r="AQ53" s="339"/>
      <c r="AR53" s="339"/>
    </row>
    <row r="54" spans="1:44" ht="37.5" customHeight="1" x14ac:dyDescent="0.25">
      <c r="A54" s="328"/>
      <c r="B54" s="329"/>
      <c r="C54" s="329"/>
      <c r="D54" s="367"/>
      <c r="E54" s="329"/>
      <c r="F54" s="329"/>
      <c r="G54" s="344"/>
      <c r="H54" s="344"/>
      <c r="I54" s="344"/>
      <c r="J54" s="344"/>
      <c r="K54" s="344"/>
      <c r="L54" s="344"/>
      <c r="M54" s="344"/>
      <c r="N54" s="339"/>
      <c r="O54" s="340"/>
      <c r="P54" s="341"/>
      <c r="Q54" s="359"/>
      <c r="R54" s="341">
        <f>IF(NOT(ISERROR(MATCH(Q54,_xlfn.ANCHORARRAY(E65),0))),P67&amp;"Por favor no seleccionar los criterios de impacto",Q54)</f>
        <v>0</v>
      </c>
      <c r="S54" s="340"/>
      <c r="T54" s="341"/>
      <c r="U54" s="358"/>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39"/>
      <c r="AQ54" s="339"/>
      <c r="AR54" s="339"/>
    </row>
    <row r="55" spans="1:44" ht="37.5" customHeight="1" x14ac:dyDescent="0.25">
      <c r="A55" s="328">
        <v>8</v>
      </c>
      <c r="B55" s="329"/>
      <c r="C55" s="329"/>
      <c r="D55" s="329"/>
      <c r="E55" s="329"/>
      <c r="F55" s="329"/>
      <c r="G55" s="342"/>
      <c r="H55" s="342"/>
      <c r="I55" s="342"/>
      <c r="J55" s="342"/>
      <c r="K55" s="342"/>
      <c r="L55" s="342"/>
      <c r="M55" s="342"/>
      <c r="N55" s="339"/>
      <c r="O55" s="340" t="str">
        <f>IF(N55&lt;=0,"",IF(N55&lt;=2,"Muy Baja",IF(N55&lt;=24,"Baja",IF(N55&lt;=500,"Media",IF(N55&lt;=5000,"Alta","Muy Alta")))))</f>
        <v/>
      </c>
      <c r="P55" s="341" t="str">
        <f>IF(O55="","",IF(O55="Muy Baja",0.2,IF(O55="Baja",0.4,IF(O55="Media",0.6,IF(O55="Alta",0.8,IF(O55="Muy Alta",1,))))))</f>
        <v/>
      </c>
      <c r="Q55" s="359"/>
      <c r="R55" s="341">
        <f>IF(NOT(ISERROR(MATCH(Q55,'Tabla Impacto'!$B$222:$B$224,0))),'Tabla Impacto'!$F$224&amp;"Por favor no seleccionar los criterios de impacto(Afectación Económica o presupuestal y Pérdida Reputacional)",Q55)</f>
        <v>0</v>
      </c>
      <c r="S55" s="340" t="str">
        <f>IF(OR(R55='Tabla Impacto'!$C$12,R55='Tabla Impacto'!$D$12),"Leve",IF(OR(R55='Tabla Impacto'!$C$13,R55='Tabla Impacto'!$D$13),"Menor",IF(OR(R55='Tabla Impacto'!$C$14,R55='Tabla Impacto'!$D$14),"Moderado",IF(OR(R55='Tabla Impacto'!$C$15,R55='Tabla Impacto'!$D$15),"Mayor",IF(OR(R55='Tabla Impacto'!$C$16,R55='Tabla Impacto'!$D$16),"Catastrófico","")))))</f>
        <v/>
      </c>
      <c r="T55" s="341" t="str">
        <f>IF(S55="","",IF(S55="Leve",0.2,IF(S55="Menor",0.4,IF(S55="Moderado",0.6,IF(S55="Mayor",0.8,IF(S55="Catastrófico",1,))))))</f>
        <v/>
      </c>
      <c r="U55" s="358"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39"/>
      <c r="AQ55" s="339"/>
      <c r="AR55" s="339"/>
    </row>
    <row r="56" spans="1:44" ht="37.5" customHeight="1" x14ac:dyDescent="0.25">
      <c r="A56" s="328"/>
      <c r="B56" s="329"/>
      <c r="C56" s="329"/>
      <c r="D56" s="329"/>
      <c r="E56" s="329"/>
      <c r="F56" s="329"/>
      <c r="G56" s="343"/>
      <c r="H56" s="343"/>
      <c r="I56" s="343"/>
      <c r="J56" s="343"/>
      <c r="K56" s="343"/>
      <c r="L56" s="343"/>
      <c r="M56" s="343"/>
      <c r="N56" s="339"/>
      <c r="O56" s="340"/>
      <c r="P56" s="341"/>
      <c r="Q56" s="359"/>
      <c r="R56" s="341">
        <f>IF(NOT(ISERROR(MATCH(Q56,_xlfn.ANCHORARRAY(E67),0))),P69&amp;"Por favor no seleccionar los criterios de impacto",Q56)</f>
        <v>0</v>
      </c>
      <c r="S56" s="340"/>
      <c r="T56" s="341"/>
      <c r="U56" s="358"/>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39"/>
      <c r="AQ56" s="339"/>
      <c r="AR56" s="339"/>
    </row>
    <row r="57" spans="1:44" ht="37.5" customHeight="1" x14ac:dyDescent="0.25">
      <c r="A57" s="328"/>
      <c r="B57" s="329"/>
      <c r="C57" s="329"/>
      <c r="D57" s="329"/>
      <c r="E57" s="329"/>
      <c r="F57" s="329"/>
      <c r="G57" s="343"/>
      <c r="H57" s="343"/>
      <c r="I57" s="343"/>
      <c r="J57" s="343"/>
      <c r="K57" s="343"/>
      <c r="L57" s="343"/>
      <c r="M57" s="343"/>
      <c r="N57" s="339"/>
      <c r="O57" s="340"/>
      <c r="P57" s="341"/>
      <c r="Q57" s="359"/>
      <c r="R57" s="341">
        <f>IF(NOT(ISERROR(MATCH(Q57,_xlfn.ANCHORARRAY(E68),0))),P70&amp;"Por favor no seleccionar los criterios de impacto",Q57)</f>
        <v>0</v>
      </c>
      <c r="S57" s="340"/>
      <c r="T57" s="341"/>
      <c r="U57" s="358"/>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39"/>
      <c r="AQ57" s="339"/>
      <c r="AR57" s="339"/>
    </row>
    <row r="58" spans="1:44" ht="37.5" customHeight="1" x14ac:dyDescent="0.25">
      <c r="A58" s="328"/>
      <c r="B58" s="329"/>
      <c r="C58" s="329"/>
      <c r="D58" s="329"/>
      <c r="E58" s="329"/>
      <c r="F58" s="329"/>
      <c r="G58" s="343"/>
      <c r="H58" s="343"/>
      <c r="I58" s="343"/>
      <c r="J58" s="343"/>
      <c r="K58" s="343"/>
      <c r="L58" s="343"/>
      <c r="M58" s="343"/>
      <c r="N58" s="339"/>
      <c r="O58" s="340"/>
      <c r="P58" s="341"/>
      <c r="Q58" s="359"/>
      <c r="R58" s="341">
        <f>IF(NOT(ISERROR(MATCH(Q58,_xlfn.ANCHORARRAY(E69),0))),P71&amp;"Por favor no seleccionar los criterios de impacto",Q58)</f>
        <v>0</v>
      </c>
      <c r="S58" s="340"/>
      <c r="T58" s="341"/>
      <c r="U58" s="358"/>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39"/>
      <c r="AQ58" s="339"/>
      <c r="AR58" s="339"/>
    </row>
    <row r="59" spans="1:44" ht="37.5" customHeight="1" x14ac:dyDescent="0.25">
      <c r="A59" s="328"/>
      <c r="B59" s="329"/>
      <c r="C59" s="329"/>
      <c r="D59" s="329"/>
      <c r="E59" s="329"/>
      <c r="F59" s="329"/>
      <c r="G59" s="343"/>
      <c r="H59" s="343"/>
      <c r="I59" s="343"/>
      <c r="J59" s="343"/>
      <c r="K59" s="343"/>
      <c r="L59" s="343"/>
      <c r="M59" s="343"/>
      <c r="N59" s="339"/>
      <c r="O59" s="340"/>
      <c r="P59" s="341"/>
      <c r="Q59" s="359"/>
      <c r="R59" s="341">
        <f>IF(NOT(ISERROR(MATCH(Q59,_xlfn.ANCHORARRAY(E70),0))),P72&amp;"Por favor no seleccionar los criterios de impacto",Q59)</f>
        <v>0</v>
      </c>
      <c r="S59" s="340"/>
      <c r="T59" s="341"/>
      <c r="U59" s="358"/>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39"/>
      <c r="AQ59" s="339"/>
      <c r="AR59" s="339"/>
    </row>
    <row r="60" spans="1:44" ht="37.5" customHeight="1" x14ac:dyDescent="0.25">
      <c r="A60" s="328"/>
      <c r="B60" s="329"/>
      <c r="C60" s="329"/>
      <c r="D60" s="329"/>
      <c r="E60" s="329"/>
      <c r="F60" s="329"/>
      <c r="G60" s="344"/>
      <c r="H60" s="344"/>
      <c r="I60" s="344"/>
      <c r="J60" s="344"/>
      <c r="K60" s="344"/>
      <c r="L60" s="344"/>
      <c r="M60" s="344"/>
      <c r="N60" s="339"/>
      <c r="O60" s="340"/>
      <c r="P60" s="341"/>
      <c r="Q60" s="359"/>
      <c r="R60" s="341">
        <f>IF(NOT(ISERROR(MATCH(Q60,_xlfn.ANCHORARRAY(E71),0))),Q73&amp;"Por favor no seleccionar los criterios de impacto",Q60)</f>
        <v>0</v>
      </c>
      <c r="S60" s="340"/>
      <c r="T60" s="341"/>
      <c r="U60" s="358"/>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39"/>
      <c r="AQ60" s="339"/>
      <c r="AR60" s="339"/>
    </row>
    <row r="61" spans="1:44" ht="37.5" customHeight="1" x14ac:dyDescent="0.25">
      <c r="A61" s="328">
        <v>9</v>
      </c>
      <c r="B61" s="329"/>
      <c r="C61" s="329"/>
      <c r="D61" s="329"/>
      <c r="E61" s="329"/>
      <c r="F61" s="329"/>
      <c r="G61" s="342"/>
      <c r="H61" s="342"/>
      <c r="I61" s="221"/>
      <c r="J61" s="221"/>
      <c r="K61" s="221"/>
      <c r="L61" s="342"/>
      <c r="M61" s="342"/>
      <c r="N61" s="339"/>
      <c r="O61" s="340" t="str">
        <f>IF(N61&lt;=0,"",IF(N61&lt;=2,"Muy Baja",IF(N61&lt;=24,"Baja",IF(N61&lt;=500,"Media",IF(N61&lt;=5000,"Alta","Muy Alta")))))</f>
        <v/>
      </c>
      <c r="P61" s="341" t="str">
        <f>IF(O61="","",IF(O61="Muy Baja",0.2,IF(O61="Baja",0.4,IF(O61="Media",0.6,IF(O61="Alta",0.8,IF(O61="Muy Alta",1,))))))</f>
        <v/>
      </c>
      <c r="Q61" s="359"/>
      <c r="R61" s="341">
        <f>IF(NOT(ISERROR(MATCH(Q61,'Tabla Impacto'!$B$222:$B$224,0))),'Tabla Impacto'!$F$224&amp;"Por favor no seleccionar los criterios de impacto(Afectación Económica o presupuestal y Pérdida Reputacional)",Q61)</f>
        <v>0</v>
      </c>
      <c r="S61" s="340" t="str">
        <f>IF(OR(R61='Tabla Impacto'!$C$12,R61='Tabla Impacto'!$D$12),"Leve",IF(OR(R61='Tabla Impacto'!$C$13,R61='Tabla Impacto'!$D$13),"Menor",IF(OR(R61='Tabla Impacto'!$C$14,R61='Tabla Impacto'!$D$14),"Moderado",IF(OR(R61='Tabla Impacto'!$C$15,R61='Tabla Impacto'!$D$15),"Mayor",IF(OR(R61='Tabla Impacto'!$C$16,R61='Tabla Impacto'!$D$16),"Catastrófico","")))))</f>
        <v/>
      </c>
      <c r="T61" s="341" t="str">
        <f>IF(S61="","",IF(S61="Leve",0.2,IF(S61="Menor",0.4,IF(S61="Moderado",0.6,IF(S61="Mayor",0.8,IF(S61="Catastrófico",1,))))))</f>
        <v/>
      </c>
      <c r="U61" s="358"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39"/>
      <c r="AQ61" s="339"/>
      <c r="AR61" s="339"/>
    </row>
    <row r="62" spans="1:44" ht="37.5" customHeight="1" x14ac:dyDescent="0.25">
      <c r="A62" s="328"/>
      <c r="B62" s="329"/>
      <c r="C62" s="329"/>
      <c r="D62" s="329"/>
      <c r="E62" s="329"/>
      <c r="F62" s="329"/>
      <c r="G62" s="343"/>
      <c r="H62" s="343"/>
      <c r="I62" s="222"/>
      <c r="J62" s="222"/>
      <c r="K62" s="222"/>
      <c r="L62" s="343"/>
      <c r="M62" s="343"/>
      <c r="N62" s="339"/>
      <c r="O62" s="340"/>
      <c r="P62" s="341"/>
      <c r="Q62" s="359"/>
      <c r="R62" s="341">
        <f>IF(NOT(ISERROR(MATCH(Q62,_xlfn.ANCHORARRAY(F73),0))),Q75&amp;"Por favor no seleccionar los criterios de impacto",Q62)</f>
        <v>0</v>
      </c>
      <c r="S62" s="340"/>
      <c r="T62" s="341"/>
      <c r="U62" s="358"/>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39"/>
      <c r="AQ62" s="339"/>
      <c r="AR62" s="339"/>
    </row>
    <row r="63" spans="1:44" ht="37.5" customHeight="1" x14ac:dyDescent="0.25">
      <c r="A63" s="328"/>
      <c r="B63" s="329"/>
      <c r="C63" s="329"/>
      <c r="D63" s="329"/>
      <c r="E63" s="329"/>
      <c r="F63" s="329"/>
      <c r="G63" s="343"/>
      <c r="H63" s="343"/>
      <c r="I63" s="222"/>
      <c r="J63" s="222"/>
      <c r="K63" s="222"/>
      <c r="L63" s="343"/>
      <c r="M63" s="343"/>
      <c r="N63" s="339"/>
      <c r="O63" s="340"/>
      <c r="P63" s="341"/>
      <c r="Q63" s="359"/>
      <c r="R63" s="341">
        <f>IF(NOT(ISERROR(MATCH(Q63,_xlfn.ANCHORARRAY(F74),0))),Q76&amp;"Por favor no seleccionar los criterios de impacto",Q63)</f>
        <v>0</v>
      </c>
      <c r="S63" s="340"/>
      <c r="T63" s="341"/>
      <c r="U63" s="358"/>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39"/>
      <c r="AQ63" s="339"/>
      <c r="AR63" s="339"/>
    </row>
    <row r="64" spans="1:44" ht="37.5" customHeight="1" x14ac:dyDescent="0.25">
      <c r="A64" s="328"/>
      <c r="B64" s="329"/>
      <c r="C64" s="329"/>
      <c r="D64" s="329"/>
      <c r="E64" s="329"/>
      <c r="F64" s="329"/>
      <c r="G64" s="343"/>
      <c r="H64" s="343"/>
      <c r="I64" s="222"/>
      <c r="J64" s="222"/>
      <c r="K64" s="222"/>
      <c r="L64" s="343"/>
      <c r="M64" s="343"/>
      <c r="N64" s="339"/>
      <c r="O64" s="340"/>
      <c r="P64" s="341"/>
      <c r="Q64" s="359"/>
      <c r="R64" s="341">
        <f>IF(NOT(ISERROR(MATCH(Q64,_xlfn.ANCHORARRAY(F75),0))),Q77&amp;"Por favor no seleccionar los criterios de impacto",Q64)</f>
        <v>0</v>
      </c>
      <c r="S64" s="340"/>
      <c r="T64" s="341"/>
      <c r="U64" s="358"/>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39"/>
      <c r="AQ64" s="339"/>
      <c r="AR64" s="339"/>
    </row>
    <row r="65" spans="1:44" ht="37.5" customHeight="1" x14ac:dyDescent="0.25">
      <c r="A65" s="328"/>
      <c r="B65" s="329"/>
      <c r="C65" s="329"/>
      <c r="D65" s="329"/>
      <c r="E65" s="329"/>
      <c r="F65" s="329"/>
      <c r="G65" s="343"/>
      <c r="H65" s="343"/>
      <c r="I65" s="222"/>
      <c r="J65" s="222"/>
      <c r="K65" s="222"/>
      <c r="L65" s="343"/>
      <c r="M65" s="343"/>
      <c r="N65" s="339"/>
      <c r="O65" s="340"/>
      <c r="P65" s="341"/>
      <c r="Q65" s="359"/>
      <c r="R65" s="341">
        <f>IF(NOT(ISERROR(MATCH(Q65,_xlfn.ANCHORARRAY(F76),0))),Q78&amp;"Por favor no seleccionar los criterios de impacto",Q65)</f>
        <v>0</v>
      </c>
      <c r="S65" s="340"/>
      <c r="T65" s="341"/>
      <c r="U65" s="358"/>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39"/>
      <c r="AQ65" s="339"/>
      <c r="AR65" s="339"/>
    </row>
    <row r="66" spans="1:44" ht="37.5" customHeight="1" x14ac:dyDescent="0.25">
      <c r="A66" s="328"/>
      <c r="B66" s="329"/>
      <c r="C66" s="329"/>
      <c r="D66" s="329"/>
      <c r="E66" s="329"/>
      <c r="F66" s="329"/>
      <c r="G66" s="344"/>
      <c r="H66" s="344"/>
      <c r="I66" s="223"/>
      <c r="J66" s="223"/>
      <c r="K66" s="223"/>
      <c r="L66" s="344"/>
      <c r="M66" s="344"/>
      <c r="N66" s="339"/>
      <c r="O66" s="340"/>
      <c r="P66" s="341"/>
      <c r="Q66" s="359"/>
      <c r="R66" s="341">
        <f>IF(NOT(ISERROR(MATCH(Q66,_xlfn.ANCHORARRAY(F77),0))),Q79&amp;"Por favor no seleccionar los criterios de impacto",Q66)</f>
        <v>0</v>
      </c>
      <c r="S66" s="340"/>
      <c r="T66" s="341"/>
      <c r="U66" s="358"/>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39"/>
      <c r="AQ66" s="339"/>
      <c r="AR66" s="339"/>
    </row>
    <row r="67" spans="1:44" ht="37.5" customHeight="1" x14ac:dyDescent="0.25">
      <c r="A67" s="328">
        <v>10</v>
      </c>
      <c r="B67" s="329"/>
      <c r="C67" s="329"/>
      <c r="D67" s="329"/>
      <c r="E67" s="329"/>
      <c r="F67" s="329"/>
      <c r="G67" s="342"/>
      <c r="H67" s="342"/>
      <c r="I67" s="221"/>
      <c r="J67" s="221"/>
      <c r="K67" s="221"/>
      <c r="L67" s="342"/>
      <c r="M67" s="342"/>
      <c r="N67" s="339"/>
      <c r="O67" s="340" t="str">
        <f>IF(N67&lt;=0,"",IF(N67&lt;=2,"Muy Baja",IF(N67&lt;=24,"Baja",IF(N67&lt;=500,"Media",IF(N67&lt;=5000,"Alta","Muy Alta")))))</f>
        <v/>
      </c>
      <c r="P67" s="341" t="str">
        <f>IF(O67="","",IF(O67="Muy Baja",0.2,IF(O67="Baja",0.4,IF(O67="Media",0.6,IF(O67="Alta",0.8,IF(O67="Muy Alta",1,))))))</f>
        <v/>
      </c>
      <c r="Q67" s="359"/>
      <c r="R67" s="341">
        <f>IF(NOT(ISERROR(MATCH(Q67,'Tabla Impacto'!$B$222:$B$224,0))),'Tabla Impacto'!$F$224&amp;"Por favor no seleccionar los criterios de impacto(Afectación Económica o presupuestal y Pérdida Reputacional)",Q67)</f>
        <v>0</v>
      </c>
      <c r="S67" s="340" t="str">
        <f>IF(OR(R67='Tabla Impacto'!$C$12,R67='Tabla Impacto'!$D$12),"Leve",IF(OR(R67='Tabla Impacto'!$C$13,R67='Tabla Impacto'!$D$13),"Menor",IF(OR(R67='Tabla Impacto'!$C$14,R67='Tabla Impacto'!$D$14),"Moderado",IF(OR(R67='Tabla Impacto'!$C$15,R67='Tabla Impacto'!$D$15),"Mayor",IF(OR(R67='Tabla Impacto'!$C$16,R67='Tabla Impacto'!$D$16),"Catastrófico","")))))</f>
        <v/>
      </c>
      <c r="T67" s="341" t="str">
        <f>IF(S67="","",IF(S67="Leve",0.2,IF(S67="Menor",0.4,IF(S67="Moderado",0.6,IF(S67="Mayor",0.8,IF(S67="Catastrófico",1,))))))</f>
        <v/>
      </c>
      <c r="U67" s="358"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39"/>
      <c r="AQ67" s="339"/>
      <c r="AR67" s="339"/>
    </row>
    <row r="68" spans="1:44" ht="37.5" customHeight="1" x14ac:dyDescent="0.25">
      <c r="A68" s="328"/>
      <c r="B68" s="329"/>
      <c r="C68" s="329"/>
      <c r="D68" s="329"/>
      <c r="E68" s="329"/>
      <c r="F68" s="329"/>
      <c r="G68" s="343"/>
      <c r="H68" s="343"/>
      <c r="I68" s="222"/>
      <c r="J68" s="222"/>
      <c r="K68" s="222"/>
      <c r="L68" s="343"/>
      <c r="M68" s="343"/>
      <c r="N68" s="339"/>
      <c r="O68" s="340"/>
      <c r="P68" s="341"/>
      <c r="Q68" s="359"/>
      <c r="R68" s="341">
        <f>IF(NOT(ISERROR(MATCH(Q68,_xlfn.ANCHORARRAY(F79),0))),Q81&amp;"Por favor no seleccionar los criterios de impacto",Q68)</f>
        <v>0</v>
      </c>
      <c r="S68" s="340"/>
      <c r="T68" s="341"/>
      <c r="U68" s="358"/>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39"/>
      <c r="AQ68" s="339"/>
      <c r="AR68" s="339"/>
    </row>
    <row r="69" spans="1:44" ht="37.5" customHeight="1" x14ac:dyDescent="0.25">
      <c r="A69" s="328"/>
      <c r="B69" s="329"/>
      <c r="C69" s="329"/>
      <c r="D69" s="329"/>
      <c r="E69" s="329"/>
      <c r="F69" s="329"/>
      <c r="G69" s="343"/>
      <c r="H69" s="343"/>
      <c r="I69" s="222"/>
      <c r="J69" s="222"/>
      <c r="K69" s="222"/>
      <c r="L69" s="343"/>
      <c r="M69" s="343"/>
      <c r="N69" s="339"/>
      <c r="O69" s="340"/>
      <c r="P69" s="341"/>
      <c r="Q69" s="359"/>
      <c r="R69" s="341">
        <f>IF(NOT(ISERROR(MATCH(Q69,_xlfn.ANCHORARRAY(F80),0))),Q82&amp;"Por favor no seleccionar los criterios de impacto",Q69)</f>
        <v>0</v>
      </c>
      <c r="S69" s="340"/>
      <c r="T69" s="341"/>
      <c r="U69" s="358"/>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39"/>
      <c r="AQ69" s="339"/>
      <c r="AR69" s="339"/>
    </row>
    <row r="70" spans="1:44" ht="37.5" customHeight="1" x14ac:dyDescent="0.25">
      <c r="A70" s="328"/>
      <c r="B70" s="329"/>
      <c r="C70" s="329"/>
      <c r="D70" s="329"/>
      <c r="E70" s="329"/>
      <c r="F70" s="329"/>
      <c r="G70" s="343"/>
      <c r="H70" s="343"/>
      <c r="I70" s="222"/>
      <c r="J70" s="222"/>
      <c r="K70" s="222"/>
      <c r="L70" s="343"/>
      <c r="M70" s="343"/>
      <c r="N70" s="339"/>
      <c r="O70" s="340"/>
      <c r="P70" s="341"/>
      <c r="Q70" s="359"/>
      <c r="R70" s="341">
        <f>IF(NOT(ISERROR(MATCH(Q70,_xlfn.ANCHORARRAY(F81),0))),Q83&amp;"Por favor no seleccionar los criterios de impacto",Q70)</f>
        <v>0</v>
      </c>
      <c r="S70" s="340"/>
      <c r="T70" s="341"/>
      <c r="U70" s="358"/>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39"/>
      <c r="AQ70" s="339"/>
      <c r="AR70" s="339"/>
    </row>
    <row r="71" spans="1:44" ht="37.5" customHeight="1" x14ac:dyDescent="0.25">
      <c r="A71" s="328"/>
      <c r="B71" s="329"/>
      <c r="C71" s="329"/>
      <c r="D71" s="329"/>
      <c r="E71" s="329"/>
      <c r="F71" s="329"/>
      <c r="G71" s="343"/>
      <c r="H71" s="343"/>
      <c r="I71" s="222"/>
      <c r="J71" s="222"/>
      <c r="K71" s="222"/>
      <c r="L71" s="343"/>
      <c r="M71" s="343"/>
      <c r="N71" s="339"/>
      <c r="O71" s="340"/>
      <c r="P71" s="341"/>
      <c r="Q71" s="359"/>
      <c r="R71" s="341">
        <f>IF(NOT(ISERROR(MATCH(Q71,_xlfn.ANCHORARRAY(F82),0))),Q84&amp;"Por favor no seleccionar los criterios de impacto",Q71)</f>
        <v>0</v>
      </c>
      <c r="S71" s="340"/>
      <c r="T71" s="341"/>
      <c r="U71" s="358"/>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39"/>
      <c r="AQ71" s="339"/>
      <c r="AR71" s="339"/>
    </row>
    <row r="72" spans="1:44" ht="37.5" customHeight="1" x14ac:dyDescent="0.25">
      <c r="A72" s="328"/>
      <c r="B72" s="329"/>
      <c r="C72" s="329"/>
      <c r="D72" s="329"/>
      <c r="E72" s="329"/>
      <c r="F72" s="329"/>
      <c r="G72" s="344"/>
      <c r="H72" s="344"/>
      <c r="I72" s="223"/>
      <c r="J72" s="223"/>
      <c r="K72" s="223"/>
      <c r="L72" s="344"/>
      <c r="M72" s="344"/>
      <c r="N72" s="339"/>
      <c r="O72" s="340"/>
      <c r="P72" s="341"/>
      <c r="Q72" s="359"/>
      <c r="R72" s="341">
        <f>IF(NOT(ISERROR(MATCH(Q72,_xlfn.ANCHORARRAY(F83),0))),Q85&amp;"Por favor no seleccionar los criterios de impacto",Q72)</f>
        <v>0</v>
      </c>
      <c r="S72" s="340"/>
      <c r="T72" s="341"/>
      <c r="U72" s="358"/>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39"/>
      <c r="AQ72" s="339"/>
      <c r="AR72" s="339"/>
    </row>
    <row r="73" spans="1:44" ht="49.5" customHeight="1" x14ac:dyDescent="0.25">
      <c r="A73" s="216"/>
      <c r="B73" s="365" t="s">
        <v>285</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row>
    <row r="75" spans="1:44" ht="15.6" x14ac:dyDescent="0.25">
      <c r="A75" s="198"/>
      <c r="B75" s="206" t="s">
        <v>286</v>
      </c>
      <c r="C75" s="198"/>
      <c r="D75" s="198"/>
      <c r="E75" s="198"/>
      <c r="N75" s="198"/>
    </row>
  </sheetData>
  <dataConsolidate/>
  <mergeCells count="299">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T55:T60"/>
    <mergeCell ref="U55:U60"/>
    <mergeCell ref="AP55:AP60"/>
    <mergeCell ref="AQ55:AQ60"/>
    <mergeCell ref="AR55:AR60"/>
    <mergeCell ref="M55:M60"/>
    <mergeCell ref="N55:N60"/>
    <mergeCell ref="O55:O60"/>
    <mergeCell ref="P55:P60"/>
    <mergeCell ref="Q55:Q60"/>
    <mergeCell ref="R55:R60"/>
    <mergeCell ref="G55:G60"/>
    <mergeCell ref="H55:H60"/>
    <mergeCell ref="I55:I60"/>
    <mergeCell ref="J55:J60"/>
    <mergeCell ref="K55:K60"/>
    <mergeCell ref="L55:L60"/>
    <mergeCell ref="A55:A60"/>
    <mergeCell ref="B55:B60"/>
    <mergeCell ref="C55:C60"/>
    <mergeCell ref="D55:D60"/>
    <mergeCell ref="E55:E60"/>
    <mergeCell ref="F55:F60"/>
    <mergeCell ref="S49:S54"/>
    <mergeCell ref="T49:T54"/>
    <mergeCell ref="U49:U54"/>
    <mergeCell ref="AP49:AP54"/>
    <mergeCell ref="AQ49:AQ54"/>
    <mergeCell ref="AR49:AR54"/>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S43:S48"/>
    <mergeCell ref="T43:T48"/>
    <mergeCell ref="U43:U48"/>
    <mergeCell ref="AP43:AP48"/>
    <mergeCell ref="AQ43:AQ48"/>
    <mergeCell ref="AR43:AR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E43:E48"/>
    <mergeCell ref="F43:F48"/>
    <mergeCell ref="S37:S42"/>
    <mergeCell ref="T37:T42"/>
    <mergeCell ref="U37:U42"/>
    <mergeCell ref="AP37:AP42"/>
    <mergeCell ref="AQ37:AQ42"/>
    <mergeCell ref="AR37:AR42"/>
    <mergeCell ref="M37:M42"/>
    <mergeCell ref="N37:N42"/>
    <mergeCell ref="O37:O42"/>
    <mergeCell ref="P37:P42"/>
    <mergeCell ref="Q37:Q42"/>
    <mergeCell ref="R37:R42"/>
    <mergeCell ref="G37:G42"/>
    <mergeCell ref="H37:H42"/>
    <mergeCell ref="I37:I42"/>
    <mergeCell ref="J37:J42"/>
    <mergeCell ref="K37:K42"/>
    <mergeCell ref="L37:L42"/>
    <mergeCell ref="A37:A42"/>
    <mergeCell ref="B37:B42"/>
    <mergeCell ref="C37:C42"/>
    <mergeCell ref="D37:D42"/>
    <mergeCell ref="E37:E42"/>
    <mergeCell ref="F37:F42"/>
    <mergeCell ref="S31:S36"/>
    <mergeCell ref="T31:T36"/>
    <mergeCell ref="U31:U36"/>
    <mergeCell ref="AP31:AP36"/>
    <mergeCell ref="AQ31:AQ36"/>
    <mergeCell ref="AR31:AR36"/>
    <mergeCell ref="M31:M36"/>
    <mergeCell ref="N31:N36"/>
    <mergeCell ref="O31:O36"/>
    <mergeCell ref="P31:P36"/>
    <mergeCell ref="Q31:Q36"/>
    <mergeCell ref="R31:R36"/>
    <mergeCell ref="G31:G36"/>
    <mergeCell ref="H31:H36"/>
    <mergeCell ref="I31:I36"/>
    <mergeCell ref="J31:J36"/>
    <mergeCell ref="K31:K36"/>
    <mergeCell ref="L31:L36"/>
    <mergeCell ref="A31:A36"/>
    <mergeCell ref="B31:B36"/>
    <mergeCell ref="C31:C36"/>
    <mergeCell ref="D31:D36"/>
    <mergeCell ref="E31:E36"/>
    <mergeCell ref="F31:F36"/>
    <mergeCell ref="S25:S30"/>
    <mergeCell ref="T25:T30"/>
    <mergeCell ref="U25:U30"/>
    <mergeCell ref="AP25:AP30"/>
    <mergeCell ref="AQ25:AQ30"/>
    <mergeCell ref="AR25:AR30"/>
    <mergeCell ref="M25:M30"/>
    <mergeCell ref="N25:N30"/>
    <mergeCell ref="O25:O30"/>
    <mergeCell ref="P25:P30"/>
    <mergeCell ref="Q25:Q30"/>
    <mergeCell ref="R25:R30"/>
    <mergeCell ref="G25:G30"/>
    <mergeCell ref="H25:H30"/>
    <mergeCell ref="I25:I30"/>
    <mergeCell ref="J25:J30"/>
    <mergeCell ref="K25:K30"/>
    <mergeCell ref="L25:L30"/>
    <mergeCell ref="A25:A30"/>
    <mergeCell ref="B25:B30"/>
    <mergeCell ref="C25:C30"/>
    <mergeCell ref="D25:D30"/>
    <mergeCell ref="E25:E30"/>
    <mergeCell ref="F25:F30"/>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11:A12"/>
    <mergeCell ref="B11:B12"/>
    <mergeCell ref="C11:C12"/>
    <mergeCell ref="D11:D12"/>
    <mergeCell ref="E11:E12"/>
    <mergeCell ref="F11:F12"/>
    <mergeCell ref="G11:G12"/>
    <mergeCell ref="H11:H12"/>
    <mergeCell ref="I11:I12"/>
    <mergeCell ref="A8:B8"/>
    <mergeCell ref="Z8:AR8"/>
    <mergeCell ref="A10:F10"/>
    <mergeCell ref="G10:K10"/>
    <mergeCell ref="P10:V10"/>
    <mergeCell ref="W10:AE10"/>
    <mergeCell ref="AF10:AJ10"/>
    <mergeCell ref="AK10:AO10"/>
    <mergeCell ref="AP10:AR10"/>
    <mergeCell ref="C8:T8"/>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Listas!$H$14:$H$18</xm:f>
          </x14:formula1>
          <xm:sqref>M13:M72</xm:sqref>
        </x14:dataValidation>
        <x14:dataValidation type="list" allowBlank="1" showInputMessage="1" showErrorMessage="1">
          <x14:formula1>
            <xm:f>Listas!$H$8:$H$12</xm:f>
          </x14:formula1>
          <xm:sqref>L13:L72</xm:sqref>
        </x14:dataValidation>
        <x14:dataValidation type="list" allowBlank="1" showInputMessage="1" showErrorMessage="1">
          <x14:formula1>
            <xm:f>Intructivo!$C$300:$C$316</xm:f>
          </x14:formula1>
          <xm:sqref>C6 T6:V6</xm:sqref>
        </x14:dataValidation>
        <x14:dataValidation type="list" allowBlank="1" showInputMessage="1" showErrorMessage="1">
          <x14:formula1>
            <xm:f>Listas!$F$8:$F$9</xm:f>
          </x14:formula1>
          <xm:sqref>G13:G72</xm:sqref>
        </x14:dataValidation>
        <x14:dataValidation type="list" allowBlank="1" showInputMessage="1" showErrorMessage="1">
          <x14:formula1>
            <xm:f>Listas!$B$17:$B$19</xm:f>
          </x14:formula1>
          <xm:sqref>F13:F72</xm:sqref>
        </x14:dataValidation>
        <x14:dataValidation type="custom" allowBlank="1" showInputMessage="1" showErrorMessage="1" error="Recuerde que las acciones se generan bajo la medida de mitigar el riesgo">
          <x14:formula1>
            <xm:f>IF(OR(#REF!=Listas!$B$2,#REF!=Listas!$B$3,#REF!=Listas!$B$4),ISBLANK(#REF!),ISTEXT(#REF!))</xm:f>
          </x14:formula1>
          <xm:sqref>AP19:AR19 AP67:AR67 AP61:AR61 AP55:AR55 AP49:AR49 AP43:AR43 AP37:AR37 AP31:AR31 AP25:AR25</xm:sqref>
        </x14:dataValidation>
        <x14:dataValidation type="list" allowBlank="1" showInputMessage="1" showErrorMessage="1">
          <x14:formula1>
            <xm:f>Listas!$B$2:$B$5</xm:f>
          </x14:formula1>
          <xm:sqref>AK13:AK72</xm:sqref>
        </x14:dataValidation>
        <x14:dataValidation type="list" allowBlank="1" showInputMessage="1" showErrorMessage="1">
          <x14:formula1>
            <xm:f>Listas!$E$2:$E$4</xm:f>
          </x14:formula1>
          <xm:sqref>B13:B72</xm:sqref>
        </x14:dataValidation>
        <x14:dataValidation type="list" allowBlank="1" showInputMessage="1" showErrorMessage="1">
          <x14:formula1>
            <xm:f>'Tabla Valoración controles'!$D$13:$D$14</xm:f>
          </x14:formula1>
          <xm:sqref>AD13:AD72</xm:sqref>
        </x14:dataValidation>
        <x14:dataValidation type="list" allowBlank="1" showInputMessage="1" showErrorMessage="1">
          <x14:formula1>
            <xm:f>'Tabla Valoración controles'!$D$11:$D$12</xm:f>
          </x14:formula1>
          <xm:sqref>AC13:AC72</xm:sqref>
        </x14:dataValidation>
        <x14:dataValidation type="list" allowBlank="1" showInputMessage="1" showErrorMessage="1">
          <x14:formula1>
            <xm:f>'Tabla Valoración controles'!$D$9:$D$10</xm:f>
          </x14:formula1>
          <xm:sqref>AB13:AB72</xm:sqref>
        </x14:dataValidation>
        <x14:dataValidation type="list" allowBlank="1" showInputMessage="1" showErrorMessage="1">
          <x14:formula1>
            <xm:f>'Tabla Valoración controles'!$D$7:$D$8</xm:f>
          </x14:formula1>
          <xm:sqref>Z13:Z72</xm:sqref>
        </x14:dataValidation>
        <x14:dataValidation type="list" allowBlank="1" showInputMessage="1" showErrorMessage="1">
          <x14:formula1>
            <xm:f>'Tabla Valoración controles'!$D$4:$D$6</xm:f>
          </x14:formula1>
          <xm:sqref>Y13:Y72</xm:sqref>
        </x14:dataValidation>
        <x14:dataValidation type="list" allowBlank="1" showInputMessage="1" showErrorMessage="1">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zoomScaleNormal="100" zoomScaleSheetLayoutView="90" workbookViewId="0">
      <selection activeCell="B25" sqref="B25:F25"/>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32" t="s">
        <v>305</v>
      </c>
      <c r="C2" s="533"/>
      <c r="D2" s="533"/>
      <c r="E2" s="533"/>
      <c r="F2" s="534"/>
    </row>
    <row r="3" spans="2:6" ht="31.95" customHeight="1" x14ac:dyDescent="0.3">
      <c r="B3" s="535" t="s">
        <v>306</v>
      </c>
      <c r="C3" s="537" t="s">
        <v>307</v>
      </c>
      <c r="D3" s="537"/>
      <c r="E3" s="537" t="s">
        <v>308</v>
      </c>
      <c r="F3" s="539"/>
    </row>
    <row r="4" spans="2:6" ht="28.2" customHeight="1" thickBot="1" x14ac:dyDescent="0.35">
      <c r="B4" s="536"/>
      <c r="C4" s="538"/>
      <c r="D4" s="538"/>
      <c r="E4" s="158" t="s">
        <v>309</v>
      </c>
      <c r="F4" s="159" t="s">
        <v>310</v>
      </c>
    </row>
    <row r="5" spans="2:6" ht="23.25" customHeight="1" x14ac:dyDescent="0.3">
      <c r="B5" s="149">
        <v>1</v>
      </c>
      <c r="C5" s="540" t="s">
        <v>311</v>
      </c>
      <c r="D5" s="540"/>
      <c r="E5" s="178"/>
      <c r="F5" s="179"/>
    </row>
    <row r="6" spans="2:6" ht="33" customHeight="1" x14ac:dyDescent="0.3">
      <c r="B6" s="150">
        <v>2</v>
      </c>
      <c r="C6" s="529" t="s">
        <v>312</v>
      </c>
      <c r="D6" s="529"/>
      <c r="E6" s="180"/>
      <c r="F6" s="181"/>
    </row>
    <row r="7" spans="2:6" ht="39" customHeight="1" x14ac:dyDescent="0.3">
      <c r="B7" s="150">
        <v>3</v>
      </c>
      <c r="C7" s="529" t="s">
        <v>313</v>
      </c>
      <c r="D7" s="529"/>
      <c r="E7" s="180"/>
      <c r="F7" s="181"/>
    </row>
    <row r="8" spans="2:6" ht="24.75" customHeight="1" x14ac:dyDescent="0.3">
      <c r="B8" s="150">
        <v>4</v>
      </c>
      <c r="C8" s="529" t="s">
        <v>314</v>
      </c>
      <c r="D8" s="529"/>
      <c r="E8" s="180"/>
      <c r="F8" s="181"/>
    </row>
    <row r="9" spans="2:6" ht="23.25" customHeight="1" x14ac:dyDescent="0.3">
      <c r="B9" s="150">
        <v>5</v>
      </c>
      <c r="C9" s="529" t="s">
        <v>315</v>
      </c>
      <c r="D9" s="529"/>
      <c r="E9" s="180"/>
      <c r="F9" s="181"/>
    </row>
    <row r="10" spans="2:6" ht="23.25" customHeight="1" x14ac:dyDescent="0.3">
      <c r="B10" s="150">
        <v>6</v>
      </c>
      <c r="C10" s="529" t="s">
        <v>316</v>
      </c>
      <c r="D10" s="529"/>
      <c r="E10" s="180"/>
      <c r="F10" s="181"/>
    </row>
    <row r="11" spans="2:6" ht="23.25" customHeight="1" x14ac:dyDescent="0.3">
      <c r="B11" s="150">
        <v>7</v>
      </c>
      <c r="C11" s="529" t="s">
        <v>317</v>
      </c>
      <c r="D11" s="529"/>
      <c r="E11" s="180"/>
      <c r="F11" s="181"/>
    </row>
    <row r="12" spans="2:6" ht="25.5" customHeight="1" x14ac:dyDescent="0.3">
      <c r="B12" s="150">
        <v>8</v>
      </c>
      <c r="C12" s="529" t="s">
        <v>318</v>
      </c>
      <c r="D12" s="529"/>
      <c r="E12" s="151"/>
      <c r="F12" s="152"/>
    </row>
    <row r="13" spans="2:6" ht="23.25" customHeight="1" x14ac:dyDescent="0.3">
      <c r="B13" s="150">
        <v>9</v>
      </c>
      <c r="C13" s="529" t="s">
        <v>319</v>
      </c>
      <c r="D13" s="529"/>
      <c r="E13" s="151"/>
      <c r="F13" s="152"/>
    </row>
    <row r="14" spans="2:6" ht="23.25" customHeight="1" x14ac:dyDescent="0.3">
      <c r="B14" s="150">
        <v>10</v>
      </c>
      <c r="C14" s="529" t="s">
        <v>320</v>
      </c>
      <c r="D14" s="529"/>
      <c r="E14" s="151"/>
      <c r="F14" s="152"/>
    </row>
    <row r="15" spans="2:6" ht="23.25" customHeight="1" x14ac:dyDescent="0.3">
      <c r="B15" s="150">
        <v>11</v>
      </c>
      <c r="C15" s="529" t="s">
        <v>321</v>
      </c>
      <c r="D15" s="529"/>
      <c r="E15" s="151"/>
      <c r="F15" s="152"/>
    </row>
    <row r="16" spans="2:6" ht="23.25" customHeight="1" x14ac:dyDescent="0.3">
      <c r="B16" s="150">
        <v>12</v>
      </c>
      <c r="C16" s="529" t="s">
        <v>322</v>
      </c>
      <c r="D16" s="529"/>
      <c r="E16" s="151"/>
      <c r="F16" s="152"/>
    </row>
    <row r="17" spans="2:6" ht="23.25" customHeight="1" x14ac:dyDescent="0.3">
      <c r="B17" s="150">
        <v>13</v>
      </c>
      <c r="C17" s="529" t="s">
        <v>323</v>
      </c>
      <c r="D17" s="529"/>
      <c r="E17" s="151"/>
      <c r="F17" s="152"/>
    </row>
    <row r="18" spans="2:6" ht="23.25" customHeight="1" x14ac:dyDescent="0.3">
      <c r="B18" s="150">
        <v>14</v>
      </c>
      <c r="C18" s="529" t="s">
        <v>324</v>
      </c>
      <c r="D18" s="529"/>
      <c r="E18" s="151"/>
      <c r="F18" s="152"/>
    </row>
    <row r="19" spans="2:6" ht="23.25" customHeight="1" x14ac:dyDescent="0.3">
      <c r="B19" s="150">
        <v>15</v>
      </c>
      <c r="C19" s="529" t="s">
        <v>325</v>
      </c>
      <c r="D19" s="529"/>
      <c r="E19" s="151"/>
      <c r="F19" s="152"/>
    </row>
    <row r="20" spans="2:6" ht="23.25" customHeight="1" x14ac:dyDescent="0.3">
      <c r="B20" s="150">
        <v>16</v>
      </c>
      <c r="C20" s="529" t="s">
        <v>326</v>
      </c>
      <c r="D20" s="529"/>
      <c r="E20" s="151"/>
      <c r="F20" s="152"/>
    </row>
    <row r="21" spans="2:6" ht="23.25" customHeight="1" x14ac:dyDescent="0.3">
      <c r="B21" s="150">
        <v>17</v>
      </c>
      <c r="C21" s="529" t="s">
        <v>327</v>
      </c>
      <c r="D21" s="529"/>
      <c r="E21" s="151"/>
      <c r="F21" s="152"/>
    </row>
    <row r="22" spans="2:6" ht="23.25" customHeight="1" x14ac:dyDescent="0.3">
      <c r="B22" s="150">
        <v>18</v>
      </c>
      <c r="C22" s="530" t="s">
        <v>328</v>
      </c>
      <c r="D22" s="530"/>
      <c r="E22" s="151"/>
      <c r="F22" s="152"/>
    </row>
    <row r="23" spans="2:6" ht="23.25" customHeight="1" thickBot="1" x14ac:dyDescent="0.35">
      <c r="B23" s="150">
        <v>19</v>
      </c>
      <c r="C23" s="529" t="s">
        <v>329</v>
      </c>
      <c r="D23" s="529"/>
      <c r="E23" s="151"/>
      <c r="F23" s="152"/>
    </row>
    <row r="24" spans="2:6" ht="15.75" customHeight="1" thickBot="1" x14ac:dyDescent="0.35">
      <c r="B24" s="531" t="s">
        <v>330</v>
      </c>
      <c r="C24" s="525"/>
      <c r="D24" s="525"/>
      <c r="E24" s="525">
        <f>COUNTIF(E5:E23,"X")</f>
        <v>0</v>
      </c>
      <c r="F24" s="526"/>
    </row>
    <row r="25" spans="2:6" ht="45.75" customHeight="1" x14ac:dyDescent="0.3">
      <c r="B25" s="527" t="s">
        <v>331</v>
      </c>
      <c r="C25" s="527"/>
      <c r="D25" s="527"/>
      <c r="E25" s="527"/>
      <c r="F25" s="527"/>
    </row>
    <row r="26" spans="2:6" ht="9.75" customHeight="1" x14ac:dyDescent="0.3">
      <c r="B26" s="528"/>
      <c r="C26" s="528"/>
      <c r="D26" s="528"/>
      <c r="E26" s="528"/>
      <c r="F26" s="528"/>
    </row>
    <row r="27" spans="2:6" x14ac:dyDescent="0.3">
      <c r="B27" s="247"/>
    </row>
    <row r="28" spans="2:6" x14ac:dyDescent="0.3">
      <c r="B28" s="247"/>
    </row>
    <row r="29" spans="2:6" x14ac:dyDescent="0.3">
      <c r="B29" s="247"/>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P75"/>
  <sheetViews>
    <sheetView topLeftCell="A4" zoomScale="70" zoomScaleNormal="70" zoomScaleSheetLayoutView="50" zoomScalePageLayoutView="60" workbookViewId="0">
      <selection activeCell="AP13" sqref="AP13:AS72"/>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25.33203125" style="218" customWidth="1"/>
    <col min="5" max="5" width="40.109375" style="218" customWidth="1"/>
    <col min="6" max="10" width="17.6640625" style="198" customWidth="1"/>
    <col min="11" max="11" width="16" style="198" customWidth="1"/>
    <col min="12" max="12" width="24.33203125" style="198" customWidth="1"/>
    <col min="13" max="14" width="29.44140625" style="198" customWidth="1"/>
    <col min="15" max="15" width="24.33203125" style="198" customWidth="1"/>
    <col min="16" max="16" width="19.44140625" style="198" customWidth="1"/>
    <col min="17" max="17" width="20.5546875" style="198" customWidth="1"/>
    <col min="18" max="18" width="16.6640625" style="219" customWidth="1"/>
    <col min="19" max="19" width="16.6640625" style="198" customWidth="1"/>
    <col min="20" max="20" width="20.44140625" style="198" customWidth="1"/>
    <col min="21" max="21" width="12.88671875" style="198" customWidth="1"/>
    <col min="22" max="22" width="35.88671875" style="198" hidden="1" customWidth="1"/>
    <col min="23" max="23" width="30.5546875" style="198" hidden="1" customWidth="1"/>
    <col min="24" max="24" width="17.5546875" style="198" customWidth="1"/>
    <col min="25" max="25" width="15" style="198" customWidth="1"/>
    <col min="26" max="26" width="16" style="198" customWidth="1"/>
    <col min="27" max="27" width="32.6640625" style="198" customWidth="1"/>
    <col min="28" max="28" width="26.88671875" style="198" hidden="1" customWidth="1"/>
    <col min="29" max="29" width="5.88671875" style="198" customWidth="1"/>
    <col min="30" max="30" width="6.88671875" style="198" customWidth="1"/>
    <col min="31" max="31" width="5" style="198" hidden="1" customWidth="1"/>
    <col min="32" max="32" width="5.5546875" style="198" customWidth="1"/>
    <col min="33" max="33" width="7.109375" style="198" customWidth="1"/>
    <col min="34" max="34" width="6.6640625" style="198" customWidth="1"/>
    <col min="35" max="35" width="7.5546875" style="198" hidden="1" customWidth="1"/>
    <col min="36" max="36" width="8.5546875" style="198" customWidth="1"/>
    <col min="37" max="41" width="10.88671875" style="198" customWidth="1"/>
    <col min="42" max="42" width="10.88671875" style="217" customWidth="1"/>
    <col min="43" max="43" width="23" style="198" customWidth="1"/>
    <col min="44" max="44" width="18.88671875" style="198" customWidth="1"/>
    <col min="45" max="45" width="21.5546875" style="198" customWidth="1"/>
    <col min="46" max="46" width="22.44140625" style="198" customWidth="1"/>
    <col min="47" max="47" width="16.44140625" style="198" customWidth="1"/>
    <col min="48" max="48" width="20.5546875" style="198" customWidth="1"/>
    <col min="49" max="16384" width="11.44140625" style="198"/>
  </cols>
  <sheetData>
    <row r="1" spans="1:276" s="201" customFormat="1" ht="21" x14ac:dyDescent="0.35">
      <c r="A1" s="330"/>
      <c r="B1" s="331"/>
      <c r="C1" s="332"/>
      <c r="D1" s="319" t="s">
        <v>208</v>
      </c>
      <c r="E1" s="320"/>
      <c r="F1" s="320"/>
      <c r="G1" s="320"/>
      <c r="H1" s="320"/>
      <c r="I1" s="320"/>
      <c r="J1" s="320"/>
      <c r="K1" s="320"/>
      <c r="L1" s="320"/>
      <c r="M1" s="320"/>
      <c r="N1" s="320"/>
      <c r="O1" s="320"/>
      <c r="P1" s="320"/>
      <c r="Q1" s="320"/>
      <c r="R1" s="320"/>
      <c r="S1" s="320"/>
      <c r="T1" s="321"/>
      <c r="U1" s="252"/>
      <c r="V1" s="252"/>
      <c r="W1" s="252"/>
      <c r="X1" s="346"/>
      <c r="Y1" s="346"/>
      <c r="Z1" s="346"/>
      <c r="AA1" s="346"/>
      <c r="AB1" s="346"/>
      <c r="AC1" s="346"/>
      <c r="AD1" s="346"/>
      <c r="AE1" s="346"/>
      <c r="AF1" s="346"/>
      <c r="AG1" s="346"/>
      <c r="AH1" s="346"/>
      <c r="AI1" s="346"/>
      <c r="AJ1" s="346"/>
      <c r="AK1" s="346"/>
      <c r="AL1" s="346"/>
      <c r="AM1" s="346"/>
      <c r="AN1" s="346"/>
      <c r="AO1" s="346"/>
      <c r="AP1" s="346"/>
      <c r="AQ1" s="346"/>
      <c r="AR1" s="34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6" s="201" customFormat="1" ht="21.6" thickBot="1" x14ac:dyDescent="0.4">
      <c r="A2" s="333"/>
      <c r="B2" s="334"/>
      <c r="C2" s="335"/>
      <c r="D2" s="322"/>
      <c r="E2" s="323"/>
      <c r="F2" s="323"/>
      <c r="G2" s="323"/>
      <c r="H2" s="323"/>
      <c r="I2" s="323"/>
      <c r="J2" s="323"/>
      <c r="K2" s="323"/>
      <c r="L2" s="323"/>
      <c r="M2" s="323"/>
      <c r="N2" s="323"/>
      <c r="O2" s="323"/>
      <c r="P2" s="323"/>
      <c r="Q2" s="323"/>
      <c r="R2" s="323"/>
      <c r="S2" s="323"/>
      <c r="T2" s="324"/>
      <c r="U2" s="252"/>
      <c r="V2" s="252"/>
      <c r="W2" s="252"/>
      <c r="X2" s="346"/>
      <c r="Y2" s="346"/>
      <c r="Z2" s="346"/>
      <c r="AA2" s="346"/>
      <c r="AB2" s="346"/>
      <c r="AC2" s="346"/>
      <c r="AD2" s="346"/>
      <c r="AE2" s="346"/>
      <c r="AF2" s="346"/>
      <c r="AG2" s="346"/>
      <c r="AH2" s="346"/>
      <c r="AI2" s="346"/>
      <c r="AJ2" s="346"/>
      <c r="AK2" s="346"/>
      <c r="AL2" s="346"/>
      <c r="AM2" s="346"/>
      <c r="AN2" s="346"/>
      <c r="AO2" s="346"/>
      <c r="AP2" s="346"/>
      <c r="AQ2" s="346"/>
      <c r="AR2" s="34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6" s="201" customFormat="1" ht="27.75" customHeight="1" thickBot="1" x14ac:dyDescent="0.4">
      <c r="A3" s="333"/>
      <c r="B3" s="334"/>
      <c r="C3" s="335"/>
      <c r="D3" s="325" t="s">
        <v>209</v>
      </c>
      <c r="E3" s="326"/>
      <c r="F3" s="326"/>
      <c r="G3" s="326"/>
      <c r="H3" s="326"/>
      <c r="I3" s="327"/>
      <c r="J3" s="325"/>
      <c r="K3" s="326"/>
      <c r="L3" s="326"/>
      <c r="M3" s="326"/>
      <c r="N3" s="326"/>
      <c r="O3" s="326"/>
      <c r="P3" s="326"/>
      <c r="Q3" s="326"/>
      <c r="R3" s="326"/>
      <c r="S3" s="326" t="s">
        <v>210</v>
      </c>
      <c r="T3" s="327"/>
      <c r="U3" s="253"/>
      <c r="V3" s="253"/>
      <c r="W3" s="252"/>
      <c r="X3" s="347"/>
      <c r="Y3" s="347"/>
      <c r="Z3" s="347"/>
      <c r="AA3" s="347"/>
      <c r="AB3" s="347"/>
      <c r="AC3" s="347"/>
      <c r="AD3" s="347"/>
      <c r="AE3" s="347"/>
      <c r="AF3" s="347"/>
      <c r="AG3" s="347"/>
      <c r="AH3" s="347"/>
      <c r="AI3" s="347"/>
      <c r="AJ3" s="347"/>
      <c r="AK3" s="347"/>
      <c r="AL3" s="347"/>
      <c r="AM3" s="347"/>
      <c r="AN3" s="347"/>
      <c r="AO3" s="347"/>
      <c r="AP3" s="347"/>
      <c r="AQ3" s="347"/>
      <c r="AR3" s="34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6" s="201" customFormat="1" ht="27.75" customHeight="1" thickBot="1" x14ac:dyDescent="0.4">
      <c r="A4" s="336"/>
      <c r="B4" s="337"/>
      <c r="C4" s="338"/>
      <c r="D4" s="325" t="s">
        <v>211</v>
      </c>
      <c r="E4" s="326"/>
      <c r="F4" s="326"/>
      <c r="G4" s="326"/>
      <c r="H4" s="326"/>
      <c r="I4" s="326"/>
      <c r="J4" s="326"/>
      <c r="K4" s="326"/>
      <c r="L4" s="326"/>
      <c r="M4" s="326"/>
      <c r="N4" s="326"/>
      <c r="O4" s="326"/>
      <c r="P4" s="326"/>
      <c r="Q4" s="326"/>
      <c r="R4" s="326"/>
      <c r="S4" s="326"/>
      <c r="T4" s="327"/>
      <c r="U4" s="252"/>
      <c r="V4" s="252"/>
      <c r="W4" s="252"/>
      <c r="X4" s="347"/>
      <c r="Y4" s="347"/>
      <c r="Z4" s="347"/>
      <c r="AA4" s="347"/>
      <c r="AB4" s="347"/>
      <c r="AC4" s="347"/>
      <c r="AD4" s="347"/>
      <c r="AE4" s="347"/>
      <c r="AF4" s="347"/>
      <c r="AG4" s="347"/>
      <c r="AH4" s="347"/>
      <c r="AI4" s="347"/>
      <c r="AJ4" s="347"/>
      <c r="AK4" s="347"/>
      <c r="AL4" s="347"/>
      <c r="AM4" s="347"/>
      <c r="AN4" s="347"/>
      <c r="AO4" s="347"/>
      <c r="AP4" s="347"/>
      <c r="AQ4" s="347"/>
      <c r="AR4" s="34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6"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6" ht="27" customHeight="1" thickBot="1" x14ac:dyDescent="0.3">
      <c r="A6" s="348" t="s">
        <v>212</v>
      </c>
      <c r="B6" s="349"/>
      <c r="C6" s="355"/>
      <c r="D6" s="356"/>
      <c r="E6" s="356"/>
      <c r="F6" s="356"/>
      <c r="G6" s="356"/>
      <c r="H6" s="356"/>
      <c r="I6" s="356"/>
      <c r="J6" s="356"/>
      <c r="K6" s="356"/>
      <c r="L6" s="356"/>
      <c r="M6" s="356"/>
      <c r="N6" s="356"/>
      <c r="O6" s="356"/>
      <c r="P6" s="356"/>
      <c r="Q6" s="356"/>
      <c r="R6" s="356"/>
      <c r="S6" s="356"/>
      <c r="T6" s="357"/>
      <c r="U6" s="255"/>
      <c r="V6" s="255"/>
      <c r="W6" s="354"/>
      <c r="X6" s="354"/>
      <c r="Y6" s="354"/>
      <c r="Z6" s="345"/>
      <c r="AA6" s="345"/>
      <c r="AB6" s="345"/>
      <c r="AC6" s="345"/>
      <c r="AD6" s="345"/>
      <c r="AE6" s="345"/>
      <c r="AF6" s="345"/>
      <c r="AG6" s="345"/>
      <c r="AH6" s="345"/>
      <c r="AI6" s="345"/>
      <c r="AJ6" s="345"/>
      <c r="AK6" s="345"/>
      <c r="AL6" s="345"/>
      <c r="AM6" s="345"/>
      <c r="AN6" s="345"/>
      <c r="AO6" s="345"/>
      <c r="AP6" s="345"/>
      <c r="AQ6" s="345"/>
      <c r="AR6" s="34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6" ht="27" customHeight="1" thickBot="1" x14ac:dyDescent="0.35">
      <c r="A7" s="350" t="s">
        <v>213</v>
      </c>
      <c r="B7" s="351"/>
      <c r="C7" s="316"/>
      <c r="D7" s="317"/>
      <c r="E7" s="317"/>
      <c r="F7" s="317"/>
      <c r="G7" s="317"/>
      <c r="H7" s="317"/>
      <c r="I7" s="317"/>
      <c r="J7" s="317"/>
      <c r="K7" s="317"/>
      <c r="L7" s="317"/>
      <c r="M7" s="317"/>
      <c r="N7" s="317"/>
      <c r="O7" s="317"/>
      <c r="P7" s="317"/>
      <c r="Q7" s="317"/>
      <c r="R7" s="317"/>
      <c r="S7" s="317"/>
      <c r="T7" s="318"/>
      <c r="U7" s="256"/>
      <c r="V7" s="256"/>
      <c r="W7" s="257"/>
      <c r="X7" s="257"/>
      <c r="Y7" s="257"/>
      <c r="Z7" s="345"/>
      <c r="AA7" s="345"/>
      <c r="AB7" s="345"/>
      <c r="AC7" s="345"/>
      <c r="AD7" s="345"/>
      <c r="AE7" s="345"/>
      <c r="AF7" s="345"/>
      <c r="AG7" s="345"/>
      <c r="AH7" s="345"/>
      <c r="AI7" s="345"/>
      <c r="AJ7" s="345"/>
      <c r="AK7" s="345"/>
      <c r="AL7" s="345"/>
      <c r="AM7" s="345"/>
      <c r="AN7" s="345"/>
      <c r="AO7" s="345"/>
      <c r="AP7" s="345"/>
      <c r="AQ7" s="345"/>
      <c r="AR7" s="34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6" ht="27" customHeight="1" thickBot="1" x14ac:dyDescent="0.35">
      <c r="A8" s="352" t="s">
        <v>215</v>
      </c>
      <c r="B8" s="353"/>
      <c r="C8" s="316"/>
      <c r="D8" s="317"/>
      <c r="E8" s="317"/>
      <c r="F8" s="317"/>
      <c r="G8" s="317"/>
      <c r="H8" s="317"/>
      <c r="I8" s="317"/>
      <c r="J8" s="317"/>
      <c r="K8" s="317"/>
      <c r="L8" s="317"/>
      <c r="M8" s="317"/>
      <c r="N8" s="317"/>
      <c r="O8" s="317"/>
      <c r="P8" s="317"/>
      <c r="Q8" s="317"/>
      <c r="R8" s="317"/>
      <c r="S8" s="317"/>
      <c r="T8" s="318"/>
      <c r="U8" s="256"/>
      <c r="V8" s="256"/>
      <c r="W8" s="257"/>
      <c r="X8" s="257"/>
      <c r="Y8" s="257"/>
      <c r="Z8" s="345"/>
      <c r="AA8" s="345"/>
      <c r="AB8" s="345"/>
      <c r="AC8" s="345"/>
      <c r="AD8" s="345"/>
      <c r="AE8" s="345"/>
      <c r="AF8" s="345"/>
      <c r="AG8" s="345"/>
      <c r="AH8" s="345"/>
      <c r="AI8" s="345"/>
      <c r="AJ8" s="345"/>
      <c r="AK8" s="345"/>
      <c r="AL8" s="345"/>
      <c r="AM8" s="345"/>
      <c r="AN8" s="345"/>
      <c r="AO8" s="345"/>
      <c r="AP8" s="345"/>
      <c r="AQ8" s="345"/>
      <c r="AR8" s="34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6"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6" ht="39" customHeight="1" x14ac:dyDescent="0.25">
      <c r="A10" s="360" t="s">
        <v>217</v>
      </c>
      <c r="B10" s="361"/>
      <c r="C10" s="361"/>
      <c r="D10" s="361"/>
      <c r="E10" s="361"/>
      <c r="F10" s="361"/>
      <c r="G10" s="361"/>
      <c r="H10" s="361"/>
      <c r="I10" s="361"/>
      <c r="J10" s="362"/>
      <c r="K10" s="378" t="s">
        <v>218</v>
      </c>
      <c r="L10" s="379"/>
      <c r="M10" s="379"/>
      <c r="N10" s="379"/>
      <c r="O10" s="380"/>
      <c r="P10" s="541" t="s">
        <v>219</v>
      </c>
      <c r="Q10" s="542"/>
      <c r="R10" s="224"/>
      <c r="S10" s="224"/>
      <c r="T10" s="389" t="s">
        <v>220</v>
      </c>
      <c r="U10" s="389"/>
      <c r="V10" s="389"/>
      <c r="W10" s="389"/>
      <c r="X10" s="389"/>
      <c r="Y10" s="389"/>
      <c r="Z10" s="389"/>
      <c r="AA10" s="389" t="s">
        <v>221</v>
      </c>
      <c r="AB10" s="389"/>
      <c r="AC10" s="389"/>
      <c r="AD10" s="389"/>
      <c r="AE10" s="389"/>
      <c r="AF10" s="389"/>
      <c r="AG10" s="389"/>
      <c r="AH10" s="389"/>
      <c r="AI10" s="389"/>
      <c r="AJ10" s="381" t="s">
        <v>222</v>
      </c>
      <c r="AK10" s="382"/>
      <c r="AL10" s="382"/>
      <c r="AM10" s="382"/>
      <c r="AN10" s="383"/>
      <c r="AO10" s="381" t="s">
        <v>332</v>
      </c>
      <c r="AP10" s="382"/>
      <c r="AQ10" s="382"/>
      <c r="AR10" s="382"/>
      <c r="AS10" s="383"/>
      <c r="AT10" s="381" t="s">
        <v>333</v>
      </c>
      <c r="AU10" s="382"/>
      <c r="AV10" s="383"/>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5">
      <c r="A11" s="370" t="s">
        <v>225</v>
      </c>
      <c r="B11" s="371" t="s">
        <v>15</v>
      </c>
      <c r="C11" s="364" t="s">
        <v>17</v>
      </c>
      <c r="D11" s="364" t="s">
        <v>19</v>
      </c>
      <c r="E11" s="371" t="s">
        <v>21</v>
      </c>
      <c r="F11" s="364" t="s">
        <v>23</v>
      </c>
      <c r="G11" s="544" t="s">
        <v>334</v>
      </c>
      <c r="H11" s="543" t="s">
        <v>335</v>
      </c>
      <c r="I11" s="543" t="s">
        <v>336</v>
      </c>
      <c r="J11" s="543" t="s">
        <v>337</v>
      </c>
      <c r="K11" s="373" t="s">
        <v>124</v>
      </c>
      <c r="L11" s="373" t="s">
        <v>304</v>
      </c>
      <c r="M11" s="373" t="s">
        <v>227</v>
      </c>
      <c r="N11" s="373" t="s">
        <v>228</v>
      </c>
      <c r="O11" s="373" t="s">
        <v>229</v>
      </c>
      <c r="P11" s="251"/>
      <c r="Q11" s="251"/>
      <c r="R11" s="375" t="s">
        <v>230</v>
      </c>
      <c r="S11" s="375" t="s">
        <v>231</v>
      </c>
      <c r="T11" s="363" t="s">
        <v>232</v>
      </c>
      <c r="U11" s="375" t="s">
        <v>233</v>
      </c>
      <c r="V11" s="375" t="s">
        <v>234</v>
      </c>
      <c r="W11" s="375" t="s">
        <v>235</v>
      </c>
      <c r="X11" s="363" t="s">
        <v>232</v>
      </c>
      <c r="Y11" s="375" t="s">
        <v>29</v>
      </c>
      <c r="Z11" s="376" t="s">
        <v>236</v>
      </c>
      <c r="AA11" s="375" t="s">
        <v>31</v>
      </c>
      <c r="AB11" s="375" t="s">
        <v>33</v>
      </c>
      <c r="AC11" s="375" t="s">
        <v>237</v>
      </c>
      <c r="AD11" s="375"/>
      <c r="AE11" s="375"/>
      <c r="AF11" s="375"/>
      <c r="AG11" s="375"/>
      <c r="AH11" s="375"/>
      <c r="AI11" s="376" t="s">
        <v>238</v>
      </c>
      <c r="AJ11" s="376" t="s">
        <v>239</v>
      </c>
      <c r="AK11" s="376" t="s">
        <v>232</v>
      </c>
      <c r="AL11" s="376" t="s">
        <v>240</v>
      </c>
      <c r="AM11" s="376" t="s">
        <v>232</v>
      </c>
      <c r="AN11" s="376" t="s">
        <v>241</v>
      </c>
      <c r="AO11" s="376" t="s">
        <v>49</v>
      </c>
      <c r="AP11" s="375" t="s">
        <v>242</v>
      </c>
      <c r="AQ11" s="375" t="s">
        <v>243</v>
      </c>
      <c r="AR11" s="375" t="s">
        <v>244</v>
      </c>
      <c r="AS11" s="375" t="s">
        <v>245</v>
      </c>
      <c r="AT11" s="375" t="s">
        <v>338</v>
      </c>
      <c r="AU11" s="375" t="s">
        <v>339</v>
      </c>
      <c r="AV11" s="375" t="s">
        <v>340</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3">
      <c r="A12" s="370"/>
      <c r="B12" s="371"/>
      <c r="C12" s="364"/>
      <c r="D12" s="364"/>
      <c r="E12" s="371"/>
      <c r="F12" s="364"/>
      <c r="G12" s="545"/>
      <c r="H12" s="543"/>
      <c r="I12" s="543"/>
      <c r="J12" s="543"/>
      <c r="K12" s="374"/>
      <c r="L12" s="374"/>
      <c r="M12" s="374"/>
      <c r="N12" s="374"/>
      <c r="O12" s="374"/>
      <c r="P12" s="250" t="s">
        <v>246</v>
      </c>
      <c r="Q12" s="250" t="s">
        <v>247</v>
      </c>
      <c r="R12" s="375"/>
      <c r="S12" s="375"/>
      <c r="T12" s="363"/>
      <c r="U12" s="375"/>
      <c r="V12" s="375"/>
      <c r="W12" s="363"/>
      <c r="X12" s="363"/>
      <c r="Y12" s="375"/>
      <c r="Z12" s="376"/>
      <c r="AA12" s="375"/>
      <c r="AB12" s="375"/>
      <c r="AC12" s="210" t="s">
        <v>248</v>
      </c>
      <c r="AD12" s="210" t="s">
        <v>249</v>
      </c>
      <c r="AE12" s="210" t="s">
        <v>250</v>
      </c>
      <c r="AF12" s="210" t="s">
        <v>251</v>
      </c>
      <c r="AG12" s="210" t="s">
        <v>252</v>
      </c>
      <c r="AH12" s="210" t="s">
        <v>253</v>
      </c>
      <c r="AI12" s="376"/>
      <c r="AJ12" s="376"/>
      <c r="AK12" s="376"/>
      <c r="AL12" s="376"/>
      <c r="AM12" s="376"/>
      <c r="AN12" s="376"/>
      <c r="AO12" s="376"/>
      <c r="AP12" s="375"/>
      <c r="AQ12" s="375"/>
      <c r="AR12" s="375"/>
      <c r="AS12" s="375"/>
      <c r="AT12" s="375"/>
      <c r="AU12" s="375"/>
      <c r="AV12" s="375"/>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ht="103.5" customHeight="1" x14ac:dyDescent="0.3">
      <c r="A13" s="328">
        <v>1</v>
      </c>
      <c r="B13" s="329"/>
      <c r="C13" s="329"/>
      <c r="D13" s="329"/>
      <c r="E13" s="372"/>
      <c r="F13" s="329"/>
      <c r="G13" s="342"/>
      <c r="H13" s="342"/>
      <c r="I13" s="342"/>
      <c r="J13" s="342"/>
      <c r="K13" s="342"/>
      <c r="L13" s="342"/>
      <c r="M13" s="342"/>
      <c r="N13" s="342"/>
      <c r="O13" s="342"/>
      <c r="P13" s="342"/>
      <c r="Q13" s="342"/>
      <c r="R13" s="339"/>
      <c r="S13" s="340" t="str">
        <f>IF(R13&lt;=0,"",IF(R13&lt;=2,"Muy Baja",IF(R13&lt;=24,"Baja",IF(R13&lt;=500,"Media",IF(R13&lt;=5000,"Alta","Muy Alta")))))</f>
        <v/>
      </c>
      <c r="T13" s="341" t="str">
        <f>IF(S13="","",IF(S13="Muy Baja",0.2,IF(S13="Baja",0.4,IF(S13="Media",0.6,IF(S13="Alta",0.8,IF(S13="Muy Alta",1,))))))</f>
        <v/>
      </c>
      <c r="U13" s="359"/>
      <c r="V13" s="341">
        <f>IF(NOT(ISERROR(MATCH(U13,'Tabla Impacto'!$B$222:$B$224,0))),'Tabla Impacto'!$F$224&amp;"Por favor no seleccionar los criterios de impacto(Afectación Económica o presupuestal y Pérdida Reputacional)",U13)</f>
        <v>0</v>
      </c>
      <c r="W13" s="340" t="str">
        <f>IF(OR(V13='Tabla Impacto'!$C$12,V13='Tabla Impacto'!$D$12),"Leve",IF(OR(V13='Tabla Impacto'!$C$13,V13='Tabla Impacto'!$D$13),"Menor",IF(OR(V13='Tabla Impacto'!$C$14,V13='Tabla Impacto'!$D$14),"Moderado",IF(OR(V13='Tabla Impacto'!$C$15,V13='Tabla Impacto'!$D$15),"Mayor",IF(OR(V13='Tabla Impacto'!$C$16,V13='Tabla Impacto'!$D$16),"Catastrófico","")))))</f>
        <v/>
      </c>
      <c r="X13" s="341" t="str">
        <f>IF(W13="","",IF(W13="Leve",0.2,IF(W13="Menor",0.4,IF(W13="Moderado",0.6,IF(W13="Mayor",0.8,IF(W13="Catastrófico",1,))))))</f>
        <v/>
      </c>
      <c r="Y13" s="358"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
      </c>
      <c r="Z13" s="214">
        <v>1</v>
      </c>
      <c r="AA13" s="240"/>
      <c r="AB13" s="189" t="str">
        <f t="shared" ref="AB13:AB18" si="0">IF(OR(AC13="Preventivo",AC13="Detectivo"),"Probabilidad",IF(AC13="Correctivo","Impacto",""))</f>
        <v/>
      </c>
      <c r="AC13" s="190"/>
      <c r="AD13" s="190"/>
      <c r="AE13" s="191" t="str">
        <f>IF(AND(AC13="Preventivo",AD13="Automático"),"50%",IF(AND(AC13="Preventivo",AD13="Manual"),"40%",IF(AND(AC13="Detectivo",AD13="Automático"),"40%",IF(AND(AC13="Detectivo",AD13="Manual"),"30%",IF(AND(AC13="Correctivo",AD13="Automático"),"35%",IF(AND(AC13="Correctivo",AD13="Manual"),"25%",""))))))</f>
        <v/>
      </c>
      <c r="AF13" s="190"/>
      <c r="AG13" s="190"/>
      <c r="AH13" s="190"/>
      <c r="AI13" s="192" t="str">
        <f>IFERROR(IF(AB13="Probabilidad",(T13-(+T13*AE13)),IF(AB13="Impacto",T13,"")),"")</f>
        <v/>
      </c>
      <c r="AJ13" s="193" t="str">
        <f>IFERROR(IF(AI13="","",IF(AI13&lt;=0.2,"Muy Baja",IF(AI13&lt;=0.4,"Baja",IF(AI13&lt;=0.6,"Media",IF(AI13&lt;=0.8,"Alta","Muy Alta"))))),"")</f>
        <v/>
      </c>
      <c r="AK13" s="191" t="str">
        <f>+AI13</f>
        <v/>
      </c>
      <c r="AL13" s="193" t="str">
        <f>IFERROR(IF(AM13="","",IF(AM13&lt;=0.2,"Leve",IF(AM13&lt;=0.4,"Menor",IF(AM13&lt;=0.6,"Moderado",IF(AM13&lt;=0.8,"Mayor","Catastrófico"))))),"")</f>
        <v/>
      </c>
      <c r="AM13" s="191" t="str">
        <f>IFERROR(IF(AB13="Impacto",(X13-(+X13*AE13)),IF(AB13="Probabilidad",X13,"")),"")</f>
        <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5"/>
      <c r="AP13" s="186"/>
      <c r="AQ13" s="196"/>
      <c r="AR13" s="196"/>
      <c r="AS13" s="197"/>
      <c r="AT13" s="329"/>
      <c r="AU13" s="329"/>
      <c r="AV13" s="329"/>
    </row>
    <row r="14" spans="1:276" ht="94.5" customHeight="1" x14ac:dyDescent="0.25">
      <c r="A14" s="328"/>
      <c r="B14" s="329"/>
      <c r="C14" s="329"/>
      <c r="D14" s="329"/>
      <c r="E14" s="372"/>
      <c r="F14" s="329"/>
      <c r="G14" s="343"/>
      <c r="H14" s="343"/>
      <c r="I14" s="343"/>
      <c r="J14" s="343"/>
      <c r="K14" s="343"/>
      <c r="L14" s="343"/>
      <c r="M14" s="343"/>
      <c r="N14" s="343"/>
      <c r="O14" s="343"/>
      <c r="P14" s="343"/>
      <c r="Q14" s="343"/>
      <c r="R14" s="339"/>
      <c r="S14" s="340"/>
      <c r="T14" s="341"/>
      <c r="U14" s="359"/>
      <c r="V14" s="341">
        <f>IF(NOT(ISERROR(MATCH(U14,_xlfn.ANCHORARRAY(E25),0))),T27&amp;"Por favor no seleccionar los criterios de impacto",U14)</f>
        <v>0</v>
      </c>
      <c r="W14" s="340"/>
      <c r="X14" s="341"/>
      <c r="Y14" s="358"/>
      <c r="Z14" s="214">
        <v>2</v>
      </c>
      <c r="AA14" s="240"/>
      <c r="AB14" s="189" t="str">
        <f t="shared" si="0"/>
        <v/>
      </c>
      <c r="AC14" s="190"/>
      <c r="AD14" s="190"/>
      <c r="AE14" s="191" t="str">
        <f t="shared" ref="AE14:AE18" si="1">IF(AND(AC14="Preventivo",AD14="Automático"),"50%",IF(AND(AC14="Preventivo",AD14="Manual"),"40%",IF(AND(AC14="Detectivo",AD14="Automático"),"40%",IF(AND(AC14="Detectivo",AD14="Manual"),"30%",IF(AND(AC14="Correctivo",AD14="Automático"),"35%",IF(AND(AC14="Correctivo",AD14="Manual"),"25%",""))))))</f>
        <v/>
      </c>
      <c r="AF14" s="190"/>
      <c r="AG14" s="190"/>
      <c r="AH14" s="190"/>
      <c r="AI14" s="192" t="str">
        <f>IFERROR(IF(AND(AB13="Probabilidad",AB14="Probabilidad"),(AK13-(+AK13*AE14)),IF(AB14="Probabilidad",(T13-(+T13*AE14)),IF(AB14="Impacto",AK13,""))),"")</f>
        <v/>
      </c>
      <c r="AJ14" s="193" t="str">
        <f t="shared" ref="AJ14:AJ72" si="2">IFERROR(IF(AI14="","",IF(AI14&lt;=0.2,"Muy Baja",IF(AI14&lt;=0.4,"Baja",IF(AI14&lt;=0.6,"Media",IF(AI14&lt;=0.8,"Alta","Muy Alta"))))),"")</f>
        <v/>
      </c>
      <c r="AK14" s="191" t="str">
        <f t="shared" ref="AK14:AK18" si="3">+AI14</f>
        <v/>
      </c>
      <c r="AL14" s="193" t="str">
        <f t="shared" ref="AL14:AL72" si="4">IFERROR(IF(AM14="","",IF(AM14&lt;=0.2,"Leve",IF(AM14&lt;=0.4,"Menor",IF(AM14&lt;=0.6,"Moderado",IF(AM14&lt;=0.8,"Mayor","Catastrófico"))))),"")</f>
        <v/>
      </c>
      <c r="AM14" s="191" t="str">
        <f>IFERROR(IF(AND(AB13="Impacto",AB14="Impacto"),(AM13-(+AM13*AE14)),IF(AB14="Impacto",($X$13-(+$X$13*AE14)),IF(AB14="Probabilidad",AM13,""))),"")</f>
        <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195"/>
      <c r="AP14" s="186"/>
      <c r="AQ14" s="196"/>
      <c r="AR14" s="186"/>
      <c r="AS14" s="197"/>
      <c r="AT14" s="329"/>
      <c r="AU14" s="329"/>
      <c r="AV14" s="329"/>
    </row>
    <row r="15" spans="1:276" ht="37.5" customHeight="1" x14ac:dyDescent="0.25">
      <c r="A15" s="328"/>
      <c r="B15" s="329"/>
      <c r="C15" s="329"/>
      <c r="D15" s="329"/>
      <c r="E15" s="372"/>
      <c r="F15" s="329"/>
      <c r="G15" s="343"/>
      <c r="H15" s="343"/>
      <c r="I15" s="343"/>
      <c r="J15" s="343"/>
      <c r="K15" s="343"/>
      <c r="L15" s="343"/>
      <c r="M15" s="343"/>
      <c r="N15" s="343"/>
      <c r="O15" s="343"/>
      <c r="P15" s="343"/>
      <c r="Q15" s="343"/>
      <c r="R15" s="339"/>
      <c r="S15" s="340"/>
      <c r="T15" s="341"/>
      <c r="U15" s="359"/>
      <c r="V15" s="341">
        <f>IF(NOT(ISERROR(MATCH(U15,_xlfn.ANCHORARRAY(E26),0))),T28&amp;"Por favor no seleccionar los criterios de impacto",U15)</f>
        <v>0</v>
      </c>
      <c r="W15" s="340"/>
      <c r="X15" s="341"/>
      <c r="Y15" s="358"/>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29"/>
      <c r="AU15" s="329"/>
      <c r="AV15" s="329"/>
    </row>
    <row r="16" spans="1:276" ht="37.5" customHeight="1" x14ac:dyDescent="0.25">
      <c r="A16" s="328"/>
      <c r="B16" s="329"/>
      <c r="C16" s="329"/>
      <c r="D16" s="329"/>
      <c r="E16" s="372"/>
      <c r="F16" s="329"/>
      <c r="G16" s="343"/>
      <c r="H16" s="343"/>
      <c r="I16" s="343"/>
      <c r="J16" s="343"/>
      <c r="K16" s="343"/>
      <c r="L16" s="343"/>
      <c r="M16" s="343"/>
      <c r="N16" s="343"/>
      <c r="O16" s="343"/>
      <c r="P16" s="343"/>
      <c r="Q16" s="343"/>
      <c r="R16" s="339"/>
      <c r="S16" s="340"/>
      <c r="T16" s="341"/>
      <c r="U16" s="359"/>
      <c r="V16" s="341">
        <f>IF(NOT(ISERROR(MATCH(U16,_xlfn.ANCHORARRAY(E27),0))),T29&amp;"Por favor no seleccionar los criterios de impacto",U16)</f>
        <v>0</v>
      </c>
      <c r="W16" s="340"/>
      <c r="X16" s="341"/>
      <c r="Y16" s="358"/>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29"/>
      <c r="AU16" s="329"/>
      <c r="AV16" s="329"/>
    </row>
    <row r="17" spans="1:48" ht="37.5" customHeight="1" x14ac:dyDescent="0.25">
      <c r="A17" s="328"/>
      <c r="B17" s="329"/>
      <c r="C17" s="329"/>
      <c r="D17" s="329"/>
      <c r="E17" s="372"/>
      <c r="F17" s="329"/>
      <c r="G17" s="343"/>
      <c r="H17" s="343"/>
      <c r="I17" s="343"/>
      <c r="J17" s="343"/>
      <c r="K17" s="343"/>
      <c r="L17" s="343"/>
      <c r="M17" s="343"/>
      <c r="N17" s="343"/>
      <c r="O17" s="343"/>
      <c r="P17" s="343"/>
      <c r="Q17" s="343"/>
      <c r="R17" s="339"/>
      <c r="S17" s="340"/>
      <c r="T17" s="341"/>
      <c r="U17" s="359"/>
      <c r="V17" s="341">
        <f>IF(NOT(ISERROR(MATCH(U17,_xlfn.ANCHORARRAY(E28),0))),T30&amp;"Por favor no seleccionar los criterios de impacto",U17)</f>
        <v>0</v>
      </c>
      <c r="W17" s="340"/>
      <c r="X17" s="341"/>
      <c r="Y17" s="358"/>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29"/>
      <c r="AU17" s="329"/>
      <c r="AV17" s="329"/>
    </row>
    <row r="18" spans="1:48" ht="37.5" customHeight="1" x14ac:dyDescent="0.25">
      <c r="A18" s="328"/>
      <c r="B18" s="329"/>
      <c r="C18" s="329"/>
      <c r="D18" s="329"/>
      <c r="E18" s="372"/>
      <c r="F18" s="329"/>
      <c r="G18" s="344"/>
      <c r="H18" s="344"/>
      <c r="I18" s="344"/>
      <c r="J18" s="344"/>
      <c r="K18" s="344"/>
      <c r="L18" s="344"/>
      <c r="M18" s="344"/>
      <c r="N18" s="344"/>
      <c r="O18" s="344"/>
      <c r="P18" s="344"/>
      <c r="Q18" s="344"/>
      <c r="R18" s="339"/>
      <c r="S18" s="340"/>
      <c r="T18" s="341"/>
      <c r="U18" s="359"/>
      <c r="V18" s="341">
        <f>IF(NOT(ISERROR(MATCH(U18,_xlfn.ANCHORARRAY(E29),0))),T31&amp;"Por favor no seleccionar los criterios de impacto",U18)</f>
        <v>0</v>
      </c>
      <c r="W18" s="340"/>
      <c r="X18" s="341"/>
      <c r="Y18" s="358"/>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29"/>
      <c r="AU18" s="329"/>
      <c r="AV18" s="329"/>
    </row>
    <row r="19" spans="1:48" ht="37.5" customHeight="1" x14ac:dyDescent="0.25">
      <c r="A19" s="328">
        <v>2</v>
      </c>
      <c r="B19" s="329"/>
      <c r="C19" s="329"/>
      <c r="D19" s="329"/>
      <c r="E19" s="372"/>
      <c r="F19" s="329"/>
      <c r="G19" s="342"/>
      <c r="H19" s="342"/>
      <c r="I19" s="342"/>
      <c r="J19" s="342"/>
      <c r="K19" s="342"/>
      <c r="L19" s="342"/>
      <c r="M19" s="342"/>
      <c r="N19" s="342"/>
      <c r="O19" s="342"/>
      <c r="P19" s="342"/>
      <c r="Q19" s="342"/>
      <c r="R19" s="339"/>
      <c r="S19" s="340" t="str">
        <f>IF(R19&lt;=0,"",IF(R19&lt;=2,"Muy Baja",IF(R19&lt;=24,"Baja",IF(R19&lt;=500,"Media",IF(R19&lt;=5000,"Alta","Muy Alta")))))</f>
        <v/>
      </c>
      <c r="T19" s="341" t="str">
        <f>IF(S19="","",IF(S19="Muy Baja",0.2,IF(S19="Baja",0.4,IF(S19="Media",0.6,IF(S19="Alta",0.8,IF(S19="Muy Alta",1,))))))</f>
        <v/>
      </c>
      <c r="U19" s="359"/>
      <c r="V19" s="341">
        <f>IF(NOT(ISERROR(MATCH(U19,'Tabla Impacto'!$B$222:$B$224,0))),'Tabla Impacto'!$F$224&amp;"Por favor no seleccionar los criterios de impacto(Afectación Económica o presupuestal y Pérdida Reputacional)",U19)</f>
        <v>0</v>
      </c>
      <c r="W19" s="340" t="str">
        <f>IF(OR(V19='Tabla Impacto'!$C$12,V19='Tabla Impacto'!$D$12),"Leve",IF(OR(V19='Tabla Impacto'!$C$13,V19='Tabla Impacto'!$D$13),"Menor",IF(OR(V19='Tabla Impacto'!$C$14,V19='Tabla Impacto'!$D$14),"Moderado",IF(OR(V19='Tabla Impacto'!$C$15,V19='Tabla Impacto'!$D$15),"Mayor",IF(OR(V19='Tabla Impacto'!$C$16,V19='Tabla Impacto'!$D$16),"Catastrófico","")))))</f>
        <v/>
      </c>
      <c r="X19" s="341" t="str">
        <f>IF(W19="","",IF(W19="Leve",0.2,IF(W19="Menor",0.4,IF(W19="Moderado",0.6,IF(W19="Mayor",0.8,IF(W19="Catastrófico",1,))))))</f>
        <v/>
      </c>
      <c r="Y19" s="358"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39"/>
      <c r="AU19" s="339"/>
      <c r="AV19" s="339"/>
    </row>
    <row r="20" spans="1:48" ht="37.5" customHeight="1" x14ac:dyDescent="0.25">
      <c r="A20" s="328"/>
      <c r="B20" s="329"/>
      <c r="C20" s="329"/>
      <c r="D20" s="329"/>
      <c r="E20" s="372"/>
      <c r="F20" s="329"/>
      <c r="G20" s="343"/>
      <c r="H20" s="343"/>
      <c r="I20" s="343"/>
      <c r="J20" s="343"/>
      <c r="K20" s="343"/>
      <c r="L20" s="343"/>
      <c r="M20" s="343"/>
      <c r="N20" s="343"/>
      <c r="O20" s="343"/>
      <c r="P20" s="343"/>
      <c r="Q20" s="343"/>
      <c r="R20" s="339"/>
      <c r="S20" s="340"/>
      <c r="T20" s="341"/>
      <c r="U20" s="359"/>
      <c r="V20" s="341">
        <f>IF(NOT(ISERROR(MATCH(U20,_xlfn.ANCHORARRAY(E31),0))),T33&amp;"Por favor no seleccionar los criterios de impacto",U20)</f>
        <v>0</v>
      </c>
      <c r="W20" s="340"/>
      <c r="X20" s="341"/>
      <c r="Y20" s="358"/>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39"/>
      <c r="AU20" s="339"/>
      <c r="AV20" s="339"/>
    </row>
    <row r="21" spans="1:48" ht="37.5" customHeight="1" x14ac:dyDescent="0.25">
      <c r="A21" s="328"/>
      <c r="B21" s="329"/>
      <c r="C21" s="329"/>
      <c r="D21" s="329"/>
      <c r="E21" s="372"/>
      <c r="F21" s="329"/>
      <c r="G21" s="343"/>
      <c r="H21" s="343"/>
      <c r="I21" s="343"/>
      <c r="J21" s="343"/>
      <c r="K21" s="343"/>
      <c r="L21" s="343"/>
      <c r="M21" s="343"/>
      <c r="N21" s="343"/>
      <c r="O21" s="343"/>
      <c r="P21" s="343"/>
      <c r="Q21" s="343"/>
      <c r="R21" s="339"/>
      <c r="S21" s="340"/>
      <c r="T21" s="341"/>
      <c r="U21" s="359"/>
      <c r="V21" s="341">
        <f>IF(NOT(ISERROR(MATCH(U21,_xlfn.ANCHORARRAY(E32),0))),T34&amp;"Por favor no seleccionar los criterios de impacto",U21)</f>
        <v>0</v>
      </c>
      <c r="W21" s="340"/>
      <c r="X21" s="341"/>
      <c r="Y21" s="358"/>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39"/>
      <c r="AU21" s="339"/>
      <c r="AV21" s="339"/>
    </row>
    <row r="22" spans="1:48" ht="37.5" customHeight="1" x14ac:dyDescent="0.25">
      <c r="A22" s="328"/>
      <c r="B22" s="329"/>
      <c r="C22" s="329"/>
      <c r="D22" s="329"/>
      <c r="E22" s="372"/>
      <c r="F22" s="329"/>
      <c r="G22" s="343"/>
      <c r="H22" s="343"/>
      <c r="I22" s="343"/>
      <c r="J22" s="343"/>
      <c r="K22" s="343"/>
      <c r="L22" s="343"/>
      <c r="M22" s="343"/>
      <c r="N22" s="343"/>
      <c r="O22" s="343"/>
      <c r="P22" s="343"/>
      <c r="Q22" s="343"/>
      <c r="R22" s="339"/>
      <c r="S22" s="340"/>
      <c r="T22" s="341"/>
      <c r="U22" s="359"/>
      <c r="V22" s="341">
        <f>IF(NOT(ISERROR(MATCH(U22,_xlfn.ANCHORARRAY(E33),0))),T35&amp;"Por favor no seleccionar los criterios de impacto",U22)</f>
        <v>0</v>
      </c>
      <c r="W22" s="340"/>
      <c r="X22" s="341"/>
      <c r="Y22" s="358"/>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39"/>
      <c r="AU22" s="339"/>
      <c r="AV22" s="339"/>
    </row>
    <row r="23" spans="1:48" ht="37.5" customHeight="1" x14ac:dyDescent="0.25">
      <c r="A23" s="328"/>
      <c r="B23" s="329"/>
      <c r="C23" s="329"/>
      <c r="D23" s="329"/>
      <c r="E23" s="372"/>
      <c r="F23" s="329"/>
      <c r="G23" s="343"/>
      <c r="H23" s="343"/>
      <c r="I23" s="343"/>
      <c r="J23" s="343"/>
      <c r="K23" s="343"/>
      <c r="L23" s="343"/>
      <c r="M23" s="343"/>
      <c r="N23" s="343"/>
      <c r="O23" s="343"/>
      <c r="P23" s="343"/>
      <c r="Q23" s="343"/>
      <c r="R23" s="339"/>
      <c r="S23" s="340"/>
      <c r="T23" s="341"/>
      <c r="U23" s="359"/>
      <c r="V23" s="341">
        <f>IF(NOT(ISERROR(MATCH(U23,_xlfn.ANCHORARRAY(E34),0))),T36&amp;"Por favor no seleccionar los criterios de impacto",U23)</f>
        <v>0</v>
      </c>
      <c r="W23" s="340"/>
      <c r="X23" s="341"/>
      <c r="Y23" s="358"/>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39"/>
      <c r="AU23" s="339"/>
      <c r="AV23" s="339"/>
    </row>
    <row r="24" spans="1:48" ht="37.5" customHeight="1" x14ac:dyDescent="0.25">
      <c r="A24" s="328"/>
      <c r="B24" s="329"/>
      <c r="C24" s="329"/>
      <c r="D24" s="329"/>
      <c r="E24" s="372"/>
      <c r="F24" s="329"/>
      <c r="G24" s="344"/>
      <c r="H24" s="344"/>
      <c r="I24" s="344"/>
      <c r="J24" s="344"/>
      <c r="K24" s="344"/>
      <c r="L24" s="344"/>
      <c r="M24" s="344"/>
      <c r="N24" s="344"/>
      <c r="O24" s="344"/>
      <c r="P24" s="344"/>
      <c r="Q24" s="344"/>
      <c r="R24" s="339"/>
      <c r="S24" s="340"/>
      <c r="T24" s="341"/>
      <c r="U24" s="359"/>
      <c r="V24" s="341">
        <f>IF(NOT(ISERROR(MATCH(U24,_xlfn.ANCHORARRAY(E35),0))),T37&amp;"Por favor no seleccionar los criterios de impacto",U24)</f>
        <v>0</v>
      </c>
      <c r="W24" s="340"/>
      <c r="X24" s="341"/>
      <c r="Y24" s="358"/>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39"/>
      <c r="AU24" s="339"/>
      <c r="AV24" s="339"/>
    </row>
    <row r="25" spans="1:48" ht="37.5" customHeight="1" x14ac:dyDescent="0.25">
      <c r="A25" s="328">
        <v>3</v>
      </c>
      <c r="B25" s="329"/>
      <c r="C25" s="329"/>
      <c r="D25" s="329"/>
      <c r="E25" s="372"/>
      <c r="F25" s="329"/>
      <c r="G25" s="342"/>
      <c r="H25" s="342"/>
      <c r="I25" s="342"/>
      <c r="J25" s="342"/>
      <c r="K25" s="342"/>
      <c r="L25" s="342"/>
      <c r="M25" s="342"/>
      <c r="N25" s="342"/>
      <c r="O25" s="342"/>
      <c r="P25" s="342"/>
      <c r="Q25" s="342"/>
      <c r="R25" s="339"/>
      <c r="S25" s="340" t="str">
        <f>IF(R25&lt;=0,"",IF(R25&lt;=2,"Muy Baja",IF(R25&lt;=24,"Baja",IF(R25&lt;=500,"Media",IF(R25&lt;=5000,"Alta","Muy Alta")))))</f>
        <v/>
      </c>
      <c r="T25" s="341" t="str">
        <f>IF(S25="","",IF(S25="Muy Baja",0.2,IF(S25="Baja",0.4,IF(S25="Media",0.6,IF(S25="Alta",0.8,IF(S25="Muy Alta",1,))))))</f>
        <v/>
      </c>
      <c r="U25" s="359"/>
      <c r="V25" s="341">
        <f>IF(NOT(ISERROR(MATCH(U25,'Tabla Impacto'!$B$222:$B$224,0))),'Tabla Impacto'!$F$224&amp;"Por favor no seleccionar los criterios de impacto(Afectación Económica o presupuestal y Pérdida Reputacional)",U25)</f>
        <v>0</v>
      </c>
      <c r="W25" s="340" t="str">
        <f>IF(OR(V25='Tabla Impacto'!$C$12,V25='Tabla Impacto'!$D$12),"Leve",IF(OR(V25='Tabla Impacto'!$C$13,V25='Tabla Impacto'!$D$13),"Menor",IF(OR(V25='Tabla Impacto'!$C$14,V25='Tabla Impacto'!$D$14),"Moderado",IF(OR(V25='Tabla Impacto'!$C$15,V25='Tabla Impacto'!$D$15),"Mayor",IF(OR(V25='Tabla Impacto'!$C$16,V25='Tabla Impacto'!$D$16),"Catastrófico","")))))</f>
        <v/>
      </c>
      <c r="X25" s="341" t="str">
        <f>IF(W25="","",IF(W25="Leve",0.2,IF(W25="Menor",0.4,IF(W25="Moderado",0.6,IF(W25="Mayor",0.8,IF(W25="Catastrófico",1,))))))</f>
        <v/>
      </c>
      <c r="Y25" s="358"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39"/>
      <c r="AU25" s="339"/>
      <c r="AV25" s="339"/>
    </row>
    <row r="26" spans="1:48" ht="37.5" customHeight="1" x14ac:dyDescent="0.25">
      <c r="A26" s="328"/>
      <c r="B26" s="329"/>
      <c r="C26" s="329"/>
      <c r="D26" s="329"/>
      <c r="E26" s="372"/>
      <c r="F26" s="329"/>
      <c r="G26" s="343"/>
      <c r="H26" s="343"/>
      <c r="I26" s="343"/>
      <c r="J26" s="343"/>
      <c r="K26" s="343"/>
      <c r="L26" s="343"/>
      <c r="M26" s="343"/>
      <c r="N26" s="343"/>
      <c r="O26" s="343"/>
      <c r="P26" s="343"/>
      <c r="Q26" s="343"/>
      <c r="R26" s="339"/>
      <c r="S26" s="340"/>
      <c r="T26" s="341"/>
      <c r="U26" s="359"/>
      <c r="V26" s="341">
        <f>IF(NOT(ISERROR(MATCH(U26,_xlfn.ANCHORARRAY(E37),0))),T39&amp;"Por favor no seleccionar los criterios de impacto",U26)</f>
        <v>0</v>
      </c>
      <c r="W26" s="340"/>
      <c r="X26" s="341"/>
      <c r="Y26" s="358"/>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39"/>
      <c r="AU26" s="339"/>
      <c r="AV26" s="339"/>
    </row>
    <row r="27" spans="1:48" ht="37.5" customHeight="1" x14ac:dyDescent="0.25">
      <c r="A27" s="328"/>
      <c r="B27" s="329"/>
      <c r="C27" s="329"/>
      <c r="D27" s="329"/>
      <c r="E27" s="372"/>
      <c r="F27" s="329"/>
      <c r="G27" s="343"/>
      <c r="H27" s="343"/>
      <c r="I27" s="343"/>
      <c r="J27" s="343"/>
      <c r="K27" s="343"/>
      <c r="L27" s="343"/>
      <c r="M27" s="343"/>
      <c r="N27" s="343"/>
      <c r="O27" s="343"/>
      <c r="P27" s="343"/>
      <c r="Q27" s="343"/>
      <c r="R27" s="339"/>
      <c r="S27" s="340"/>
      <c r="T27" s="341"/>
      <c r="U27" s="359"/>
      <c r="V27" s="341">
        <f>IF(NOT(ISERROR(MATCH(U27,_xlfn.ANCHORARRAY(E38),0))),T40&amp;"Por favor no seleccionar los criterios de impacto",U27)</f>
        <v>0</v>
      </c>
      <c r="W27" s="340"/>
      <c r="X27" s="341"/>
      <c r="Y27" s="358"/>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39"/>
      <c r="AU27" s="339"/>
      <c r="AV27" s="339"/>
    </row>
    <row r="28" spans="1:48" ht="37.5" customHeight="1" x14ac:dyDescent="0.25">
      <c r="A28" s="328"/>
      <c r="B28" s="329"/>
      <c r="C28" s="329"/>
      <c r="D28" s="329"/>
      <c r="E28" s="372"/>
      <c r="F28" s="329"/>
      <c r="G28" s="343"/>
      <c r="H28" s="343"/>
      <c r="I28" s="343"/>
      <c r="J28" s="343"/>
      <c r="K28" s="343"/>
      <c r="L28" s="343"/>
      <c r="M28" s="343"/>
      <c r="N28" s="343"/>
      <c r="O28" s="343"/>
      <c r="P28" s="343"/>
      <c r="Q28" s="343"/>
      <c r="R28" s="339"/>
      <c r="S28" s="340"/>
      <c r="T28" s="341"/>
      <c r="U28" s="359"/>
      <c r="V28" s="341">
        <f>IF(NOT(ISERROR(MATCH(U28,_xlfn.ANCHORARRAY(E39),0))),T41&amp;"Por favor no seleccionar los criterios de impacto",U28)</f>
        <v>0</v>
      </c>
      <c r="W28" s="340"/>
      <c r="X28" s="341"/>
      <c r="Y28" s="358"/>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39"/>
      <c r="AU28" s="339"/>
      <c r="AV28" s="339"/>
    </row>
    <row r="29" spans="1:48" ht="37.5" customHeight="1" x14ac:dyDescent="0.25">
      <c r="A29" s="328"/>
      <c r="B29" s="329"/>
      <c r="C29" s="329"/>
      <c r="D29" s="329"/>
      <c r="E29" s="372"/>
      <c r="F29" s="329"/>
      <c r="G29" s="343"/>
      <c r="H29" s="343"/>
      <c r="I29" s="343"/>
      <c r="J29" s="343"/>
      <c r="K29" s="343"/>
      <c r="L29" s="343"/>
      <c r="M29" s="343"/>
      <c r="N29" s="343"/>
      <c r="O29" s="343"/>
      <c r="P29" s="343"/>
      <c r="Q29" s="343"/>
      <c r="R29" s="339"/>
      <c r="S29" s="340"/>
      <c r="T29" s="341"/>
      <c r="U29" s="359"/>
      <c r="V29" s="341">
        <f>IF(NOT(ISERROR(MATCH(U29,_xlfn.ANCHORARRAY(E40),0))),T42&amp;"Por favor no seleccionar los criterios de impacto",U29)</f>
        <v>0</v>
      </c>
      <c r="W29" s="340"/>
      <c r="X29" s="341"/>
      <c r="Y29" s="358"/>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39"/>
      <c r="AU29" s="339"/>
      <c r="AV29" s="339"/>
    </row>
    <row r="30" spans="1:48" ht="37.5" customHeight="1" x14ac:dyDescent="0.25">
      <c r="A30" s="328"/>
      <c r="B30" s="329"/>
      <c r="C30" s="329"/>
      <c r="D30" s="329"/>
      <c r="E30" s="372"/>
      <c r="F30" s="329"/>
      <c r="G30" s="344"/>
      <c r="H30" s="344"/>
      <c r="I30" s="344"/>
      <c r="J30" s="344"/>
      <c r="K30" s="344"/>
      <c r="L30" s="344"/>
      <c r="M30" s="344"/>
      <c r="N30" s="344"/>
      <c r="O30" s="344"/>
      <c r="P30" s="344"/>
      <c r="Q30" s="344"/>
      <c r="R30" s="339"/>
      <c r="S30" s="340"/>
      <c r="T30" s="341"/>
      <c r="U30" s="359"/>
      <c r="V30" s="341">
        <f>IF(NOT(ISERROR(MATCH(U30,_xlfn.ANCHORARRAY(E41),0))),T43&amp;"Por favor no seleccionar los criterios de impacto",U30)</f>
        <v>0</v>
      </c>
      <c r="W30" s="340"/>
      <c r="X30" s="341"/>
      <c r="Y30" s="358"/>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39"/>
      <c r="AU30" s="339"/>
      <c r="AV30" s="339"/>
    </row>
    <row r="31" spans="1:48" ht="37.5" customHeight="1" x14ac:dyDescent="0.25">
      <c r="A31" s="328">
        <v>4</v>
      </c>
      <c r="B31" s="329"/>
      <c r="C31" s="329"/>
      <c r="D31" s="329"/>
      <c r="E31" s="329"/>
      <c r="F31" s="329"/>
      <c r="G31" s="342"/>
      <c r="H31" s="342"/>
      <c r="I31" s="342"/>
      <c r="J31" s="342"/>
      <c r="K31" s="342"/>
      <c r="L31" s="342"/>
      <c r="M31" s="342"/>
      <c r="N31" s="342"/>
      <c r="O31" s="342"/>
      <c r="P31" s="342"/>
      <c r="Q31" s="342"/>
      <c r="R31" s="339"/>
      <c r="S31" s="340" t="str">
        <f>IF(R31&lt;=0,"",IF(R31&lt;=2,"Muy Baja",IF(R31&lt;=24,"Baja",IF(R31&lt;=500,"Media",IF(R31&lt;=5000,"Alta","Muy Alta")))))</f>
        <v/>
      </c>
      <c r="T31" s="341" t="str">
        <f>IF(S31="","",IF(S31="Muy Baja",0.2,IF(S31="Baja",0.4,IF(S31="Media",0.6,IF(S31="Alta",0.8,IF(S31="Muy Alta",1,))))))</f>
        <v/>
      </c>
      <c r="U31" s="359"/>
      <c r="V31" s="341">
        <f>IF(NOT(ISERROR(MATCH(U31,'Tabla Impacto'!$B$222:$B$224,0))),'Tabla Impacto'!$F$224&amp;"Por favor no seleccionar los criterios de impacto(Afectación Económica o presupuestal y Pérdida Reputacional)",U31)</f>
        <v>0</v>
      </c>
      <c r="W31" s="340" t="str">
        <f>IF(OR(V31='Tabla Impacto'!$C$12,V31='Tabla Impacto'!$D$12),"Leve",IF(OR(V31='Tabla Impacto'!$C$13,V31='Tabla Impacto'!$D$13),"Menor",IF(OR(V31='Tabla Impacto'!$C$14,V31='Tabla Impacto'!$D$14),"Moderado",IF(OR(V31='Tabla Impacto'!$C$15,V31='Tabla Impacto'!$D$15),"Mayor",IF(OR(V31='Tabla Impacto'!$C$16,V31='Tabla Impacto'!$D$16),"Catastrófico","")))))</f>
        <v/>
      </c>
      <c r="X31" s="341" t="str">
        <f>IF(W31="","",IF(W31="Leve",0.2,IF(W31="Menor",0.4,IF(W31="Moderado",0.6,IF(W31="Mayor",0.8,IF(W31="Catastrófico",1,))))))</f>
        <v/>
      </c>
      <c r="Y31" s="358"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39"/>
      <c r="AU31" s="339"/>
      <c r="AV31" s="339"/>
    </row>
    <row r="32" spans="1:48" ht="37.5" customHeight="1" x14ac:dyDescent="0.25">
      <c r="A32" s="328"/>
      <c r="B32" s="329"/>
      <c r="C32" s="329"/>
      <c r="D32" s="329"/>
      <c r="E32" s="329"/>
      <c r="F32" s="329"/>
      <c r="G32" s="343"/>
      <c r="H32" s="343"/>
      <c r="I32" s="343"/>
      <c r="J32" s="343"/>
      <c r="K32" s="343"/>
      <c r="L32" s="343"/>
      <c r="M32" s="343"/>
      <c r="N32" s="343"/>
      <c r="O32" s="343"/>
      <c r="P32" s="343"/>
      <c r="Q32" s="343"/>
      <c r="R32" s="339"/>
      <c r="S32" s="340"/>
      <c r="T32" s="341"/>
      <c r="U32" s="359"/>
      <c r="V32" s="341">
        <f>IF(NOT(ISERROR(MATCH(U32,_xlfn.ANCHORARRAY(E43),0))),T45&amp;"Por favor no seleccionar los criterios de impacto",U32)</f>
        <v>0</v>
      </c>
      <c r="W32" s="340"/>
      <c r="X32" s="341"/>
      <c r="Y32" s="358"/>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39"/>
      <c r="AU32" s="339"/>
      <c r="AV32" s="339"/>
    </row>
    <row r="33" spans="1:48" ht="37.5" customHeight="1" x14ac:dyDescent="0.25">
      <c r="A33" s="328"/>
      <c r="B33" s="329"/>
      <c r="C33" s="329"/>
      <c r="D33" s="329"/>
      <c r="E33" s="329"/>
      <c r="F33" s="329"/>
      <c r="G33" s="343"/>
      <c r="H33" s="343"/>
      <c r="I33" s="343"/>
      <c r="J33" s="343"/>
      <c r="K33" s="343"/>
      <c r="L33" s="343"/>
      <c r="M33" s="343"/>
      <c r="N33" s="343"/>
      <c r="O33" s="343"/>
      <c r="P33" s="343"/>
      <c r="Q33" s="343"/>
      <c r="R33" s="339"/>
      <c r="S33" s="340"/>
      <c r="T33" s="341"/>
      <c r="U33" s="359"/>
      <c r="V33" s="341">
        <f>IF(NOT(ISERROR(MATCH(U33,_xlfn.ANCHORARRAY(E44),0))),T46&amp;"Por favor no seleccionar los criterios de impacto",U33)</f>
        <v>0</v>
      </c>
      <c r="W33" s="340"/>
      <c r="X33" s="341"/>
      <c r="Y33" s="358"/>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39"/>
      <c r="AU33" s="339"/>
      <c r="AV33" s="339"/>
    </row>
    <row r="34" spans="1:48" ht="37.5" customHeight="1" x14ac:dyDescent="0.25">
      <c r="A34" s="328"/>
      <c r="B34" s="329"/>
      <c r="C34" s="329"/>
      <c r="D34" s="329"/>
      <c r="E34" s="329"/>
      <c r="F34" s="329"/>
      <c r="G34" s="343"/>
      <c r="H34" s="343"/>
      <c r="I34" s="343"/>
      <c r="J34" s="343"/>
      <c r="K34" s="343"/>
      <c r="L34" s="343"/>
      <c r="M34" s="343"/>
      <c r="N34" s="343"/>
      <c r="O34" s="343"/>
      <c r="P34" s="343"/>
      <c r="Q34" s="343"/>
      <c r="R34" s="339"/>
      <c r="S34" s="340"/>
      <c r="T34" s="341"/>
      <c r="U34" s="359"/>
      <c r="V34" s="341">
        <f>IF(NOT(ISERROR(MATCH(U34,_xlfn.ANCHORARRAY(E45),0))),T47&amp;"Por favor no seleccionar los criterios de impacto",U34)</f>
        <v>0</v>
      </c>
      <c r="W34" s="340"/>
      <c r="X34" s="341"/>
      <c r="Y34" s="358"/>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39"/>
      <c r="AU34" s="339"/>
      <c r="AV34" s="339"/>
    </row>
    <row r="35" spans="1:48" ht="37.5" customHeight="1" x14ac:dyDescent="0.25">
      <c r="A35" s="328"/>
      <c r="B35" s="329"/>
      <c r="C35" s="329"/>
      <c r="D35" s="329"/>
      <c r="E35" s="329"/>
      <c r="F35" s="329"/>
      <c r="G35" s="343"/>
      <c r="H35" s="343"/>
      <c r="I35" s="343"/>
      <c r="J35" s="343"/>
      <c r="K35" s="343"/>
      <c r="L35" s="343"/>
      <c r="M35" s="343"/>
      <c r="N35" s="343"/>
      <c r="O35" s="343"/>
      <c r="P35" s="343"/>
      <c r="Q35" s="343"/>
      <c r="R35" s="339"/>
      <c r="S35" s="340"/>
      <c r="T35" s="341"/>
      <c r="U35" s="359"/>
      <c r="V35" s="341">
        <f>IF(NOT(ISERROR(MATCH(U35,_xlfn.ANCHORARRAY(E46),0))),T48&amp;"Por favor no seleccionar los criterios de impacto",U35)</f>
        <v>0</v>
      </c>
      <c r="W35" s="340"/>
      <c r="X35" s="341"/>
      <c r="Y35" s="358"/>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39"/>
      <c r="AU35" s="339"/>
      <c r="AV35" s="339"/>
    </row>
    <row r="36" spans="1:48" ht="37.5" customHeight="1" x14ac:dyDescent="0.25">
      <c r="A36" s="328"/>
      <c r="B36" s="329"/>
      <c r="C36" s="329"/>
      <c r="D36" s="329"/>
      <c r="E36" s="329"/>
      <c r="F36" s="329"/>
      <c r="G36" s="344"/>
      <c r="H36" s="344"/>
      <c r="I36" s="344"/>
      <c r="J36" s="344"/>
      <c r="K36" s="344"/>
      <c r="L36" s="344"/>
      <c r="M36" s="344"/>
      <c r="N36" s="344"/>
      <c r="O36" s="344"/>
      <c r="P36" s="344"/>
      <c r="Q36" s="344"/>
      <c r="R36" s="339"/>
      <c r="S36" s="340"/>
      <c r="T36" s="341"/>
      <c r="U36" s="359"/>
      <c r="V36" s="341">
        <f>IF(NOT(ISERROR(MATCH(U36,_xlfn.ANCHORARRAY(E47),0))),T49&amp;"Por favor no seleccionar los criterios de impacto",U36)</f>
        <v>0</v>
      </c>
      <c r="W36" s="340"/>
      <c r="X36" s="341"/>
      <c r="Y36" s="358"/>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39"/>
      <c r="AU36" s="339"/>
      <c r="AV36" s="339"/>
    </row>
    <row r="37" spans="1:48" ht="37.5" customHeight="1" x14ac:dyDescent="0.25">
      <c r="A37" s="328">
        <v>5</v>
      </c>
      <c r="B37" s="329"/>
      <c r="C37" s="329"/>
      <c r="D37" s="329"/>
      <c r="E37" s="329"/>
      <c r="F37" s="329"/>
      <c r="G37" s="342"/>
      <c r="H37" s="342"/>
      <c r="I37" s="342"/>
      <c r="J37" s="342"/>
      <c r="K37" s="342"/>
      <c r="L37" s="342"/>
      <c r="M37" s="342"/>
      <c r="N37" s="342"/>
      <c r="O37" s="342"/>
      <c r="P37" s="342"/>
      <c r="Q37" s="342"/>
      <c r="R37" s="339"/>
      <c r="S37" s="340" t="str">
        <f>IF(R37&lt;=0,"",IF(R37&lt;=2,"Muy Baja",IF(R37&lt;=24,"Baja",IF(R37&lt;=500,"Media",IF(R37&lt;=5000,"Alta","Muy Alta")))))</f>
        <v/>
      </c>
      <c r="T37" s="341" t="str">
        <f>IF(S37="","",IF(S37="Muy Baja",0.2,IF(S37="Baja",0.4,IF(S37="Media",0.6,IF(S37="Alta",0.8,IF(S37="Muy Alta",1,))))))</f>
        <v/>
      </c>
      <c r="U37" s="359"/>
      <c r="V37" s="341">
        <f>IF(NOT(ISERROR(MATCH(U37,'Tabla Impacto'!$B$222:$B$224,0))),'Tabla Impacto'!$F$224&amp;"Por favor no seleccionar los criterios de impacto(Afectación Económica o presupuestal y Pérdida Reputacional)",U37)</f>
        <v>0</v>
      </c>
      <c r="W37" s="340" t="str">
        <f>IF(OR(V37='Tabla Impacto'!$C$12,V37='Tabla Impacto'!$D$12),"Leve",IF(OR(V37='Tabla Impacto'!$C$13,V37='Tabla Impacto'!$D$13),"Menor",IF(OR(V37='Tabla Impacto'!$C$14,V37='Tabla Impacto'!$D$14),"Moderado",IF(OR(V37='Tabla Impacto'!$C$15,V37='Tabla Impacto'!$D$15),"Mayor",IF(OR(V37='Tabla Impacto'!$C$16,V37='Tabla Impacto'!$D$16),"Catastrófico","")))))</f>
        <v/>
      </c>
      <c r="X37" s="341" t="str">
        <f>IF(W37="","",IF(W37="Leve",0.2,IF(W37="Menor",0.4,IF(W37="Moderado",0.6,IF(W37="Mayor",0.8,IF(W37="Catastrófico",1,))))))</f>
        <v/>
      </c>
      <c r="Y37" s="358"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39"/>
      <c r="AU37" s="339"/>
      <c r="AV37" s="339"/>
    </row>
    <row r="38" spans="1:48" ht="37.5" customHeight="1" x14ac:dyDescent="0.25">
      <c r="A38" s="328"/>
      <c r="B38" s="329"/>
      <c r="C38" s="329"/>
      <c r="D38" s="329"/>
      <c r="E38" s="329"/>
      <c r="F38" s="329"/>
      <c r="G38" s="343"/>
      <c r="H38" s="343"/>
      <c r="I38" s="343"/>
      <c r="J38" s="343"/>
      <c r="K38" s="343"/>
      <c r="L38" s="343"/>
      <c r="M38" s="343"/>
      <c r="N38" s="343"/>
      <c r="O38" s="343"/>
      <c r="P38" s="343"/>
      <c r="Q38" s="343"/>
      <c r="R38" s="339"/>
      <c r="S38" s="340"/>
      <c r="T38" s="341"/>
      <c r="U38" s="359"/>
      <c r="V38" s="341">
        <f>IF(NOT(ISERROR(MATCH(U38,_xlfn.ANCHORARRAY(E49),0))),T51&amp;"Por favor no seleccionar los criterios de impacto",U38)</f>
        <v>0</v>
      </c>
      <c r="W38" s="340"/>
      <c r="X38" s="341"/>
      <c r="Y38" s="358"/>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39"/>
      <c r="AU38" s="339"/>
      <c r="AV38" s="339"/>
    </row>
    <row r="39" spans="1:48" ht="37.5" customHeight="1" x14ac:dyDescent="0.25">
      <c r="A39" s="328"/>
      <c r="B39" s="329"/>
      <c r="C39" s="329"/>
      <c r="D39" s="329"/>
      <c r="E39" s="329"/>
      <c r="F39" s="329"/>
      <c r="G39" s="343"/>
      <c r="H39" s="343"/>
      <c r="I39" s="343"/>
      <c r="J39" s="343"/>
      <c r="K39" s="343"/>
      <c r="L39" s="343"/>
      <c r="M39" s="343"/>
      <c r="N39" s="343"/>
      <c r="O39" s="343"/>
      <c r="P39" s="343"/>
      <c r="Q39" s="343"/>
      <c r="R39" s="339"/>
      <c r="S39" s="340"/>
      <c r="T39" s="341"/>
      <c r="U39" s="359"/>
      <c r="V39" s="341">
        <f>IF(NOT(ISERROR(MATCH(U39,_xlfn.ANCHORARRAY(E50),0))),T52&amp;"Por favor no seleccionar los criterios de impacto",U39)</f>
        <v>0</v>
      </c>
      <c r="W39" s="340"/>
      <c r="X39" s="341"/>
      <c r="Y39" s="358"/>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39"/>
      <c r="AU39" s="339"/>
      <c r="AV39" s="339"/>
    </row>
    <row r="40" spans="1:48" ht="37.5" customHeight="1" x14ac:dyDescent="0.25">
      <c r="A40" s="328"/>
      <c r="B40" s="329"/>
      <c r="C40" s="329"/>
      <c r="D40" s="329"/>
      <c r="E40" s="329"/>
      <c r="F40" s="329"/>
      <c r="G40" s="343"/>
      <c r="H40" s="343"/>
      <c r="I40" s="343"/>
      <c r="J40" s="343"/>
      <c r="K40" s="343"/>
      <c r="L40" s="343"/>
      <c r="M40" s="343"/>
      <c r="N40" s="343"/>
      <c r="O40" s="343"/>
      <c r="P40" s="343"/>
      <c r="Q40" s="343"/>
      <c r="R40" s="339"/>
      <c r="S40" s="340"/>
      <c r="T40" s="341"/>
      <c r="U40" s="359"/>
      <c r="V40" s="341">
        <f>IF(NOT(ISERROR(MATCH(U40,_xlfn.ANCHORARRAY(E51),0))),T53&amp;"Por favor no seleccionar los criterios de impacto",U40)</f>
        <v>0</v>
      </c>
      <c r="W40" s="340"/>
      <c r="X40" s="341"/>
      <c r="Y40" s="358"/>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39"/>
      <c r="AU40" s="339"/>
      <c r="AV40" s="339"/>
    </row>
    <row r="41" spans="1:48" ht="37.5" customHeight="1" x14ac:dyDescent="0.25">
      <c r="A41" s="328"/>
      <c r="B41" s="329"/>
      <c r="C41" s="329"/>
      <c r="D41" s="329"/>
      <c r="E41" s="329"/>
      <c r="F41" s="329"/>
      <c r="G41" s="343"/>
      <c r="H41" s="343"/>
      <c r="I41" s="343"/>
      <c r="J41" s="343"/>
      <c r="K41" s="343"/>
      <c r="L41" s="343"/>
      <c r="M41" s="343"/>
      <c r="N41" s="343"/>
      <c r="O41" s="343"/>
      <c r="P41" s="343"/>
      <c r="Q41" s="343"/>
      <c r="R41" s="339"/>
      <c r="S41" s="340"/>
      <c r="T41" s="341"/>
      <c r="U41" s="359"/>
      <c r="V41" s="341">
        <f>IF(NOT(ISERROR(MATCH(U41,_xlfn.ANCHORARRAY(E52),0))),T54&amp;"Por favor no seleccionar los criterios de impacto",U41)</f>
        <v>0</v>
      </c>
      <c r="W41" s="340"/>
      <c r="X41" s="341"/>
      <c r="Y41" s="358"/>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39"/>
      <c r="AU41" s="339"/>
      <c r="AV41" s="339"/>
    </row>
    <row r="42" spans="1:48" ht="37.5" customHeight="1" x14ac:dyDescent="0.25">
      <c r="A42" s="328"/>
      <c r="B42" s="329"/>
      <c r="C42" s="329"/>
      <c r="D42" s="329"/>
      <c r="E42" s="329"/>
      <c r="F42" s="329"/>
      <c r="G42" s="344"/>
      <c r="H42" s="344"/>
      <c r="I42" s="344"/>
      <c r="J42" s="344"/>
      <c r="K42" s="344"/>
      <c r="L42" s="344"/>
      <c r="M42" s="344"/>
      <c r="N42" s="344"/>
      <c r="O42" s="344"/>
      <c r="P42" s="344"/>
      <c r="Q42" s="344"/>
      <c r="R42" s="339"/>
      <c r="S42" s="340"/>
      <c r="T42" s="341"/>
      <c r="U42" s="359"/>
      <c r="V42" s="341">
        <f>IF(NOT(ISERROR(MATCH(U42,_xlfn.ANCHORARRAY(E53),0))),T55&amp;"Por favor no seleccionar los criterios de impacto",U42)</f>
        <v>0</v>
      </c>
      <c r="W42" s="340"/>
      <c r="X42" s="341"/>
      <c r="Y42" s="358"/>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39"/>
      <c r="AU42" s="339"/>
      <c r="AV42" s="339"/>
    </row>
    <row r="43" spans="1:48" ht="37.5" customHeight="1" x14ac:dyDescent="0.25">
      <c r="A43" s="328">
        <v>6</v>
      </c>
      <c r="B43" s="329"/>
      <c r="C43" s="329"/>
      <c r="D43" s="329"/>
      <c r="E43" s="342"/>
      <c r="F43" s="329"/>
      <c r="G43" s="342"/>
      <c r="H43" s="342"/>
      <c r="I43" s="342"/>
      <c r="J43" s="342"/>
      <c r="K43" s="342"/>
      <c r="L43" s="342"/>
      <c r="M43" s="342"/>
      <c r="N43" s="342"/>
      <c r="O43" s="342"/>
      <c r="P43" s="342"/>
      <c r="Q43" s="342"/>
      <c r="R43" s="339"/>
      <c r="S43" s="340" t="str">
        <f>IF(R43&lt;=0,"",IF(R43&lt;=2,"Muy Baja",IF(R43&lt;=24,"Baja",IF(R43&lt;=500,"Media",IF(R43&lt;=5000,"Alta","Muy Alta")))))</f>
        <v/>
      </c>
      <c r="T43" s="341" t="str">
        <f>IF(S43="","",IF(S43="Muy Baja",0.2,IF(S43="Baja",0.4,IF(S43="Media",0.6,IF(S43="Alta",0.8,IF(S43="Muy Alta",1,))))))</f>
        <v/>
      </c>
      <c r="U43" s="359"/>
      <c r="V43" s="341">
        <f>IF(NOT(ISERROR(MATCH(U43,'Tabla Impacto'!$B$222:$B$224,0))),'Tabla Impacto'!$F$224&amp;"Por favor no seleccionar los criterios de impacto(Afectación Económica o presupuestal y Pérdida Reputacional)",U43)</f>
        <v>0</v>
      </c>
      <c r="W43" s="340" t="str">
        <f>IF(OR(V43='Tabla Impacto'!$C$12,V43='Tabla Impacto'!$D$12),"Leve",IF(OR(V43='Tabla Impacto'!$C$13,V43='Tabla Impacto'!$D$13),"Menor",IF(OR(V43='Tabla Impacto'!$C$14,V43='Tabla Impacto'!$D$14),"Moderado",IF(OR(V43='Tabla Impacto'!$C$15,V43='Tabla Impacto'!$D$15),"Mayor",IF(OR(V43='Tabla Impacto'!$C$16,V43='Tabla Impacto'!$D$16),"Catastrófico","")))))</f>
        <v/>
      </c>
      <c r="X43" s="341" t="str">
        <f>IF(W43="","",IF(W43="Leve",0.2,IF(W43="Menor",0.4,IF(W43="Moderado",0.6,IF(W43="Mayor",0.8,IF(W43="Catastrófico",1,))))))</f>
        <v/>
      </c>
      <c r="Y43" s="358"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39"/>
      <c r="AU43" s="339"/>
      <c r="AV43" s="339"/>
    </row>
    <row r="44" spans="1:48" ht="37.5" customHeight="1" x14ac:dyDescent="0.25">
      <c r="A44" s="328"/>
      <c r="B44" s="329"/>
      <c r="C44" s="329"/>
      <c r="D44" s="329"/>
      <c r="E44" s="343"/>
      <c r="F44" s="329"/>
      <c r="G44" s="343"/>
      <c r="H44" s="343"/>
      <c r="I44" s="343"/>
      <c r="J44" s="343"/>
      <c r="K44" s="343"/>
      <c r="L44" s="343"/>
      <c r="M44" s="343"/>
      <c r="N44" s="343"/>
      <c r="O44" s="343"/>
      <c r="P44" s="343"/>
      <c r="Q44" s="343"/>
      <c r="R44" s="339"/>
      <c r="S44" s="340"/>
      <c r="T44" s="341"/>
      <c r="U44" s="359"/>
      <c r="V44" s="341">
        <f>IF(NOT(ISERROR(MATCH(U44,_xlfn.ANCHORARRAY(E55),0))),T57&amp;"Por favor no seleccionar los criterios de impacto",U44)</f>
        <v>0</v>
      </c>
      <c r="W44" s="340"/>
      <c r="X44" s="341"/>
      <c r="Y44" s="358"/>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39"/>
      <c r="AU44" s="339"/>
      <c r="AV44" s="339"/>
    </row>
    <row r="45" spans="1:48" ht="37.5" customHeight="1" x14ac:dyDescent="0.25">
      <c r="A45" s="328"/>
      <c r="B45" s="329"/>
      <c r="C45" s="329"/>
      <c r="D45" s="329"/>
      <c r="E45" s="343"/>
      <c r="F45" s="329"/>
      <c r="G45" s="343"/>
      <c r="H45" s="343"/>
      <c r="I45" s="343"/>
      <c r="J45" s="343"/>
      <c r="K45" s="343"/>
      <c r="L45" s="343"/>
      <c r="M45" s="343"/>
      <c r="N45" s="343"/>
      <c r="O45" s="343"/>
      <c r="P45" s="343"/>
      <c r="Q45" s="343"/>
      <c r="R45" s="339"/>
      <c r="S45" s="340"/>
      <c r="T45" s="341"/>
      <c r="U45" s="359"/>
      <c r="V45" s="341">
        <f>IF(NOT(ISERROR(MATCH(U45,_xlfn.ANCHORARRAY(E56),0))),T58&amp;"Por favor no seleccionar los criterios de impacto",U45)</f>
        <v>0</v>
      </c>
      <c r="W45" s="340"/>
      <c r="X45" s="341"/>
      <c r="Y45" s="358"/>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39"/>
      <c r="AU45" s="339"/>
      <c r="AV45" s="339"/>
    </row>
    <row r="46" spans="1:48" ht="37.5" customHeight="1" x14ac:dyDescent="0.25">
      <c r="A46" s="328"/>
      <c r="B46" s="329"/>
      <c r="C46" s="329"/>
      <c r="D46" s="329"/>
      <c r="E46" s="343"/>
      <c r="F46" s="329"/>
      <c r="G46" s="343"/>
      <c r="H46" s="343"/>
      <c r="I46" s="343"/>
      <c r="J46" s="343"/>
      <c r="K46" s="343"/>
      <c r="L46" s="343"/>
      <c r="M46" s="343"/>
      <c r="N46" s="343"/>
      <c r="O46" s="343"/>
      <c r="P46" s="343"/>
      <c r="Q46" s="343"/>
      <c r="R46" s="339"/>
      <c r="S46" s="340"/>
      <c r="T46" s="341"/>
      <c r="U46" s="359"/>
      <c r="V46" s="341">
        <f>IF(NOT(ISERROR(MATCH(U46,_xlfn.ANCHORARRAY(E57),0))),T59&amp;"Por favor no seleccionar los criterios de impacto",U46)</f>
        <v>0</v>
      </c>
      <c r="W46" s="340"/>
      <c r="X46" s="341"/>
      <c r="Y46" s="358"/>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39"/>
      <c r="AU46" s="339"/>
      <c r="AV46" s="339"/>
    </row>
    <row r="47" spans="1:48" ht="37.5" customHeight="1" x14ac:dyDescent="0.25">
      <c r="A47" s="328"/>
      <c r="B47" s="329"/>
      <c r="C47" s="329"/>
      <c r="D47" s="329"/>
      <c r="E47" s="343"/>
      <c r="F47" s="329"/>
      <c r="G47" s="343"/>
      <c r="H47" s="343"/>
      <c r="I47" s="343"/>
      <c r="J47" s="343"/>
      <c r="K47" s="343"/>
      <c r="L47" s="343"/>
      <c r="M47" s="343"/>
      <c r="N47" s="343"/>
      <c r="O47" s="343"/>
      <c r="P47" s="343"/>
      <c r="Q47" s="343"/>
      <c r="R47" s="339"/>
      <c r="S47" s="340"/>
      <c r="T47" s="341"/>
      <c r="U47" s="359"/>
      <c r="V47" s="341">
        <f>IF(NOT(ISERROR(MATCH(U47,_xlfn.ANCHORARRAY(E58),0))),T60&amp;"Por favor no seleccionar los criterios de impacto",U47)</f>
        <v>0</v>
      </c>
      <c r="W47" s="340"/>
      <c r="X47" s="341"/>
      <c r="Y47" s="358"/>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39"/>
      <c r="AU47" s="339"/>
      <c r="AV47" s="339"/>
    </row>
    <row r="48" spans="1:48" ht="37.5" customHeight="1" x14ac:dyDescent="0.25">
      <c r="A48" s="328"/>
      <c r="B48" s="329"/>
      <c r="C48" s="329"/>
      <c r="D48" s="329"/>
      <c r="E48" s="344"/>
      <c r="F48" s="329"/>
      <c r="G48" s="344"/>
      <c r="H48" s="344"/>
      <c r="I48" s="344"/>
      <c r="J48" s="344"/>
      <c r="K48" s="344"/>
      <c r="L48" s="344"/>
      <c r="M48" s="344"/>
      <c r="N48" s="344"/>
      <c r="O48" s="344"/>
      <c r="P48" s="344"/>
      <c r="Q48" s="344"/>
      <c r="R48" s="339"/>
      <c r="S48" s="340"/>
      <c r="T48" s="341"/>
      <c r="U48" s="359"/>
      <c r="V48" s="341">
        <f>IF(NOT(ISERROR(MATCH(U48,_xlfn.ANCHORARRAY(E59),0))),T61&amp;"Por favor no seleccionar los criterios de impacto",U48)</f>
        <v>0</v>
      </c>
      <c r="W48" s="340"/>
      <c r="X48" s="341"/>
      <c r="Y48" s="358"/>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39"/>
      <c r="AU48" s="339"/>
      <c r="AV48" s="339"/>
    </row>
    <row r="49" spans="1:48" ht="37.5" customHeight="1" x14ac:dyDescent="0.25">
      <c r="A49" s="328">
        <v>7</v>
      </c>
      <c r="B49" s="329"/>
      <c r="C49" s="329"/>
      <c r="D49" s="367"/>
      <c r="E49" s="329"/>
      <c r="F49" s="329"/>
      <c r="G49" s="342"/>
      <c r="H49" s="342"/>
      <c r="I49" s="342"/>
      <c r="J49" s="342"/>
      <c r="K49" s="342"/>
      <c r="L49" s="342"/>
      <c r="M49" s="342"/>
      <c r="N49" s="342"/>
      <c r="O49" s="342"/>
      <c r="P49" s="342"/>
      <c r="Q49" s="342"/>
      <c r="R49" s="339"/>
      <c r="S49" s="340" t="str">
        <f>IF(R49&lt;=0,"",IF(R49&lt;=2,"Muy Baja",IF(R49&lt;=24,"Baja",IF(R49&lt;=500,"Media",IF(R49&lt;=5000,"Alta","Muy Alta")))))</f>
        <v/>
      </c>
      <c r="T49" s="341" t="str">
        <f>IF(S49="","",IF(S49="Muy Baja",0.2,IF(S49="Baja",0.4,IF(S49="Media",0.6,IF(S49="Alta",0.8,IF(S49="Muy Alta",1,))))))</f>
        <v/>
      </c>
      <c r="U49" s="359"/>
      <c r="V49" s="341">
        <f>IF(NOT(ISERROR(MATCH(U49,'Tabla Impacto'!$B$222:$B$224,0))),'Tabla Impacto'!$F$224&amp;"Por favor no seleccionar los criterios de impacto(Afectación Económica o presupuestal y Pérdida Reputacional)",U49)</f>
        <v>0</v>
      </c>
      <c r="W49" s="340" t="str">
        <f>IF(OR(V49='Tabla Impacto'!$C$12,V49='Tabla Impacto'!$D$12),"Leve",IF(OR(V49='Tabla Impacto'!$C$13,V49='Tabla Impacto'!$D$13),"Menor",IF(OR(V49='Tabla Impacto'!$C$14,V49='Tabla Impacto'!$D$14),"Moderado",IF(OR(V49='Tabla Impacto'!$C$15,V49='Tabla Impacto'!$D$15),"Mayor",IF(OR(V49='Tabla Impacto'!$C$16,V49='Tabla Impacto'!$D$16),"Catastrófico","")))))</f>
        <v/>
      </c>
      <c r="X49" s="341" t="str">
        <f>IF(W49="","",IF(W49="Leve",0.2,IF(W49="Menor",0.4,IF(W49="Moderado",0.6,IF(W49="Mayor",0.8,IF(W49="Catastrófico",1,))))))</f>
        <v/>
      </c>
      <c r="Y49" s="358"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39"/>
      <c r="AU49" s="339"/>
      <c r="AV49" s="339"/>
    </row>
    <row r="50" spans="1:48" ht="37.5" customHeight="1" x14ac:dyDescent="0.25">
      <c r="A50" s="328"/>
      <c r="B50" s="329"/>
      <c r="C50" s="329"/>
      <c r="D50" s="367"/>
      <c r="E50" s="329"/>
      <c r="F50" s="329"/>
      <c r="G50" s="343"/>
      <c r="H50" s="343"/>
      <c r="I50" s="343"/>
      <c r="J50" s="343"/>
      <c r="K50" s="343"/>
      <c r="L50" s="343"/>
      <c r="M50" s="343"/>
      <c r="N50" s="343"/>
      <c r="O50" s="343"/>
      <c r="P50" s="343"/>
      <c r="Q50" s="343"/>
      <c r="R50" s="339"/>
      <c r="S50" s="340"/>
      <c r="T50" s="341"/>
      <c r="U50" s="359"/>
      <c r="V50" s="341">
        <f>IF(NOT(ISERROR(MATCH(U50,_xlfn.ANCHORARRAY(E61),0))),T63&amp;"Por favor no seleccionar los criterios de impacto",U50)</f>
        <v>0</v>
      </c>
      <c r="W50" s="340"/>
      <c r="X50" s="341"/>
      <c r="Y50" s="358"/>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39"/>
      <c r="AU50" s="339"/>
      <c r="AV50" s="339"/>
    </row>
    <row r="51" spans="1:48" ht="37.5" customHeight="1" x14ac:dyDescent="0.25">
      <c r="A51" s="328"/>
      <c r="B51" s="329"/>
      <c r="C51" s="329"/>
      <c r="D51" s="367"/>
      <c r="E51" s="329"/>
      <c r="F51" s="329"/>
      <c r="G51" s="343"/>
      <c r="H51" s="343"/>
      <c r="I51" s="343"/>
      <c r="J51" s="343"/>
      <c r="K51" s="343"/>
      <c r="L51" s="343"/>
      <c r="M51" s="343"/>
      <c r="N51" s="343"/>
      <c r="O51" s="343"/>
      <c r="P51" s="343"/>
      <c r="Q51" s="343"/>
      <c r="R51" s="339"/>
      <c r="S51" s="340"/>
      <c r="T51" s="341"/>
      <c r="U51" s="359"/>
      <c r="V51" s="341">
        <f>IF(NOT(ISERROR(MATCH(U51,_xlfn.ANCHORARRAY(E62),0))),T64&amp;"Por favor no seleccionar los criterios de impacto",U51)</f>
        <v>0</v>
      </c>
      <c r="W51" s="340"/>
      <c r="X51" s="341"/>
      <c r="Y51" s="358"/>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39"/>
      <c r="AU51" s="339"/>
      <c r="AV51" s="339"/>
    </row>
    <row r="52" spans="1:48" ht="37.5" customHeight="1" x14ac:dyDescent="0.25">
      <c r="A52" s="328"/>
      <c r="B52" s="329"/>
      <c r="C52" s="329"/>
      <c r="D52" s="367"/>
      <c r="E52" s="329"/>
      <c r="F52" s="329"/>
      <c r="G52" s="343"/>
      <c r="H52" s="343"/>
      <c r="I52" s="343"/>
      <c r="J52" s="343"/>
      <c r="K52" s="343"/>
      <c r="L52" s="343"/>
      <c r="M52" s="343"/>
      <c r="N52" s="343"/>
      <c r="O52" s="343"/>
      <c r="P52" s="343"/>
      <c r="Q52" s="343"/>
      <c r="R52" s="339"/>
      <c r="S52" s="340"/>
      <c r="T52" s="341"/>
      <c r="U52" s="359"/>
      <c r="V52" s="341">
        <f>IF(NOT(ISERROR(MATCH(U52,_xlfn.ANCHORARRAY(E63),0))),T65&amp;"Por favor no seleccionar los criterios de impacto",U52)</f>
        <v>0</v>
      </c>
      <c r="W52" s="340"/>
      <c r="X52" s="341"/>
      <c r="Y52" s="358"/>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39"/>
      <c r="AU52" s="339"/>
      <c r="AV52" s="339"/>
    </row>
    <row r="53" spans="1:48" ht="37.5" customHeight="1" x14ac:dyDescent="0.25">
      <c r="A53" s="328"/>
      <c r="B53" s="329"/>
      <c r="C53" s="329"/>
      <c r="D53" s="367"/>
      <c r="E53" s="329"/>
      <c r="F53" s="329"/>
      <c r="G53" s="343"/>
      <c r="H53" s="343"/>
      <c r="I53" s="343"/>
      <c r="J53" s="343"/>
      <c r="K53" s="343"/>
      <c r="L53" s="343"/>
      <c r="M53" s="343"/>
      <c r="N53" s="343"/>
      <c r="O53" s="343"/>
      <c r="P53" s="343"/>
      <c r="Q53" s="343"/>
      <c r="R53" s="339"/>
      <c r="S53" s="340"/>
      <c r="T53" s="341"/>
      <c r="U53" s="359"/>
      <c r="V53" s="341">
        <f>IF(NOT(ISERROR(MATCH(U53,_xlfn.ANCHORARRAY(E64),0))),T66&amp;"Por favor no seleccionar los criterios de impacto",U53)</f>
        <v>0</v>
      </c>
      <c r="W53" s="340"/>
      <c r="X53" s="341"/>
      <c r="Y53" s="358"/>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39"/>
      <c r="AU53" s="339"/>
      <c r="AV53" s="339"/>
    </row>
    <row r="54" spans="1:48" ht="37.5" customHeight="1" x14ac:dyDescent="0.25">
      <c r="A54" s="328"/>
      <c r="B54" s="329"/>
      <c r="C54" s="329"/>
      <c r="D54" s="367"/>
      <c r="E54" s="329"/>
      <c r="F54" s="329"/>
      <c r="G54" s="344"/>
      <c r="H54" s="344"/>
      <c r="I54" s="344"/>
      <c r="J54" s="344"/>
      <c r="K54" s="344"/>
      <c r="L54" s="344"/>
      <c r="M54" s="344"/>
      <c r="N54" s="344"/>
      <c r="O54" s="344"/>
      <c r="P54" s="344"/>
      <c r="Q54" s="344"/>
      <c r="R54" s="339"/>
      <c r="S54" s="340"/>
      <c r="T54" s="341"/>
      <c r="U54" s="359"/>
      <c r="V54" s="341">
        <f>IF(NOT(ISERROR(MATCH(U54,_xlfn.ANCHORARRAY(E65),0))),T67&amp;"Por favor no seleccionar los criterios de impacto",U54)</f>
        <v>0</v>
      </c>
      <c r="W54" s="340"/>
      <c r="X54" s="341"/>
      <c r="Y54" s="358"/>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39"/>
      <c r="AU54" s="339"/>
      <c r="AV54" s="339"/>
    </row>
    <row r="55" spans="1:48" ht="37.5" customHeight="1" x14ac:dyDescent="0.25">
      <c r="A55" s="328">
        <v>8</v>
      </c>
      <c r="B55" s="329"/>
      <c r="C55" s="329"/>
      <c r="D55" s="329"/>
      <c r="E55" s="329"/>
      <c r="F55" s="329"/>
      <c r="G55" s="342"/>
      <c r="H55" s="342"/>
      <c r="I55" s="342"/>
      <c r="J55" s="342"/>
      <c r="K55" s="342"/>
      <c r="L55" s="342"/>
      <c r="M55" s="342"/>
      <c r="N55" s="342"/>
      <c r="O55" s="342"/>
      <c r="P55" s="342"/>
      <c r="Q55" s="342"/>
      <c r="R55" s="339"/>
      <c r="S55" s="340" t="str">
        <f>IF(R55&lt;=0,"",IF(R55&lt;=2,"Muy Baja",IF(R55&lt;=24,"Baja",IF(R55&lt;=500,"Media",IF(R55&lt;=5000,"Alta","Muy Alta")))))</f>
        <v/>
      </c>
      <c r="T55" s="341" t="str">
        <f>IF(S55="","",IF(S55="Muy Baja",0.2,IF(S55="Baja",0.4,IF(S55="Media",0.6,IF(S55="Alta",0.8,IF(S55="Muy Alta",1,))))))</f>
        <v/>
      </c>
      <c r="U55" s="359"/>
      <c r="V55" s="341">
        <f>IF(NOT(ISERROR(MATCH(U55,'Tabla Impacto'!$B$222:$B$224,0))),'Tabla Impacto'!$F$224&amp;"Por favor no seleccionar los criterios de impacto(Afectación Económica o presupuestal y Pérdida Reputacional)",U55)</f>
        <v>0</v>
      </c>
      <c r="W55" s="340" t="str">
        <f>IF(OR(V55='Tabla Impacto'!$C$12,V55='Tabla Impacto'!$D$12),"Leve",IF(OR(V55='Tabla Impacto'!$C$13,V55='Tabla Impacto'!$D$13),"Menor",IF(OR(V55='Tabla Impacto'!$C$14,V55='Tabla Impacto'!$D$14),"Moderado",IF(OR(V55='Tabla Impacto'!$C$15,V55='Tabla Impacto'!$D$15),"Mayor",IF(OR(V55='Tabla Impacto'!$C$16,V55='Tabla Impacto'!$D$16),"Catastrófico","")))))</f>
        <v/>
      </c>
      <c r="X55" s="341" t="str">
        <f>IF(W55="","",IF(W55="Leve",0.2,IF(W55="Menor",0.4,IF(W55="Moderado",0.6,IF(W55="Mayor",0.8,IF(W55="Catastrófico",1,))))))</f>
        <v/>
      </c>
      <c r="Y55" s="358"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39"/>
      <c r="AU55" s="339"/>
      <c r="AV55" s="339"/>
    </row>
    <row r="56" spans="1:48" ht="37.5" customHeight="1" x14ac:dyDescent="0.25">
      <c r="A56" s="328"/>
      <c r="B56" s="329"/>
      <c r="C56" s="329"/>
      <c r="D56" s="329"/>
      <c r="E56" s="329"/>
      <c r="F56" s="329"/>
      <c r="G56" s="343"/>
      <c r="H56" s="343"/>
      <c r="I56" s="343"/>
      <c r="J56" s="343"/>
      <c r="K56" s="343"/>
      <c r="L56" s="343"/>
      <c r="M56" s="343"/>
      <c r="N56" s="343"/>
      <c r="O56" s="343"/>
      <c r="P56" s="343"/>
      <c r="Q56" s="343"/>
      <c r="R56" s="339"/>
      <c r="S56" s="340"/>
      <c r="T56" s="341"/>
      <c r="U56" s="359"/>
      <c r="V56" s="341">
        <f>IF(NOT(ISERROR(MATCH(U56,_xlfn.ANCHORARRAY(E67),0))),T69&amp;"Por favor no seleccionar los criterios de impacto",U56)</f>
        <v>0</v>
      </c>
      <c r="W56" s="340"/>
      <c r="X56" s="341"/>
      <c r="Y56" s="358"/>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39"/>
      <c r="AU56" s="339"/>
      <c r="AV56" s="339"/>
    </row>
    <row r="57" spans="1:48" ht="37.5" customHeight="1" x14ac:dyDescent="0.25">
      <c r="A57" s="328"/>
      <c r="B57" s="329"/>
      <c r="C57" s="329"/>
      <c r="D57" s="329"/>
      <c r="E57" s="329"/>
      <c r="F57" s="329"/>
      <c r="G57" s="343"/>
      <c r="H57" s="343"/>
      <c r="I57" s="343"/>
      <c r="J57" s="343"/>
      <c r="K57" s="343"/>
      <c r="L57" s="343"/>
      <c r="M57" s="343"/>
      <c r="N57" s="343"/>
      <c r="O57" s="343"/>
      <c r="P57" s="343"/>
      <c r="Q57" s="343"/>
      <c r="R57" s="339"/>
      <c r="S57" s="340"/>
      <c r="T57" s="341"/>
      <c r="U57" s="359"/>
      <c r="V57" s="341">
        <f>IF(NOT(ISERROR(MATCH(U57,_xlfn.ANCHORARRAY(E68),0))),T70&amp;"Por favor no seleccionar los criterios de impacto",U57)</f>
        <v>0</v>
      </c>
      <c r="W57" s="340"/>
      <c r="X57" s="341"/>
      <c r="Y57" s="358"/>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39"/>
      <c r="AU57" s="339"/>
      <c r="AV57" s="339"/>
    </row>
    <row r="58" spans="1:48" ht="37.5" customHeight="1" x14ac:dyDescent="0.25">
      <c r="A58" s="328"/>
      <c r="B58" s="329"/>
      <c r="C58" s="329"/>
      <c r="D58" s="329"/>
      <c r="E58" s="329"/>
      <c r="F58" s="329"/>
      <c r="G58" s="343"/>
      <c r="H58" s="343"/>
      <c r="I58" s="343"/>
      <c r="J58" s="343"/>
      <c r="K58" s="343"/>
      <c r="L58" s="343"/>
      <c r="M58" s="343"/>
      <c r="N58" s="343"/>
      <c r="O58" s="343"/>
      <c r="P58" s="343"/>
      <c r="Q58" s="343"/>
      <c r="R58" s="339"/>
      <c r="S58" s="340"/>
      <c r="T58" s="341"/>
      <c r="U58" s="359"/>
      <c r="V58" s="341">
        <f>IF(NOT(ISERROR(MATCH(U58,_xlfn.ANCHORARRAY(E69),0))),T71&amp;"Por favor no seleccionar los criterios de impacto",U58)</f>
        <v>0</v>
      </c>
      <c r="W58" s="340"/>
      <c r="X58" s="341"/>
      <c r="Y58" s="358"/>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39"/>
      <c r="AU58" s="339"/>
      <c r="AV58" s="339"/>
    </row>
    <row r="59" spans="1:48" ht="37.5" customHeight="1" x14ac:dyDescent="0.25">
      <c r="A59" s="328"/>
      <c r="B59" s="329"/>
      <c r="C59" s="329"/>
      <c r="D59" s="329"/>
      <c r="E59" s="329"/>
      <c r="F59" s="329"/>
      <c r="G59" s="343"/>
      <c r="H59" s="343"/>
      <c r="I59" s="343"/>
      <c r="J59" s="343"/>
      <c r="K59" s="343"/>
      <c r="L59" s="343"/>
      <c r="M59" s="343"/>
      <c r="N59" s="343"/>
      <c r="O59" s="343"/>
      <c r="P59" s="343"/>
      <c r="Q59" s="343"/>
      <c r="R59" s="339"/>
      <c r="S59" s="340"/>
      <c r="T59" s="341"/>
      <c r="U59" s="359"/>
      <c r="V59" s="341">
        <f>IF(NOT(ISERROR(MATCH(U59,_xlfn.ANCHORARRAY(E70),0))),T72&amp;"Por favor no seleccionar los criterios de impacto",U59)</f>
        <v>0</v>
      </c>
      <c r="W59" s="340"/>
      <c r="X59" s="341"/>
      <c r="Y59" s="358"/>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39"/>
      <c r="AU59" s="339"/>
      <c r="AV59" s="339"/>
    </row>
    <row r="60" spans="1:48" ht="37.5" customHeight="1" x14ac:dyDescent="0.25">
      <c r="A60" s="328"/>
      <c r="B60" s="329"/>
      <c r="C60" s="329"/>
      <c r="D60" s="329"/>
      <c r="E60" s="329"/>
      <c r="F60" s="329"/>
      <c r="G60" s="344"/>
      <c r="H60" s="344"/>
      <c r="I60" s="344"/>
      <c r="J60" s="344"/>
      <c r="K60" s="344"/>
      <c r="L60" s="344"/>
      <c r="M60" s="344"/>
      <c r="N60" s="344"/>
      <c r="O60" s="344"/>
      <c r="P60" s="344"/>
      <c r="Q60" s="344"/>
      <c r="R60" s="339"/>
      <c r="S60" s="340"/>
      <c r="T60" s="341"/>
      <c r="U60" s="359"/>
      <c r="V60" s="341">
        <f>IF(NOT(ISERROR(MATCH(U60,_xlfn.ANCHORARRAY(E71),0))),U73&amp;"Por favor no seleccionar los criterios de impacto",U60)</f>
        <v>0</v>
      </c>
      <c r="W60" s="340"/>
      <c r="X60" s="341"/>
      <c r="Y60" s="358"/>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39"/>
      <c r="AU60" s="339"/>
      <c r="AV60" s="339"/>
    </row>
    <row r="61" spans="1:48" ht="37.5" customHeight="1" x14ac:dyDescent="0.25">
      <c r="A61" s="328">
        <v>9</v>
      </c>
      <c r="B61" s="329"/>
      <c r="C61" s="329"/>
      <c r="D61" s="329"/>
      <c r="E61" s="329"/>
      <c r="F61" s="329"/>
      <c r="G61" s="342"/>
      <c r="H61" s="342"/>
      <c r="I61" s="342"/>
      <c r="J61" s="342"/>
      <c r="K61" s="342"/>
      <c r="L61" s="342"/>
      <c r="M61" s="221"/>
      <c r="N61" s="221"/>
      <c r="O61" s="221"/>
      <c r="P61" s="342"/>
      <c r="Q61" s="342"/>
      <c r="R61" s="339"/>
      <c r="S61" s="340" t="str">
        <f>IF(R61&lt;=0,"",IF(R61&lt;=2,"Muy Baja",IF(R61&lt;=24,"Baja",IF(R61&lt;=500,"Media",IF(R61&lt;=5000,"Alta","Muy Alta")))))</f>
        <v/>
      </c>
      <c r="T61" s="341" t="str">
        <f>IF(S61="","",IF(S61="Muy Baja",0.2,IF(S61="Baja",0.4,IF(S61="Media",0.6,IF(S61="Alta",0.8,IF(S61="Muy Alta",1,))))))</f>
        <v/>
      </c>
      <c r="U61" s="359"/>
      <c r="V61" s="341">
        <f>IF(NOT(ISERROR(MATCH(U61,'Tabla Impacto'!$B$222:$B$224,0))),'Tabla Impacto'!$F$224&amp;"Por favor no seleccionar los criterios de impacto(Afectación Económica o presupuestal y Pérdida Reputacional)",U61)</f>
        <v>0</v>
      </c>
      <c r="W61" s="340" t="str">
        <f>IF(OR(V61='Tabla Impacto'!$C$12,V61='Tabla Impacto'!$D$12),"Leve",IF(OR(V61='Tabla Impacto'!$C$13,V61='Tabla Impacto'!$D$13),"Menor",IF(OR(V61='Tabla Impacto'!$C$14,V61='Tabla Impacto'!$D$14),"Moderado",IF(OR(V61='Tabla Impacto'!$C$15,V61='Tabla Impacto'!$D$15),"Mayor",IF(OR(V61='Tabla Impacto'!$C$16,V61='Tabla Impacto'!$D$16),"Catastrófico","")))))</f>
        <v/>
      </c>
      <c r="X61" s="341" t="str">
        <f>IF(W61="","",IF(W61="Leve",0.2,IF(W61="Menor",0.4,IF(W61="Moderado",0.6,IF(W61="Mayor",0.8,IF(W61="Catastrófico",1,))))))</f>
        <v/>
      </c>
      <c r="Y61" s="358"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39"/>
      <c r="AU61" s="339"/>
      <c r="AV61" s="339"/>
    </row>
    <row r="62" spans="1:48" ht="37.5" customHeight="1" x14ac:dyDescent="0.25">
      <c r="A62" s="328"/>
      <c r="B62" s="329"/>
      <c r="C62" s="329"/>
      <c r="D62" s="329"/>
      <c r="E62" s="329"/>
      <c r="F62" s="329"/>
      <c r="G62" s="343"/>
      <c r="H62" s="343"/>
      <c r="I62" s="343"/>
      <c r="J62" s="343"/>
      <c r="K62" s="343"/>
      <c r="L62" s="343"/>
      <c r="M62" s="222"/>
      <c r="N62" s="222"/>
      <c r="O62" s="222"/>
      <c r="P62" s="343"/>
      <c r="Q62" s="343"/>
      <c r="R62" s="339"/>
      <c r="S62" s="340"/>
      <c r="T62" s="341"/>
      <c r="U62" s="359"/>
      <c r="V62" s="341">
        <f>IF(NOT(ISERROR(MATCH(U62,_xlfn.ANCHORARRAY(F73),0))),U75&amp;"Por favor no seleccionar los criterios de impacto",U62)</f>
        <v>0</v>
      </c>
      <c r="W62" s="340"/>
      <c r="X62" s="341"/>
      <c r="Y62" s="358"/>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39"/>
      <c r="AU62" s="339"/>
      <c r="AV62" s="339"/>
    </row>
    <row r="63" spans="1:48" ht="37.5" customHeight="1" x14ac:dyDescent="0.25">
      <c r="A63" s="328"/>
      <c r="B63" s="329"/>
      <c r="C63" s="329"/>
      <c r="D63" s="329"/>
      <c r="E63" s="329"/>
      <c r="F63" s="329"/>
      <c r="G63" s="343"/>
      <c r="H63" s="343"/>
      <c r="I63" s="343"/>
      <c r="J63" s="343"/>
      <c r="K63" s="343"/>
      <c r="L63" s="343"/>
      <c r="M63" s="222"/>
      <c r="N63" s="222"/>
      <c r="O63" s="222"/>
      <c r="P63" s="343"/>
      <c r="Q63" s="343"/>
      <c r="R63" s="339"/>
      <c r="S63" s="340"/>
      <c r="T63" s="341"/>
      <c r="U63" s="359"/>
      <c r="V63" s="341">
        <f>IF(NOT(ISERROR(MATCH(U63,_xlfn.ANCHORARRAY(F74),0))),U76&amp;"Por favor no seleccionar los criterios de impacto",U63)</f>
        <v>0</v>
      </c>
      <c r="W63" s="340"/>
      <c r="X63" s="341"/>
      <c r="Y63" s="358"/>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39"/>
      <c r="AU63" s="339"/>
      <c r="AV63" s="339"/>
    </row>
    <row r="64" spans="1:48" ht="37.5" customHeight="1" x14ac:dyDescent="0.25">
      <c r="A64" s="328"/>
      <c r="B64" s="329"/>
      <c r="C64" s="329"/>
      <c r="D64" s="329"/>
      <c r="E64" s="329"/>
      <c r="F64" s="329"/>
      <c r="G64" s="343"/>
      <c r="H64" s="343"/>
      <c r="I64" s="343"/>
      <c r="J64" s="343"/>
      <c r="K64" s="343"/>
      <c r="L64" s="343"/>
      <c r="M64" s="222"/>
      <c r="N64" s="222"/>
      <c r="O64" s="222"/>
      <c r="P64" s="343"/>
      <c r="Q64" s="343"/>
      <c r="R64" s="339"/>
      <c r="S64" s="340"/>
      <c r="T64" s="341"/>
      <c r="U64" s="359"/>
      <c r="V64" s="341">
        <f>IF(NOT(ISERROR(MATCH(U64,_xlfn.ANCHORARRAY(F75),0))),U77&amp;"Por favor no seleccionar los criterios de impacto",U64)</f>
        <v>0</v>
      </c>
      <c r="W64" s="340"/>
      <c r="X64" s="341"/>
      <c r="Y64" s="358"/>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39"/>
      <c r="AU64" s="339"/>
      <c r="AV64" s="339"/>
    </row>
    <row r="65" spans="1:48" ht="37.5" customHeight="1" x14ac:dyDescent="0.25">
      <c r="A65" s="328"/>
      <c r="B65" s="329"/>
      <c r="C65" s="329"/>
      <c r="D65" s="329"/>
      <c r="E65" s="329"/>
      <c r="F65" s="329"/>
      <c r="G65" s="343"/>
      <c r="H65" s="343"/>
      <c r="I65" s="343"/>
      <c r="J65" s="343"/>
      <c r="K65" s="343"/>
      <c r="L65" s="343"/>
      <c r="M65" s="222"/>
      <c r="N65" s="222"/>
      <c r="O65" s="222"/>
      <c r="P65" s="343"/>
      <c r="Q65" s="343"/>
      <c r="R65" s="339"/>
      <c r="S65" s="340"/>
      <c r="T65" s="341"/>
      <c r="U65" s="359"/>
      <c r="V65" s="341">
        <f>IF(NOT(ISERROR(MATCH(U65,_xlfn.ANCHORARRAY(F76),0))),U78&amp;"Por favor no seleccionar los criterios de impacto",U65)</f>
        <v>0</v>
      </c>
      <c r="W65" s="340"/>
      <c r="X65" s="341"/>
      <c r="Y65" s="358"/>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39"/>
      <c r="AU65" s="339"/>
      <c r="AV65" s="339"/>
    </row>
    <row r="66" spans="1:48" ht="37.5" customHeight="1" x14ac:dyDescent="0.25">
      <c r="A66" s="328"/>
      <c r="B66" s="329"/>
      <c r="C66" s="329"/>
      <c r="D66" s="329"/>
      <c r="E66" s="329"/>
      <c r="F66" s="329"/>
      <c r="G66" s="344"/>
      <c r="H66" s="344"/>
      <c r="I66" s="344"/>
      <c r="J66" s="344"/>
      <c r="K66" s="344"/>
      <c r="L66" s="344"/>
      <c r="M66" s="223"/>
      <c r="N66" s="223"/>
      <c r="O66" s="223"/>
      <c r="P66" s="344"/>
      <c r="Q66" s="344"/>
      <c r="R66" s="339"/>
      <c r="S66" s="340"/>
      <c r="T66" s="341"/>
      <c r="U66" s="359"/>
      <c r="V66" s="341">
        <f>IF(NOT(ISERROR(MATCH(U66,_xlfn.ANCHORARRAY(F77),0))),U79&amp;"Por favor no seleccionar los criterios de impacto",U66)</f>
        <v>0</v>
      </c>
      <c r="W66" s="340"/>
      <c r="X66" s="341"/>
      <c r="Y66" s="358"/>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39"/>
      <c r="AU66" s="339"/>
      <c r="AV66" s="339"/>
    </row>
    <row r="67" spans="1:48" ht="37.5" customHeight="1" x14ac:dyDescent="0.25">
      <c r="A67" s="328">
        <v>10</v>
      </c>
      <c r="B67" s="329"/>
      <c r="C67" s="329"/>
      <c r="D67" s="329"/>
      <c r="E67" s="329"/>
      <c r="F67" s="329"/>
      <c r="G67" s="342"/>
      <c r="H67" s="342"/>
      <c r="I67" s="342"/>
      <c r="J67" s="342"/>
      <c r="K67" s="342"/>
      <c r="L67" s="342"/>
      <c r="M67" s="221"/>
      <c r="N67" s="221"/>
      <c r="O67" s="221"/>
      <c r="P67" s="342"/>
      <c r="Q67" s="342"/>
      <c r="R67" s="339"/>
      <c r="S67" s="340" t="str">
        <f>IF(R67&lt;=0,"",IF(R67&lt;=2,"Muy Baja",IF(R67&lt;=24,"Baja",IF(R67&lt;=500,"Media",IF(R67&lt;=5000,"Alta","Muy Alta")))))</f>
        <v/>
      </c>
      <c r="T67" s="341" t="str">
        <f>IF(S67="","",IF(S67="Muy Baja",0.2,IF(S67="Baja",0.4,IF(S67="Media",0.6,IF(S67="Alta",0.8,IF(S67="Muy Alta",1,))))))</f>
        <v/>
      </c>
      <c r="U67" s="359"/>
      <c r="V67" s="341">
        <f>IF(NOT(ISERROR(MATCH(U67,'Tabla Impacto'!$B$222:$B$224,0))),'Tabla Impacto'!$F$224&amp;"Por favor no seleccionar los criterios de impacto(Afectación Económica o presupuestal y Pérdida Reputacional)",U67)</f>
        <v>0</v>
      </c>
      <c r="W67" s="340" t="str">
        <f>IF(OR(V67='Tabla Impacto'!$C$12,V67='Tabla Impacto'!$D$12),"Leve",IF(OR(V67='Tabla Impacto'!$C$13,V67='Tabla Impacto'!$D$13),"Menor",IF(OR(V67='Tabla Impacto'!$C$14,V67='Tabla Impacto'!$D$14),"Moderado",IF(OR(V67='Tabla Impacto'!$C$15,V67='Tabla Impacto'!$D$15),"Mayor",IF(OR(V67='Tabla Impacto'!$C$16,V67='Tabla Impacto'!$D$16),"Catastrófico","")))))</f>
        <v/>
      </c>
      <c r="X67" s="341" t="str">
        <f>IF(W67="","",IF(W67="Leve",0.2,IF(W67="Menor",0.4,IF(W67="Moderado",0.6,IF(W67="Mayor",0.8,IF(W67="Catastrófico",1,))))))</f>
        <v/>
      </c>
      <c r="Y67" s="358"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39"/>
      <c r="AU67" s="339"/>
      <c r="AV67" s="339"/>
    </row>
    <row r="68" spans="1:48" ht="37.5" customHeight="1" x14ac:dyDescent="0.25">
      <c r="A68" s="328"/>
      <c r="B68" s="329"/>
      <c r="C68" s="329"/>
      <c r="D68" s="329"/>
      <c r="E68" s="329"/>
      <c r="F68" s="329"/>
      <c r="G68" s="343"/>
      <c r="H68" s="343"/>
      <c r="I68" s="343"/>
      <c r="J68" s="343"/>
      <c r="K68" s="343"/>
      <c r="L68" s="343"/>
      <c r="M68" s="222"/>
      <c r="N68" s="222"/>
      <c r="O68" s="222"/>
      <c r="P68" s="343"/>
      <c r="Q68" s="343"/>
      <c r="R68" s="339"/>
      <c r="S68" s="340"/>
      <c r="T68" s="341"/>
      <c r="U68" s="359"/>
      <c r="V68" s="341">
        <f>IF(NOT(ISERROR(MATCH(U68,_xlfn.ANCHORARRAY(F79),0))),U81&amp;"Por favor no seleccionar los criterios de impacto",U68)</f>
        <v>0</v>
      </c>
      <c r="W68" s="340"/>
      <c r="X68" s="341"/>
      <c r="Y68" s="358"/>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39"/>
      <c r="AU68" s="339"/>
      <c r="AV68" s="339"/>
    </row>
    <row r="69" spans="1:48" ht="37.5" customHeight="1" x14ac:dyDescent="0.25">
      <c r="A69" s="328"/>
      <c r="B69" s="329"/>
      <c r="C69" s="329"/>
      <c r="D69" s="329"/>
      <c r="E69" s="329"/>
      <c r="F69" s="329"/>
      <c r="G69" s="343"/>
      <c r="H69" s="343"/>
      <c r="I69" s="343"/>
      <c r="J69" s="343"/>
      <c r="K69" s="343"/>
      <c r="L69" s="343"/>
      <c r="M69" s="222"/>
      <c r="N69" s="222"/>
      <c r="O69" s="222"/>
      <c r="P69" s="343"/>
      <c r="Q69" s="343"/>
      <c r="R69" s="339"/>
      <c r="S69" s="340"/>
      <c r="T69" s="341"/>
      <c r="U69" s="359"/>
      <c r="V69" s="341">
        <f>IF(NOT(ISERROR(MATCH(U69,_xlfn.ANCHORARRAY(F80),0))),U82&amp;"Por favor no seleccionar los criterios de impacto",U69)</f>
        <v>0</v>
      </c>
      <c r="W69" s="340"/>
      <c r="X69" s="341"/>
      <c r="Y69" s="358"/>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39"/>
      <c r="AU69" s="339"/>
      <c r="AV69" s="339"/>
    </row>
    <row r="70" spans="1:48" ht="37.5" customHeight="1" x14ac:dyDescent="0.25">
      <c r="A70" s="328"/>
      <c r="B70" s="329"/>
      <c r="C70" s="329"/>
      <c r="D70" s="329"/>
      <c r="E70" s="329"/>
      <c r="F70" s="329"/>
      <c r="G70" s="343"/>
      <c r="H70" s="343"/>
      <c r="I70" s="343"/>
      <c r="J70" s="343"/>
      <c r="K70" s="343"/>
      <c r="L70" s="343"/>
      <c r="M70" s="222"/>
      <c r="N70" s="222"/>
      <c r="O70" s="222"/>
      <c r="P70" s="343"/>
      <c r="Q70" s="343"/>
      <c r="R70" s="339"/>
      <c r="S70" s="340"/>
      <c r="T70" s="341"/>
      <c r="U70" s="359"/>
      <c r="V70" s="341">
        <f>IF(NOT(ISERROR(MATCH(U70,_xlfn.ANCHORARRAY(F81),0))),U83&amp;"Por favor no seleccionar los criterios de impacto",U70)</f>
        <v>0</v>
      </c>
      <c r="W70" s="340"/>
      <c r="X70" s="341"/>
      <c r="Y70" s="358"/>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39"/>
      <c r="AU70" s="339"/>
      <c r="AV70" s="339"/>
    </row>
    <row r="71" spans="1:48" ht="37.5" customHeight="1" x14ac:dyDescent="0.25">
      <c r="A71" s="328"/>
      <c r="B71" s="329"/>
      <c r="C71" s="329"/>
      <c r="D71" s="329"/>
      <c r="E71" s="329"/>
      <c r="F71" s="329"/>
      <c r="G71" s="343"/>
      <c r="H71" s="343"/>
      <c r="I71" s="343"/>
      <c r="J71" s="343"/>
      <c r="K71" s="343"/>
      <c r="L71" s="343"/>
      <c r="M71" s="222"/>
      <c r="N71" s="222"/>
      <c r="O71" s="222"/>
      <c r="P71" s="343"/>
      <c r="Q71" s="343"/>
      <c r="R71" s="339"/>
      <c r="S71" s="340"/>
      <c r="T71" s="341"/>
      <c r="U71" s="359"/>
      <c r="V71" s="341">
        <f>IF(NOT(ISERROR(MATCH(U71,_xlfn.ANCHORARRAY(F82),0))),U84&amp;"Por favor no seleccionar los criterios de impacto",U71)</f>
        <v>0</v>
      </c>
      <c r="W71" s="340"/>
      <c r="X71" s="341"/>
      <c r="Y71" s="358"/>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39"/>
      <c r="AU71" s="339"/>
      <c r="AV71" s="339"/>
    </row>
    <row r="72" spans="1:48" ht="37.5" customHeight="1" x14ac:dyDescent="0.25">
      <c r="A72" s="328"/>
      <c r="B72" s="329"/>
      <c r="C72" s="329"/>
      <c r="D72" s="329"/>
      <c r="E72" s="329"/>
      <c r="F72" s="329"/>
      <c r="G72" s="344"/>
      <c r="H72" s="344"/>
      <c r="I72" s="344"/>
      <c r="J72" s="344"/>
      <c r="K72" s="344"/>
      <c r="L72" s="344"/>
      <c r="M72" s="223"/>
      <c r="N72" s="223"/>
      <c r="O72" s="223"/>
      <c r="P72" s="344"/>
      <c r="Q72" s="344"/>
      <c r="R72" s="339"/>
      <c r="S72" s="340"/>
      <c r="T72" s="341"/>
      <c r="U72" s="359"/>
      <c r="V72" s="341">
        <f>IF(NOT(ISERROR(MATCH(U72,_xlfn.ANCHORARRAY(F83),0))),U85&amp;"Por favor no seleccionar los criterios de impacto",U72)</f>
        <v>0</v>
      </c>
      <c r="W72" s="340"/>
      <c r="X72" s="341"/>
      <c r="Y72" s="358"/>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39"/>
      <c r="AU72" s="339"/>
      <c r="AV72" s="339"/>
    </row>
    <row r="73" spans="1:48" ht="49.5" customHeight="1" x14ac:dyDescent="0.25">
      <c r="A73" s="216"/>
      <c r="B73" s="365" t="s">
        <v>285</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row>
    <row r="75" spans="1:48" ht="15.6" x14ac:dyDescent="0.25">
      <c r="A75" s="198"/>
      <c r="B75" s="206" t="s">
        <v>286</v>
      </c>
      <c r="C75" s="198"/>
      <c r="D75" s="198"/>
      <c r="E75" s="198"/>
      <c r="R75" s="198"/>
    </row>
  </sheetData>
  <dataConsolidate/>
  <mergeCells count="343">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Y61:Y66"/>
    <mergeCell ref="K61:K66"/>
    <mergeCell ref="L61:L66"/>
    <mergeCell ref="P61:P66"/>
    <mergeCell ref="Q61:Q66"/>
    <mergeCell ref="R61:R66"/>
    <mergeCell ref="S61:S66"/>
    <mergeCell ref="A61:A66"/>
    <mergeCell ref="B61:B66"/>
    <mergeCell ref="C61:C66"/>
    <mergeCell ref="D61:D66"/>
    <mergeCell ref="E61:E66"/>
    <mergeCell ref="F61:F66"/>
    <mergeCell ref="W55:W60"/>
    <mergeCell ref="X55:X60"/>
    <mergeCell ref="Y55:Y60"/>
    <mergeCell ref="AT55:AT60"/>
    <mergeCell ref="AU55:AU60"/>
    <mergeCell ref="AV55:AV60"/>
    <mergeCell ref="Q55:Q60"/>
    <mergeCell ref="R55:R60"/>
    <mergeCell ref="S55:S60"/>
    <mergeCell ref="T55:T60"/>
    <mergeCell ref="U55:U60"/>
    <mergeCell ref="V55:V60"/>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49:W54"/>
    <mergeCell ref="X49:X54"/>
    <mergeCell ref="Y49:Y54"/>
    <mergeCell ref="AT49:AT54"/>
    <mergeCell ref="AU49:AU54"/>
    <mergeCell ref="AV49:AV54"/>
    <mergeCell ref="Q49:Q54"/>
    <mergeCell ref="R49:R54"/>
    <mergeCell ref="S49:S54"/>
    <mergeCell ref="T49:T54"/>
    <mergeCell ref="U49:U54"/>
    <mergeCell ref="V49:V54"/>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3:W48"/>
    <mergeCell ref="X43:X48"/>
    <mergeCell ref="Y43:Y48"/>
    <mergeCell ref="AT43:AT48"/>
    <mergeCell ref="AU43:AU48"/>
    <mergeCell ref="AV43:AV48"/>
    <mergeCell ref="Q43:Q48"/>
    <mergeCell ref="R43:R48"/>
    <mergeCell ref="S43:S48"/>
    <mergeCell ref="T43:T48"/>
    <mergeCell ref="U43:U48"/>
    <mergeCell ref="V43:V48"/>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37:W42"/>
    <mergeCell ref="X37:X42"/>
    <mergeCell ref="Y37:Y42"/>
    <mergeCell ref="AT37:AT42"/>
    <mergeCell ref="AU37:AU42"/>
    <mergeCell ref="AV37:AV42"/>
    <mergeCell ref="Q37:Q42"/>
    <mergeCell ref="R37:R42"/>
    <mergeCell ref="S37:S42"/>
    <mergeCell ref="T37:T42"/>
    <mergeCell ref="U37:U42"/>
    <mergeCell ref="V37:V42"/>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1:W36"/>
    <mergeCell ref="X31:X36"/>
    <mergeCell ref="Y31:Y36"/>
    <mergeCell ref="AT31:AT36"/>
    <mergeCell ref="AU31:AU36"/>
    <mergeCell ref="AV31:AV36"/>
    <mergeCell ref="Q31:Q36"/>
    <mergeCell ref="R31:R36"/>
    <mergeCell ref="S31:S36"/>
    <mergeCell ref="T31:T36"/>
    <mergeCell ref="U31:U36"/>
    <mergeCell ref="V31:V36"/>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25:W30"/>
    <mergeCell ref="X25:X30"/>
    <mergeCell ref="Y25:Y30"/>
    <mergeCell ref="AT25:AT30"/>
    <mergeCell ref="AU25:AU30"/>
    <mergeCell ref="AV25:AV30"/>
    <mergeCell ref="Q25:Q30"/>
    <mergeCell ref="R25:R30"/>
    <mergeCell ref="S25:S30"/>
    <mergeCell ref="T25:T30"/>
    <mergeCell ref="U25:U30"/>
    <mergeCell ref="V25:V30"/>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M11:AM12"/>
    <mergeCell ref="AN11:AN12"/>
    <mergeCell ref="AO11:AO12"/>
    <mergeCell ref="AB11:AB12"/>
    <mergeCell ref="AC11:AH11"/>
    <mergeCell ref="AI11:AI12"/>
    <mergeCell ref="AJ11:AJ12"/>
    <mergeCell ref="AK11:AK12"/>
    <mergeCell ref="AL11:AL12"/>
    <mergeCell ref="V11:V12"/>
    <mergeCell ref="W11:W12"/>
    <mergeCell ref="R11:R12"/>
    <mergeCell ref="S11:S12"/>
    <mergeCell ref="T11:T12"/>
    <mergeCell ref="U11:U12"/>
    <mergeCell ref="X11:X12"/>
    <mergeCell ref="Y11:Y12"/>
    <mergeCell ref="Z11:Z12"/>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A1:C4"/>
    <mergeCell ref="D1:T2"/>
    <mergeCell ref="X1:AR2"/>
    <mergeCell ref="D3:I3"/>
    <mergeCell ref="J3:T3"/>
    <mergeCell ref="X3:AL3"/>
    <mergeCell ref="AM3:AR3"/>
    <mergeCell ref="D4:T4"/>
    <mergeCell ref="X4:AR4"/>
    <mergeCell ref="C6:T6"/>
    <mergeCell ref="W6:Y6"/>
    <mergeCell ref="Z6:AR6"/>
    <mergeCell ref="C7:T7"/>
    <mergeCell ref="Z7:AR7"/>
    <mergeCell ref="C8:T8"/>
    <mergeCell ref="Z8:AR8"/>
    <mergeCell ref="A6:B6"/>
    <mergeCell ref="A7:B7"/>
    <mergeCell ref="A8:B8"/>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14:formula1>
            <xm:f>Listas!$H$14:$H$18</xm:f>
          </x14:formula1>
          <xm:sqref>Q13:Q72</xm:sqref>
        </x14:dataValidation>
        <x14:dataValidation type="list" allowBlank="1" showInputMessage="1" showErrorMessage="1">
          <x14:formula1>
            <xm:f>Listas!$H$8:$H$12</xm:f>
          </x14:formula1>
          <xm:sqref>P13:P72</xm:sqref>
        </x14:dataValidation>
        <x14:dataValidation type="list" allowBlank="1" showInputMessage="1" showErrorMessage="1">
          <x14:formula1>
            <xm:f>Intructivo!$C$300:$C$316</xm:f>
          </x14:formula1>
          <xm:sqref>C6:Z6</xm:sqref>
        </x14:dataValidation>
        <x14:dataValidation type="list" allowBlank="1" showInputMessage="1" showErrorMessage="1">
          <x14:formula1>
            <xm:f>Listas!$F$8:$F$9</xm:f>
          </x14:formula1>
          <xm:sqref>K13:K72</xm:sqref>
        </x14:dataValidation>
        <x14:dataValidation type="list" allowBlank="1" showInputMessage="1" showErrorMessage="1">
          <x14:formula1>
            <xm:f>Listas!$B$20:$B$22</xm:f>
          </x14:formula1>
          <xm:sqref>F13:F72</xm:sqref>
        </x14:dataValidation>
        <x14:dataValidation type="custom" allowBlank="1" showInputMessage="1" showErrorMessage="1" error="Recuerde que las acciones se generan bajo la medida de mitigar el riesgo">
          <x14:formula1>
            <xm:f>IF(OR(#REF!=Listas!$B$2,#REF!=Listas!$B$3,#REF!=Listas!$B$4),ISBLANK(#REF!),ISTEXT(#REF!))</xm:f>
          </x14:formula1>
          <xm:sqref>AT19:AV19 AT67:AV67 AT61:AV61 AT55:AV55 AT49:AV49 AT43:AV43 AT37:AV37 AT31:AV31 AT25:AV25</xm:sqref>
        </x14:dataValidation>
        <x14:dataValidation type="list" allowBlank="1" showInputMessage="1" showErrorMessage="1">
          <x14:formula1>
            <xm:f>'Tabla Impacto'!$F$211:$F$222</xm:f>
          </x14:formula1>
          <xm:sqref>U13:U72</xm:sqref>
        </x14:dataValidation>
        <x14:dataValidation type="list" allowBlank="1" showInputMessage="1" showErrorMessage="1">
          <x14:formula1>
            <xm:f>Listas!$B$2:$B$5</xm:f>
          </x14:formula1>
          <xm:sqref>AO13:AO72</xm:sqref>
        </x14:dataValidation>
        <x14:dataValidation type="list" allowBlank="1" showInputMessage="1" showErrorMessage="1">
          <x14:formula1>
            <xm:f>Listas!$E$2:$E$4</xm:f>
          </x14:formula1>
          <xm:sqref>B13:B72</xm:sqref>
        </x14:dataValidation>
        <x14:dataValidation type="list" allowBlank="1" showInputMessage="1" showErrorMessage="1">
          <x14:formula1>
            <xm:f>'Tabla Valoración controles'!$D$13:$D$14</xm:f>
          </x14:formula1>
          <xm:sqref>AH13:AH72</xm:sqref>
        </x14:dataValidation>
        <x14:dataValidation type="list" allowBlank="1" showInputMessage="1" showErrorMessage="1">
          <x14:formula1>
            <xm:f>'Tabla Valoración controles'!$D$11:$D$12</xm:f>
          </x14:formula1>
          <xm:sqref>AG13:AG72</xm:sqref>
        </x14:dataValidation>
        <x14:dataValidation type="list" allowBlank="1" showInputMessage="1" showErrorMessage="1">
          <x14:formula1>
            <xm:f>'Tabla Valoración controles'!$D$9:$D$10</xm:f>
          </x14:formula1>
          <xm:sqref>AF13:AF72</xm:sqref>
        </x14:dataValidation>
        <x14:dataValidation type="list" allowBlank="1" showInputMessage="1" showErrorMessage="1">
          <x14:formula1>
            <xm:f>'Tabla Valoración controles'!$D$7:$D$8</xm:f>
          </x14:formula1>
          <xm:sqref>AD13:AD72</xm:sqref>
        </x14:dataValidation>
        <x14:dataValidation type="list" allowBlank="1" showInputMessage="1" showErrorMessage="1">
          <x14:formula1>
            <xm:f>'Tabla Valoración controles'!$D$4:$D$6</xm:f>
          </x14:formula1>
          <xm:sqref>AC13:AC72</xm:sqref>
        </x14:dataValidation>
        <x14:dataValidation type="list" allowBlank="1" showInputMessage="1" showErrorMessage="1">
          <x14:formula1>
            <xm:f>Amenazas!$C$2:$C$11</xm:f>
          </x14:formula1>
          <xm:sqref>G13:G72</xm:sqref>
        </x14:dataValidation>
        <x14:dataValidation type="list" allowBlank="1" showInputMessage="1" showErrorMessage="1">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AA3C529DF13BF4887ECB1A1E93B0C5E" ma:contentTypeVersion="16" ma:contentTypeDescription="Crear nuevo documento." ma:contentTypeScope="" ma:versionID="3e9919aa0d72f01e0242d5a169ee8753">
  <xsd:schema xmlns:xsd="http://www.w3.org/2001/XMLSchema" xmlns:xs="http://www.w3.org/2001/XMLSchema" xmlns:p="http://schemas.microsoft.com/office/2006/metadata/properties" xmlns:ns3="ce6a6a6d-00e3-4bcc-b9fe-5ff2f63aa1f4" xmlns:ns4="1e8aa727-4095-4cb8-9e32-9d5fef56c722" targetNamespace="http://schemas.microsoft.com/office/2006/metadata/properties" ma:root="true" ma:fieldsID="028c2074a610aff76aef0fb422e113ea" ns3:_="" ns4:_="">
    <xsd:import namespace="ce6a6a6d-00e3-4bcc-b9fe-5ff2f63aa1f4"/>
    <xsd:import namespace="1e8aa727-4095-4cb8-9e32-9d5fef56c7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a6a6d-00e3-4bcc-b9fe-5ff2f63aa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8aa727-4095-4cb8-9e32-9d5fef56c72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e8aa727-4095-4cb8-9e32-9d5fef56c722">
      <UserInfo>
        <DisplayName>Stefany Ospino Cuellar</DisplayName>
        <AccountId>1659</AccountId>
        <AccountType/>
      </UserInfo>
      <UserInfo>
        <DisplayName>German Andres Hernandez Matiz</DisplayName>
        <AccountId>571</AccountId>
        <AccountType/>
      </UserInfo>
    </SharedWithUsers>
    <_activity xmlns="ce6a6a6d-00e3-4bcc-b9fe-5ff2f63aa1f4" xsi:nil="true"/>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A7CAF2B6-0E11-43D1-8E55-D721F7481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a6a6d-00e3-4bcc-b9fe-5ff2f63aa1f4"/>
    <ds:schemaRef ds:uri="1e8aa727-4095-4cb8-9e32-9d5fef56c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purl.org/dc/elements/1.1/"/>
    <ds:schemaRef ds:uri="http://schemas.microsoft.com/office/2006/documentManagement/types"/>
    <ds:schemaRef ds:uri="http://purl.org/dc/terms/"/>
    <ds:schemaRef ds:uri="ce6a6a6d-00e3-4bcc-b9fe-5ff2f63aa1f4"/>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1e8aa727-4095-4cb8-9e32-9d5fef56c72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Paula Ruiz Camacho</cp:lastModifiedBy>
  <cp:revision/>
  <dcterms:created xsi:type="dcterms:W3CDTF">2020-03-24T23:12:47Z</dcterms:created>
  <dcterms:modified xsi:type="dcterms:W3CDTF">2023-03-16T01:19:19Z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0x0101009AA3C529DF13BF4887ECB1A1E93B0C5E</vt:lpwstr>
  </property>
  <property fmtid="{D5CDD505-2E9C-101B-9397-08002B2CF9AE}" pid="3" name="MediaServiceImageTags">
    <vt:lpwstr/>
  </property>
</Properties>
</file>